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codeName="ThisWorkbook" defaultThemeVersion="124226"/>
  <mc:AlternateContent xmlns:mc="http://schemas.openxmlformats.org/markup-compatibility/2006">
    <mc:Choice Requires="x15">
      <x15ac:absPath xmlns:x15ac="http://schemas.microsoft.com/office/spreadsheetml/2010/11/ac" url="S:\Shared\Scheduled_Jobs\output\canalyst\"/>
    </mc:Choice>
  </mc:AlternateContent>
  <xr:revisionPtr revIDLastSave="0" documentId="13_ncr:1_{0D6108AC-6D84-4FE4-B065-54E4E7544E28}" xr6:coauthVersionLast="47" xr6:coauthVersionMax="47" xr10:uidLastSave="{00000000-0000-0000-0000-000000000000}"/>
  <bookViews>
    <workbookView xWindow="9620" yWindow="7000" windowWidth="24850" windowHeight="10660" activeTab="6" xr2:uid="{00000000-000D-0000-FFFF-FFFF00000000}"/>
  </bookViews>
  <sheets>
    <sheet name="Front Page" sheetId="7" r:id="rId1"/>
    <sheet name="Drivers" sheetId="11" r:id="rId2"/>
    <sheet name="Model" sheetId="1" r:id="rId3"/>
    <sheet name="Guidance" sheetId="10" r:id="rId4"/>
    <sheet name="Summary Page" sheetId="9" r:id="rId5"/>
    <sheet name="Update Log" sheetId="8" r:id="rId6"/>
    <sheet name="DCF (Quarterly)" sheetId="15" r:id="rId7"/>
    <sheet name="Quick Bull-Bear-Base" sheetId="14" r:id="rId8"/>
    <sheet name="Ratios (Quarterly)" sheetId="13" r:id="rId9"/>
    <sheet name="Annual Summary" sheetId="12" r:id="rId10"/>
  </sheets>
  <definedNames>
    <definedName name="_xlnm._FilterDatabase" localSheetId="3" hidden="1">Guidance!$A$5:$T$5</definedName>
    <definedName name="AA.AlternatePriceSourceStartPeriod">"Q1-2018"</definedName>
    <definedName name="AA.CompareQuarters.LatestMRQ">"Q3-2018"</definedName>
    <definedName name="AA.CSIN">"8ZF0D70112"</definedName>
    <definedName name="AA.DBMacroVersion">"1.0.13.0"</definedName>
    <definedName name="AA.DriversWorksheetVersion">"1.8.3.0"</definedName>
    <definedName name="AA.DropInSheetType" localSheetId="9">"AnnualSummary"</definedName>
    <definedName name="AA.DropInSheetType" localSheetId="6">"DCF"</definedName>
    <definedName name="AA.DropInSheetType" localSheetId="7">"QuickBullBearBase"</definedName>
    <definedName name="AA.DropInSheetType" localSheetId="8">"Ratios"</definedName>
    <definedName name="AA.DropInSheetVersion" localSheetId="9">"1.5"</definedName>
    <definedName name="AA.DropInSheetVersion" localSheetId="6">"4.7"</definedName>
    <definedName name="AA.DropInSheetVersion" localSheetId="7">"1.1"</definedName>
    <definedName name="AA.DropInSheetVersion" localSheetId="8">"2.1"</definedName>
    <definedName name="AA.HardcodeChecker.LatestMRQ">"Q3-2019"</definedName>
    <definedName name="AA.ModelChecks.LatestMRQ">"Q1-2021"</definedName>
    <definedName name="AA.ModelChecks.LatestVersionNumber">"2.30.2.0"</definedName>
    <definedName name="AA.ModelColorScheme">"Canonical"</definedName>
    <definedName name="AA.ModelVersion">"Q1-2021.21"</definedName>
    <definedName name="AA.PersonalMacro.VersionNumber">"1.5.1.5"</definedName>
    <definedName name="AA.RowLabelerRunPeriod">"Q3-2018"</definedName>
    <definedName name="AA.SessionToUploadId">""</definedName>
    <definedName name="AA.StartWorkModelVersion">"Q1-2021.20"</definedName>
    <definedName name="AA.StartWorkType">""</definedName>
    <definedName name="AA.SubyearType">"Q"</definedName>
    <definedName name="AA.TemplateUpgradeAttempted">"TRUE"</definedName>
    <definedName name="AA.TemplateVersion">"7.3.0.0"</definedName>
    <definedName name="AA.UpdateType">"Regular"</definedName>
    <definedName name="DCF.Currency" localSheetId="6">'DCF (Quarterly)'!$A$5</definedName>
    <definedName name="DCF.Date" localSheetId="6">'DCF (Quarterly)'!$A$3</definedName>
    <definedName name="DCF.DiscountRate" localSheetId="6">'DCF (Quarterly)'!$B$33</definedName>
    <definedName name="DCF.EI" localSheetId="6">'DCF (Quarterly)'!$B$49</definedName>
    <definedName name="DCF.ImpliedPrice" localSheetId="6">'DCF (Quarterly)'!$B$55</definedName>
    <definedName name="DCF.MRQ" localSheetId="6">'DCF (Quarterly)'!$B$6</definedName>
    <definedName name="DCF.OtherAdjustments" localSheetId="6">'DCF (Quarterly)'!$B$50</definedName>
    <definedName name="DCF.PensionLiabilities.Unfunded" localSheetId="6">'DCF (Quarterly)'!$B$46</definedName>
    <definedName name="DCF.Prefs" localSheetId="6">'DCF (Quarterly)'!$B$45</definedName>
    <definedName name="DCF.Terminal.Value.Undisc" localSheetId="6">'DCF (Quarterly)'!$B$35</definedName>
    <definedName name="DCF.TGR" localSheetId="6">'DCF (Quarterly)'!$B$32</definedName>
    <definedName name="DCF.Ticker" localSheetId="6">'DCF (Quarterly)'!$A$4</definedName>
    <definedName name="DCF.WC" localSheetId="6">'DCF (Quarterly)'!$G$30</definedName>
    <definedName name="DCF_Common_ColumnHeader" localSheetId="6">'DCF (Quarterly)'!$6:$6</definedName>
    <definedName name="DCF_Common_QEndDate" localSheetId="6">'DCF (Quarterly)'!$5:$5</definedName>
    <definedName name="DCF_FCFF" localSheetId="6">'DCF (Quarterly)'!$25:$25</definedName>
    <definedName name="DCF_PV_FCFF" localSheetId="6">'DCF (Quarterly)'!$26:$26</definedName>
    <definedName name="DCF_RemainingColumnHeader" localSheetId="6">'DCF (Quarterly)'!$G:$G</definedName>
    <definedName name="DW.LastPrice">Drivers!$B$3</definedName>
    <definedName name="DW_Common_ColumnHeader">Drivers!$5:$5</definedName>
    <definedName name="DW_Common_CompanySubtitle">Drivers!$2:$2</definedName>
    <definedName name="DW_Common_CompanyTitle">Drivers!$1:$1</definedName>
    <definedName name="DW_Common_FPDays">Drivers!$3:$3</definedName>
    <definedName name="DW_Common_QEndDate">Drivers!$4:$4</definedName>
    <definedName name="DW_FCF_Capex">Drivers!$17:$17</definedName>
    <definedName name="DW_FCF_ChangeInWC">Drivers!$18:$18</definedName>
    <definedName name="DW_FCF_DA">Drivers!$16:$16</definedName>
    <definedName name="DW_FCF_EBIT">Drivers!$14:$14</definedName>
    <definedName name="DW_FCF_FCF">Drivers!$19:$19</definedName>
    <definedName name="DW_FCF_Tax">Drivers!$15:$15</definedName>
    <definedName name="DW_Section_LastRow">Drivers!$131:$131</definedName>
    <definedName name="FP.DataSource">'Front Page'!$H$16</definedName>
    <definedName name="FP.DataSourceName">'Front Page'!$H$15</definedName>
    <definedName name="FP.Disclaimer">'Front Page'!$C$22</definedName>
    <definedName name="FP.LastPrice">'Front Page'!$H$20</definedName>
    <definedName name="FP.LastPriceDate">'Front Page'!$F$20</definedName>
    <definedName name="FP.RealTimeToggle">'Front Page'!$H$18</definedName>
    <definedName name="FP.UpdateDate">'Front Page'!$H$11</definedName>
    <definedName name="FP.UpdateEvent">'Front Page'!$H$13</definedName>
    <definedName name="FP_Comment">'Front Page'!$P$9:$P$16</definedName>
    <definedName name="FP_StockPriceOverride">'Front Page'!$C$20:$H$20</definedName>
    <definedName name="GD.CompanyName">Guidance!$B$1</definedName>
    <definedName name="GD.MRQ">Guidance!$F$2</definedName>
    <definedName name="GD_Difference_Mid_Absolute">Guidance!$O:$O</definedName>
    <definedName name="GD_Difference_Mid_Relative">Guidance!$P:$P</definedName>
    <definedName name="GD_Guidance_High">Guidance!$I:$I</definedName>
    <definedName name="GD_Guidance_Low">Guidance!$H:$H</definedName>
    <definedName name="GD_Guidance_Mid">Guidance!$J:$J</definedName>
    <definedName name="GD_Header_Column">Guidance!$5:$5</definedName>
    <definedName name="GD_Header_Section">Guidance!$4:$4</definedName>
    <definedName name="GD_Index">Guidance!$A:$A</definedName>
    <definedName name="GD_Item">Guidance!$D:$D</definedName>
    <definedName name="GD_Item_FiscalPeriod">Guidance!$F:$F</definedName>
    <definedName name="GD_Item_Name">Guidance!$E:$E</definedName>
    <definedName name="GD_Model_Output">Guidance!$M:$M</definedName>
    <definedName name="GD_Model_Type">Guidance!$L:$L</definedName>
    <definedName name="GD_Type">Guidance!$B:$B</definedName>
    <definedName name="GD_Update_Date">Guidance!$R:$R</definedName>
    <definedName name="GD_Update_Link">Guidance!$S:$S</definedName>
    <definedName name="HP.MRFX">Model!$B$1186</definedName>
    <definedName name="HP.ReportCurrency">Model!$B$1185</definedName>
    <definedName name="HP.Ticker">Model!$A$2</definedName>
    <definedName name="HP.TradeCurrency">Model!$B$1183</definedName>
    <definedName name="HP.TradeCurrency.HardCoded">Model!$B$1184</definedName>
    <definedName name="MO.CFY">Model!$B$1190</definedName>
    <definedName name="MO.CompanyName">Model!$A$1</definedName>
    <definedName name="MO.DataSourceIndex">Model!$B$1192</definedName>
    <definedName name="MO.DataSourceName">Model!$A$4</definedName>
    <definedName name="MO.FirstForecastedFiscalYear">Model!$B$1191</definedName>
    <definedName name="MO.LastPrice">Model!$B$3</definedName>
    <definedName name="MO.LastPriceDate">Model!$B$1180</definedName>
    <definedName name="MO.LastPriceFormula">Model!$B$1182</definedName>
    <definedName name="MO.LastPriceHardcoded">Model!$B$1179</definedName>
    <definedName name="MO.MRFP">Model!$B$1189</definedName>
    <definedName name="MO.MRFPColumnNumber">Model!$B$1188</definedName>
    <definedName name="MO.MRFX.Hardcoded">Model!$B$1187</definedName>
    <definedName name="MO.RealTime">Model!$B$4</definedName>
    <definedName name="MO.RealTimeStockPriceToggle">Model!$B$1181</definedName>
    <definedName name="MO.ReportCurrency">Model!$B$1185</definedName>
    <definedName name="MO.ReportFX">Model!$A$5</definedName>
    <definedName name="MO.Ticker">Model!$A$2</definedName>
    <definedName name="MO.Ticker.Bloomberg">Model!$A$1116</definedName>
    <definedName name="MO.Ticker.CapIQ">Model!$A$1117</definedName>
    <definedName name="MO.Ticker.FactSet">Model!$A$1118</definedName>
    <definedName name="MO.Ticker.Thomson">Model!$A$1119</definedName>
    <definedName name="MO.TradingCurrency">Model!$A$3</definedName>
    <definedName name="MO.ValuationToggle">Model!$B$878</definedName>
    <definedName name="MO_AN_EBIT_Adj">Model!$755:$755</definedName>
    <definedName name="MO_AN_NI_NONGAAP_Diluted">Model!$764:$764</definedName>
    <definedName name="MO_BS_AP">Model!$1061:$1061</definedName>
    <definedName name="MO_BS_AR">Model!$1036:$1036</definedName>
    <definedName name="MO_BS_CA">Model!$1043:$1043</definedName>
    <definedName name="MO_BS_Cash">Model!$1034:$1034</definedName>
    <definedName name="MO_BS_CL">Model!$1066:$1066</definedName>
    <definedName name="MO_BS_CommonStock">Model!$1077:$1077</definedName>
    <definedName name="MO_BS_ContributedSurplus">Model!$1078:$1078</definedName>
    <definedName name="MO_BS_Goodwill">Model!$1052:$1052</definedName>
    <definedName name="MO_BS_Intangibles">Model!$1053:$1053</definedName>
    <definedName name="MO_BS_INV">Model!$1040:$1040</definedName>
    <definedName name="MO_BS_INV_FG">Model!$1037:$1037</definedName>
    <definedName name="MO_BS_INV_RM">Model!$1039:$1039</definedName>
    <definedName name="MO_BS_INV_WIP">Model!$1038:$1038</definedName>
    <definedName name="MO_BS_LTInvestments">Model!$1047:$1047</definedName>
    <definedName name="MO_BS_NCA">Model!$1056:$1056</definedName>
    <definedName name="MO_BS_NCI">Model!$1083:$1083</definedName>
    <definedName name="MO_BS_NCL">Model!$1073:$1073</definedName>
    <definedName name="MO_BS_OCI">Model!$1081:$1081</definedName>
    <definedName name="MO_BS_OL_Current">Model!$1064:$1064</definedName>
    <definedName name="MO_BS_OL_NonCurrent">Model!$1071:$1071</definedName>
    <definedName name="MO_BS_PPE">Model!$1050:$1050</definedName>
    <definedName name="MO_BS_PPE_Gross">Model!$1048:$1048</definedName>
    <definedName name="MO_BS_PrepaidExpenses">Model!$1041:$1041</definedName>
    <definedName name="MO_BS_RetainedEarnings">Model!$1079:$1079</definedName>
    <definedName name="MO_BS_SE">Model!$1082:$1082</definedName>
    <definedName name="MO_BS_STInvestments">Model!$1035:$1035</definedName>
    <definedName name="MO_BS_TA">Model!$1057:$1057</definedName>
    <definedName name="MO_BS_TL">Model!$1074:$1074</definedName>
    <definedName name="MO_BS_TLSE">Model!$1084:$1084</definedName>
    <definedName name="MO_BS_TreasuryStock">Model!$1080:$1080</definedName>
    <definedName name="MO_BSS_Cash">Model!$859:$859</definedName>
    <definedName name="MO_BSS_Debt">Model!$862:$862</definedName>
    <definedName name="MO_BSS_Debt_LT">Model!$861:$861</definedName>
    <definedName name="MO_BSS_Debt_Net">Model!$864:$864</definedName>
    <definedName name="MO_BSS_Debt_ST">Model!$860:$860</definedName>
    <definedName name="MO_BSS_Debt_ToCF">Model!$875:$875</definedName>
    <definedName name="MO_BSS_Debt_ToEBITDA">Model!$874:$874</definedName>
    <definedName name="MO_BSS_IE">Model!$866:$866</definedName>
    <definedName name="MO_BSS_IE_Net">Model!$870:$870</definedName>
    <definedName name="MO_BSS_II">Model!$868:$868</definedName>
    <definedName name="MO_BSS_InterestRate_Cash">Model!$869:$869</definedName>
    <definedName name="MO_BSS_InterestRate_Debt">Model!$867:$867</definedName>
    <definedName name="MO_BSS_NetInterestCoverage">Model!$873:$873</definedName>
    <definedName name="MO_BSS_NetInterestRate_Debt">Model!$871:$871</definedName>
    <definedName name="MO_BSS_OL">Model!$863:$863</definedName>
    <definedName name="MO_CCFS_Balance_Begin">Model!$945:$945</definedName>
    <definedName name="MO_CCFS_Balance_End">Model!$946:$946</definedName>
    <definedName name="MO_CCFS_CFF">Model!$940:$940</definedName>
    <definedName name="MO_CCFS_CFI">Model!$928:$928</definedName>
    <definedName name="MO_CCFS_CFO">Model!$917:$917</definedName>
    <definedName name="MO_CCFS_CFO_BeforeWC">Model!$910:$910</definedName>
    <definedName name="MO_CCFS_FX">Model!$942:$942</definedName>
    <definedName name="MO_CCFS_NetChange">Model!$943:$943</definedName>
    <definedName name="MO_CFS_Balance_Begin">Model!$994:$994</definedName>
    <definedName name="MO_CFS_Balance_End">Model!$995:$995</definedName>
    <definedName name="MO_CFS_Buyback">Model!$983:$983</definedName>
    <definedName name="MO_CFS_CFF">Model!$989:$989</definedName>
    <definedName name="MO_CFS_CFI">Model!$977:$977</definedName>
    <definedName name="MO_CFS_CFO">Model!$966:$966</definedName>
    <definedName name="MO_CFS_CFO_BeforeWC">Model!$959:$959</definedName>
    <definedName name="MO_CFS_FX">Model!$991:$991</definedName>
    <definedName name="MO_CFS_NetChange">Model!$992:$992</definedName>
    <definedName name="MO_CFS_NI">Model!$950:$950</definedName>
    <definedName name="MO_CFS_SBC">Model!$954:$954</definedName>
    <definedName name="MO_CFSum_Acquisition">Model!$844:$844</definedName>
    <definedName name="MO_CFSum_Capex">Model!$842:$842</definedName>
    <definedName name="MO_CFSum_CFO_BeforeWC">Model!$839:$839</definedName>
    <definedName name="MO_CFSum_CFPS">Model!$840:$840</definedName>
    <definedName name="MO_CFSum_Divestiture">Model!$845:$845</definedName>
    <definedName name="MO_CFSum_Dividend">Model!$846:$846</definedName>
    <definedName name="MO_CFSum_DPS">Model!$847:$847</definedName>
    <definedName name="MO_CFSum_FCF_PostDivPostAD">Model!$855:$855</definedName>
    <definedName name="MO_CFSum_FCF_PostDivPostADPostDebtPostBuyback">Model!$856:$856</definedName>
    <definedName name="MO_CFSum_FCF_PostDivPreAD">Model!$854:$854</definedName>
    <definedName name="MO_CFSum_FCF_PreDiv">Model!$853:$853</definedName>
    <definedName name="MO_CFSum_NetDebtIssuance">Model!$849:$849</definedName>
    <definedName name="MO_CFSum_NetShares">Model!$850:$850</definedName>
    <definedName name="MO_CFSum_NetShares_Price">Model!$851:$851</definedName>
    <definedName name="MO_Checks_Bottom">Model!$C$1089:$XFD$1111</definedName>
    <definedName name="MO_Checks_BS">Model!$1086:$1086</definedName>
    <definedName name="MO_Checks_CF">Model!$997:$997</definedName>
    <definedName name="MO_Checks_IS">Model!$745:$745</definedName>
    <definedName name="MO_Common_Column_A">Model!$A:$A</definedName>
    <definedName name="MO_Common_Column_B">Model!$B:$B</definedName>
    <definedName name="MO_Common_ColumnHeader">Model!$5:$5</definedName>
    <definedName name="MO_Common_CompanySubtitle">Model!$2:$2</definedName>
    <definedName name="MO_Common_CompanyTitle">Model!$1:$1</definedName>
    <definedName name="MO_Common_FPDays">Model!$3:$3</definedName>
    <definedName name="MO_Common_QEndDate">Model!$4:$4</definedName>
    <definedName name="MO_DAF_A">Model!$1018:$1018</definedName>
    <definedName name="MO_DAF_A_Percentage">Model!$1024:$1024</definedName>
    <definedName name="MO_DAF_Capex">Model!$1029:$1029</definedName>
    <definedName name="MO_DAF_D">Model!$1012:$1012</definedName>
    <definedName name="MO_DAF_D_Percentage">Model!$1023:$1023</definedName>
    <definedName name="MO_DAF_DA">Model!$1028:$1028</definedName>
    <definedName name="MO_DAF_Intangibles_BoP">Model!$1017:$1017</definedName>
    <definedName name="MO_DAF_Intangibles_Capex">Model!$1019:$1019</definedName>
    <definedName name="MO_DAF_Intangibles_Capex_Percent">Model!$1030:$1030</definedName>
    <definedName name="MO_DAF_Intangibles_EoP">Model!$1021:$1021</definedName>
    <definedName name="MO_DAF_Intangibles_Life">Model!$1026:$1026</definedName>
    <definedName name="MO_DAF_Intangibles_Other">Model!$1020:$1020</definedName>
    <definedName name="MO_DAF_PPE_BoP">Model!$1011:$1011</definedName>
    <definedName name="MO_DAF_PPE_Capex">Model!$1013:$1013</definedName>
    <definedName name="MO_DAF_PPE_EoP">Model!$1015:$1015</definedName>
    <definedName name="MO_DAF_PPE_Life">Model!$1025:$1025</definedName>
    <definedName name="MO_DAF_PPE_Other">Model!$1014:$1014</definedName>
    <definedName name="MO_GA_TotalRevenue">Model!$20:$20</definedName>
    <definedName name="MO_IS_EBIT">Model!$732:$732</definedName>
    <definedName name="MO_IS_EBT">Model!$738:$738</definedName>
    <definedName name="MO_IS_FirstRow">Model!$726:$726</definedName>
    <definedName name="MO_IS_NI_ContinOp">Model!$741:$741</definedName>
    <definedName name="MO_IS_REV">Model!$726:$726</definedName>
    <definedName name="MO_MA_COGS">Model!$705:$705</definedName>
    <definedName name="MO_MA_COGS_DA_Including">Model!$706:$706</definedName>
    <definedName name="MO_MA_EBIT">Model!$721:$721</definedName>
    <definedName name="MO_MA_EBIT_Adj">Model!$722:$722</definedName>
    <definedName name="MO_MA_EBITDA">Model!$713:$713</definedName>
    <definedName name="MO_MA_EBITDA_Adj">Model!$714:$714</definedName>
    <definedName name="MO_MA_GM">Model!$707:$707</definedName>
    <definedName name="MO_MA_GM_DA_Including">Model!$708:$708</definedName>
    <definedName name="MO_MA_RD">Model!$711:$711</definedName>
    <definedName name="MO_MA_SGA">Model!$712:$712</definedName>
    <definedName name="MO_OS_EBIT">Model!$684:$684</definedName>
    <definedName name="MO_RIS_Adjustments_Dilution_GAAP">Model!$820:$820</definedName>
    <definedName name="MO_RIS_Adjustments_Dilution_NONGAAP">Model!$823:$823</definedName>
    <definedName name="MO_RIS_Adjustments_NONGAAP">Model!$822:$822</definedName>
    <definedName name="MO_RIS_COGS">Model!$790:$790</definedName>
    <definedName name="MO_RIS_DA">Model!$799:$799</definedName>
    <definedName name="MO_RIS_DAintangibles">Model!$800:$800</definedName>
    <definedName name="MO_RIS_DisCont">Model!$816:$816</definedName>
    <definedName name="MO_RIS_Dividend_Prefs">Model!$818:$818</definedName>
    <definedName name="MO_RIS_EBIT">Model!$803:$803</definedName>
    <definedName name="MO_RIS_EBIT_Adj">Model!$804:$804</definedName>
    <definedName name="MO_RIS_EBITDA">Model!$795:$795</definedName>
    <definedName name="MO_RIS_EBITDA_Adj">Model!$796:$796</definedName>
    <definedName name="MO_RIS_EBT">Model!$811:$811</definedName>
    <definedName name="MO_RIS_EPS_WAB">Model!$829:$829</definedName>
    <definedName name="MO_RIS_EPS_WAD">Model!$830:$830</definedName>
    <definedName name="MO_RIS_EPS_WAD_Adj">Model!$831:$831</definedName>
    <definedName name="MO_RIS_GP">Model!$791:$791</definedName>
    <definedName name="MO_RIS_IE">Model!$807:$807</definedName>
    <definedName name="MO_RIS_II">Model!$808:$808</definedName>
    <definedName name="MO_RIS_NCI">Model!$817:$817</definedName>
    <definedName name="MO_RIS_NI_ContinOp">Model!$815:$815</definedName>
    <definedName name="MO_RIS_NI_GAAP_Basic">Model!$819:$819</definedName>
    <definedName name="MO_RIS_NI_GAAP_Diluted">Model!$821:$821</definedName>
    <definedName name="MO_RIS_NI_NONGAAP_Diluted">Model!$824:$824</definedName>
    <definedName name="MO_RIS_OI">Model!$809:$809</definedName>
    <definedName name="MO_RIS_OI_Operating">Model!$802:$802</definedName>
    <definedName name="MO_RIS_OTI">Model!$810:$810</definedName>
    <definedName name="MO_RIS_RD">Model!$793:$793</definedName>
    <definedName name="MO_RIS_REV">Model!$787:$787</definedName>
    <definedName name="MO_RIS_SBC">Model!$801:$801</definedName>
    <definedName name="MO_RIS_SGA">Model!$794:$794</definedName>
    <definedName name="MO_RIS_ShareCount_WAB">Model!$834:$834</definedName>
    <definedName name="MO_RIS_ShareCount_WAD">Model!$835:$835</definedName>
    <definedName name="MO_RIS_ShareCount_WAD_Adj">Model!$836:$836</definedName>
    <definedName name="MO_RIS_Tax_Current">Model!$813:$813</definedName>
    <definedName name="MO_RIS_Tax_Deferred">Model!$814:$814</definedName>
    <definedName name="MO_RIS_TaxRate_Current">Model!$826:$826</definedName>
    <definedName name="MO_RIS_TaxRate_Deferred">Model!$827:$827</definedName>
    <definedName name="MO_Section_AdjustedNumbers">Model!$747:$747</definedName>
    <definedName name="MO_Section_BalanceSheet">Model!$1032:$1032</definedName>
    <definedName name="MO_Section_BalanceSheetSummary">Model!$858:$858</definedName>
    <definedName name="MO_Section_CashFlowStatement">Model!$948:$948</definedName>
    <definedName name="MO_Section_CashFlowSummary">Model!$838:$838</definedName>
    <definedName name="MO_Section_CumulativeCashFlowStatement">Model!$899:$899</definedName>
    <definedName name="MO_Section_DAForecasting">Model!$1010:$1010</definedName>
    <definedName name="MO_Section_GrowthAnalysis">Model!$6:$6</definedName>
    <definedName name="MO_Section_IncomeStatement">Model!$725:$725</definedName>
    <definedName name="MO_Section_KeyMetricsAdjustedOperatingIncomeWalk">Model!$534:$534</definedName>
    <definedName name="MO_Section_KeyMetricsEmployeeCountK">Model!$653:$653</definedName>
    <definedName name="MO_Section_KeyMetricsFCFConversionPR">Model!$628:$628</definedName>
    <definedName name="MO_Section_KeyMetricsOperatingMarginandEPSWalksQK">Model!$561:$561</definedName>
    <definedName name="MO_Section_KeyMetricsROICPR">Model!$643:$643</definedName>
    <definedName name="MO_Section_LastRow">Model!$1194:$1194</definedName>
    <definedName name="MO_Section_MarginAnalysis">Model!$704:$704</definedName>
    <definedName name="MO_Section_ModelChecks">Model!$1088:$1088</definedName>
    <definedName name="MO_Section_RevisedIncomeStatement">Model!$786:$786</definedName>
    <definedName name="MO_Section_SegmentedResultsAdjustedEBITDABreakdownPR">Model!$86:$86</definedName>
    <definedName name="MO_Section_SegmentedResultsConsumerPRQK">Model!$336:$336</definedName>
    <definedName name="MO_Section_SegmentedResultsCorporateandUnallocatedQK">Model!$412:$412</definedName>
    <definedName name="MO_Section_SegmentedResultsEliminationsofDualCreditQK">Model!$432:$432</definedName>
    <definedName name="MO_Section_SegmentedResultsGeographicBreakdownFS">Model!$445:$445</definedName>
    <definedName name="MO_Section_SegmentedResultsHealthCarePRQK">Model!$258:$258</definedName>
    <definedName name="MO_Section_SegmentedResultsOperatingIncomeBreakdownFS_1">Model!$50:$50</definedName>
    <definedName name="MO_Section_SegmentedResultsRevenueBreakdownFS">Model!$661:$661</definedName>
    <definedName name="MO_Section_SegmentedResultsRevenueBreakdownFS_1">Model!$22:$22</definedName>
    <definedName name="MO_Section_SegmentedResultsSafetyandIndustrialPRQK">Model!$101:$101</definedName>
    <definedName name="MO_Section_SegmentedResultsTransportationandElectronicsPRQK">Model!$181:$181</definedName>
    <definedName name="MO_Section_Tables">Model!$1113:$1113</definedName>
    <definedName name="MO_Section_Valuation">Model!$877:$877</definedName>
    <definedName name="MO_Section_WorkingCapitalForecasting">Model!$999:$999</definedName>
    <definedName name="MO_SNA_ConsensusEstimatePeriodNumber">Model!$1136:$1136</definedName>
    <definedName name="MO_SNA_ConsensusEstimatePeriodType">Model!$1135:$1135</definedName>
    <definedName name="MO_SNA_FPStartDate">Model!$1147:$1147</definedName>
    <definedName name="MO_SNA_IsHistoricalPeriod">Model!$1148:$1148</definedName>
    <definedName name="MO_SNA_LastDataRow">Model!$1084:$1084</definedName>
    <definedName name="MO_SPT_FXAverage">Model!$1170:$1170</definedName>
    <definedName name="MO_SPT_FXAverage_Sources">Model!$1171:$1175</definedName>
    <definedName name="MO_SPT_FXAverage_Sources_Bloomberg">Model!$1172:$1172</definedName>
    <definedName name="MO_SPT_FXAverage_Sources_CapIQ">Model!$1173:$1173</definedName>
    <definedName name="MO_SPT_FXAverage_Sources_FactSet">Model!$1174:$1174</definedName>
    <definedName name="MO_SPT_FXAverage_Sources_RealTimeOff">Model!$1171:$1171</definedName>
    <definedName name="MO_SPT_FXAverage_Sources_Thomson">Model!$1175:$1175</definedName>
    <definedName name="MO_SPT_StockAverage">Model!$1163:$1163</definedName>
    <definedName name="MO_SPT_StockAverage_Sources">Model!$1164:$1168</definedName>
    <definedName name="MO_SPT_StockAverage_Sources_Bloomberg">Model!$1165:$1165</definedName>
    <definedName name="MO_SPT_StockAverage_Sources_CapIQ">Model!$1166:$1166</definedName>
    <definedName name="MO_SPT_StockAverage_Sources_FactSet">Model!$1167:$1167</definedName>
    <definedName name="MO_SPT_StockAverage_Sources_RealTimeOff">Model!$1164:$1164</definedName>
    <definedName name="MO_SPT_StockAverage_Sources_Thomson">Model!$1168:$1168</definedName>
    <definedName name="MO_SPT_StockHigh">Model!$1149:$1149</definedName>
    <definedName name="MO_SPT_StockHigh_Sources">Model!$1150:$1154</definedName>
    <definedName name="MO_SPT_StockHigh_Sources_Bloomberg">Model!$1151:$1151</definedName>
    <definedName name="MO_SPT_StockHigh_Sources_CapIQ">Model!$1152:$1152</definedName>
    <definedName name="MO_SPT_StockHigh_Sources_FactSet">Model!$1153:$1153</definedName>
    <definedName name="MO_SPT_StockHigh_Sources_RealTimeOff">Model!$1150:$1150</definedName>
    <definedName name="MO_SPT_StockHigh_Sources_Thomson">Model!$1154:$1154</definedName>
    <definedName name="MO_SPT_StockLow">Model!$1156:$1156</definedName>
    <definedName name="MO_SPT_StockLow_Sources">Model!$1157:$1161</definedName>
    <definedName name="MO_SPT_StockLow_Sources_Bloomberg">Model!$1158:$1158</definedName>
    <definedName name="MO_SPT_StockLow_Sources_CapIQ">Model!$1159:$1159</definedName>
    <definedName name="MO_SPT_StockLow_Sources_FactSet">Model!$1160:$1160</definedName>
    <definedName name="MO_SPT_StockLow_Sources_RealTimeOff">Model!$1157:$1157</definedName>
    <definedName name="MO_SPT_StockLow_Sources_Thomson">Model!$1161:$1161</definedName>
    <definedName name="MO_SubSection_BS_CA">Model!$1033:$1033</definedName>
    <definedName name="MO_SubSection_BS_CL">Model!$1059:$1059</definedName>
    <definedName name="MO_SubSection_BS_NCA">Model!$1045:$1045</definedName>
    <definedName name="MO_SubSection_BS_NCL">Model!$1068:$1068</definedName>
    <definedName name="MO_SubSection_BS_SE">Model!$1076:$1076</definedName>
    <definedName name="MO_SubSection_CCFS_CFF">Model!$930:$930</definedName>
    <definedName name="MO_SubSection_CCFS_CFI">Model!$919:$919</definedName>
    <definedName name="MO_SubSection_CCFS_CFO">Model!$900:$900</definedName>
    <definedName name="MO_SubSection_CFS_CFF">Model!$979:$979</definedName>
    <definedName name="MO_SubSection_CFS_CFI">Model!$968:$968</definedName>
    <definedName name="MO_SubSection_CFS_CFO">Model!$949:$949</definedName>
    <definedName name="MO_VA_EV">Model!$880:$880</definedName>
    <definedName name="MO_VA_EV_ToEBITDA">Model!$883:$883</definedName>
    <definedName name="MO_VA_EVCalc_NCI">Model!$895:$895</definedName>
    <definedName name="MO_VA_EVCalc_Other">Model!$897:$897</definedName>
    <definedName name="MO_VA_EVCalc_Prefs">Model!$896:$896</definedName>
    <definedName name="MO_VA_FCFYield_ToEV">Model!$886:$886</definedName>
    <definedName name="MO_VA_FCFYield_ToMktCap">Model!$885:$885</definedName>
    <definedName name="MO_VA_FX_Average">Model!$891:$891</definedName>
    <definedName name="MO_VA_MarketCap">Model!$879:$879</definedName>
    <definedName name="MO_VA_P_ToCF">Model!$884:$884</definedName>
    <definedName name="MO_VA_P_ToE">Model!$882:$882</definedName>
    <definedName name="MO_VA_StockPrice">Model!$878:$878</definedName>
    <definedName name="MO_VA_StockPrice_Avg">Model!$890:$890</definedName>
    <definedName name="MO_VA_StockPrice_High">Model!$888:$888</definedName>
    <definedName name="MO_VA_StockPrice_Low">Model!$889:$889</definedName>
    <definedName name="MO_VA_StockPrice_TradingCurrency">Model!$892:$892</definedName>
    <definedName name="MO_WCF_AP_Margin">Model!$1003:$1003</definedName>
    <definedName name="MO_WCF_AP_Margin_Change">Model!$1008:$1008</definedName>
    <definedName name="MO_WCF_AR_Margin">Model!$1000:$1000</definedName>
    <definedName name="MO_WCF_AR_Margin_Change">Model!$1005:$1005</definedName>
    <definedName name="MO_WCF_INV_Margin">Model!$1001:$1001</definedName>
    <definedName name="MO_WCF_INV_Margin_Change">Model!$1006:$1006</definedName>
    <definedName name="_xlnm.Print_Area" localSheetId="9">'Annual Summary'!$A$1:$R$145</definedName>
    <definedName name="_xlnm.Print_Area" localSheetId="2">Model!$A$1:$BG$1084</definedName>
    <definedName name="_xlnm.Print_Area" localSheetId="8">'Ratios (Quarterly)'!$A$1:$AG$186</definedName>
    <definedName name="_xlnm.Print_Area" localSheetId="4">'Summary Page'!$A$1:$BG$149</definedName>
    <definedName name="_xlnm.Print_Titles" localSheetId="2">Model!$5:$5</definedName>
    <definedName name="SP.CompanyName">'Summary Page'!$A$1</definedName>
    <definedName name="SP.ReportFX">'Summary Page'!$B$2</definedName>
    <definedName name="SP.ValuationToggle">'Summary Page'!$B$4</definedName>
    <definedName name="SP_BSR_Capital">'Summary Page'!$111:$111</definedName>
    <definedName name="SP_BSR_CashFlow">'Summary Page'!$110:$110</definedName>
    <definedName name="SP_BSR_CashFlow_LTM">'Summary Page'!$113:$113</definedName>
    <definedName name="SP_BSR_CL">'Summary Page'!$132:$132</definedName>
    <definedName name="SP_BSR_CL_Avg">'Summary Page'!$133:$133</definedName>
    <definedName name="SP_BSR_Debt">'Summary Page'!$126:$126</definedName>
    <definedName name="SP_BSR_Debt_Avg">'Summary Page'!$127:$127</definedName>
    <definedName name="SP_BSR_EBITDA">'Summary Page'!$109:$109</definedName>
    <definedName name="SP_BSR_EBITDA_LTM">'Summary Page'!$112:$112</definedName>
    <definedName name="SP_BSR_SE">'Summary Page'!$118:$118</definedName>
    <definedName name="SP_BSR_SE_Avg">'Summary Page'!$119:$119</definedName>
    <definedName name="SP_BSR_TA">'Summary Page'!$123:$123</definedName>
    <definedName name="SP_BSR_TA_Avg">'Summary Page'!$124:$124</definedName>
    <definedName name="SP_CFA_Acquisition">'Summary Page'!$94:$94</definedName>
    <definedName name="SP_CFA_Capex">'Summary Page'!$90:$90</definedName>
    <definedName name="SP_CFA_CFO_BeforeWC">'Summary Page'!$89:$89</definedName>
    <definedName name="SP_CFA_CFO_PerShare">'Summary Page'!$102:$102</definedName>
    <definedName name="SP_CFA_Debt">'Summary Page'!$98:$98</definedName>
    <definedName name="SP_CFA_Div">'Summary Page'!$92:$92</definedName>
    <definedName name="SP_CFA_Div_PerShare">'Summary Page'!$104:$104</definedName>
    <definedName name="SP_CFA_Divestiture">'Summary Page'!$95:$95</definedName>
    <definedName name="SP_CFA_Equity">'Summary Page'!$97:$97</definedName>
    <definedName name="SP_CFA_FCF_PerShare">'Summary Page'!$103:$103</definedName>
    <definedName name="SP_CFA_FCF_PostDiv">'Summary Page'!$93:$93</definedName>
    <definedName name="SP_CFA_FCF_PreDiv">'Summary Page'!$91:$91</definedName>
    <definedName name="SP_CFA_NetChange">'Summary Page'!$100:$100</definedName>
    <definedName name="SP_CFA_Other">'Summary Page'!$99:$99</definedName>
    <definedName name="SP_CFA_Payout_vsEPS">'Summary Page'!$106:$106</definedName>
    <definedName name="SP_CFA_Payout_vsFCF">'Summary Page'!$105:$105</definedName>
    <definedName name="SP_CFA_WC">'Summary Page'!$96:$96</definedName>
    <definedName name="SP_Checks_SummaryPage">'Summary Page'!$C$152:$XFD$156</definedName>
    <definedName name="SP_Common_Column_A">'Summary Page'!$A:$A</definedName>
    <definedName name="SP_Common_Column_B">'Summary Page'!$B:$B</definedName>
    <definedName name="SP_Common_ColumnHeader">'Summary Page'!$2:$2</definedName>
    <definedName name="SP_Common_QEndDate">'Summary Page'!$1:$1</definedName>
    <definedName name="SP_CS_Cash">'Summary Page'!$7:$7</definedName>
    <definedName name="SP_CS_Debt">'Summary Page'!$8:$8</definedName>
    <definedName name="SP_CS_EV">'Summary Page'!$11:$11</definedName>
    <definedName name="SP_CS_EVCalc_Other">'Summary Page'!$10:$10</definedName>
    <definedName name="SP_CS_MarketCap">'Summary Page'!$6:$6</definedName>
    <definedName name="SP_CS_OL">'Summary Page'!$9:$9</definedName>
    <definedName name="SP_CS_ShareCount">'Summary Page'!$5:$5</definedName>
    <definedName name="SP_CS_StockPrice">'Summary Page'!$4:$4</definedName>
    <definedName name="SP_GF_COGS">'Summary Page'!$55:$55</definedName>
    <definedName name="SP_GF_DA">'Summary Page'!$60:$60</definedName>
    <definedName name="SP_GF_DisCont">'Summary Page'!$67:$67</definedName>
    <definedName name="SP_GF_Div_Prefs">'Summary Page'!$69:$69</definedName>
    <definedName name="SP_GF_EBIT">'Summary Page'!$62:$62</definedName>
    <definedName name="SP_GF_EBITDA">'Summary Page'!$58:$58</definedName>
    <definedName name="SP_GF_EBT">'Summary Page'!$65:$65</definedName>
    <definedName name="SP_GF_EPS_GAAP">'Summary Page'!$71:$71</definedName>
    <definedName name="SP_GF_IE">'Summary Page'!$63:$63</definedName>
    <definedName name="SP_GF_IE_Net">'Summary Page'!$63:$63</definedName>
    <definedName name="SP_GF_NCI">'Summary Page'!$68:$68</definedName>
    <definedName name="SP_GF_NI">'Summary Page'!$70:$70</definedName>
    <definedName name="SP_GF_OI">'Summary Page'!$64:$64</definedName>
    <definedName name="SP_GF_OI_Operating">'Summary Page'!$61:$61</definedName>
    <definedName name="SP_GF_RD">'Summary Page'!$57:$57</definedName>
    <definedName name="SP_GF_Rev">'Summary Page'!$54:$54</definedName>
    <definedName name="SP_GF_SBC">'Summary Page'!$59:$59</definedName>
    <definedName name="SP_GF_SGA">'Summary Page'!$56:$56</definedName>
    <definedName name="SP_GF_Tax">'Summary Page'!$66:$66</definedName>
    <definedName name="SP_MA_COGS">'Summary Page'!$80:$80</definedName>
    <definedName name="SP_MA_EBIT">'Summary Page'!$85:$85</definedName>
    <definedName name="SP_MA_EBIT_Adj">'Summary Page'!$86:$86</definedName>
    <definedName name="SP_MA_EBITDA">'Summary Page'!$83:$83</definedName>
    <definedName name="SP_MA_EBITDA_Adj">'Summary Page'!$84:$84</definedName>
    <definedName name="SP_MA_RD">'Summary Page'!$82:$82</definedName>
    <definedName name="SP_MA_SBC">'Summary Page'!$82:$82</definedName>
    <definedName name="SP_MA_SGA">'Summary Page'!$81:$81</definedName>
    <definedName name="SP_NGF_EBIT">'Summary Page'!$75:$75</definedName>
    <definedName name="SP_NGF_EBITDA">'Summary Page'!$74:$74</definedName>
    <definedName name="SP_NGF_EPS">'Summary Page'!$77:$77</definedName>
    <definedName name="SP_NGF_NI">'Summary Page'!$76:$76</definedName>
    <definedName name="SP_PR_ROA">'Summary Page'!$125:$125</definedName>
    <definedName name="SP_PR_ROCE">'Summary Page'!$135:$135</definedName>
    <definedName name="SP_PR_ROE">'Summary Page'!$120:$120</definedName>
    <definedName name="SP_PR_ROIC">'Summary Page'!$129:$129</definedName>
    <definedName name="SP_PSGM_CFO">'Summary Page'!$141:$141</definedName>
    <definedName name="SP_PSGM_EBITDA_Adj">'Summary Page'!$139:$139</definedName>
    <definedName name="SP_PSGM_FCF">'Summary Page'!$142:$142</definedName>
    <definedName name="SP_PSGM_NI_Adj">'Summary Page'!$140:$140</definedName>
    <definedName name="SP_PSGM_Revenue">'Summary Page'!$138:$138</definedName>
    <definedName name="SP_Section_BalanceSheetRatios">'Summary Page'!$108:$108</definedName>
    <definedName name="SP_Section_CapitalizationSummary">'Summary Page'!$3:$3</definedName>
    <definedName name="SP_Section_CashFlowAnalysis">'Summary Page'!$88:$88</definedName>
    <definedName name="SP_Section_Checks">'Summary Page'!$151:$151</definedName>
    <definedName name="SP_Section_CompanySpecificOperationalData">'Summary Page'!$13:$13</definedName>
    <definedName name="SP_Section_GAAPFinancials">'Summary Page'!$53:$53</definedName>
    <definedName name="SP_Section_LastRow">'Summary Page'!$158:$158</definedName>
    <definedName name="SP_Section_MarginAnalysis">'Summary Page'!$79:$79</definedName>
    <definedName name="SP_Section_NonGAAPFinancials">'Summary Page'!$73:$73</definedName>
    <definedName name="SP_Section_PerShareGrowthMetrics">'Summary Page'!$137:$137</definedName>
    <definedName name="SP_Section_ProfitabilityRatios">'Summary Page'!$115:$115</definedName>
    <definedName name="SP_Section_ValuationMetrics">'Summary Page'!$144:$144</definedName>
    <definedName name="SP_VM_EV_ToEBITDA">'Summary Page'!$146:$146</definedName>
    <definedName name="SP_VM_FCFYield_ToEV">'Summary Page'!$149:$149</definedName>
    <definedName name="SP_VM_FCFYield_ToMktCap">'Summary Page'!$148:$148</definedName>
    <definedName name="SP_VM_P_ToCF">'Summary Page'!$147:$147</definedName>
    <definedName name="SP_VM_P_ToE">'Summary Page'!$145:$145</definedName>
    <definedName name="tb_ConsensusEstimate">Model!$A$1134:$BG$1144</definedName>
    <definedName name="tb_EntireModel">Model!$A$1:$BG$1086</definedName>
    <definedName name="tb_KeyOutputs">Model!$A$1126:$A$1132</definedName>
    <definedName name="tb_StockPrice">Model!$A$1146:$BG$1176</definedName>
    <definedName name="tb_Tickers">Model!$A$1115:$A$1119</definedName>
    <definedName name="tb_UpdateLog">'Update Log'!$C$10:$H$44</definedName>
    <definedName name="tb_ValuationToggle">Model!$A$1121:$B$1124</definedName>
    <definedName name="UL.CSIN">'Update Log'!$H$7</definedName>
    <definedName name="UL.ModelVersion">'Update Log'!$H$8</definedName>
    <definedName name="UL.MRQ">'Update Log'!$F$7</definedName>
    <definedName name="UL.MRQColNum">'Update Log'!$E$7</definedName>
    <definedName name="z_8ZF0D70112_DW_AN_SBCinCOGS">Drivers!$91:$91</definedName>
    <definedName name="z_8ZF0D70112_DW_AN_SBCinRD">Drivers!$93:$93</definedName>
    <definedName name="z_8ZF0D70112_DW_AN_SBCinSGA">Drivers!$92:$92</definedName>
    <definedName name="z_8ZF0D70112_DW_BlankRow_OS">Drivers!$12:$12</definedName>
    <definedName name="z_8ZF0D70112_DW_BlankRow_OS_1">Drivers!$20:$20</definedName>
    <definedName name="z_8ZF0D70112_DW_BlankRow_OS_10">Drivers!$89:$89</definedName>
    <definedName name="z_8ZF0D70112_DW_BlankRow_OS_11">Drivers!$94:$94</definedName>
    <definedName name="z_8ZF0D70112_DW_BlankRow_OS_12">Drivers!$107:$107</definedName>
    <definedName name="z_8ZF0D70112_DW_BlankRow_OS_13">Drivers!$116:$116</definedName>
    <definedName name="z_8ZF0D70112_DW_BlankRow_OS_14">Drivers!$120:$120</definedName>
    <definedName name="z_8ZF0D70112_DW_BlankRow_OS_15">Drivers!$126:$126</definedName>
    <definedName name="z_8ZF0D70112_DW_BlankRow_OS_16">Drivers!$130:$130</definedName>
    <definedName name="z_8ZF0D70112_DW_BlankRow_OS_17">Drivers!$132:$132</definedName>
    <definedName name="z_8ZF0D70112_DW_BlankRow_OS_2">Drivers!$29:$29</definedName>
    <definedName name="z_8ZF0D70112_DW_BlankRow_OS_3">Drivers!$32:$32</definedName>
    <definedName name="z_8ZF0D70112_DW_BlankRow_OS_4">Drivers!$43:$43</definedName>
    <definedName name="z_8ZF0D70112_DW_BlankRow_OS_5">Drivers!$54:$54</definedName>
    <definedName name="z_8ZF0D70112_DW_BlankRow_OS_6">Drivers!$65:$65</definedName>
    <definedName name="z_8ZF0D70112_DW_BlankRow_OS_7">Drivers!$76:$76</definedName>
    <definedName name="z_8ZF0D70112_DW_BlankRow_OS_8">Drivers!$81:$81</definedName>
    <definedName name="z_8ZF0D70112_DW_BlankRow_OS_9">Drivers!$85:$85</definedName>
    <definedName name="z_8ZF0D70112_DW_BSS_EffectiveInterestRateonCash">Drivers!$119:$119</definedName>
    <definedName name="z_8ZF0D70112_DW_BSS_EffectiveInterestRateonDebt">Drivers!$118:$118</definedName>
    <definedName name="z_8ZF0D70112_DW_CFSum_Acquisitions">Drivers!$110:$110</definedName>
    <definedName name="z_8ZF0D70112_DW_CFSum_Capex">Drivers!$109:$109</definedName>
    <definedName name="z_8ZF0D70112_DW_CFSum_Divestiture">Drivers!$111:$111</definedName>
    <definedName name="z_8ZF0D70112_DW_CFSum_DividendPerShare">Drivers!$112:$112</definedName>
    <definedName name="z_8ZF0D70112_DW_CFSum_EstimatedSharePriceforIssuanceBuybacks">Drivers!$115:$115</definedName>
    <definedName name="z_8ZF0D70112_DW_CFSum_NetDebtIssuanceRepayment">Drivers!$113:$113</definedName>
    <definedName name="z_8ZF0D70112_DW_CFSum_NetShareIssuanceBuybacks">Drivers!$114:$114</definedName>
    <definedName name="z_8ZF0D70112_DW_DAF_DepreciationaspercentageofPPEBoP">Drivers!$128:$128</definedName>
    <definedName name="z_8ZF0D70112_DW_DAF_Percentageofcapexallocatedtointangibleassets">Drivers!$129:$129</definedName>
    <definedName name="z_8ZF0D70112_DW_GA_CorporateandUnallocatedandEliminationofdualCreditTranslationSalesGrowth">Drivers!$31:$31</definedName>
    <definedName name="z_8ZF0D70112_DW_GA_SafetyandIndustrialOrganicLocalCurrencySalesGrowth">Drivers!$34:$34</definedName>
    <definedName name="z_8ZF0D70112_DW_Header_ColumnHeader">Drivers!$5:$5</definedName>
    <definedName name="z_8ZF0D70112_DW_Header_CompanySubTitle">Drivers!$2:$2</definedName>
    <definedName name="z_8ZF0D70112_DW_Header_CompanyTitle">Drivers!$1:$1</definedName>
    <definedName name="z_8ZF0D70112_DW_Header_FPDays">Drivers!$3:$3</definedName>
    <definedName name="z_8ZF0D70112_DW_Header_QEndDate">Drivers!$4:$4</definedName>
    <definedName name="z_8ZF0D70112_DW_MA_RDMargin">Drivers!$87:$87</definedName>
    <definedName name="z_8ZF0D70112_DW_MA_SafetyandIndustrialoperatingIncomemargin">Drivers!$41:$41</definedName>
    <definedName name="z_8ZF0D70112_DW_MA_SGAMargin">Drivers!$88:$88</definedName>
    <definedName name="z_8ZF0D70112_DW_OS_AccountspayableYYChange">Drivers!$125:$125</definedName>
    <definedName name="z_8ZF0D70112_DW_OS_AccountsreceivablenetYYChange">Drivers!$122:$122</definedName>
    <definedName name="z_8ZF0D70112_DW_OS_Capex">Drivers!$17:$17</definedName>
    <definedName name="z_8ZF0D70112_DW_OS_ConsensusEstimatesAdjustedEarningsPerShareWAD">Drivers!$26:$26</definedName>
    <definedName name="z_8ZF0D70112_DW_OS_ConsensusEstimatesAdjustedEBIT_1">Drivers!$25:$25</definedName>
    <definedName name="z_8ZF0D70112_DW_OS_ConsensusEstimatesAdjustedEBITDA">Drivers!$24:$24</definedName>
    <definedName name="z_8ZF0D70112_DW_OS_ConsensusEstimatesCapex">Drivers!$28:$28</definedName>
    <definedName name="z_8ZF0D70112_DW_OS_ConsensusEstimatesCashFlowPerDilutedShare">Drivers!$27:$27</definedName>
    <definedName name="z_8ZF0D70112_DW_OS_ConsensusEstimatesGrossMargin">Drivers!$22:$22</definedName>
    <definedName name="z_8ZF0D70112_DW_OS_ConsensusEstimatesNetRevenue">Drivers!$23:$23</definedName>
    <definedName name="z_8ZF0D70112_DW_OS_ConsumerAcquisitionSalesGrowth">Drivers!$68:$68</definedName>
    <definedName name="z_8ZF0D70112_DW_OS_ConsumerDA">Drivers!$73:$73</definedName>
    <definedName name="z_8ZF0D70112_DW_OS_ConsumerDivestitureSalesGrowth">Drivers!$69:$69</definedName>
    <definedName name="z_8ZF0D70112_DW_OS_ConsumeroperatingIncomemargin">Drivers!$74:$74</definedName>
    <definedName name="z_8ZF0D70112_DW_OS_ConsumerOrganicLocalCurrencySalesGrowth_2">Drivers!$67:$67</definedName>
    <definedName name="z_8ZF0D70112_DW_OS_ConsumerRevenue_4">Drivers!$72:$72</definedName>
    <definedName name="z_8ZF0D70112_DW_OS_ConsumerRoundingSalesGrowth">Drivers!$71:$71</definedName>
    <definedName name="z_8ZF0D70112_DW_OS_ConsumerTranslationSalesGrowth">Drivers!$70:$70</definedName>
    <definedName name="z_8ZF0D70112_DW_OS_ConsumerYYoperatingincomemarginchange">Drivers!$75:$75</definedName>
    <definedName name="z_8ZF0D70112_DW_OS_CorporateandunallocatedDA">Drivers!$79:$79</definedName>
    <definedName name="z_8ZF0D70112_DW_OS_CorporateandUnallocatedOperatingIncomeasoftotalrevenue">Drivers!$80:$80</definedName>
    <definedName name="z_8ZF0D70112_DW_OS_CorporateandUnallocatedRevenue_2">Drivers!$78:$78</definedName>
    <definedName name="z_8ZF0D70112_DW_OS_DA">Drivers!$16:$16</definedName>
    <definedName name="z_8ZF0D70112_DW_OS_EBIT">Drivers!$14:$14</definedName>
    <definedName name="z_8ZF0D70112_DW_OS_EliminationofDualCreditoperatingIncomemargin">Drivers!$84:$84</definedName>
    <definedName name="z_8ZF0D70112_DW_OS_EliminationofDualCreditRevenueasoftotalrevenue">Drivers!$83:$83</definedName>
    <definedName name="z_8ZF0D70112_DW_OS_FCFFirm">Drivers!$19:$19</definedName>
    <definedName name="z_8ZF0D70112_DW_OS_HealthCareAcquisitionSalesGrowth">Drivers!$57:$57</definedName>
    <definedName name="z_8ZF0D70112_DW_OS_HealthCareDA">Drivers!$62:$62</definedName>
    <definedName name="z_8ZF0D70112_DW_OS_HealthCareDivestitureSalesGrowth">Drivers!$58:$58</definedName>
    <definedName name="z_8ZF0D70112_DW_OS_HealthCareoperatingIncomemargin">Drivers!$63:$63</definedName>
    <definedName name="z_8ZF0D70112_DW_OS_HealthCareOrganicLocalCurrencySalesGrowth_2">Drivers!$56:$56</definedName>
    <definedName name="z_8ZF0D70112_DW_OS_HealthCareRevenue_4">Drivers!$61:$61</definedName>
    <definedName name="z_8ZF0D70112_DW_OS_HealthCareRoundingSalesGrowth">Drivers!$60:$60</definedName>
    <definedName name="z_8ZF0D70112_DW_OS_HealthCareTranslationSalesGrowth">Drivers!$59:$59</definedName>
    <definedName name="z_8ZF0D70112_DW_OS_HealthCareYYoperatingincomemarginchange">Drivers!$64:$64</definedName>
    <definedName name="z_8ZF0D70112_DW_OS_NetChangeinWC">Drivers!$18:$18</definedName>
    <definedName name="z_8ZF0D70112_DW_OS_PrepaidsYYChange">Drivers!$124:$124</definedName>
    <definedName name="z_8ZF0D70112_DW_OS_SafetyandIndustrialAcquisitionSalesGrowth">Drivers!$35:$35</definedName>
    <definedName name="z_8ZF0D70112_DW_OS_SafetyandIndustrialDA">Drivers!$40:$40</definedName>
    <definedName name="z_8ZF0D70112_DW_OS_SafetyandIndustrialDivestitureSalesGrowth">Drivers!$36:$36</definedName>
    <definedName name="z_8ZF0D70112_DW_OS_SafetyandIndustrialRevenue_1">Drivers!$39:$39</definedName>
    <definedName name="z_8ZF0D70112_DW_OS_SafetyandIndustrialRoundingSalesGrowth">Drivers!$38:$38</definedName>
    <definedName name="z_8ZF0D70112_DW_OS_SafetyandIndustrialTranslationSalesGrowth">Drivers!$37:$37</definedName>
    <definedName name="z_8ZF0D70112_DW_OS_SafetyandIndustrialYYoperatingincomemarginchange">Drivers!$42:$42</definedName>
    <definedName name="z_8ZF0D70112_DW_OS_TotalinventoriesYYChange">Drivers!$123:$123</definedName>
    <definedName name="z_8ZF0D70112_DW_OS_TotalTax">Drivers!$15:$15</definedName>
    <definedName name="z_8ZF0D70112_DW_OS_TransportationandElectronicsAcquisitionSalesGrowth">Drivers!$46:$46</definedName>
    <definedName name="z_8ZF0D70112_DW_OS_TransportationandElectronicsDA">Drivers!$51:$51</definedName>
    <definedName name="z_8ZF0D70112_DW_OS_TransportationandElectronicsDivestitureSalesGrowth">Drivers!$47:$47</definedName>
    <definedName name="z_8ZF0D70112_DW_OS_TransportationandElectronicsoperatingIncomemargin">Drivers!$52:$52</definedName>
    <definedName name="z_8ZF0D70112_DW_OS_TransportationandElectronicsOrganicLocalCurrencySalesGrowth">Drivers!$45:$45</definedName>
    <definedName name="z_8ZF0D70112_DW_OS_TransportationandElectronicsRevenue_1">Drivers!$50:$50</definedName>
    <definedName name="z_8ZF0D70112_DW_OS_TransportationandElectronicsRoundingSalesGrowth">Drivers!$49:$49</definedName>
    <definedName name="z_8ZF0D70112_DW_OS_TransportationandElectronicsTranslationSalesGrowth">Drivers!$48:$48</definedName>
    <definedName name="z_8ZF0D70112_DW_OS_TransportationandElectronicsYYoperatingincomemarginchange">Drivers!$53:$53</definedName>
    <definedName name="z_8ZF0D70112_DW_RIS_AdjustedEarningsPerShareWAD">Drivers!$9:$9</definedName>
    <definedName name="z_8ZF0D70112_DW_RIS_AdjustedEBITDANoAdjustments">Drivers!$8:$8</definedName>
    <definedName name="z_8ZF0D70112_DW_RIS_AdjustmentsforConvertibleSecurities">Drivers!$102:$102</definedName>
    <definedName name="z_8ZF0D70112_DW_RIS_Currenttaxrate">Drivers!$105:$105</definedName>
    <definedName name="z_8ZF0D70112_DW_RIS_Deferredtaxrate">Drivers!$106:$106</definedName>
    <definedName name="z_8ZF0D70112_DW_RIS_DiscontinuedOperations">Drivers!$99:$99</definedName>
    <definedName name="z_8ZF0D70112_DW_RIS_NetIncometoNCI">Drivers!$100:$100</definedName>
    <definedName name="z_8ZF0D70112_DW_RIS_NetRevenue">Drivers!$7:$7</definedName>
    <definedName name="z_8ZF0D70112_DW_RIS_NonGAAPAdjustments">Drivers!$103:$103</definedName>
    <definedName name="z_8ZF0D70112_DW_RIS_NonGAAPAdjustmentsforDilutiveSecurities">Drivers!$104:$104</definedName>
    <definedName name="z_8ZF0D70112_DW_RIS_Onetimeitem">Drivers!$98:$98</definedName>
    <definedName name="z_8ZF0D70112_DW_RIS_Other">Drivers!$96:$96</definedName>
    <definedName name="z_8ZF0D70112_DW_RIS_Otheritems">Drivers!$97:$97</definedName>
    <definedName name="z_8ZF0D70112_DW_RIS_Preferredstockdividends">Drivers!$101:$101</definedName>
    <definedName name="z_8ZF0D70112_DW_Section_OS_AdjustedNumbersAsReported">Drivers!$90:$90</definedName>
    <definedName name="z_8ZF0D70112_DW_Section_OS_BalanceSheetSummary">Drivers!$117:$117</definedName>
    <definedName name="z_8ZF0D70112_DW_Section_OS_Canalyst">Drivers!$131:$131</definedName>
    <definedName name="z_8ZF0D70112_DW_Section_OS_CashFlowSummary">Drivers!$108:$108</definedName>
    <definedName name="z_8ZF0D70112_DW_Section_OS_ConsensusEstimates">Drivers!$21:$21</definedName>
    <definedName name="z_8ZF0D70112_DW_Section_OS_DAForecasting">Drivers!$127:$127</definedName>
    <definedName name="z_8ZF0D70112_DW_Section_OS_KeyOutputs">Drivers!$6:$6</definedName>
    <definedName name="z_8ZF0D70112_DW_Section_OS_MarginAnalysis">Drivers!$86:$86</definedName>
    <definedName name="z_8ZF0D70112_DW_Section_OS_RevisedIncomeStatement">Drivers!$95:$95</definedName>
    <definedName name="z_8ZF0D70112_DW_Section_OS_SegmentedResultsConsumerPR10QKIP">Drivers!$66:$66</definedName>
    <definedName name="z_8ZF0D70112_DW_Section_OS_SegmentedResultsCorporateandUnallocated10QK">Drivers!$77:$77</definedName>
    <definedName name="z_8ZF0D70112_DW_Section_OS_SegmentedResultsEliminationsofDualCredit10QK">Drivers!$82:$82</definedName>
    <definedName name="z_8ZF0D70112_DW_Section_OS_SegmentedResultsHealthCarePR10QKIP">Drivers!$55:$55</definedName>
    <definedName name="z_8ZF0D70112_DW_Section_OS_SegmentedResultsRevenueBreakdown10QKPR">Drivers!$30:$30</definedName>
    <definedName name="z_8ZF0D70112_DW_Section_OS_SegmentedResultsSafetyandIndustrialPR10QKIP">Drivers!$33:$33</definedName>
    <definedName name="z_8ZF0D70112_DW_Section_OS_SegmentedResultsTransportationandElectronicsPR10QKIP">Drivers!$44:$44</definedName>
    <definedName name="z_8ZF0D70112_DW_Section_OS_SimplifiedFCFCalculation">Drivers!$13:$13</definedName>
    <definedName name="z_8ZF0D70112_DW_Section_OS_WorkingCapitalForecasting">Drivers!$121:$121</definedName>
    <definedName name="z_8ZF0D70112_DW_VA_EVEBITDAAverage">Drivers!$10:$10</definedName>
    <definedName name="z_8ZF0D70112_DW_VA_PEAverage">Drivers!$11:$11</definedName>
    <definedName name="z_8ZF0D70112_MO_AN_AdjustedEBITDA">Model!$777:$777</definedName>
    <definedName name="z_8ZF0D70112_MO_AN_AdjustmentforMNNRDResolution">Model!$750:$750</definedName>
    <definedName name="z_8ZF0D70112_MO_AN_Adjustmentforsignificantlitigationrelatedcharges">Model!$751:$751</definedName>
    <definedName name="z_8ZF0D70112_MO_AN_Adjustmentforsignificantlitigationrelatedcharges_1">Model!$759:$759</definedName>
    <definedName name="z_8ZF0D70112_MO_AN_adjustments">Model!$758:$758</definedName>
    <definedName name="z_8ZF0D70112_MO_AN_Amortizationexpense">Model!$779:$779</definedName>
    <definedName name="z_8ZF0D70112_MO_AN_Depreciationandamortizationexpense">Model!$773:$773</definedName>
    <definedName name="z_8ZF0D70112_MO_AN_Divestitureimpacts">Model!$754:$754</definedName>
    <definedName name="z_8ZF0D70112_MO_AN_Divestiturerelatedrestructuring">Model!$762:$762</definedName>
    <definedName name="z_8ZF0D70112_MO_AN_Divestiturerelatedrestructuringactions">Model!$776:$776</definedName>
    <definedName name="z_8ZF0D70112_MO_AN_Gainlossonsaleofbusinesses">Model!$761:$761</definedName>
    <definedName name="z_8ZF0D70112_MO_AN_Gainlossonsaleofbusinesses_1">Model!$753:$753</definedName>
    <definedName name="z_8ZF0D70112_MO_AN_Interestincomeexpense">Model!$770:$770</definedName>
    <definedName name="z_8ZF0D70112_MO_AN_Lossgainonsaleofbusinesses">Model!$775:$775</definedName>
    <definedName name="z_8ZF0D70112_MO_AN_Lossincomefromunconsolidatedsubsidiaries">Model!$768:$768</definedName>
    <definedName name="z_8ZF0D70112_MO_AN_LossondeconsolidationofVenezuelansubsidiary">Model!$772:$772</definedName>
    <definedName name="z_8ZF0D70112_MO_AN_LossonVenezueladeconsolidation">Model!$752:$752</definedName>
    <definedName name="z_8ZF0D70112_MO_AN_LossonVenezueladeconsolidation_1">Model!$760:$760</definedName>
    <definedName name="z_8ZF0D70112_MO_AN_Netincomeattributableto3M">Model!$766:$766</definedName>
    <definedName name="z_8ZF0D70112_MO_AN_netincomegaap">Model!$757:$757</definedName>
    <definedName name="z_8ZF0D70112_MO_AN_NetincomelossattributabletoNCI">Model!$767:$767</definedName>
    <definedName name="z_8ZF0D70112_MO_AN_netincomenongaap">Model!$764:$764</definedName>
    <definedName name="z_8ZF0D70112_MO_AN_operatingincomegaap">Model!$748:$748</definedName>
    <definedName name="z_8ZF0D70112_MO_AN_OperatingIncomeNonGAAP">Model!$755:$755</definedName>
    <definedName name="z_8ZF0D70112_MO_AN_PensionOPEBnonservicecostbenefit">Model!$771:$771</definedName>
    <definedName name="z_8ZF0D70112_MO_AN_Provisionforincometaxes">Model!$769:$769</definedName>
    <definedName name="z_8ZF0D70112_MO_AN_SBCinCOGS">Model!$781:$781</definedName>
    <definedName name="z_8ZF0D70112_MO_AN_SBCinRD">Model!$783:$783</definedName>
    <definedName name="z_8ZF0D70112_MO_AN_SBCinSGA">Model!$782:$782</definedName>
    <definedName name="z_8ZF0D70112_MO_AN_Significantlitigationrelatedchargesbenefits">Model!$774:$774</definedName>
    <definedName name="z_8ZF0D70112_MO_AN_strategicinvestments">Model!$749:$749</definedName>
    <definedName name="z_8ZF0D70112_MO_AN_TCJA">Model!$763:$763</definedName>
    <definedName name="z_8ZF0D70112_MO_AN_TotalSBC">Model!$784:$784</definedName>
    <definedName name="z_8ZF0D70112_MO_BlankRow_AN">Model!$756:$756</definedName>
    <definedName name="z_8ZF0D70112_MO_BlankRow_AN_1">"Deleted"</definedName>
    <definedName name="z_8ZF0D70112_MO_BlankRow_AN_2">Model!$765:$765</definedName>
    <definedName name="z_8ZF0D70112_MO_BlankRow_AN_3">Model!$780:$780</definedName>
    <definedName name="z_8ZF0D70112_MO_BlankRow_AN_4">Model!$785:$785</definedName>
    <definedName name="z_8ZF0D70112_MO_BlankRow_AN_5">Model!$778:$778</definedName>
    <definedName name="z_8ZF0D70112_MO_BlankRow_BS_1">Model!$1044:$1044</definedName>
    <definedName name="z_8ZF0D70112_MO_BlankRow_BS_2">Model!$1058:$1058</definedName>
    <definedName name="z_8ZF0D70112_MO_BlankRow_BS_3">Model!$1067:$1067</definedName>
    <definedName name="z_8ZF0D70112_MO_BlankRow_BS_4">Model!$1075:$1075</definedName>
    <definedName name="z_8ZF0D70112_MO_BlankRow_BS_5">Model!$1085:$1085</definedName>
    <definedName name="z_8ZF0D70112_MO_BlankRow_BS_6">Model!$1087:$1087</definedName>
    <definedName name="z_8ZF0D70112_MO_BlankRow_BSS">Model!$876:$876</definedName>
    <definedName name="z_8ZF0D70112_MO_BlankRow_BSS_1">Model!$865:$865</definedName>
    <definedName name="z_8ZF0D70112_MO_BlankRow_BSS_2">Model!$872:$872</definedName>
    <definedName name="z_8ZF0D70112_MO_BlankRow_CCFS">Model!$918:$918</definedName>
    <definedName name="z_8ZF0D70112_MO_BlankRow_CCFS_1">Model!$929:$929</definedName>
    <definedName name="z_8ZF0D70112_MO_BlankRow_CCFS_2">Model!$941:$941</definedName>
    <definedName name="z_8ZF0D70112_MO_BlankRow_CCFS_3">Model!$944:$944</definedName>
    <definedName name="z_8ZF0D70112_MO_BlankRow_CCFS_4">Model!$947:$947</definedName>
    <definedName name="z_8ZF0D70112_MO_BlankRow_CFS_2">Model!$967:$967</definedName>
    <definedName name="z_8ZF0D70112_MO_BlankRow_CFS_3">Model!$978:$978</definedName>
    <definedName name="z_8ZF0D70112_MO_BlankRow_CFS_4">Model!$990:$990</definedName>
    <definedName name="z_8ZF0D70112_MO_BlankRow_CFS_5">Model!$993:$993</definedName>
    <definedName name="z_8ZF0D70112_MO_BlankRow_CFS_6">Model!$996:$996</definedName>
    <definedName name="z_8ZF0D70112_MO_BlankRow_CFS_7">Model!$998:$998</definedName>
    <definedName name="z_8ZF0D70112_MO_BlankRow_CFSum">Model!$852:$852</definedName>
    <definedName name="z_8ZF0D70112_MO_BlankRow_CFSum_1">Model!$857:$857</definedName>
    <definedName name="z_8ZF0D70112_MO_BlankRow_CFSum_2">Model!$848:$848</definedName>
    <definedName name="z_8ZF0D70112_MO_BlankRow_DAF">Model!$1016:$1016</definedName>
    <definedName name="z_8ZF0D70112_MO_BlankRow_DAF_1">Model!$1022:$1022</definedName>
    <definedName name="z_8ZF0D70112_MO_BlankRow_DAF_2">Model!$1027:$1027</definedName>
    <definedName name="z_8ZF0D70112_MO_BlankRow_DAF_3">Model!$1031:$1031</definedName>
    <definedName name="z_8ZF0D70112_MO_BlankRow_GA_2">Model!$12:$12</definedName>
    <definedName name="z_8ZF0D70112_MO_BlankRow_GA_3">Model!$21:$21</definedName>
    <definedName name="z_8ZF0D70112_MO_BlankRow_GA_4">Model!$32:$32</definedName>
    <definedName name="z_8ZF0D70112_MO_BlankRow_GA_5">Model!$35:$35</definedName>
    <definedName name="z_8ZF0D70112_MO_BlankRow_IS">Model!$744:$744</definedName>
    <definedName name="z_8ZF0D70112_MO_BlankRow_IS_1">Model!$746:$746</definedName>
    <definedName name="z_8ZF0D70112_MO_BlankRow_MA">Model!$710:$710</definedName>
    <definedName name="z_8ZF0D70112_MO_BlankRow_MA_1">"Deleted"</definedName>
    <definedName name="z_8ZF0D70112_MO_BlankRow_MA_2">Model!$724:$724</definedName>
    <definedName name="z_8ZF0D70112_MO_BlankRow_MA_3">Model!$881:$881</definedName>
    <definedName name="z_8ZF0D70112_MO_BlankRow_MA_4">Model!$893:$893</definedName>
    <definedName name="z_8ZF0D70112_MO_BlankRow_MA_5">Model!$898:$898</definedName>
    <definedName name="z_8ZF0D70112_MO_BlankRow_MA_6">Model!$887:$887</definedName>
    <definedName name="z_8ZF0D70112_MO_BlankRow_MA_7">Model!$716:$716</definedName>
    <definedName name="z_8ZF0D70112_MO_BlankRow_OS">Model!$667:$667</definedName>
    <definedName name="z_8ZF0D70112_MO_BlankRow_OS_1">Model!$685:$685</definedName>
    <definedName name="z_8ZF0D70112_MO_BlankRow_OS_10">Model!$117:$117</definedName>
    <definedName name="z_8ZF0D70112_MO_BlankRow_OS_11">Model!$125:$125</definedName>
    <definedName name="z_8ZF0D70112_MO_BlankRow_OS_12">Model!$133:$133</definedName>
    <definedName name="z_8ZF0D70112_MO_BlankRow_OS_13">Model!$153:$153</definedName>
    <definedName name="z_8ZF0D70112_MO_BlankRow_OS_14">Model!$180:$180</definedName>
    <definedName name="z_8ZF0D70112_MO_BlankRow_OS_15">Model!$198:$198</definedName>
    <definedName name="z_8ZF0D70112_MO_BlankRow_OS_16">Model!$205:$205</definedName>
    <definedName name="z_8ZF0D70112_MO_BlankRow_OS_17">Model!$213:$213</definedName>
    <definedName name="z_8ZF0D70112_MO_BlankRow_OS_18">Model!$233:$233</definedName>
    <definedName name="z_8ZF0D70112_MO_BlankRow_OS_19">Model!$257:$257</definedName>
    <definedName name="z_8ZF0D70112_MO_BlankRow_OS_20">Model!$275:$275</definedName>
    <definedName name="z_8ZF0D70112_MO_BlankRow_OS_21">Model!$282:$282</definedName>
    <definedName name="z_8ZF0D70112_MO_BlankRow_OS_22">Model!$290:$290</definedName>
    <definedName name="z_8ZF0D70112_MO_BlankRow_OS_23">Model!$310:$310</definedName>
    <definedName name="z_8ZF0D70112_MO_BlankRow_OS_24">Model!$335:$335</definedName>
    <definedName name="z_8ZF0D70112_MO_BlankRow_OS_25">Model!$353:$353</definedName>
    <definedName name="z_8ZF0D70112_MO_BlankRow_OS_26">Model!$360:$360</definedName>
    <definedName name="z_8ZF0D70112_MO_BlankRow_OS_27">Model!$368:$368</definedName>
    <definedName name="z_8ZF0D70112_MO_BlankRow_OS_28">Model!$388:$388</definedName>
    <definedName name="z_8ZF0D70112_MO_BlankRow_OS_29">Model!$411:$411</definedName>
    <definedName name="z_8ZF0D70112_MO_BlankRow_OS_3">Model!$703:$703</definedName>
    <definedName name="z_8ZF0D70112_MO_BlankRow_OS_30">Model!$420:$420</definedName>
    <definedName name="z_8ZF0D70112_MO_BlankRow_OS_31">Model!$431:$431</definedName>
    <definedName name="z_8ZF0D70112_MO_BlankRow_OS_32">Model!$441:$441</definedName>
    <definedName name="z_8ZF0D70112_MO_BlankRow_OS_33">Model!$444:$444</definedName>
    <definedName name="z_8ZF0D70112_MO_BlankRow_OS_34">Model!$454:$454</definedName>
    <definedName name="z_8ZF0D70112_MO_BlankRow_OS_35">Model!$481:$481</definedName>
    <definedName name="z_8ZF0D70112_MO_BlankRow_OS_36">Model!$490:$490</definedName>
    <definedName name="z_8ZF0D70112_MO_BlankRow_OS_37">Model!$463:$463</definedName>
    <definedName name="z_8ZF0D70112_MO_BlankRow_OS_38">Model!$498:$498</definedName>
    <definedName name="z_8ZF0D70112_MO_BlankRow_OS_39">Model!$514:$514</definedName>
    <definedName name="z_8ZF0D70112_MO_BlankRow_OS_4">Model!$691:$691</definedName>
    <definedName name="z_8ZF0D70112_MO_BlankRow_OS_40">Model!$519:$519</definedName>
    <definedName name="z_8ZF0D70112_MO_BlankRow_OS_41">Model!$660:$660</definedName>
    <definedName name="z_8ZF0D70112_MO_BlankRow_OS_42">Model!$526:$526</definedName>
    <definedName name="z_8ZF0D70112_MO_BlankRow_OS_43">Model!$533:$533</definedName>
    <definedName name="z_8ZF0D70112_MO_BlankRow_OS_44">Model!$627:$627</definedName>
    <definedName name="z_8ZF0D70112_MO_BlankRow_OS_45">Model!$472:$472</definedName>
    <definedName name="z_8ZF0D70112_MO_BlankRow_OS_46">Model!$49:$49</definedName>
    <definedName name="z_8ZF0D70112_MO_BlankRow_OS_47">Model!$56:$56</definedName>
    <definedName name="z_8ZF0D70112_MO_BlankRow_OS_48">Model!$67:$67</definedName>
    <definedName name="z_8ZF0D70112_MO_BlankRow_OS_49">Model!$73:$73</definedName>
    <definedName name="z_8ZF0D70112_MO_BlankRow_OS_5">Model!$1004:$1004</definedName>
    <definedName name="z_8ZF0D70112_MO_BlankRow_OS_50">Model!$77:$77</definedName>
    <definedName name="z_8ZF0D70112_MO_BlankRow_OS_51">Model!$81:$81</definedName>
    <definedName name="z_8ZF0D70112_MO_BlankRow_OS_52">Model!$94:$94</definedName>
    <definedName name="z_8ZF0D70112_MO_BlankRow_OS_53">Model!$100:$100</definedName>
    <definedName name="z_8ZF0D70112_MO_BlankRow_OS_54">Model!$118:$118</definedName>
    <definedName name="z_8ZF0D70112_MO_BlankRow_OS_55">Model!$141:$141</definedName>
    <definedName name="z_8ZF0D70112_MO_BlankRow_OS_56">Model!$147:$147</definedName>
    <definedName name="z_8ZF0D70112_MO_BlankRow_OS_57">Model!$161:$161</definedName>
    <definedName name="z_8ZF0D70112_MO_BlankRow_OS_58">Model!$172:$172</definedName>
    <definedName name="z_8ZF0D70112_MO_BlankRow_OS_59">Model!$221:$221</definedName>
    <definedName name="z_8ZF0D70112_MO_BlankRow_OS_6">Model!$1009:$1009</definedName>
    <definedName name="z_8ZF0D70112_MO_BlankRow_OS_60">Model!$227:$227</definedName>
    <definedName name="z_8ZF0D70112_MO_BlankRow_OS_61">Model!$241:$241</definedName>
    <definedName name="z_8ZF0D70112_MO_BlankRow_OS_62">Model!$249:$249</definedName>
    <definedName name="z_8ZF0D70112_MO_BlankRow_OS_63">Model!$298:$298</definedName>
    <definedName name="z_8ZF0D70112_MO_BlankRow_OS_64">Model!$304:$304</definedName>
    <definedName name="z_8ZF0D70112_MO_BlankRow_OS_65">Model!$318:$318</definedName>
    <definedName name="z_8ZF0D70112_MO_BlankRow_OS_66">Model!$327:$327</definedName>
    <definedName name="z_8ZF0D70112_MO_BlankRow_OS_67">Model!$376:$376</definedName>
    <definedName name="z_8ZF0D70112_MO_BlankRow_OS_68">Model!$382:$382</definedName>
    <definedName name="z_8ZF0D70112_MO_BlankRow_OS_69">Model!$396:$396</definedName>
    <definedName name="z_8ZF0D70112_MO_BlankRow_OS_7">Model!$43:$43</definedName>
    <definedName name="z_8ZF0D70112_MO_BlankRow_OS_70">Model!$403:$403</definedName>
    <definedName name="z_8ZF0D70112_MO_BlankRow_OS_71">Model!$427:$427</definedName>
    <definedName name="z_8ZF0D70112_MO_BlankRow_OS_72">Model!$506:$506</definedName>
    <definedName name="z_8ZF0D70112_MO_BlankRow_OS_73">Model!$543:$543</definedName>
    <definedName name="z_8ZF0D70112_MO_BlankRow_OS_74">Model!$553:$553</definedName>
    <definedName name="z_8ZF0D70112_MO_BlankRow_OS_75">Model!$560:$560</definedName>
    <definedName name="z_8ZF0D70112_MO_BlankRow_OS_76">Model!$592:$592</definedName>
    <definedName name="z_8ZF0D70112_MO_BlankRow_OS_77">Model!$636:$636</definedName>
    <definedName name="z_8ZF0D70112_MO_BlankRow_OS_78">Model!$639:$639</definedName>
    <definedName name="z_8ZF0D70112_MO_BlankRow_OS_79">Model!$642:$642</definedName>
    <definedName name="z_8ZF0D70112_MO_BlankRow_OS_8">Model!$85:$85</definedName>
    <definedName name="z_8ZF0D70112_MO_BlankRow_OS_80">Model!$647:$647</definedName>
    <definedName name="z_8ZF0D70112_MO_BlankRow_OS_81">Model!$652:$652</definedName>
    <definedName name="z_8ZF0D70112_MO_BlankRow_OS_9">Model!$676:$676</definedName>
    <definedName name="z_8ZF0D70112_MO_BlankRow_RIS">Model!$789:$789</definedName>
    <definedName name="z_8ZF0D70112_MO_BlankRow_RIS_1">Model!$792:$792</definedName>
    <definedName name="z_8ZF0D70112_MO_BlankRow_RIS_2">Model!$798:$798</definedName>
    <definedName name="z_8ZF0D70112_MO_BlankRow_RIS_3">Model!$806:$806</definedName>
    <definedName name="z_8ZF0D70112_MO_BlankRow_RIS_4">Model!$812:$812</definedName>
    <definedName name="z_8ZF0D70112_MO_BlankRow_RIS_5">Model!$825:$825</definedName>
    <definedName name="z_8ZF0D70112_MO_BlankRow_RIS_6">Model!$828:$828</definedName>
    <definedName name="z_8ZF0D70112_MO_BlankRow_RIS_7">Model!$833:$833</definedName>
    <definedName name="z_8ZF0D70112_MO_BlankRow_RIS_8">Model!$837:$837</definedName>
    <definedName name="z_8ZF0D70112_MO_BS_Accountspayable">Model!$1061:$1061</definedName>
    <definedName name="z_8ZF0D70112_MO_BS_Accountsreceivablenet">Model!$1036:$1036</definedName>
    <definedName name="z_8ZF0D70112_MO_BS_accruedincometaxes">Model!$1063:$1063</definedName>
    <definedName name="z_8ZF0D70112_MO_BS_accruedpayroll">Model!$1062:$1062</definedName>
    <definedName name="z_8ZF0D70112_MO_BS_Accumulatedothercomprehensiveincomeloss">Model!$1081:$1081</definedName>
    <definedName name="z_8ZF0D70112_MO_BS_Additionalpaidincapital">Model!$1078:$1078</definedName>
    <definedName name="z_8ZF0D70112_MO_BS_BSCheck">Model!$1086:$1086</definedName>
    <definedName name="z_8ZF0D70112_MO_BS_cashandcashequivalents">Model!$1034:$1034</definedName>
    <definedName name="z_8ZF0D70112_MO_BS_commonstock">Model!$1077:$1077</definedName>
    <definedName name="z_8ZF0D70112_MO_BS_CurrentAssets">Model!$1033:$1033</definedName>
    <definedName name="z_8ZF0D70112_MO_BS_CurrentLiabilities">Model!$1059:$1059</definedName>
    <definedName name="z_8ZF0D70112_MO_BS_finishedgoods">Model!$1037:$1037</definedName>
    <definedName name="z_8ZF0D70112_MO_BS_Goodwill">Model!$1052:$1052</definedName>
    <definedName name="z_8ZF0D70112_MO_BS_Intangibleassetsnet">Model!$1053:$1053</definedName>
    <definedName name="z_8ZF0D70112_MO_BS_investments">Model!$1047:$1047</definedName>
    <definedName name="z_8ZF0D70112_MO_BS_lessaccumulateddepreciation">Model!$1049:$1049</definedName>
    <definedName name="z_8ZF0D70112_MO_BS_Longtermdebt">Model!$1069:$1069</definedName>
    <definedName name="z_8ZF0D70112_MO_BS_marketablesecuritiescurrent">Model!$1035:$1035</definedName>
    <definedName name="z_8ZF0D70112_MO_BS_marketablesecuritiesnoncurrent">Model!$1046:$1046</definedName>
    <definedName name="z_8ZF0D70112_MO_BS_NCI">Model!$1083:$1083</definedName>
    <definedName name="z_8ZF0D70112_MO_BS_NetIncomeonReportedISNIonRevised">Model!$1090:$1090</definedName>
    <definedName name="z_8ZF0D70112_MO_BS_NetIncomeonRevisedISNIonCFstatement">Model!$1089:$1089</definedName>
    <definedName name="z_8ZF0D70112_MO_BS_NonCurrentAssets">Model!$1045:$1045</definedName>
    <definedName name="z_8ZF0D70112_MO_BS_NonCurrentLiabilities">Model!$1068:$1068</definedName>
    <definedName name="z_8ZF0D70112_MO_BS_Operatingleaseliabilities">Model!$1064:$1064</definedName>
    <definedName name="z_8ZF0D70112_MO_BS_Operatingleaseliabilities_1">Model!$1071:$1071</definedName>
    <definedName name="z_8ZF0D70112_MO_BS_Operatingleaserightofuseassets">Model!$1051:$1051</definedName>
    <definedName name="z_8ZF0D70112_MO_BS_Otherassets">Model!$1055:$1055</definedName>
    <definedName name="z_8ZF0D70112_MO_BS_Othercurrentassets">Model!$1042:$1042</definedName>
    <definedName name="z_8ZF0D70112_MO_BS_Othercurrentliabilities">Model!$1065:$1065</definedName>
    <definedName name="z_8ZF0D70112_MO_BS_Otherliabilities">Model!$1072:$1072</definedName>
    <definedName name="z_8ZF0D70112_MO_BS_pensionandpostretirementbenefits">Model!$1070:$1070</definedName>
    <definedName name="z_8ZF0D70112_MO_BS_prepaidpensionbenefits">Model!$1054:$1054</definedName>
    <definedName name="z_8ZF0D70112_MO_BS_Prepaids">Model!$1041:$1041</definedName>
    <definedName name="z_8ZF0D70112_MO_BS_Property">Model!$1048:$1048</definedName>
    <definedName name="z_8ZF0D70112_MO_BS_Property_1">Model!$1050:$1050</definedName>
    <definedName name="z_8ZF0D70112_MO_BS_rawmaterialsandsupplies">Model!$1039:$1039</definedName>
    <definedName name="z_8ZF0D70112_MO_BS_retainedearnings">Model!$1079:$1079</definedName>
    <definedName name="z_8ZF0D70112_MO_BS_ShareholdersEquity">Model!$1076:$1076</definedName>
    <definedName name="z_8ZF0D70112_MO_BS_Shorttermborrowingsandcurrentportionoflongtermdebt">Model!$1060:$1060</definedName>
    <definedName name="z_8ZF0D70112_MO_BS_TotalAssets">Model!$1057:$1057</definedName>
    <definedName name="z_8ZF0D70112_MO_BS_TotalCurrentAssets">Model!$1043:$1043</definedName>
    <definedName name="z_8ZF0D70112_MO_BS_TotalCurrentLiabilities">Model!$1066:$1066</definedName>
    <definedName name="z_8ZF0D70112_MO_BS_Totalinventories">Model!$1040:$1040</definedName>
    <definedName name="z_8ZF0D70112_MO_BS_TotalLiabilities">Model!$1074:$1074</definedName>
    <definedName name="z_8ZF0D70112_MO_BS_TotalLiabilitiesSE">Model!$1084:$1084</definedName>
    <definedName name="z_8ZF0D70112_MO_BS_TotalNonCurrentAssets">Model!$1056:$1056</definedName>
    <definedName name="z_8ZF0D70112_MO_BS_TotalNonCurrentliabilities">Model!$1073:$1073</definedName>
    <definedName name="z_8ZF0D70112_MO_BS_TotalSE">Model!$1082:$1082</definedName>
    <definedName name="z_8ZF0D70112_MO_BS_treasurystock">Model!$1080:$1080</definedName>
    <definedName name="z_8ZF0D70112_MO_BS_workinprocess">Model!$1038:$1038</definedName>
    <definedName name="z_8ZF0D70112_MO_BSS_Cash">Model!$859:$859</definedName>
    <definedName name="z_8ZF0D70112_MO_BSS_Debt">Model!$862:$862</definedName>
    <definedName name="z_8ZF0D70112_MO_BSS_DebtCashFlow">Model!$875:$875</definedName>
    <definedName name="z_8ZF0D70112_MO_BSS_DebtEBITDA">Model!$874:$874</definedName>
    <definedName name="z_8ZF0D70112_MO_BSS_EBITDANetInterestExpense">Model!$873:$873</definedName>
    <definedName name="z_8ZF0D70112_MO_BSS_EffectiveInterestRateonCash">Model!$869:$869</definedName>
    <definedName name="z_8ZF0D70112_MO_BSS_EffectiveInterestRateonDebt">Model!$867:$867</definedName>
    <definedName name="z_8ZF0D70112_MO_BSS_EffectiveNetInterestRateonDebt">Model!$871:$871</definedName>
    <definedName name="z_8ZF0D70112_MO_BSS_InterestExpense">Model!$866:$866</definedName>
    <definedName name="z_8ZF0D70112_MO_BSS_InterestIncome">Model!$868:$868</definedName>
    <definedName name="z_8ZF0D70112_MO_BSS_LTDebt">Model!$861:$861</definedName>
    <definedName name="z_8ZF0D70112_MO_BSS_NetDebt">Model!$864:$864</definedName>
    <definedName name="z_8ZF0D70112_MO_BSS_NetInterestExpenseIncome">Model!$870:$870</definedName>
    <definedName name="z_8ZF0D70112_MO_BSS_OperatingLeaseLiabilities">Model!$863:$863</definedName>
    <definedName name="z_8ZF0D70112_MO_BSS_STDebt">Model!$860:$860</definedName>
    <definedName name="z_8ZF0D70112_MO_CCFS_accountspayable">Model!$913:$913</definedName>
    <definedName name="z_8ZF0D70112_MO_CCFS_accountsreceivable">Model!$911:$911</definedName>
    <definedName name="z_8ZF0D70112_MO_CCFS_accruedincometaxescurrentandlongterm">Model!$914:$914</definedName>
    <definedName name="z_8ZF0D70112_MO_CCFS_Acquisitions">Model!$922:$922</definedName>
    <definedName name="z_8ZF0D70112_MO_CCFS_BeginningCashBalance">Model!$945:$945</definedName>
    <definedName name="z_8ZF0D70112_MO_CCFS_CFF">Model!$930:$930</definedName>
    <definedName name="z_8ZF0D70112_MO_CCFS_CFI">Model!$919:$919</definedName>
    <definedName name="z_8ZF0D70112_MO_CCFS_CFO">Model!$900:$900</definedName>
    <definedName name="z_8ZF0D70112_MO_CCFS_CFObeforeWC">Model!$910:$910</definedName>
    <definedName name="z_8ZF0D70112_MO_CCFS_Changeinshorttermdebtnet">Model!$931:$931</definedName>
    <definedName name="z_8ZF0D70112_MO_CCFS_companypensionandpostretirementcontributions">Model!$903:$903</definedName>
    <definedName name="z_8ZF0D70112_MO_CCFS_companypensionandpostretirementexpense">Model!$904:$904</definedName>
    <definedName name="z_8ZF0D70112_MO_CCFS_deferredincometaxes">Model!$907:$907</definedName>
    <definedName name="z_8ZF0D70112_MO_CCFS_depreciationandamortization">Model!$902:$902</definedName>
    <definedName name="z_8ZF0D70112_MO_CCFS_Dividendspaidtoshareholders">Model!$936:$936</definedName>
    <definedName name="z_8ZF0D70112_MO_CCFS_EndingCashBalance">Model!$946:$946</definedName>
    <definedName name="z_8ZF0D70112_MO_CCFS_excesstaxbenefitsfromstockbasedcompensation">Model!$909:$909</definedName>
    <definedName name="z_8ZF0D70112_MO_CCFS_excesstaxbenefitsfromstockbasedcompensation_1">Model!$937:$937</definedName>
    <definedName name="z_8ZF0D70112_MO_CCFS_FX">Model!$942:$942</definedName>
    <definedName name="z_8ZF0D70112_MO_CCFS_gainonsaleofbusinesses">Model!$906:$906</definedName>
    <definedName name="z_8ZF0D70112_MO_CCFS_inventories">Model!$912:$912</definedName>
    <definedName name="z_8ZF0D70112_MO_CCFS_LossondeconsolidationofVenezuelansubsidiary">Model!$908:$908</definedName>
    <definedName name="z_8ZF0D70112_MO_CCFS_NetCFF">Model!$940:$940</definedName>
    <definedName name="z_8ZF0D70112_MO_CCFS_NetCFI">Model!$928:$928</definedName>
    <definedName name="z_8ZF0D70112_MO_CCFS_NetCFO">Model!$917:$917</definedName>
    <definedName name="z_8ZF0D70112_MO_CCFS_NetChangeinCashBalance">Model!$943:$943</definedName>
    <definedName name="z_8ZF0D70112_MO_CCFS_netincomeincludingnoncontrollinginterest">Model!$901:$901</definedName>
    <definedName name="z_8ZF0D70112_MO_CCFS_Otherinvesting">Model!$927:$927</definedName>
    <definedName name="z_8ZF0D70112_MO_CCFS_Othernet">Model!$916:$916</definedName>
    <definedName name="z_8ZF0D70112_MO_CCFS_Othernet_1">Model!$939:$939</definedName>
    <definedName name="z_8ZF0D70112_MO_CCFS_Proceedsfromdebtmaturitiesgreaterthan90days">Model!$933:$933</definedName>
    <definedName name="z_8ZF0D70112_MO_CCFS_proceedsfromissuanceoftreasurystockpursuanttostockoptionandbenefitplans">Model!$935:$935</definedName>
    <definedName name="z_8ZF0D70112_MO_CCFS_proceedsfrommaturitiesandsaleofmarketablesecuritiesandinvestments">Model!$924:$924</definedName>
    <definedName name="z_8ZF0D70112_MO_CCFS_proceedsfrommaturitiesofmarketablesecurities">Model!$925:$925</definedName>
    <definedName name="z_8ZF0D70112_MO_CCFS_proceedsfromsaleofbusinesses">Model!$926:$926</definedName>
    <definedName name="z_8ZF0D70112_MO_CCFS_ProceedsfromsaleofPPEandotherassets">Model!$921:$921</definedName>
    <definedName name="z_8ZF0D70112_MO_CCFS_Productandotherinsurancereceivablesandclaims">Model!$915:$915</definedName>
    <definedName name="z_8ZF0D70112_MO_CCFS_purchaseofnoncontrollinginterest">Model!$938:$938</definedName>
    <definedName name="z_8ZF0D70112_MO_CCFS_purchasesofmarketablesecuritiesandinvestments">Model!$923:$923</definedName>
    <definedName name="z_8ZF0D70112_MO_CCFS_purchasesofproperty">Model!$920:$920</definedName>
    <definedName name="z_8ZF0D70112_MO_CCFS_purchasesoftreasurystock">Model!$934:$934</definedName>
    <definedName name="z_8ZF0D70112_MO_CCFS_Repaymentofdebtmaturitiesgreaterthan90days">Model!$932:$932</definedName>
    <definedName name="z_8ZF0D70112_MO_CCFS_stockbasedcompensationexpense">Model!$905:$905</definedName>
    <definedName name="z_8ZF0D70112_MO_CFS_accountspayable">Model!$962:$962</definedName>
    <definedName name="z_8ZF0D70112_MO_CFS_accountsreceivable">Model!$960:$960</definedName>
    <definedName name="z_8ZF0D70112_MO_CFS_accruedincometaxescurrentandlongterm">Model!$963:$963</definedName>
    <definedName name="z_8ZF0D70112_MO_CFS_Acquisitions">Model!$971:$971</definedName>
    <definedName name="z_8ZF0D70112_MO_CFS_BeginningCashBalance">Model!$994:$994</definedName>
    <definedName name="z_8ZF0D70112_MO_CFS_CFCheck">Model!$997:$997</definedName>
    <definedName name="z_8ZF0D70112_MO_CFS_CFF">Model!$979:$979</definedName>
    <definedName name="z_8ZF0D70112_MO_CFS_CFI">Model!$968:$968</definedName>
    <definedName name="z_8ZF0D70112_MO_CFS_CFO">Model!$949:$949</definedName>
    <definedName name="z_8ZF0D70112_MO_CFS_CFObeforeWC">Model!$959:$959</definedName>
    <definedName name="z_8ZF0D70112_MO_CFS_Changeinshorttermdebtnet">Model!$980:$980</definedName>
    <definedName name="z_8ZF0D70112_MO_CFS_companypensionandpostretirementcontributions">Model!$952:$952</definedName>
    <definedName name="z_8ZF0D70112_MO_CFS_companypensionandpostretirementexpense">Model!$953:$953</definedName>
    <definedName name="z_8ZF0D70112_MO_CFS_deferredincometaxes">Model!$956:$956</definedName>
    <definedName name="z_8ZF0D70112_MO_CFS_depreciationandamortization">Model!$951:$951</definedName>
    <definedName name="z_8ZF0D70112_MO_CFS_Dividendspaidtoshareholders">Model!$985:$985</definedName>
    <definedName name="z_8ZF0D70112_MO_CFS_EndingCashBalance">Model!$995:$995</definedName>
    <definedName name="z_8ZF0D70112_MO_CFS_excesstaxbenefitsfromstockbasedcompensation">Model!$958:$958</definedName>
    <definedName name="z_8ZF0D70112_MO_CFS_excesstaxbenefitsfromstockbasedcompensation_1">Model!$986:$986</definedName>
    <definedName name="z_8ZF0D70112_MO_CFS_FX">Model!$991:$991</definedName>
    <definedName name="z_8ZF0D70112_MO_CFS_gainonsaleofbusinesses">Model!$955:$955</definedName>
    <definedName name="z_8ZF0D70112_MO_CFS_inventories">Model!$961:$961</definedName>
    <definedName name="z_8ZF0D70112_MO_CFS_LossondeconsolidationofVenezuelansubsidiary">Model!$957:$957</definedName>
    <definedName name="z_8ZF0D70112_MO_CFS_NetCFF">Model!$989:$989</definedName>
    <definedName name="z_8ZF0D70112_MO_CFS_NetCFI">Model!$977:$977</definedName>
    <definedName name="z_8ZF0D70112_MO_CFS_NetCFO">Model!$966:$966</definedName>
    <definedName name="z_8ZF0D70112_MO_CFS_NetChangeinCashBalance">Model!$992:$992</definedName>
    <definedName name="z_8ZF0D70112_MO_CFS_netincomeincludingnoncontrollinginterest">Model!$950:$950</definedName>
    <definedName name="z_8ZF0D70112_MO_CFS_Otherinvesting">Model!$976:$976</definedName>
    <definedName name="z_8ZF0D70112_MO_CFS_Othernet">Model!$965:$965</definedName>
    <definedName name="z_8ZF0D70112_MO_CFS_Othernet_1">Model!$988:$988</definedName>
    <definedName name="z_8ZF0D70112_MO_CFS_Proceedsfromdebtmaturitiesgreaterthan90days">Model!$982:$982</definedName>
    <definedName name="z_8ZF0D70112_MO_CFS_proceedsfromissuanceoftreasurystockpursuanttostockoptionandbenefitplans">Model!$984:$984</definedName>
    <definedName name="z_8ZF0D70112_MO_CFS_proceedsfrommaturitiesandsaleofmarketablesecuritiesandinvestments">Model!$973:$973</definedName>
    <definedName name="z_8ZF0D70112_MO_CFS_proceedsfrommaturitiesofmarketablesecurities">Model!$974:$974</definedName>
    <definedName name="z_8ZF0D70112_MO_CFS_proceedsfromsaleofbusinesses">Model!$975:$975</definedName>
    <definedName name="z_8ZF0D70112_MO_CFS_ProceedsfromsaleofPPEandotherassets">Model!$970:$970</definedName>
    <definedName name="z_8ZF0D70112_MO_CFS_Productandotherinsurancereceivablesandclaims">Model!$964:$964</definedName>
    <definedName name="z_8ZF0D70112_MO_CFS_purchaseofnoncontrollinginterest">Model!$987:$987</definedName>
    <definedName name="z_8ZF0D70112_MO_CFS_purchasesofmarketablesecuritiesandinvestments">Model!$972:$972</definedName>
    <definedName name="z_8ZF0D70112_MO_CFS_purchasesofproperty">Model!$969:$969</definedName>
    <definedName name="z_8ZF0D70112_MO_CFS_Purchasesoftreasurystock">Model!$983:$983</definedName>
    <definedName name="z_8ZF0D70112_MO_CFS_Repaymentofdebtmaturitiesgreaterthan90days">Model!$981:$981</definedName>
    <definedName name="z_8ZF0D70112_MO_CFS_stockbasedcompensationexpense">Model!$954:$954</definedName>
    <definedName name="z_8ZF0D70112_MO_CFSum_Acquisitions">Model!$844:$844</definedName>
    <definedName name="z_8ZF0D70112_MO_CFSum_Capex">Model!$842:$842</definedName>
    <definedName name="z_8ZF0D70112_MO_CFSum_CashFlowPerDilutedShare">Model!$840:$840</definedName>
    <definedName name="z_8ZF0D70112_MO_CFSum_ConsensusEstimatesCapex">Model!$843:$843</definedName>
    <definedName name="z_8ZF0D70112_MO_CFSum_consensusestimatescashflowperdilutedshare">Model!$841:$841</definedName>
    <definedName name="z_8ZF0D70112_MO_CFSum_Divestiture">Model!$845:$845</definedName>
    <definedName name="z_8ZF0D70112_MO_CFSum_DividendPaid">Model!$846:$846</definedName>
    <definedName name="z_8ZF0D70112_MO_CFSum_DividendPerShare">Model!$847:$847</definedName>
    <definedName name="z_8ZF0D70112_MO_CFSum_EstimatedSharePriceforIssuanceBuybacks">Model!$851:$851</definedName>
    <definedName name="z_8ZF0D70112_MO_CFSum_FCF">Model!$853:$853</definedName>
    <definedName name="z_8ZF0D70112_MO_CFSum_FCF_1">Model!$854:$854</definedName>
    <definedName name="z_8ZF0D70112_MO_CFSum_FCF_2">Model!$855:$855</definedName>
    <definedName name="z_8ZF0D70112_MO_CFSum_FCFPostDivDebtBuyback">Model!$856:$856</definedName>
    <definedName name="z_8ZF0D70112_MO_CFSum_NetDebtIssuanceRepayment">Model!$849:$849</definedName>
    <definedName name="z_8ZF0D70112_MO_CFSum_NetShareIssuanceBuybacks">Model!$850:$850</definedName>
    <definedName name="z_8ZF0D70112_MO_CFSum_OperatingCashFlowbeforeWC">Model!$839:$839</definedName>
    <definedName name="z_8ZF0D70112_MO_DAF_AmortizationaspercentageofIntangiblesBoP">Model!$1024:$1024</definedName>
    <definedName name="z_8ZF0D70112_MO_DAF_Amortizationofintangibles">Model!$1018:$1018</definedName>
    <definedName name="z_8ZF0D70112_MO_DAF_Capexofintangibles">Model!$1019:$1019</definedName>
    <definedName name="z_8ZF0D70112_MO_DAF_CapexofPPE">Model!$1013:$1013</definedName>
    <definedName name="z_8ZF0D70112_MO_DAF_DepreciationaspercentageofPPEBoP">Model!$1023:$1023</definedName>
    <definedName name="z_8ZF0D70112_MO_DAF_Depreciationoffixedassets">Model!$1012:$1012</definedName>
    <definedName name="z_8ZF0D70112_MO_DAF_Impliedlifeoffixedassets">Model!$1025:$1025</definedName>
    <definedName name="z_8ZF0D70112_MO_DAF_Impliedlifeofintangibles">Model!$1026:$1026</definedName>
    <definedName name="z_8ZF0D70112_MO_DAF_IntangiblesBoP">Model!$1017:$1017</definedName>
    <definedName name="z_8ZF0D70112_MO_DAF_IntangiblesEoP">Model!$1021:$1021</definedName>
    <definedName name="z_8ZF0D70112_MO_DAF_Othernetadditionstointangibles">Model!$1020:$1020</definedName>
    <definedName name="z_8ZF0D70112_MO_DAF_OthernetadditionstoPPE">Model!$1014:$1014</definedName>
    <definedName name="z_8ZF0D70112_MO_DAF_Percentageofcapexallocatedtointangibleassets">Model!$1030:$1030</definedName>
    <definedName name="z_8ZF0D70112_MO_DAF_PPEBoP">Model!$1011:$1011</definedName>
    <definedName name="z_8ZF0D70112_MO_DAF_PPEEoP">Model!$1015:$1015</definedName>
    <definedName name="z_8ZF0D70112_MO_DAF_TotalCapex">Model!$1029:$1029</definedName>
    <definedName name="z_8ZF0D70112_MO_DAF_TotalDA">Model!$1028:$1028</definedName>
    <definedName name="z_8ZF0D70112_MO_GA_ConsumerRevenueGrowth">Model!$359:$359</definedName>
    <definedName name="z_8ZF0D70112_MO_GA_ConsumerRevenuegrowth_1">Model!$10:$10</definedName>
    <definedName name="z_8ZF0D70112_MO_GA_CorporateandUnallocatedandEliminationofdualCreditOrganicLocalCurrencySalesGrowth">Model!$33:$33</definedName>
    <definedName name="z_8ZF0D70112_MO_GA_CorporateandUnallocatedandEliminationofdualCreditTranslationSalesGrowth">Model!$34:$34</definedName>
    <definedName name="z_8ZF0D70112_MO_GA_HealthCareRevenueGrowth">Model!$281:$281</definedName>
    <definedName name="z_8ZF0D70112_MO_GA_HealthCareRevenuegrowth_1">Model!$9:$9</definedName>
    <definedName name="z_8ZF0D70112_MO_GA_SafetyandIndustrialOrganicLocalCurrencySalesGrowth">Model!$119:$119</definedName>
    <definedName name="z_8ZF0D70112_MO_GA_SafetyandIndustrialRevenueGrowth">Model!$124:$124</definedName>
    <definedName name="z_8ZF0D70112_MO_GA_SafetyandIndustrialRevenuegrowth_1">Model!$7:$7</definedName>
    <definedName name="z_8ZF0D70112_MO_GA_TotalAcquisitionSalesGrowth">Model!$16:$16</definedName>
    <definedName name="z_8ZF0D70112_MO_GA_TotalAcquisitionSalesGrowth_1">Model!$27:$27</definedName>
    <definedName name="z_8ZF0D70112_MO_GA_TotalDivestitureSalesGrowth">Model!$17:$17</definedName>
    <definedName name="z_8ZF0D70112_MO_GA_TotalDivestitureSalesGrowth_1">Model!$28:$28</definedName>
    <definedName name="z_8ZF0D70112_MO_GA_TotalOrganicLocalCurrencySalesGrowth">Model!$26:$26</definedName>
    <definedName name="z_8ZF0D70112_MO_GA_TotalPriceSalesGrowth">Model!$14:$14</definedName>
    <definedName name="z_8ZF0D70112_MO_GA_TotalPriceSalesGrowth_1">Model!$25:$25</definedName>
    <definedName name="z_8ZF0D70112_MO_GA_TotalpriorperiodRevenue">Model!$23:$23</definedName>
    <definedName name="z_8ZF0D70112_MO_GA_TotalRevenue_1">Model!$31:$31</definedName>
    <definedName name="z_8ZF0D70112_MO_GA_TotalRevenueGrowth">Model!$11:$11</definedName>
    <definedName name="z_8ZF0D70112_MO_GA_TotalRoundingSalesGrowth">Model!$19:$19</definedName>
    <definedName name="z_8ZF0D70112_MO_GA_TotalRoundingSalesGrowth_1">Model!$30:$30</definedName>
    <definedName name="z_8ZF0D70112_MO_GA_TotalTranslationSalesGrowth">Model!$18:$18</definedName>
    <definedName name="z_8ZF0D70112_MO_GA_TotalTranslationSalesGrowth_1">Model!$29:$29</definedName>
    <definedName name="z_8ZF0D70112_MO_GA_TotalVolumeSalesGrowth">Model!$13:$13</definedName>
    <definedName name="z_8ZF0D70112_MO_GA_TotalVolumeSalesGrowth_1">Model!$24:$24</definedName>
    <definedName name="z_8ZF0D70112_MO_GA_TransportationandElectronicsRevenueGrowth">Model!$204:$204</definedName>
    <definedName name="z_8ZF0D70112_MO_GA_TransportationandElectronicsRevenuegrowth_1">Model!$8:$8</definedName>
    <definedName name="z_8ZF0D70112_MO_Header_ColumnHeader">Model!$5:$5</definedName>
    <definedName name="z_8ZF0D70112_MO_Header_CompanySubTitle">Model!$2:$2</definedName>
    <definedName name="z_8ZF0D70112_MO_Header_CompanyTitle">Model!$1:$1</definedName>
    <definedName name="z_8ZF0D70112_MO_Header_FPDays">Model!$3:$3</definedName>
    <definedName name="z_8ZF0D70112_MO_Header_QEndDate">Model!$4:$4</definedName>
    <definedName name="z_8ZF0D70112_MO_IS_costofsales">Model!$727:$727</definedName>
    <definedName name="z_8ZF0D70112_MO_IS_gainonsaleofbusiness">Model!$730:$730</definedName>
    <definedName name="z_8ZF0D70112_MO_IS_incomebeforeincometaxes">Model!$738:$738</definedName>
    <definedName name="z_8ZF0D70112_MO_IS_Incomelossfromunconsolidatedsubsidiaries">Model!$740:$740</definedName>
    <definedName name="z_8ZF0D70112_MO_IS_interestexpense">Model!$733:$733</definedName>
    <definedName name="z_8ZF0D70112_MO_IS_interestincome">Model!$734:$734</definedName>
    <definedName name="z_8ZF0D70112_MO_IS_ISCheck">Model!$745:$745</definedName>
    <definedName name="z_8ZF0D70112_MO_IS_lessnetincomeattributabletononcontrollinginterest">Model!$742:$742</definedName>
    <definedName name="z_8ZF0D70112_MO_IS_LossondeconsolidationofVenezuelansubsidiary">Model!$737:$737</definedName>
    <definedName name="z_8ZF0D70112_MO_IS_netincomeattributableto3m">Model!$743:$743</definedName>
    <definedName name="z_8ZF0D70112_MO_IS_netincomeincludingnoncontrollinginterest">Model!$741:$741</definedName>
    <definedName name="z_8ZF0D70112_MO_IS_netsales">Model!$726:$726</definedName>
    <definedName name="z_8ZF0D70112_MO_IS_Operatingincome">Model!$732:$732</definedName>
    <definedName name="z_8ZF0D70112_MO_IS_Pensionandpostretirementnetperiodicbenefitcostbenefit">Model!$736:$736</definedName>
    <definedName name="z_8ZF0D70112_MO_IS_provisionforincometaxes">Model!$739:$739</definedName>
    <definedName name="z_8ZF0D70112_MO_IS_research">Model!$729:$729</definedName>
    <definedName name="z_8ZF0D70112_MO_IS_selling">Model!$728:$728</definedName>
    <definedName name="z_8ZF0D70112_MO_IS_totalinterestexpensenet">Model!$735:$735</definedName>
    <definedName name="z_8ZF0D70112_MO_IS_totaloperatingexpenses">Model!$731:$731</definedName>
    <definedName name="z_8ZF0D70112_MO_MA_AdjustedEBITDAMargin">Model!$714:$714</definedName>
    <definedName name="z_8ZF0D70112_MO_MA_AdjustedEBITMargin">Model!$722:$722</definedName>
    <definedName name="z_8ZF0D70112_MO_MA_AverageFXRate">Model!$891:$891</definedName>
    <definedName name="z_8ZF0D70112_MO_MA_COGSMarginExcludingDA">Model!$705:$705</definedName>
    <definedName name="z_8ZF0D70112_MO_MA_COGSMarginIncludingDA">Model!$706:$706</definedName>
    <definedName name="z_8ZF0D70112_MO_MA_consensusestimatesadjustedebitdamargin">Model!$715:$715</definedName>
    <definedName name="z_8ZF0D70112_MO_MA_consensusestimatesadjustedebitmargin">Model!$723:$723</definedName>
    <definedName name="z_8ZF0D70112_MO_MA_consensusestimatesgrossmargin">Model!$709:$709</definedName>
    <definedName name="z_8ZF0D70112_MO_MA_ConsumerOperatingIncomeMargin">Model!$720:$720</definedName>
    <definedName name="z_8ZF0D70112_MO_MA_consumeroperatingmargin">"Deleted"</definedName>
    <definedName name="z_8ZF0D70112_MO_MA_EBITDAMargin">Model!$713:$713</definedName>
    <definedName name="z_8ZF0D70112_MO_MA_EBITMargin">Model!$721:$721</definedName>
    <definedName name="z_8ZF0D70112_MO_MA_electronicsandenergyoperatingmargin">"Deleted"</definedName>
    <definedName name="z_8ZF0D70112_MO_MA_GrossMarginExcludingDA">Model!$707:$707</definedName>
    <definedName name="z_8ZF0D70112_MO_MA_GrossMarginIncludingDA">Model!$708:$708</definedName>
    <definedName name="z_8ZF0D70112_MO_MA_HealthCareOperatingIncomeMargin">Model!$719:$719</definedName>
    <definedName name="z_8ZF0D70112_MO_MA_healthcareoperatingmargin">"Deleted"</definedName>
    <definedName name="z_8ZF0D70112_MO_MA_industrialoperatingmargin">"Deleted"</definedName>
    <definedName name="z_8ZF0D70112_MO_MA_RDMargin">Model!$711:$711</definedName>
    <definedName name="z_8ZF0D70112_MO_MA_safetyandgraphicsoperatingmargin">"Deleted"</definedName>
    <definedName name="z_8ZF0D70112_MO_MA_SafetyandIndustrialoperatingIncomemargin">Model!$150:$150</definedName>
    <definedName name="z_8ZF0D70112_MO_MA_SafetyandIndustrialOperatingIncomeMargin_1">Model!$717:$717</definedName>
    <definedName name="z_8ZF0D70112_MO_MA_SGAMargin">Model!$712:$712</definedName>
    <definedName name="z_8ZF0D70112_MO_MA_StockPriceTradingCurAvg">Model!$892:$892</definedName>
    <definedName name="z_8ZF0D70112_MO_MA_TransportationandElectronicsOperatingIncomeMargin">Model!$718:$718</definedName>
    <definedName name="z_8ZF0D70112_MO_OS_AbrasivesSafetyandIndustrialRevenue">Model!$162:$162</definedName>
    <definedName name="z_8ZF0D70112_MO_OS_Accountspayable">Model!$1003:$1003</definedName>
    <definedName name="z_8ZF0D70112_MO_OS_AccountspayableYYChange">Model!$1008:$1008</definedName>
    <definedName name="z_8ZF0D70112_MO_OS_Accountsreceivablenet">Model!$1000:$1000</definedName>
    <definedName name="z_8ZF0D70112_MO_OS_AccountsreceivablenetYYChange">Model!$1005:$1005</definedName>
    <definedName name="z_8ZF0D70112_MO_OS_Acquisitiondivestitureimpact_1">Model!$548:$548</definedName>
    <definedName name="z_8ZF0D70112_MO_OS_Acquisitiondivestitureimpactonadjustedoperatingincome">Model!$538:$538</definedName>
    <definedName name="z_8ZF0D70112_MO_OS_Acquisitiondivestitureincrementalmargin">Model!$557:$557</definedName>
    <definedName name="z_8ZF0D70112_MO_OS_AdhesivesandTapesSafetyandIndustrialRevenue">Model!$166:$166</definedName>
    <definedName name="z_8ZF0D70112_MO_OS_AdjustedFCFconversion">Model!$641:$641</definedName>
    <definedName name="z_8ZF0D70112_MO_OS_Adjustedfreecashflow">Model!$635:$635</definedName>
    <definedName name="z_8ZF0D70112_MO_OS_Adjustednetincomeattributableto3M">Model!$640:$640</definedName>
    <definedName name="z_8ZF0D70112_MO_OS_Adjustednetincomereturn">Model!$646:$646</definedName>
    <definedName name="z_8ZF0D70112_MO_OS_Adjustedoperatingincomecurrentperiod">Model!$552:$552</definedName>
    <definedName name="z_8ZF0D70112_MO_OS_Adjustedoperatingincomegrowth">Model!$542:$542</definedName>
    <definedName name="z_8ZF0D70112_MO_OS_Adjustedoperatingincomepreviousperiod">Model!$544:$544</definedName>
    <definedName name="z_8ZF0D70112_MO_OS_AdvancedMaterialsTransportationandElectronicsRevenue">Model!$242:$242</definedName>
    <definedName name="z_8ZF0D70112_MO_OS_AmericasAcquisitionSalesGrowth">Model!$467:$467</definedName>
    <definedName name="z_8ZF0D70112_MO_OS_AmericasCapitalSpending">Model!$522:$522</definedName>
    <definedName name="z_8ZF0D70112_MO_OS_AmericasConsumeracqdivfxotherimpact">Model!$344:$344</definedName>
    <definedName name="z_8ZF0D70112_MO_OS_AmericasConsumerorganiclocalcurrencyrevenuegrowth">Model!$343:$343</definedName>
    <definedName name="z_8ZF0D70112_MO_OS_AmericasConsumerRevenue">Model!$371:$371</definedName>
    <definedName name="z_8ZF0D70112_MO_OS_AmericasConsumerrevenuegrowth">Model!$345:$345</definedName>
    <definedName name="z_8ZF0D70112_MO_OS_AmericasConsumerrevenuemix">Model!$391:$391</definedName>
    <definedName name="z_8ZF0D70112_MO_OS_AmericasCorporateandUnallocatedRevenue">Model!$415:$415</definedName>
    <definedName name="z_8ZF0D70112_MO_OS_AmericasDivestitureSalesGrowth">Model!$468:$468</definedName>
    <definedName name="z_8ZF0D70112_MO_OS_AmericasEliminationsofDualCreditRevenue">Model!$435:$435</definedName>
    <definedName name="z_8ZF0D70112_MO_OS_AmericasEmployees">Model!$656:$656</definedName>
    <definedName name="z_8ZF0D70112_MO_OS_AmericasHealthCareacqdivfxotherimpact">Model!$266:$266</definedName>
    <definedName name="z_8ZF0D70112_MO_OS_AmericasHealthCareorganiclocalcurrencyrevenuegrowth">Model!$265:$265</definedName>
    <definedName name="z_8ZF0D70112_MO_OS_AmericasHealthCareRevenue">Model!$293:$293</definedName>
    <definedName name="z_8ZF0D70112_MO_OS_AmericasHealthCarerevenuegrowth">Model!$267:$267</definedName>
    <definedName name="z_8ZF0D70112_MO_OS_AmericasHealthCarerevenuemix">Model!$313:$313</definedName>
    <definedName name="z_8ZF0D70112_MO_OS_AmericasOrganicLocalCurrencySalesGrowth">Model!$466:$466</definedName>
    <definedName name="z_8ZF0D70112_MO_OS_AmericasPPE">Model!$529:$529</definedName>
    <definedName name="z_8ZF0D70112_MO_OS_AmericasPriceSalesGrowth">Model!$465:$465</definedName>
    <definedName name="z_8ZF0D70112_MO_OS_AmericasRevenue_1">Model!$493:$493</definedName>
    <definedName name="z_8ZF0D70112_MO_OS_AmericasRevenueGrowth">Model!$471:$471</definedName>
    <definedName name="z_8ZF0D70112_MO_OS_Americasrevenuemix">Model!$501:$501</definedName>
    <definedName name="z_8ZF0D70112_MO_OS_AmericasRoundingSalesGrowth">Model!$470:$470</definedName>
    <definedName name="z_8ZF0D70112_MO_OS_AmericasSafetyandIndustrialacqdivfxotherimpact">Model!$109:$109</definedName>
    <definedName name="z_8ZF0D70112_MO_OS_AmericasSafetyandIndustrialorganiclocalcurrencyrevenuegrowth">Model!$108:$108</definedName>
    <definedName name="z_8ZF0D70112_MO_OS_AmericasSafetyandIndustrialRevenue">Model!$136:$136</definedName>
    <definedName name="z_8ZF0D70112_MO_OS_AmericasSafetyandIndustrialrevenuegrowth">Model!$110:$110</definedName>
    <definedName name="z_8ZF0D70112_MO_OS_AmericasSafetyandIndustrialrevenuemix">Model!$156:$156</definedName>
    <definedName name="z_8ZF0D70112_MO_OS_AmericasTranslationSalesGrowth">Model!$469:$469</definedName>
    <definedName name="z_8ZF0D70112_MO_OS_AmericasTransportationandElectronicsacqdivfxotherimpact">Model!$189:$189</definedName>
    <definedName name="z_8ZF0D70112_MO_OS_AmericasTransportationandElectronicsorganiclocalcurrencyrevenuegrowth">Model!$188:$188</definedName>
    <definedName name="z_8ZF0D70112_MO_OS_AmericasTransportationandElectronicsRevenue">Model!$216:$216</definedName>
    <definedName name="z_8ZF0D70112_MO_OS_AmericasTransportationandElectronicsrevenuegrowth">Model!$190:$190</definedName>
    <definedName name="z_8ZF0D70112_MO_OS_AmericasTransportationandElectronicsrevenuemix">Model!$236:$236</definedName>
    <definedName name="z_8ZF0D70112_MO_OS_AmericasVolumeSalesGrowth">Model!$464:$464</definedName>
    <definedName name="z_8ZF0D70112_MO_OS_APAcquisitionSalesGrowth">Model!$476:$476</definedName>
    <definedName name="z_8ZF0D70112_MO_OS_APCapitalSpending">Model!$523:$523</definedName>
    <definedName name="z_8ZF0D70112_MO_OS_APConsumeracqdivfxotherimpact">Model!$347:$347</definedName>
    <definedName name="z_8ZF0D70112_MO_OS_APConsumerorganiclocalcurrencyrevenuegrowth">Model!$346:$346</definedName>
    <definedName name="z_8ZF0D70112_MO_OS_APConsumerRevenue">Model!$372:$372</definedName>
    <definedName name="z_8ZF0D70112_MO_OS_APConsumerrevenuegrowth">Model!$348:$348</definedName>
    <definedName name="z_8ZF0D70112_MO_OS_APConsumerrevenuemix">Model!$392:$392</definedName>
    <definedName name="z_8ZF0D70112_MO_OS_APCorporateandUnallocatedRevenue">Model!$416:$416</definedName>
    <definedName name="z_8ZF0D70112_MO_OS_APDivestitureSalesGrowth">Model!$477:$477</definedName>
    <definedName name="z_8ZF0D70112_MO_OS_APEliminationsofDualCreditRevenue">Model!$436:$436</definedName>
    <definedName name="z_8ZF0D70112_MO_OS_APEmployees">Model!$657:$657</definedName>
    <definedName name="z_8ZF0D70112_MO_OS_APHealthCareacqdivfxotherimpact">Model!$269:$269</definedName>
    <definedName name="z_8ZF0D70112_MO_OS_APHealthCareorganiclocalcurrencyrevenuegrowth">Model!$268:$268</definedName>
    <definedName name="z_8ZF0D70112_MO_OS_APHealthCareRevenue">Model!$294:$294</definedName>
    <definedName name="z_8ZF0D70112_MO_OS_APHealthCarerevenuegrowth">Model!$270:$270</definedName>
    <definedName name="z_8ZF0D70112_MO_OS_APHealthCarerevenuemix">Model!$314:$314</definedName>
    <definedName name="z_8ZF0D70112_MO_OS_APOrganicLocalCurrencySalesGrowth">Model!$475:$475</definedName>
    <definedName name="z_8ZF0D70112_MO_OS_APPPE">Model!$530:$530</definedName>
    <definedName name="z_8ZF0D70112_MO_OS_APPriceSalesGrowth">Model!$474:$474</definedName>
    <definedName name="z_8ZF0D70112_MO_OS_APRevenueGrowth">Model!$480:$480</definedName>
    <definedName name="z_8ZF0D70112_MO_OS_APrevenuemix">Model!$502:$502</definedName>
    <definedName name="z_8ZF0D70112_MO_OS_APRoundingSalesGrowth">Model!$479:$479</definedName>
    <definedName name="z_8ZF0D70112_MO_OS_APSafetyandIndustrialacqdivfxotherimpact">Model!$112:$112</definedName>
    <definedName name="z_8ZF0D70112_MO_OS_APSafetyandIndustrialorganiclocalcurrencyrevenuegrowth">Model!$111:$111</definedName>
    <definedName name="z_8ZF0D70112_MO_OS_APSafetyandIndustrialRevenue">Model!$137:$137</definedName>
    <definedName name="z_8ZF0D70112_MO_OS_APSafetyandIndustrialrevenuegrowth">Model!$113:$113</definedName>
    <definedName name="z_8ZF0D70112_MO_OS_APSafetyandIndustrialrevenuemix">Model!$157:$157</definedName>
    <definedName name="z_8ZF0D70112_MO_OS_APTranslationSalesGrowth">Model!$478:$478</definedName>
    <definedName name="z_8ZF0D70112_MO_OS_APTransportationandElectronicsacqdivfxotherimpact">Model!$192:$192</definedName>
    <definedName name="z_8ZF0D70112_MO_OS_APTransportationandElectronicsorganiclocalcurrencyrevenuegrowth">Model!$191:$191</definedName>
    <definedName name="z_8ZF0D70112_MO_OS_APTransportationandElectronicsRevenue">Model!$217:$217</definedName>
    <definedName name="z_8ZF0D70112_MO_OS_APTransportationandElectronicsrevenuegrowth">Model!$193:$193</definedName>
    <definedName name="z_8ZF0D70112_MO_OS_APTransportationandElectronicsrevenuemix">Model!$237:$237</definedName>
    <definedName name="z_8ZF0D70112_MO_OS_APVolumeSalesGrowth">Model!$473:$473</definedName>
    <definedName name="z_8ZF0D70112_MO_OS_asiapacificrevenue">Model!$494:$494</definedName>
    <definedName name="z_8ZF0D70112_MO_OS_AutomotiveAftermarketSafetyandIndustrialRevenue">Model!$163:$163</definedName>
    <definedName name="z_8ZF0D70112_MO_OS_AutomotiveandAerospaceTransportationandElectronicsRevenue">Model!$243:$243</definedName>
    <definedName name="z_8ZF0D70112_MO_OS_Averageinvestedcapital">Model!$650:$650</definedName>
    <definedName name="z_8ZF0D70112_MO_OS_Averagetotaldebt">Model!$649:$649</definedName>
    <definedName name="z_8ZF0D70112_MO_OS_AveragetotalshareholdersequityinclNCI">Model!$648:$648</definedName>
    <definedName name="z_8ZF0D70112_MO_OS_BrazilOrganicLocalCurrencySalesGrowth">Model!$510:$510</definedName>
    <definedName name="z_8ZF0D70112_MO_OS_CanadaOrganicLocalCurrencySalesGrowth">Model!$509:$509</definedName>
    <definedName name="z_8ZF0D70112_MO_OS_Capex">Model!$630:$630</definedName>
    <definedName name="z_8ZF0D70112_MO_OS_ChinaHongKongOrganicLocalCurrencySalesGrowth">Model!$511:$511</definedName>
    <definedName name="z_8ZF0D70112_MO_OS_ClosureandMaskingSystemsSafetyandIndustrialRevenue">Model!$164:$164</definedName>
    <definedName name="z_8ZF0D70112_MO_OS_CommercialSolutionsTransportationandElectronicsRevenue">Model!$244:$244</definedName>
    <definedName name="z_8ZF0D70112_MO_OS_CommunicationMarketsSafetyandIndustrialRevenue">Model!$169:$169</definedName>
    <definedName name="z_8ZF0D70112_MO_OS_ConsumerAcquisitionSalesGrowth">Model!$355:$355</definedName>
    <definedName name="z_8ZF0D70112_MO_OS_ConsumerAcquisitionSalesGrowth_1">Model!$363:$363</definedName>
    <definedName name="z_8ZF0D70112_MO_OS_ConsumeradjustedEBITDA">Model!$90:$90</definedName>
    <definedName name="z_8ZF0D70112_MO_OS_ConsumeradjustedEBITDA_2">Model!$381:$381</definedName>
    <definedName name="z_8ZF0D70112_MO_OS_ConsumeradjustedEBITDAmargin">Model!$383:$383</definedName>
    <definedName name="z_8ZF0D70112_MO_OS_ConsumeradjustedEBITDAmix">Model!$98:$98</definedName>
    <definedName name="z_8ZF0D70112_MO_OS_ConsumeradjustedoperatingIncome">Model!$379:$379</definedName>
    <definedName name="z_8ZF0D70112_MO_OS_ConsumeradjustedoperatingIncomemargin">Model!$384:$384</definedName>
    <definedName name="z_8ZF0D70112_MO_OS_Consumeradjustments">Model!$378:$378</definedName>
    <definedName name="z_8ZF0D70112_MO_OS_Consumerassets">Model!$407:$407</definedName>
    <definedName name="z_8ZF0D70112_MO_OS_Consumeraverageassets">Model!$408:$408</definedName>
    <definedName name="z_8ZF0D70112_MO_OS_ConsumerCAPEX">Model!$405:$405</definedName>
    <definedName name="z_8ZF0D70112_MO_OS_ConsumerDA">Model!$380:$380</definedName>
    <definedName name="z_8ZF0D70112_MO_OS_ConsumerDA_1">Model!$404:$404</definedName>
    <definedName name="z_8ZF0D70112_MO_OS_ConsumerDivestitureSalesGrowth">Model!$356:$356</definedName>
    <definedName name="z_8ZF0D70112_MO_OS_ConsumerDivestitureSalesGrowth_1">Model!$364:$364</definedName>
    <definedName name="z_8ZF0D70112_MO_OS_Consumergoodwill">Model!$406:$406</definedName>
    <definedName name="z_8ZF0D70112_MO_OS_ConsumerHealthCareConsumerRevenue">Model!$397:$397</definedName>
    <definedName name="z_8ZF0D70112_MO_OS_ConsumerLTMoperatingincome">Model!$409:$409</definedName>
    <definedName name="z_8ZF0D70112_MO_OS_consumeroperatingincome">Model!$681:$681</definedName>
    <definedName name="z_8ZF0D70112_MO_OS_ConsumeroperatingIncome_1">Model!$60:$60</definedName>
    <definedName name="z_8ZF0D70112_MO_OS_ConsumeroperatingIncome_2">Model!$377:$377</definedName>
    <definedName name="z_8ZF0D70112_MO_OS_Consumeroperatingincomegrowth">Model!$54:$54</definedName>
    <definedName name="z_8ZF0D70112_MO_OS_Consumeroperatingincomeincrementalmargin">Model!$387:$387</definedName>
    <definedName name="z_8ZF0D70112_MO_OS_ConsumeroperatingIncomemargin">Model!$385:$385</definedName>
    <definedName name="z_8ZF0D70112_MO_OS_Consumeroperatingincomemix">Model!$71:$71</definedName>
    <definedName name="z_8ZF0D70112_MO_OS_ConsumeroperatingROA">Model!$410:$410</definedName>
    <definedName name="z_8ZF0D70112_MO_OS_consumerorganiclocalcurrencysalesgrowth">Model!$666:$666</definedName>
    <definedName name="z_8ZF0D70112_MO_OS_consumerorganiclocalcurrencysalesgrowth_1">Model!$690:$690</definedName>
    <definedName name="z_8ZF0D70112_MO_OS_ConsumerOrganicLocalCurrencySalesGrowth_2">Model!$354:$354</definedName>
    <definedName name="z_8ZF0D70112_MO_OS_ConsumerOrganicLocalCurrencySalesGrowth_3">Model!$362:$362</definedName>
    <definedName name="z_8ZF0D70112_MO_OS_ConsumerpriorperiodRevenue">Model!$361:$361</definedName>
    <definedName name="z_8ZF0D70112_MO_OS_consumerrevenue">Model!$672:$672</definedName>
    <definedName name="z_8ZF0D70112_MO_OS_consumerrevenue_1">Model!$696:$696</definedName>
    <definedName name="z_8ZF0D70112_MO_OS_ConsumerRevenue_3">Model!$39:$39</definedName>
    <definedName name="z_8ZF0D70112_MO_OS_ConsumerRevenue_4">Model!$367:$367</definedName>
    <definedName name="z_8ZF0D70112_MO_OS_ConsumerRevenue_5">Model!$375:$375</definedName>
    <definedName name="z_8ZF0D70112_MO_OS_ConsumerRevenue_6">Model!$402:$402</definedName>
    <definedName name="z_8ZF0D70112_MO_OS_consumerrevenuegrowth">"Deleted"</definedName>
    <definedName name="z_8ZF0D70112_MO_OS_Consumerrevenuemix">Model!$47:$47</definedName>
    <definedName name="z_8ZF0D70112_MO_OS_Consumerrevenuemix_1">Model!$395:$395</definedName>
    <definedName name="z_8ZF0D70112_MO_OS_ConsumerRoundingSalesGrowth">Model!$358:$358</definedName>
    <definedName name="z_8ZF0D70112_MO_OS_ConsumerRoundingSalesGrowth_1">Model!$366:$366</definedName>
    <definedName name="z_8ZF0D70112_MO_OS_ConsumerTranslationSalesGrowth">Model!$357:$357</definedName>
    <definedName name="z_8ZF0D70112_MO_OS_ConsumerTranslationSalesGrowth_1">Model!$365:$365</definedName>
    <definedName name="z_8ZF0D70112_MO_OS_ConsumerYYoperatingincomemarginchange">Model!$386:$386</definedName>
    <definedName name="z_8ZF0D70112_MO_OS_CorporateandUnallocatedadjustedEBITDA">Model!$92:$92</definedName>
    <definedName name="z_8ZF0D70112_MO_OS_CorporateandunallocatedadjustedEBITDA_1">Model!$425:$425</definedName>
    <definedName name="z_8ZF0D70112_MO_OS_Corporateandunallocatedadjustedoperatingincome">Model!$423:$423</definedName>
    <definedName name="z_8ZF0D70112_MO_OS_Corporateandunallocatedadjustments">Model!$422:$422</definedName>
    <definedName name="z_8ZF0D70112_MO_OS_Corporateandunallocatedassets">Model!$430:$430</definedName>
    <definedName name="z_8ZF0D70112_MO_OS_CorporateandunallocatedCAPEX">Model!$429:$429</definedName>
    <definedName name="z_8ZF0D70112_MO_OS_CorporateandunallocatedDA">Model!$424:$424</definedName>
    <definedName name="z_8ZF0D70112_MO_OS_CorporateandunallocatedDA_1">Model!$428:$428</definedName>
    <definedName name="z_8ZF0D70112_MO_OS_corporateandunallocatedoperatingincome">Model!$682:$682</definedName>
    <definedName name="z_8ZF0D70112_MO_OS_CorporateandUnallocatedoperatingIncome_1">Model!$63:$63</definedName>
    <definedName name="z_8ZF0D70112_MO_OS_CorporateandUnallocatedoperatingIncome_2">Model!$421:$421</definedName>
    <definedName name="z_8ZF0D70112_MO_OS_CorporateandUnallocatedOperatingIncomeasoftotalrevenue">Model!$426:$426</definedName>
    <definedName name="z_8ZF0D70112_MO_OS_corporateandunallocatedrevenue">Model!$673:$673</definedName>
    <definedName name="z_8ZF0D70112_MO_OS_CorporateandUnallocatedRevenue_1">Model!$41:$41</definedName>
    <definedName name="z_8ZF0D70112_MO_OS_CorporateandUnallocatedRevenue_2">Model!$419:$419</definedName>
    <definedName name="z_8ZF0D70112_MO_OS_corporateunallocatedrevenue">Model!$697:$697</definedName>
    <definedName name="z_8ZF0D70112_MO_OS_displayandgraphicsrevenue">Model!$700:$700</definedName>
    <definedName name="z_8ZF0D70112_MO_OS_Divestiturerelatedrestructuringaftertaxpaymentimpacts">Model!$634:$634</definedName>
    <definedName name="z_8ZF0D70112_MO_OS_DrugDeliveryHealthCareRevenue">Model!$319:$319</definedName>
    <definedName name="z_8ZF0D70112_MO_OS_ElectricalMarketsSafetyandIndustrialRevenue">Model!$165:$165</definedName>
    <definedName name="z_8ZF0D70112_MO_OS_electroandcommunicationsrevenue">Model!$701:$701</definedName>
    <definedName name="z_8ZF0D70112_MO_OS_electronicsandenergyoperatingincome">Model!$680:$680</definedName>
    <definedName name="z_8ZF0D70112_MO_OS_electronicsandenergyorganiclocalcurrencysalesgrowth">Model!$665:$665</definedName>
    <definedName name="z_8ZF0D70112_MO_OS_electronicsandenergyorganiclocalcurrencysalesgrowth_1">Model!$689:$689</definedName>
    <definedName name="z_8ZF0D70112_MO_OS_electronicsandenergyrevenue">Model!$671:$671</definedName>
    <definedName name="z_8ZF0D70112_MO_OS_electronicsandenergyrevenue_1">Model!$695:$695</definedName>
    <definedName name="z_8ZF0D70112_MO_OS_electronicsandenergyrevenuegrowth">"Deleted"</definedName>
    <definedName name="z_8ZF0D70112_MO_OS_ElectronicsTransportationandElectronicsRevenue">Model!$245:$245</definedName>
    <definedName name="z_8ZF0D70112_MO_OS_eliminationfordualcredit">Model!$698:$698</definedName>
    <definedName name="z_8ZF0D70112_MO_OS_eliminationofdualcredit">Model!$674:$674</definedName>
    <definedName name="z_8ZF0D70112_MO_OS_eliminationofdualcredit_1">Model!$683:$683</definedName>
    <definedName name="z_8ZF0D70112_MO_OS_EliminationofDualCreditadjustedEBITDA">Model!$91:$91</definedName>
    <definedName name="z_8ZF0D70112_MO_OS_EliminationofDualCreditoperatingIncome">Model!$61:$61</definedName>
    <definedName name="z_8ZF0D70112_MO_OS_EliminationofDualCreditoperatingIncome_1">Model!$442:$442</definedName>
    <definedName name="z_8ZF0D70112_MO_OS_EliminationofDualCreditoperatingIncomemargin">Model!$443:$443</definedName>
    <definedName name="z_8ZF0D70112_MO_OS_EliminationofDualCreditRevenue">Model!$40:$40</definedName>
    <definedName name="z_8ZF0D70112_MO_OS_EliminationofDualCreditRevenueasoftotalrevenue">Model!$440:$440</definedName>
    <definedName name="z_8ZF0D70112_MO_OS_EliminationsofDualCreditRevenue">Model!$439:$439</definedName>
    <definedName name="z_8ZF0D70112_MO_OS_EMEAAcquisitionSalesGrowth">Model!$485:$485</definedName>
    <definedName name="z_8ZF0D70112_MO_OS_EMEACapitalSpending">Model!$524:$524</definedName>
    <definedName name="z_8ZF0D70112_MO_OS_EMEAConsumeracqdivfxotherimpact">Model!$350:$350</definedName>
    <definedName name="z_8ZF0D70112_MO_OS_EMEAConsumerorganiclocalcurrencyrevenuegrowth">Model!$349:$349</definedName>
    <definedName name="z_8ZF0D70112_MO_OS_EMEAConsumerRevenue">Model!$373:$373</definedName>
    <definedName name="z_8ZF0D70112_MO_OS_EMEAConsumerrevenuegrowth">Model!$351:$351</definedName>
    <definedName name="z_8ZF0D70112_MO_OS_EMEAConsumerrevenuemix">Model!$393:$393</definedName>
    <definedName name="z_8ZF0D70112_MO_OS_EMEACorporateandUnallocatedRevenue">Model!$417:$417</definedName>
    <definedName name="z_8ZF0D70112_MO_OS_EMEADivestitureSalesGrowth">Model!$486:$486</definedName>
    <definedName name="z_8ZF0D70112_MO_OS_EMEAEliminationsofDualCreditRevenue">Model!$437:$437</definedName>
    <definedName name="z_8ZF0D70112_MO_OS_EMEAEmployees">Model!$658:$658</definedName>
    <definedName name="z_8ZF0D70112_MO_OS_EMEAHealthCareacqdivfxotherimpact">Model!$272:$272</definedName>
    <definedName name="z_8ZF0D70112_MO_OS_EMEAHealthCareorganiclocalcurrencyrevenuegrowth">Model!$271:$271</definedName>
    <definedName name="z_8ZF0D70112_MO_OS_EMEAHealthCareRevenue">Model!$295:$295</definedName>
    <definedName name="z_8ZF0D70112_MO_OS_EMEAHealthCarerevenuegrowth">Model!$273:$273</definedName>
    <definedName name="z_8ZF0D70112_MO_OS_EMEAHealthCarerevenuemix">Model!$315:$315</definedName>
    <definedName name="z_8ZF0D70112_MO_OS_EMEAOrganicLocalCurrencySalesGrowth">Model!$484:$484</definedName>
    <definedName name="z_8ZF0D70112_MO_OS_EMEAPPE">Model!$531:$531</definedName>
    <definedName name="z_8ZF0D70112_MO_OS_EMEAPriceSalesGrowth">Model!$483:$483</definedName>
    <definedName name="z_8ZF0D70112_MO_OS_EMEARevenueGrowth">Model!$489:$489</definedName>
    <definedName name="z_8ZF0D70112_MO_OS_EMEArevenuemix">Model!$503:$503</definedName>
    <definedName name="z_8ZF0D70112_MO_OS_EMEARoundingSalesGrowth">Model!$488:$488</definedName>
    <definedName name="z_8ZF0D70112_MO_OS_EMEASafetyandIndustrialacqdivfxotherimpact">Model!$115:$115</definedName>
    <definedName name="z_8ZF0D70112_MO_OS_EMEASafetyandIndustrialorganiclocalcurrencyrevenuegrowth">Model!$114:$114</definedName>
    <definedName name="z_8ZF0D70112_MO_OS_EMEASafetyandIndustrialRevenue">Model!$138:$138</definedName>
    <definedName name="z_8ZF0D70112_MO_OS_EMEASafetyandIndustrialrevenuegrowth">Model!$116:$116</definedName>
    <definedName name="z_8ZF0D70112_MO_OS_EMEASafetyandIndustrialrevenuemix">Model!$158:$158</definedName>
    <definedName name="z_8ZF0D70112_MO_OS_EMEATranslationSalesGrowth">Model!$487:$487</definedName>
    <definedName name="z_8ZF0D70112_MO_OS_EMEATransportationandElectronicsacqdivfxotherimpact">Model!$195:$195</definedName>
    <definedName name="z_8ZF0D70112_MO_OS_EMEATransportationandElectronicsorganiclocalcurrencyrevenuegrowth">Model!$194:$194</definedName>
    <definedName name="z_8ZF0D70112_MO_OS_EMEATransportationandElectronicsRevenue">Model!$218:$218</definedName>
    <definedName name="z_8ZF0D70112_MO_OS_EMEATransportationandElectronicsrevenuegrowth">Model!$196:$196</definedName>
    <definedName name="z_8ZF0D70112_MO_OS_EMEATransportationandElectronicsrevenuemix">Model!$238:$238</definedName>
    <definedName name="z_8ZF0D70112_MO_OS_EMEAVolumeSalesGrowth">Model!$482:$482</definedName>
    <definedName name="z_8ZF0D70112_MO_OS_EPSacquisitiondivestitureimpact">Model!$604:$604</definedName>
    <definedName name="z_8ZF0D70112_MO_OS_EPSCurrentperiod">Model!$618:$618</definedName>
    <definedName name="z_8ZF0D70112_MO_OS_EPSCurrentperiod_1">Model!$626:$626</definedName>
    <definedName name="z_8ZF0D70112_MO_OS_EPSimpactof2015restructuringcharges">Model!$606:$606</definedName>
    <definedName name="z_8ZF0D70112_MO_OS_EPSimpactof2017divestitureofidentitymanagementbusiness">Model!$603:$603</definedName>
    <definedName name="z_8ZF0D70112_MO_OS_EPSimpactof2018divestitureofCommunicationMarketsDivision">Model!$601:$601</definedName>
    <definedName name="z_8ZF0D70112_MO_OS_EPSimpactofAcquisitionsdivestitures">Model!$600:$600</definedName>
    <definedName name="z_8ZF0D70112_MO_OS_EPSimpactofCommunicationMarketsDivisionstrandedcostsandprioryearlostincome">Model!$610:$610</definedName>
    <definedName name="z_8ZF0D70112_MO_OS_EPSimpactofDivestiturerelatedrestructuringactions">Model!$624:$624</definedName>
    <definedName name="z_8ZF0D70112_MO_OS_EPSimpactofForeignexchangeimpacts">Model!$605:$605</definedName>
    <definedName name="z_8ZF0D70112_MO_OS_EPSimpactofgainlossonsaleofbusinesses">Model!$622:$622</definedName>
    <definedName name="z_8ZF0D70112_MO_OS_EPSimpactofIncometaxrate">Model!$615:$615</definedName>
    <definedName name="z_8ZF0D70112_MO_OS_EPSimpactofIncrementalstrategicinvestments">Model!$609:$609</definedName>
    <definedName name="z_8ZF0D70112_MO_OS_EPSimpactofLegalrelatedcharges">Model!$612:$612</definedName>
    <definedName name="z_8ZF0D70112_MO_OS_EPSimpactofLegalrespiratormaskactuarialreserve">Model!$613:$613</definedName>
    <definedName name="z_8ZF0D70112_MO_OS_EPSimpactofLossondeconsolidationofVenezuelansubsidiary">Model!$625:$625</definedName>
    <definedName name="z_8ZF0D70112_MO_OS_EPSimpactofMNNRDresolution">Model!$621:$621</definedName>
    <definedName name="z_8ZF0D70112_MO_OS_EPSimpactofOperatinglossincomefromdivestedbusinesses">Model!$602:$602</definedName>
    <definedName name="z_8ZF0D70112_MO_OS_EPSimpactofOrganicgrowthproductivityandother">Model!$599:$599</definedName>
    <definedName name="z_8ZF0D70112_MO_OS_EPSimpactofOrganizationalrealignment">Model!$608:$608</definedName>
    <definedName name="z_8ZF0D70112_MO_OS_EPSimpactofOtherexpense">Model!$614:$614</definedName>
    <definedName name="z_8ZF0D70112_MO_OS_EPSimpactofSecondquarter2019restructuringactions">Model!$607:$607</definedName>
    <definedName name="z_8ZF0D70112_MO_OS_EPSimpactofSharesofcommonstockoutstanding">Model!$616:$616</definedName>
    <definedName name="z_8ZF0D70112_MO_OS_EPSimpactofSignificantlitigationrelatedcharges">Model!$594:$594</definedName>
    <definedName name="z_8ZF0D70112_MO_OS_EPSimpactofSignificantlitigationrelatedcharges_1">Model!$619:$619</definedName>
    <definedName name="z_8ZF0D70112_MO_OS_EPSimpactofstrategicinvestments">Model!$623:$623</definedName>
    <definedName name="z_8ZF0D70112_MO_OS_EPSimpactofTCJAmeasurementperiodadjustment">Model!$597:$597</definedName>
    <definedName name="z_8ZF0D70112_MO_OS_EPSimpactofTCJAmeasurementperiodadjustment_1">Model!$620:$620</definedName>
    <definedName name="z_8ZF0D70112_MO_OS_EPSotherimpact">Model!$617:$617</definedName>
    <definedName name="z_8ZF0D70112_MO_OS_EPSpriorperiodimpactofgainlossonsaleofbusinesses">Model!$596:$596</definedName>
    <definedName name="z_8ZF0D70112_MO_OS_EPSpriorperiodimpactofLossondeconsolidationofVenezuelansubsidiary">Model!$595:$595</definedName>
    <definedName name="z_8ZF0D70112_MO_OS_EPSrestructuringimpact">Model!$611:$611</definedName>
    <definedName name="z_8ZF0D70112_MO_OS_EPSSameperiodlastyear">Model!$593:$593</definedName>
    <definedName name="z_8ZF0D70112_MO_OS_EPSSameperiodlastyear_1">Model!$598:$598</definedName>
    <definedName name="z_8ZF0D70112_MO_OS_EuroFX">Model!$515:$515</definedName>
    <definedName name="z_8ZF0D70112_MO_OS_europemiddleeastafricarevenue">Model!$495:$495</definedName>
    <definedName name="z_8ZF0D70112_MO_OS_FCFconversion">Model!$638:$638</definedName>
    <definedName name="z_8ZF0D70112_MO_OS_FoodSafetyHealthCareRevenue">Model!$320:$320</definedName>
    <definedName name="z_8ZF0D70112_MO_OS_Freecashflow">Model!$631:$631</definedName>
    <definedName name="z_8ZF0D70112_MO_OS_FXimpact_1">Model!$549:$549</definedName>
    <definedName name="z_8ZF0D70112_MO_OS_FXimpactonadjustedoperatingincome">Model!$539:$539</definedName>
    <definedName name="z_8ZF0D70112_MO_OS_FXincrementalmargin">Model!$558:$558</definedName>
    <definedName name="z_8ZF0D70112_MO_OS_HealthCareAcquisitionSalesGrowth">Model!$277:$277</definedName>
    <definedName name="z_8ZF0D70112_MO_OS_HealthCareAcquisitionSalesGrowth_1">Model!$285:$285</definedName>
    <definedName name="z_8ZF0D70112_MO_OS_HealthCareadjustedEBITDA">Model!$89:$89</definedName>
    <definedName name="z_8ZF0D70112_MO_OS_HealthCareadjustedEBITDA_2">Model!$303:$303</definedName>
    <definedName name="z_8ZF0D70112_MO_OS_HealthCareadjustedEBITDAmargin">Model!$305:$305</definedName>
    <definedName name="z_8ZF0D70112_MO_OS_HealthCareadjustedEBITDAmix">Model!$97:$97</definedName>
    <definedName name="z_8ZF0D70112_MO_OS_HealthCareadjustedoperatingIncome">Model!$301:$301</definedName>
    <definedName name="z_8ZF0D70112_MO_OS_HealthCareadjustedoperatingIncomemargin">Model!$306:$306</definedName>
    <definedName name="z_8ZF0D70112_MO_OS_HealthCareadjustments">Model!$300:$300</definedName>
    <definedName name="z_8ZF0D70112_MO_OS_HealthCareassets">Model!$331:$331</definedName>
    <definedName name="z_8ZF0D70112_MO_OS_HealthCareaverageassets">Model!$332:$332</definedName>
    <definedName name="z_8ZF0D70112_MO_OS_HealthCareCAPEX">Model!$329:$329</definedName>
    <definedName name="z_8ZF0D70112_MO_OS_HealthCareDA">Model!$302:$302</definedName>
    <definedName name="z_8ZF0D70112_MO_OS_HealthCareDA_1">Model!$328:$328</definedName>
    <definedName name="z_8ZF0D70112_MO_OS_HealthCareDivestitureSalesGrowth">Model!$278:$278</definedName>
    <definedName name="z_8ZF0D70112_MO_OS_HealthCareDivestitureSalesGrowth_1">Model!$286:$286</definedName>
    <definedName name="z_8ZF0D70112_MO_OS_HealthCaregoodwill">Model!$330:$330</definedName>
    <definedName name="z_8ZF0D70112_MO_OS_HealthCareLTMoperatingincome">Model!$333:$333</definedName>
    <definedName name="z_8ZF0D70112_MO_OS_healthcareoperatingincome">Model!$679:$679</definedName>
    <definedName name="z_8ZF0D70112_MO_OS_HealthCareoperatingIncome_1">Model!$59:$59</definedName>
    <definedName name="z_8ZF0D70112_MO_OS_HealthCareoperatingIncome_2">Model!$299:$299</definedName>
    <definedName name="z_8ZF0D70112_MO_OS_HealthCareoperatingincomegrowth">Model!$53:$53</definedName>
    <definedName name="z_8ZF0D70112_MO_OS_HealthCareoperatingincomeincrementalmargin">Model!$309:$309</definedName>
    <definedName name="z_8ZF0D70112_MO_OS_HealthCareoperatingIncomemargin">Model!$307:$307</definedName>
    <definedName name="z_8ZF0D70112_MO_OS_HealthCareoperatingincomemix">Model!$70:$70</definedName>
    <definedName name="z_8ZF0D70112_MO_OS_HealthCareoperatingROA">Model!$334:$334</definedName>
    <definedName name="z_8ZF0D70112_MO_OS_healthcareorganiclocalcurrencysalesgrowth">Model!$664:$664</definedName>
    <definedName name="z_8ZF0D70112_MO_OS_healthcareorganiclocalcurrencysalesgrowth_1">Model!$688:$688</definedName>
    <definedName name="z_8ZF0D70112_MO_OS_HealthCareOrganicLocalCurrencySalesGrowth_2">Model!$276:$276</definedName>
    <definedName name="z_8ZF0D70112_MO_OS_HealthCareOrganicLocalCurrencySalesGrowth_3">Model!$284:$284</definedName>
    <definedName name="z_8ZF0D70112_MO_OS_HealthCarepriorperiodRevenue">Model!$283:$283</definedName>
    <definedName name="z_8ZF0D70112_MO_OS_healthcarerevenue">Model!$670:$670</definedName>
    <definedName name="z_8ZF0D70112_MO_OS_healthcarerevenue_1">Model!$694:$694</definedName>
    <definedName name="z_8ZF0D70112_MO_OS_HealthCareRevenue_3">Model!$38:$38</definedName>
    <definedName name="z_8ZF0D70112_MO_OS_HealthCareRevenue_4">Model!$289:$289</definedName>
    <definedName name="z_8ZF0D70112_MO_OS_HealthCareRevenue_5">Model!$297:$297</definedName>
    <definedName name="z_8ZF0D70112_MO_OS_HealthCareRevenue_6">Model!$326:$326</definedName>
    <definedName name="z_8ZF0D70112_MO_OS_healthcarerevenuegrowth">"Deleted"</definedName>
    <definedName name="z_8ZF0D70112_MO_OS_HealthCarerevenuemix">Model!$46:$46</definedName>
    <definedName name="z_8ZF0D70112_MO_OS_HealthCarerevenuemix_1">Model!$317:$317</definedName>
    <definedName name="z_8ZF0D70112_MO_OS_HealthCareRoundingSalesGrowth">Model!$280:$280</definedName>
    <definedName name="z_8ZF0D70112_MO_OS_HealthCareRoundingSalesGrowth_1">Model!$288:$288</definedName>
    <definedName name="z_8ZF0D70112_MO_OS_HealthCareTranslationSalesGrowth">Model!$279:$279</definedName>
    <definedName name="z_8ZF0D70112_MO_OS_HealthCareTranslationSalesGrowth_1">Model!$287:$287</definedName>
    <definedName name="z_8ZF0D70112_MO_OS_HealthCareYYoperatingincomemarginchange">Model!$308:$308</definedName>
    <definedName name="z_8ZF0D70112_MO_OS_HealthInformationSystemsHealthCareRevenue">Model!$321:$321</definedName>
    <definedName name="z_8ZF0D70112_MO_OS_HomeCareConsumerRevenue">Model!$398:$398</definedName>
    <definedName name="z_8ZF0D70112_MO_OS_HomeImprovementConsumerRevenue">Model!$399:$399</definedName>
    <definedName name="z_8ZF0D70112_MO_OS_industrialoperatingincome">Model!$677:$677</definedName>
    <definedName name="z_8ZF0D70112_MO_OS_industrialorganiclocalcurrencysalesgrowth">Model!$662:$662</definedName>
    <definedName name="z_8ZF0D70112_MO_OS_industrialorganiclocalcurrencysalesgrowth_1">Model!$686:$686</definedName>
    <definedName name="z_8ZF0D70112_MO_OS_industrialrevenue">Model!$668:$668</definedName>
    <definedName name="z_8ZF0D70112_MO_OS_industrialrevenue_1">Model!$692:$692</definedName>
    <definedName name="z_8ZF0D70112_MO_OS_industrialrevenuegrowth">"Deleted"</definedName>
    <definedName name="z_8ZF0D70112_MO_OS_Interestexpenseaftertax">Model!$645:$645</definedName>
    <definedName name="z_8ZF0D70112_MO_OS_JapanOrganicLocalCurrencySalesGrowth">Model!$512:$512</definedName>
    <definedName name="z_8ZF0D70112_MO_OS_LATAMandCanadaAcquisitionSalesGrowth">Model!$458:$458</definedName>
    <definedName name="z_8ZF0D70112_MO_OS_LATAMandCanadaCapitalSpending">Model!$521:$521</definedName>
    <definedName name="z_8ZF0D70112_MO_OS_LATAMandCanadaConsumeracqdivfxotherimpact">Model!$341:$341</definedName>
    <definedName name="z_8ZF0D70112_MO_OS_LATAMandCanadaConsumerorganiclocalcurrencyrevenuegrowth">Model!$340:$340</definedName>
    <definedName name="z_8ZF0D70112_MO_OS_LATAMandCanadaConsumerRevenue">Model!$370:$370</definedName>
    <definedName name="z_8ZF0D70112_MO_OS_LATAMandCanadaConsumerrevenuegrowth">Model!$342:$342</definedName>
    <definedName name="z_8ZF0D70112_MO_OS_LATAMandCanadaConsumerrevenuemix">Model!$390:$390</definedName>
    <definedName name="z_8ZF0D70112_MO_OS_LATAMandCanadaCorporateandUnallocatedRevenue">Model!$414:$414</definedName>
    <definedName name="z_8ZF0D70112_MO_OS_LATAMandCanadaDivestitureSalesGrowth">Model!$459:$459</definedName>
    <definedName name="z_8ZF0D70112_MO_OS_LATAMandCanadaEliminationsofDualCreditRevenue">Model!$434:$434</definedName>
    <definedName name="z_8ZF0D70112_MO_OS_LATAMandCanadaEmployees">Model!$655:$655</definedName>
    <definedName name="z_8ZF0D70112_MO_OS_LATAMandCanadaHealthCareacqdivfxotherimpact">Model!$263:$263</definedName>
    <definedName name="z_8ZF0D70112_MO_OS_LATAMandCanadaHealthCareorganiclocalcurrencyrevenuegrowth">Model!$262:$262</definedName>
    <definedName name="z_8ZF0D70112_MO_OS_LATAMandCanadaHealthCareRevenue">Model!$292:$292</definedName>
    <definedName name="z_8ZF0D70112_MO_OS_LATAMandCanadaHealthCarerevenuegrowth">Model!$264:$264</definedName>
    <definedName name="z_8ZF0D70112_MO_OS_LATAMandCanadaHealthCarerevenuemix">Model!$312:$312</definedName>
    <definedName name="z_8ZF0D70112_MO_OS_LATAMandCanadaOrganicLocalCurrencySalesGrowth">Model!$457:$457</definedName>
    <definedName name="z_8ZF0D70112_MO_OS_LATAMandCanadaPPE">Model!$528:$528</definedName>
    <definedName name="z_8ZF0D70112_MO_OS_LATAMandCanadaPriceSalesGrowth">Model!$456:$456</definedName>
    <definedName name="z_8ZF0D70112_MO_OS_LATAMandCanadaRevenueGrowth">Model!$462:$462</definedName>
    <definedName name="z_8ZF0D70112_MO_OS_LATAMandCanadarevenuemix">Model!$500:$500</definedName>
    <definedName name="z_8ZF0D70112_MO_OS_LATAMandCanadaRoundingSalesGrowth">Model!$461:$461</definedName>
    <definedName name="z_8ZF0D70112_MO_OS_LATAMandCanadaSafetyandIndustrialacqdivfxotherimpact">Model!$106:$106</definedName>
    <definedName name="z_8ZF0D70112_MO_OS_LATAMandCanadaSafetyandIndustrialorganiclocalcurrencyrevenuegrowth">Model!$105:$105</definedName>
    <definedName name="z_8ZF0D70112_MO_OS_LATAMandCanadaSafetyandIndustrialRevenue">Model!$135:$135</definedName>
    <definedName name="z_8ZF0D70112_MO_OS_LATAMandCanadaSafetyandIndustrialrevenuegrowth">Model!$107:$107</definedName>
    <definedName name="z_8ZF0D70112_MO_OS_LATAMandCanadaSafetyandIndustrialrevenuemix">Model!$155:$155</definedName>
    <definedName name="z_8ZF0D70112_MO_OS_LATAMandCanadaTranslationSalesGrowth">Model!$460:$460</definedName>
    <definedName name="z_8ZF0D70112_MO_OS_LATAMandCanadaTransportationandElectronicsacqdivfxotherimpact">Model!$186:$186</definedName>
    <definedName name="z_8ZF0D70112_MO_OS_LATAMandCanadaTransportationandElectronicsorganiclocalcurrencyrevenuegrowth">Model!$185:$185</definedName>
    <definedName name="z_8ZF0D70112_MO_OS_LATAMandCanadaTransportationandElectronicsRevenue">Model!$215:$215</definedName>
    <definedName name="z_8ZF0D70112_MO_OS_LATAMandCanadaTransportationandElectronicsrevenuegrowth">Model!$187:$187</definedName>
    <definedName name="z_8ZF0D70112_MO_OS_LATAMandCanadaTransportationandElectronicsrevenuemix">Model!$235:$235</definedName>
    <definedName name="z_8ZF0D70112_MO_OS_LATAMandCanadaVolumeSalesGrowth">Model!$455:$455</definedName>
    <definedName name="z_8ZF0D70112_MO_OS_latinamericacanadarevenue">Model!$492:$492</definedName>
    <definedName name="z_8ZF0D70112_MO_OS_MedicalSolutionsHealthCareRevenue">Model!$322:$322</definedName>
    <definedName name="z_8ZF0D70112_MO_OS_MexicoOrganicLocalCurrencySalesGrowth">Model!$508:$508</definedName>
    <definedName name="z_8ZF0D70112_MO_OS_NetCFO">Model!$629:$629</definedName>
    <definedName name="z_8ZF0D70112_MO_OS_Netincomeattributableto3M">Model!$637:$637</definedName>
    <definedName name="z_8ZF0D70112_MO_OS_NetincomeincludingNCI">Model!$644:$644</definedName>
    <definedName name="z_8ZF0D70112_MO_OS_OperatingIncomeCurrentperiod">Model!$586:$586</definedName>
    <definedName name="z_8ZF0D70112_MO_OS_OperatingIncomeCurrentperiod_1">Model!$591:$591</definedName>
    <definedName name="z_8ZF0D70112_MO_OS_OperatingIncomeSameperiodlastyear">Model!$562:$562</definedName>
    <definedName name="z_8ZF0D70112_MO_OS_OperatingIncomeSameperiodlastyear_1">Model!$565:$565</definedName>
    <definedName name="z_8ZF0D70112_MO_OS_Operatinglossincomefromdivestedbusinesses">Model!$570:$570</definedName>
    <definedName name="z_8ZF0D70112_MO_OS_Operatingmarginacquisitiondivestitureimpact">Model!$573:$573</definedName>
    <definedName name="z_8ZF0D70112_MO_OS_Operatingmarginimpactof2015restructuringcharges">Model!$579:$579</definedName>
    <definedName name="z_8ZF0D70112_MO_OS_Operatingmarginimpactof2017divestitureofidentitymanagementbusiness">Model!$572:$572</definedName>
    <definedName name="z_8ZF0D70112_MO_OS_Operatingmarginimpactof2018divestitureofCommunicationMarketsDivision">Model!$571:$571</definedName>
    <definedName name="z_8ZF0D70112_MO_OS_OperatingmarginimpactofAcquisitionsdivestitures">Model!$569:$569</definedName>
    <definedName name="z_8ZF0D70112_MO_OS_OperatingmarginimpactofCommunicationMarketsDivisionstrandedcostsandprioryearlostincome">Model!$577:$577</definedName>
    <definedName name="z_8ZF0D70112_MO_OS_OperatingmarginimpactofDivestiturerelatedrestructuringactions">Model!$589:$589</definedName>
    <definedName name="z_8ZF0D70112_MO_OS_OperatingmarginimpactofForeignexchangeimpacts">Model!$574:$574</definedName>
    <definedName name="z_8ZF0D70112_MO_OS_OperatingmarginimpactofGainlossonsaleofbusiness">Model!$588:$588</definedName>
    <definedName name="z_8ZF0D70112_MO_OS_OperatingmarginimpactofIncrementalstrategicinvestments">Model!$578:$578</definedName>
    <definedName name="z_8ZF0D70112_MO_OS_OperatingmarginimpactofLegalrelatedcharges">Model!$582:$582</definedName>
    <definedName name="z_8ZF0D70112_MO_OS_OperatingmarginimpactofMNNRDresolution">Model!$587:$587</definedName>
    <definedName name="z_8ZF0D70112_MO_OS_OperatingmarginimpactofOrganicvolumeproductivityandother">Model!$566:$566</definedName>
    <definedName name="z_8ZF0D70112_MO_OS_OperatingmarginimpactofOrganizationalrealignment">Model!$576:$576</definedName>
    <definedName name="z_8ZF0D70112_MO_OS_OperatingmarginimpactofPensiondefinedcontributionretirementbenefits">Model!$583:$583</definedName>
    <definedName name="z_8ZF0D70112_MO_OS_OperatingmarginimpactofProductivityfromrestructuring">Model!$580:$580</definedName>
    <definedName name="z_8ZF0D70112_MO_OS_Operatingmarginimpactofrestatementandroundingcalculated">Model!$584:$584</definedName>
    <definedName name="z_8ZF0D70112_MO_OS_OperatingmarginimpactofSecondquarter2019restructuringactions">Model!$575:$575</definedName>
    <definedName name="z_8ZF0D70112_MO_OS_OperatingmarginimpactofSellingpriceandrawmaterialimpact">Model!$567:$567</definedName>
    <definedName name="z_8ZF0D70112_MO_OS_OperatingmarginimpactofSignificantlitigationrelatedcharges">Model!$563:$563</definedName>
    <definedName name="z_8ZF0D70112_MO_OS_OperatingmarginimpactofSignificantlitigationrelatedcharges_1">Model!$590:$590</definedName>
    <definedName name="z_8ZF0D70112_MO_OS_Operatingmarginorganicgrowth">Model!$568:$568</definedName>
    <definedName name="z_8ZF0D70112_MO_OS_Operatingmarginotherimpact">Model!$585:$585</definedName>
    <definedName name="z_8ZF0D70112_MO_OS_Operatingmarginpriorperiodimpactofgainlossonsaleofbusinesses">Model!$564:$564</definedName>
    <definedName name="z_8ZF0D70112_MO_OS_Operatingmarginrestructuringimpact">Model!$581:$581</definedName>
    <definedName name="z_8ZF0D70112_MO_OS_OralCareHealthCareRevenue">Model!$323:$323</definedName>
    <definedName name="z_8ZF0D70112_MO_OS_Organicgrowth">Model!$547:$547</definedName>
    <definedName name="z_8ZF0D70112_MO_OS_Organicgrowthincrementalmargin">Model!$556:$556</definedName>
    <definedName name="z_8ZF0D70112_MO_OS_Organiclocalcurrencyrevenuegrowth">Model!$537:$537</definedName>
    <definedName name="z_8ZF0D70112_MO_OS_OtherConsumerRevenue">Model!$374:$374</definedName>
    <definedName name="z_8ZF0D70112_MO_OS_OtherConsumerRevenue_1">Model!$401:$401</definedName>
    <definedName name="z_8ZF0D70112_MO_OS_OtherCorporateandUnallocatedRevenue">Model!$418:$418</definedName>
    <definedName name="z_8ZF0D70112_MO_OS_OtherCountriesConsumerrevenuemix">Model!$394:$394</definedName>
    <definedName name="z_8ZF0D70112_MO_OS_OtherCountriesHealthCarerevenuemix">Model!$316:$316</definedName>
    <definedName name="z_8ZF0D70112_MO_OS_OtherCountriesSafetyandIndustrialrevenuemix">Model!$159:$159</definedName>
    <definedName name="z_8ZF0D70112_MO_OS_OtherCountriesTransportationandElectronicsrevenuemix">Model!$239:$239</definedName>
    <definedName name="z_8ZF0D70112_MO_OS_OtherEliminationsofDualCreditRevenue">Model!$438:$438</definedName>
    <definedName name="z_8ZF0D70112_MO_OS_OtherHealthCareRevenue">Model!$296:$296</definedName>
    <definedName name="z_8ZF0D70112_MO_OS_OtherHealthCareRevenue_1">Model!$325:$325</definedName>
    <definedName name="z_8ZF0D70112_MO_OS_Otherimpact_1">Model!$551:$551</definedName>
    <definedName name="z_8ZF0D70112_MO_OS_Otherimpactonadjustedoperatingincome">Model!$541:$541</definedName>
    <definedName name="z_8ZF0D70112_MO_OS_OtherSafetyandIndustrialRevenue">Model!$139:$139</definedName>
    <definedName name="z_8ZF0D70112_MO_OS_OtherSafetyandIndustrialRevenue_1">Model!$170:$170</definedName>
    <definedName name="z_8ZF0D70112_MO_OS_OtherTransportationandElectronicsRevenue">Model!$219:$219</definedName>
    <definedName name="z_8ZF0D70112_MO_OS_OtherTransportationandElectronicsRevenue_1">Model!$247:$247</definedName>
    <definedName name="z_8ZF0D70112_MO_OS_OtherUnallocatedRevenue">Model!$496:$496</definedName>
    <definedName name="z_8ZF0D70112_MO_OS_OtherUnallocatedrevenuemix">Model!$504:$504</definedName>
    <definedName name="z_8ZF0D70112_MO_OS_PersonalSafetySafetyandIndustrialRevenue">Model!$167:$167</definedName>
    <definedName name="z_8ZF0D70112_MO_OS_Prepaids">Model!$1002:$1002</definedName>
    <definedName name="z_8ZF0D70112_MO_OS_PrepaidsYYChange">Model!$1007:$1007</definedName>
    <definedName name="z_8ZF0D70112_MO_OS_Priceimpactonadjustedoperatingincome">Model!$536:$536</definedName>
    <definedName name="z_8ZF0D70112_MO_OS_Pricerawmaterialimpact">Model!$546:$546</definedName>
    <definedName name="z_8ZF0D70112_MO_OS_Pricerawmaterialincrementalmargin">Model!$555:$555</definedName>
    <definedName name="z_8ZF0D70112_MO_OS_RealFX">Model!$518:$518</definedName>
    <definedName name="z_8ZF0D70112_MO_OS_Restructuringimpact_1">Model!$550:$550</definedName>
    <definedName name="z_8ZF0D70112_MO_OS_Restructuringimpactonadjustedoperatingincome">Model!$540:$540</definedName>
    <definedName name="z_8ZF0D70112_MO_OS_RMBFX">Model!$516:$516</definedName>
    <definedName name="z_8ZF0D70112_MO_OS_ROIC">Model!$651:$651</definedName>
    <definedName name="z_8ZF0D70112_MO_OS_RoofingGranulesSafetyandIndustrialRevenue">Model!$168:$168</definedName>
    <definedName name="z_8ZF0D70112_MO_OS_safetyandgraphicsoperatingincome">Model!$678:$678</definedName>
    <definedName name="z_8ZF0D70112_MO_OS_safetyandgraphicsorganiclocalcurrencysalesgrowth">Model!$663:$663</definedName>
    <definedName name="z_8ZF0D70112_MO_OS_safetyandgraphicsorganiclocalcurrencysalesgrowth_1">Model!$687:$687</definedName>
    <definedName name="z_8ZF0D70112_MO_OS_safetyandgraphicsrevenue">Model!$669:$669</definedName>
    <definedName name="z_8ZF0D70112_MO_OS_safetyandgraphicsrevenue_1">Model!$693:$693</definedName>
    <definedName name="z_8ZF0D70112_MO_OS_safetyandgraphicsrevenuegrowth">"Deleted"</definedName>
    <definedName name="z_8ZF0D70112_MO_OS_SafetyandIndustrialAcquisitionSalesGrowth">Model!$120:$120</definedName>
    <definedName name="z_8ZF0D70112_MO_OS_SafetyandIndustrialAcquisitionSalesGrowth_1">Model!$128:$128</definedName>
    <definedName name="z_8ZF0D70112_MO_OS_SafetyandIndustrialadjustedEBITDA">Model!$87:$87</definedName>
    <definedName name="z_8ZF0D70112_MO_OS_SafetyandIndustrialadjustedEBITDA_2">Model!$146:$146</definedName>
    <definedName name="z_8ZF0D70112_MO_OS_SafetyandIndustrialadjustedEBITDAmargin">Model!$148:$148</definedName>
    <definedName name="z_8ZF0D70112_MO_OS_SafetyandIndustrialadjustedEBITDAmix">Model!$95:$95</definedName>
    <definedName name="z_8ZF0D70112_MO_OS_SafetyandIndustrialadjustedoperatingIncome">Model!$144:$144</definedName>
    <definedName name="z_8ZF0D70112_MO_OS_SafetyandIndustrialadjustedoperatingIncomemargin">Model!$149:$149</definedName>
    <definedName name="z_8ZF0D70112_MO_OS_SafetyandIndustrialadjustments">Model!$143:$143</definedName>
    <definedName name="z_8ZF0D70112_MO_OS_SafetyandIndustrialassets">Model!$176:$176</definedName>
    <definedName name="z_8ZF0D70112_MO_OS_SafetyandIndustrialaverageassets">Model!$177:$177</definedName>
    <definedName name="z_8ZF0D70112_MO_OS_SafetyandIndustrialCAPEX">Model!$174:$174</definedName>
    <definedName name="z_8ZF0D70112_MO_OS_SafetyandIndustrialDA">Model!$145:$145</definedName>
    <definedName name="z_8ZF0D70112_MO_OS_SafetyandIndustrialDA_1">Model!$173:$173</definedName>
    <definedName name="z_8ZF0D70112_MO_OS_SafetyandIndustrialDivestitureSalesGrowth">Model!$121:$121</definedName>
    <definedName name="z_8ZF0D70112_MO_OS_SafetyandIndustrialDivestitureSalesGrowth_1">Model!$129:$129</definedName>
    <definedName name="z_8ZF0D70112_MO_OS_SafetyandIndustrialgoodwill">Model!$175:$175</definedName>
    <definedName name="z_8ZF0D70112_MO_OS_SafetyandIndustrialLTMoperatingincome">Model!$178:$178</definedName>
    <definedName name="z_8ZF0D70112_MO_OS_SafetyandIndustrialoperatingIncome">Model!$57:$57</definedName>
    <definedName name="z_8ZF0D70112_MO_OS_SafetyandIndustrialoperatingIncome_1">Model!$142:$142</definedName>
    <definedName name="z_8ZF0D70112_MO_OS_SafetyandIndustrialoperatingincomegrowth">Model!$51:$51</definedName>
    <definedName name="z_8ZF0D70112_MO_OS_SafetyandIndustrialoperatingincomeincrementalmargin">Model!$152:$152</definedName>
    <definedName name="z_8ZF0D70112_MO_OS_SafetyandIndustrialoperatingincomemix">Model!$68:$68</definedName>
    <definedName name="z_8ZF0D70112_MO_OS_SafetyandIndustrialoperatingROA">Model!$179:$179</definedName>
    <definedName name="z_8ZF0D70112_MO_OS_SafetyandIndustrialOrganicLocalCurrencySalesGrowth">Model!$127:$127</definedName>
    <definedName name="z_8ZF0D70112_MO_OS_SafetyandIndustrialpriorperiodRevenue">Model!$126:$126</definedName>
    <definedName name="z_8ZF0D70112_MO_OS_SafetyandIndustrialRevenue">Model!$36:$36</definedName>
    <definedName name="z_8ZF0D70112_MO_OS_SafetyandIndustrialRevenue_1">Model!$132:$132</definedName>
    <definedName name="z_8ZF0D70112_MO_OS_SafetyandIndustrialRevenue_2">Model!$140:$140</definedName>
    <definedName name="z_8ZF0D70112_MO_OS_SafetyandIndustrialRevenue_3">Model!$171:$171</definedName>
    <definedName name="z_8ZF0D70112_MO_OS_SafetyandIndustrialrevenuemix">Model!$44:$44</definedName>
    <definedName name="z_8ZF0D70112_MO_OS_SafetyandIndustrialrevenuemix_1">Model!$160:$160</definedName>
    <definedName name="z_8ZF0D70112_MO_OS_SafetyandIndustrialRoundingSalesGrowth">Model!$123:$123</definedName>
    <definedName name="z_8ZF0D70112_MO_OS_SafetyandIndustrialRoundingSalesGrowth_1">Model!$131:$131</definedName>
    <definedName name="z_8ZF0D70112_MO_OS_SafetyandIndustrialTranslationSalesGrowth">Model!$122:$122</definedName>
    <definedName name="z_8ZF0D70112_MO_OS_SafetyandIndustrialTranslationSalesGrowth_1">Model!$130:$130</definedName>
    <definedName name="z_8ZF0D70112_MO_OS_SafetyandIndustrialYYoperatingincomemarginchange">Model!$151:$151</definedName>
    <definedName name="z_8ZF0D70112_MO_OS_safetysecurityandprotectionservicesrevenue">Model!$699:$699</definedName>
    <definedName name="z_8ZF0D70112_MO_OS_SeparationandPurificationSciencesHealthCareRevenue">Model!$324:$324</definedName>
    <definedName name="z_8ZF0D70112_MO_OS_Significantlitigationrelatedaftertaxpaymentimpacts">Model!$632:$632</definedName>
    <definedName name="z_8ZF0D70112_MO_OS_StationeryandOfficeConsumerRevenue">Model!$400:$400</definedName>
    <definedName name="z_8ZF0D70112_MO_OS_TCJAtransitiontaxpayments">Model!$633:$633</definedName>
    <definedName name="z_8ZF0D70112_MO_OS_TotaladjustedEBITDA">Model!$93:$93</definedName>
    <definedName name="z_8ZF0D70112_MO_OS_TotaladjustedEBITDAmixexcleliminationsandcorporate">Model!$99:$99</definedName>
    <definedName name="z_8ZF0D70112_MO_OS_Totaladjustedoperatingincome">Model!$66:$66</definedName>
    <definedName name="z_8ZF0D70112_MO_OS_Totaladjustedoperatingincomeincrementalmargin">Model!$84:$84</definedName>
    <definedName name="z_8ZF0D70112_MO_OS_Totaladjustedoperatingincomeincrementalmargin_1">Model!$559:$559</definedName>
    <definedName name="z_8ZF0D70112_MO_OS_Totaladjustedoperatingincomemargin">Model!$82:$82</definedName>
    <definedName name="z_8ZF0D70112_MO_OS_Totaladjustments">Model!$65:$65</definedName>
    <definedName name="z_8ZF0D70112_MO_OS_TotalCapitalSpending">Model!$525:$525</definedName>
    <definedName name="z_8ZF0D70112_MO_OS_TotalConsumerrevenuegrowth">Model!$352:$352</definedName>
    <definedName name="z_8ZF0D70112_MO_OS_TotalEmployees">Model!$659:$659</definedName>
    <definedName name="z_8ZF0D70112_MO_OS_TotalHealthCarerevenuegrowth">Model!$274:$274</definedName>
    <definedName name="z_8ZF0D70112_MO_OS_Totalinventories">Model!$1001:$1001</definedName>
    <definedName name="z_8ZF0D70112_MO_OS_TotalinventoriesYYChange">Model!$1006:$1006</definedName>
    <definedName name="z_8ZF0D70112_MO_OS_TotalOperatingIncome">Model!$684:$684</definedName>
    <definedName name="z_8ZF0D70112_MO_OS_TotaloperatingIncome_1">Model!$64:$64</definedName>
    <definedName name="z_8ZF0D70112_MO_OS_Totaloperatingincomegrowth">Model!$55:$55</definedName>
    <definedName name="z_8ZF0D70112_MO_OS_Totaloperatingincomeincrementalmargin">Model!$80:$80</definedName>
    <definedName name="z_8ZF0D70112_MO_OS_Totaloperatingincomemargin">Model!$78:$78</definedName>
    <definedName name="z_8ZF0D70112_MO_OS_Totaloperatingincomemixexcleliminationsandcorporate">Model!$72:$72</definedName>
    <definedName name="z_8ZF0D70112_MO_OS_totalorganiclocalcurrencysalesgrowth">Model!$15:$15</definedName>
    <definedName name="z_8ZF0D70112_MO_OS_totalorganiclocalcurrencysalesgrowth_1">"Deleted"</definedName>
    <definedName name="z_8ZF0D70112_MO_OS_TotalPPE">Model!$532:$532</definedName>
    <definedName name="z_8ZF0D70112_MO_OS_totalrevenue">Model!$675:$675</definedName>
    <definedName name="z_8ZF0D70112_MO_OS_totalrevenue_1">Model!$497:$497</definedName>
    <definedName name="z_8ZF0D70112_MO_OS_totalrevenue_2">Model!$702:$702</definedName>
    <definedName name="z_8ZF0D70112_MO_OS_TotalRevenue_4">Model!$42:$42</definedName>
    <definedName name="z_8ZF0D70112_MO_OS_TotalRevenueGrowth">Model!$20:$20</definedName>
    <definedName name="z_8ZF0D70112_MO_OS_Totalrevenuemix_1">Model!$505:$505</definedName>
    <definedName name="z_8ZF0D70112_MO_OS_Totalrevenuemixexcleliminationsandcorporate">Model!$48:$48</definedName>
    <definedName name="z_8ZF0D70112_MO_OS_Totalsegmentoperatingincome">Model!$62:$62</definedName>
    <definedName name="z_8ZF0D70112_MO_OS_Totalsegmentoperatingincomeincrementalmargin">Model!$76:$76</definedName>
    <definedName name="z_8ZF0D70112_MO_OS_Totalsegmentoperatingincomemargin">Model!$74:$74</definedName>
    <definedName name="z_8ZF0D70112_MO_OS_TotalsegmentYYoperatingincomemarginchange">Model!$75:$75</definedName>
    <definedName name="z_8ZF0D70112_MO_OS_TotalTransportationandElectronicsrevenuegrowth">Model!$197:$197</definedName>
    <definedName name="z_8ZF0D70112_MO_OS_TotalYYadjustedoperatingincomemarginchange">Model!$83:$83</definedName>
    <definedName name="z_8ZF0D70112_MO_OS_TotalYYoperatingincomemarginchange">Model!$79:$79</definedName>
    <definedName name="z_8ZF0D70112_MO_OS_TransportationandElectronicsAcquisitionSalesGrowth">Model!$200:$200</definedName>
    <definedName name="z_8ZF0D70112_MO_OS_TransportationandElectronicsAcquisitionSalesGrowth_1">Model!$208:$208</definedName>
    <definedName name="z_8ZF0D70112_MO_OS_TransportationandElectronicsadjustedEBITDA">Model!$88:$88</definedName>
    <definedName name="z_8ZF0D70112_MO_OS_TransportationandElectronicsadjustedEBITDA_2">Model!$226:$226</definedName>
    <definedName name="z_8ZF0D70112_MO_OS_TransportationandElectronicsadjustedEBITDAmargin">Model!$228:$228</definedName>
    <definedName name="z_8ZF0D70112_MO_OS_TransportationandElectronicsadjustedEBITDAmix">Model!$96:$96</definedName>
    <definedName name="z_8ZF0D70112_MO_OS_TransportationandElectronicsadjustedoperatingIncome">Model!$224:$224</definedName>
    <definedName name="z_8ZF0D70112_MO_OS_TransportationandElectronicsadjustedoperatingIncomemargin">Model!$229:$229</definedName>
    <definedName name="z_8ZF0D70112_MO_OS_TransportationandElectronicsadjustments">Model!$223:$223</definedName>
    <definedName name="z_8ZF0D70112_MO_OS_TransportationandElectronicsassets">Model!$253:$253</definedName>
    <definedName name="z_8ZF0D70112_MO_OS_TransportationandElectronicsaverageassets">Model!$254:$254</definedName>
    <definedName name="z_8ZF0D70112_MO_OS_TransportationandElectronicsCAPEX">Model!$251:$251</definedName>
    <definedName name="z_8ZF0D70112_MO_OS_TransportationandElectronicsDA">Model!$225:$225</definedName>
    <definedName name="z_8ZF0D70112_MO_OS_TransportationandElectronicsDA_1">Model!$250:$250</definedName>
    <definedName name="z_8ZF0D70112_MO_OS_TransportationandElectronicsDivestitureSalesGrowth">Model!$201:$201</definedName>
    <definedName name="z_8ZF0D70112_MO_OS_TransportationandElectronicsDivestitureSalesGrowth_1">Model!$209:$209</definedName>
    <definedName name="z_8ZF0D70112_MO_OS_TransportationandElectronicsgoodwill">Model!$252:$252</definedName>
    <definedName name="z_8ZF0D70112_MO_OS_TransportationandElectronicsLTMoperatingincome">Model!$255:$255</definedName>
    <definedName name="z_8ZF0D70112_MO_OS_TransportationandElectronicsoperatingIncome">Model!$58:$58</definedName>
    <definedName name="z_8ZF0D70112_MO_OS_TransportationandElectronicsoperatingIncome_1">Model!$222:$222</definedName>
    <definedName name="z_8ZF0D70112_MO_OS_TransportationandElectronicsoperatingincomegrowth">Model!$52:$52</definedName>
    <definedName name="z_8ZF0D70112_MO_OS_TransportationandElectronicsoperatingincomeincrementalmargin">Model!$232:$232</definedName>
    <definedName name="z_8ZF0D70112_MO_OS_TransportationandElectronicsoperatingIncomemargin">Model!$230:$230</definedName>
    <definedName name="z_8ZF0D70112_MO_OS_TransportationandElectronicsoperatingincomemix">Model!$69:$69</definedName>
    <definedName name="z_8ZF0D70112_MO_OS_TransportationandElectronicsoperatingROA">Model!$256:$256</definedName>
    <definedName name="z_8ZF0D70112_MO_OS_TransportationandElectronicsOrganicLocalCurrencySalesGrowth">Model!$199:$199</definedName>
    <definedName name="z_8ZF0D70112_MO_OS_TransportationandElectronicsOrganicLocalCurrencySalesGrowth_1">Model!$207:$207</definedName>
    <definedName name="z_8ZF0D70112_MO_OS_TransportationandElectronicspriorperiodRevenue">Model!$206:$206</definedName>
    <definedName name="z_8ZF0D70112_MO_OS_TransportationandElectronicsRevenue">Model!$37:$37</definedName>
    <definedName name="z_8ZF0D70112_MO_OS_TransportationandElectronicsRevenue_1">Model!$212:$212</definedName>
    <definedName name="z_8ZF0D70112_MO_OS_TransportationandElectronicsRevenue_2">Model!$220:$220</definedName>
    <definedName name="z_8ZF0D70112_MO_OS_TransportationandElectronicsRevenue_3">Model!$248:$248</definedName>
    <definedName name="z_8ZF0D70112_MO_OS_TransportationandElectronicsrevenuemix">Model!$45:$45</definedName>
    <definedName name="z_8ZF0D70112_MO_OS_TransportationandElectronicsrevenuemix_1">Model!$240:$240</definedName>
    <definedName name="z_8ZF0D70112_MO_OS_TransportationandElectronicsRoundingSalesGrowth">Model!$203:$203</definedName>
    <definedName name="z_8ZF0D70112_MO_OS_TransportationandElectronicsRoundingSalesGrowth_1">Model!$211:$211</definedName>
    <definedName name="z_8ZF0D70112_MO_OS_TransportationandElectronicsTranslationSalesGrowth">Model!$202:$202</definedName>
    <definedName name="z_8ZF0D70112_MO_OS_TransportationandElectronicsTranslationSalesGrowth_1">Model!$210:$210</definedName>
    <definedName name="z_8ZF0D70112_MO_OS_TransportationandElectronicsYYoperatingincomemarginchange">Model!$231:$231</definedName>
    <definedName name="z_8ZF0D70112_MO_OS_TransportationSafetyTransportationandElectronicsRevenue">Model!$246:$246</definedName>
    <definedName name="z_8ZF0D70112_MO_OS_unitedstatesrevenue">Model!$491:$491</definedName>
    <definedName name="z_8ZF0D70112_MO_OS_USAcquisitionSalesGrowth">Model!$449:$449</definedName>
    <definedName name="z_8ZF0D70112_MO_OS_USCapitalSpending">Model!$520:$520</definedName>
    <definedName name="z_8ZF0D70112_MO_OS_USConsumeracqdivfxotherimpact">Model!$338:$338</definedName>
    <definedName name="z_8ZF0D70112_MO_OS_USConsumerorganiclocalcurrencyrevenuegrowth">Model!$337:$337</definedName>
    <definedName name="z_8ZF0D70112_MO_OS_USConsumerRevenue">Model!$369:$369</definedName>
    <definedName name="z_8ZF0D70112_MO_OS_USConsumerrevenuegrowth">Model!$339:$339</definedName>
    <definedName name="z_8ZF0D70112_MO_OS_USConsumerrevenuemix">Model!$389:$389</definedName>
    <definedName name="z_8ZF0D70112_MO_OS_USCorporateandUnallocatedRevenue">Model!$413:$413</definedName>
    <definedName name="z_8ZF0D70112_MO_OS_USDivestitureSalesGrowth">Model!$450:$450</definedName>
    <definedName name="z_8ZF0D70112_MO_OS_USEliminationsofDualCreditRevenue">Model!$433:$433</definedName>
    <definedName name="z_8ZF0D70112_MO_OS_USEmployees">Model!$654:$654</definedName>
    <definedName name="z_8ZF0D70112_MO_OS_USHealthCareacqdivfxotherimpact">Model!$260:$260</definedName>
    <definedName name="z_8ZF0D70112_MO_OS_USHealthCareorganiclocalcurrencyrevenuegrowth">Model!$259:$259</definedName>
    <definedName name="z_8ZF0D70112_MO_OS_USHealthCareRevenue">Model!$291:$291</definedName>
    <definedName name="z_8ZF0D70112_MO_OS_USHealthCarerevenuegrowth">Model!$261:$261</definedName>
    <definedName name="z_8ZF0D70112_MO_OS_USHealthCarerevenuemix">Model!$311:$311</definedName>
    <definedName name="z_8ZF0D70112_MO_OS_USOrganicLocalCurrencySalesGrowth">Model!$448:$448</definedName>
    <definedName name="z_8ZF0D70112_MO_OS_USOrganicLocalCurrencySalesGrowth_1">Model!$507:$507</definedName>
    <definedName name="z_8ZF0D70112_MO_OS_USPPE">Model!$527:$527</definedName>
    <definedName name="z_8ZF0D70112_MO_OS_USPriceSalesGrowth">Model!$447:$447</definedName>
    <definedName name="z_8ZF0D70112_MO_OS_USRevenueGrowth">Model!$453:$453</definedName>
    <definedName name="z_8ZF0D70112_MO_OS_USrevenuemix">Model!$499:$499</definedName>
    <definedName name="z_8ZF0D70112_MO_OS_USRoundingSalesGrowth">Model!$452:$452</definedName>
    <definedName name="z_8ZF0D70112_MO_OS_USSafetyandIndustrialacqdivfxotherimpact">Model!$103:$103</definedName>
    <definedName name="z_8ZF0D70112_MO_OS_USSafetyandIndustrialorganiclocalcurrencyrevenuegrowth">Model!$102:$102</definedName>
    <definedName name="z_8ZF0D70112_MO_OS_USSafetyandIndustrialRevenue">Model!$134:$134</definedName>
    <definedName name="z_8ZF0D70112_MO_OS_USSafetyandIndustrialrevenuegrowth">Model!$104:$104</definedName>
    <definedName name="z_8ZF0D70112_MO_OS_USSafetyandIndustrialrevenuemix">Model!$154:$154</definedName>
    <definedName name="z_8ZF0D70112_MO_OS_USTransportationandElectronicsacqdivfxotherimpact">Model!$183:$183</definedName>
    <definedName name="z_8ZF0D70112_MO_OS_USTransportationandElectronicsorganiclocalcurrencyrevenuegrowth">Model!$182:$182</definedName>
    <definedName name="z_8ZF0D70112_MO_OS_USTransportationandElectronicsRevenue">Model!$214:$214</definedName>
    <definedName name="z_8ZF0D70112_MO_OS_USTransportationandElectronicsrevenuegrowth">Model!$184:$184</definedName>
    <definedName name="z_8ZF0D70112_MO_OS_USTransportationandElectronicsrevenuemix">Model!$234:$234</definedName>
    <definedName name="z_8ZF0D70112_MO_OS_USVolumeSalesGrowth">Model!$446:$446</definedName>
    <definedName name="z_8ZF0D70112_MO_OS_Volumeimpactonadjustedoperatingincome">Model!$535:$535</definedName>
    <definedName name="z_8ZF0D70112_MO_OS_Volumeproductivityotherimpact">Model!$545:$545</definedName>
    <definedName name="z_8ZF0D70112_MO_OS_Volumeproductivityotherincrementalmargin">Model!$554:$554</definedName>
    <definedName name="z_8ZF0D70112_MO_OS_WestEuropeOrganicLocalCurrencySalesGrowth">Model!$513:$513</definedName>
    <definedName name="z_8ZF0D70112_MO_OS_YenFX">Model!$517:$517</definedName>
    <definedName name="z_8ZF0D70112_MO_RIS_AdjustedEarningsPerShareWAD">Model!$831:$831</definedName>
    <definedName name="z_8ZF0D70112_MO_RIS_AdjustedEBIT">Model!$804:$804</definedName>
    <definedName name="z_8ZF0D70112_MO_RIS_AdjustedEBITDANoAdjustments">Model!$796:$796</definedName>
    <definedName name="z_8ZF0D70112_MO_RIS_AdjustedNetIncome">Model!$824:$824</definedName>
    <definedName name="z_8ZF0D70112_MO_RIS_AdjustedSharesOutstandingWAD">Model!$836:$836</definedName>
    <definedName name="z_8ZF0D70112_MO_RIS_AdjustmentsforConvertibleSecurities">Model!$820:$820</definedName>
    <definedName name="z_8ZF0D70112_MO_RIS_Amortizationofintangibles">Model!$800:$800</definedName>
    <definedName name="z_8ZF0D70112_MO_RIS_COGSadjforDA">Model!$790:$790</definedName>
    <definedName name="z_8ZF0D70112_MO_RIS_consensusestimatesadjustedearningspersharewad">Model!$832:$832</definedName>
    <definedName name="z_8ZF0D70112_MO_RIS_consensusestimatesadjustedebit">Model!$805:$805</definedName>
    <definedName name="z_8ZF0D70112_MO_RIS_consensusestimatesadjustedebitda">Model!$797:$797</definedName>
    <definedName name="z_8ZF0D70112_MO_RIS_consensusestimatesnetrevenue">Model!$788:$788</definedName>
    <definedName name="z_8ZF0D70112_MO_RIS_Currenttax">Model!$813:$813</definedName>
    <definedName name="z_8ZF0D70112_MO_RIS_Currenttaxrate">Model!$826:$826</definedName>
    <definedName name="z_8ZF0D70112_MO_RIS_DA">Model!$799:$799</definedName>
    <definedName name="z_8ZF0D70112_MO_RIS_Deferredtax">Model!$814:$814</definedName>
    <definedName name="z_8ZF0D70112_MO_RIS_Deferredtaxrate">Model!$827:$827</definedName>
    <definedName name="z_8ZF0D70112_MO_RIS_DilutedNetIncometoCommonShareholders">Model!$821:$821</definedName>
    <definedName name="z_8ZF0D70112_MO_RIS_DiscontinuedOperations">Model!$816:$816</definedName>
    <definedName name="z_8ZF0D70112_MO_RIS_EarningsPerShareWAB">Model!$829:$829</definedName>
    <definedName name="z_8ZF0D70112_MO_RIS_EarningsPerShareWAD">Model!$830:$830</definedName>
    <definedName name="z_8ZF0D70112_MO_RIS_EBIT">Model!$803:$803</definedName>
    <definedName name="z_8ZF0D70112_MO_RIS_EBITDA">Model!$791:$791</definedName>
    <definedName name="z_8ZF0D70112_MO_RIS_EBITDA_1">Model!$795:$795</definedName>
    <definedName name="z_8ZF0D70112_MO_RIS_EBT">Model!$811:$811</definedName>
    <definedName name="z_8ZF0D70112_MO_RIS_Interestexpense">Model!$807:$807</definedName>
    <definedName name="z_8ZF0D70112_MO_RIS_Interestincome">Model!$808:$808</definedName>
    <definedName name="z_8ZF0D70112_MO_RIS_NetIncomefromContinuedOperation">Model!$815:$815</definedName>
    <definedName name="z_8ZF0D70112_MO_RIS_NetIncometoCommonShareholders">Model!$819:$819</definedName>
    <definedName name="z_8ZF0D70112_MO_RIS_NetIncometoNCI">Model!$817:$817</definedName>
    <definedName name="z_8ZF0D70112_MO_RIS_NetRevenue">Model!$787:$787</definedName>
    <definedName name="z_8ZF0D70112_MO_RIS_NonGAAPAdjustments">Model!$822:$822</definedName>
    <definedName name="z_8ZF0D70112_MO_RIS_NonGAAPAdjustmentsforDilutiveSecurities">Model!$823:$823</definedName>
    <definedName name="z_8ZF0D70112_MO_RIS_Onetimeitem">Model!$810:$810</definedName>
    <definedName name="z_8ZF0D70112_MO_RIS_Other">Model!$802:$802</definedName>
    <definedName name="z_8ZF0D70112_MO_RIS_Otheritems">Model!$809:$809</definedName>
    <definedName name="z_8ZF0D70112_MO_RIS_Preferredstockdividends">Model!$818:$818</definedName>
    <definedName name="z_8ZF0D70112_MO_RIS_RD">Model!$793:$793</definedName>
    <definedName name="z_8ZF0D70112_MO_RIS_SBC">Model!$801:$801</definedName>
    <definedName name="z_8ZF0D70112_MO_RIS_SGAadjforSBC">Model!$794:$794</definedName>
    <definedName name="z_8ZF0D70112_MO_RIS_SharesOutstandingWAB">Model!$834:$834</definedName>
    <definedName name="z_8ZF0D70112_MO_RIS_SharesOutstandingWAD">Model!$835:$835</definedName>
    <definedName name="z_8ZF0D70112_MO_Section_AN_AdjustedNumbers">Model!$747:$747</definedName>
    <definedName name="z_8ZF0D70112_MO_Section_BS_BalanceSheet">Model!$1032:$1032</definedName>
    <definedName name="z_8ZF0D70112_MO_Section_BS_ModelChecks">Model!$1088:$1088</definedName>
    <definedName name="z_8ZF0D70112_MO_Section_BSS_BalanceSheetSummary">Model!$858:$858</definedName>
    <definedName name="z_8ZF0D70112_MO_Section_CCFS_CumulativeCashFlowStatement">Model!$899:$899</definedName>
    <definedName name="z_8ZF0D70112_MO_Section_CFS_CashFlowStatement">Model!$948:$948</definedName>
    <definedName name="z_8ZF0D70112_MO_Section_CFSum_CashFlowSummary">Model!$838:$838</definedName>
    <definedName name="z_8ZF0D70112_MO_Section_DAF_DAForecasting">Model!$1010:$1010</definedName>
    <definedName name="z_8ZF0D70112_MO_Section_GA_GrowthAnalysis">Model!$6:$6</definedName>
    <definedName name="z_8ZF0D70112_MO_Section_IS_IncomeStatement">Model!$725:$725</definedName>
    <definedName name="z_8ZF0D70112_MO_Section_MA_MarginAnalysis">Model!$704:$704</definedName>
    <definedName name="z_8ZF0D70112_MO_Section_OS_KeyMetricsAdjustedOperatingIncomeWalk">Model!$534:$534</definedName>
    <definedName name="z_8ZF0D70112_MO_Section_OS_KeyMetricsEmployeeCount10K">Model!$653:$653</definedName>
    <definedName name="z_8ZF0D70112_MO_Section_OS_KeyMetricsFCFConversionPR">Model!$628:$628</definedName>
    <definedName name="z_8ZF0D70112_MO_Section_OS_KeyMetricsOperatingMarginandEPSWalks10QK">Model!$561:$561</definedName>
    <definedName name="z_8ZF0D70112_MO_Section_OS_KeyMetricsROICPR">Model!$643:$643</definedName>
    <definedName name="z_8ZF0D70112_MO_Section_OS_SegmentedResultsAdjustedEBITDABreakdownPR">Model!$86:$86</definedName>
    <definedName name="z_8ZF0D70112_MO_Section_OS_SegmentedResultsConsumerPR">Model!$336:$336</definedName>
    <definedName name="z_8ZF0D70112_MO_Section_OS_SegmentedResultsCorporateandUnallocated10QK">Model!$412:$412</definedName>
    <definedName name="z_8ZF0D70112_MO_Section_OS_SegmentedResultsEliminationsofDualCredit10QK">Model!$432:$432</definedName>
    <definedName name="z_8ZF0D70112_MO_Section_OS_SegmentedResultsGeographicBreakdownFS">Model!$445:$445</definedName>
    <definedName name="z_8ZF0D70112_MO_Section_OS_SegmentedResultsHealthCarePR">Model!$258:$258</definedName>
    <definedName name="z_8ZF0D70112_MO_Section_OS_SegmentedResultsOperatingIncomeBreakdownFS">"Deleted"</definedName>
    <definedName name="z_8ZF0D70112_MO_Section_OS_SegmentedResultsOperatingIncomeBreakdownFS_1">Model!$50:$50</definedName>
    <definedName name="z_8ZF0D70112_MO_Section_OS_SegmentedResultsRevenueBreakdownFS">Model!$661:$661</definedName>
    <definedName name="z_8ZF0D70112_MO_Section_OS_SegmentedResultsRevenueBreakdownFS_1">Model!$22:$22</definedName>
    <definedName name="z_8ZF0D70112_MO_Section_OS_SegmentedResultsSafetyandIndustrialPR">Model!$101:$101</definedName>
    <definedName name="z_8ZF0D70112_MO_Section_OS_SegmentedResultsTransportationandElectronicsPR">Model!$181:$181</definedName>
    <definedName name="z_8ZF0D70112_MO_Section_OS_WorkingCapitalForecasting">Model!$999:$999</definedName>
    <definedName name="z_8ZF0D70112_MO_Section_RIS_RevisedIncomeStatement">Model!$786:$786</definedName>
    <definedName name="z_8ZF0D70112_MO_Section_TB_Tables">Model!$1113:$1113</definedName>
    <definedName name="z_8ZF0D70112_MO_Section_VA_Valuation">Model!$877:$877</definedName>
    <definedName name="z_8ZF0D70112_MO_SubSection_OS_USTranslationSalesGrowth">Model!$451:$451</definedName>
    <definedName name="z_8ZF0D70112_MO_VA_EnterpriseValueAverage">Model!$880:$880</definedName>
    <definedName name="z_8ZF0D70112_MO_VA_EnterpriseValueAvg">"Deleted"</definedName>
    <definedName name="z_8ZF0D70112_MO_VA_enterprisevaluecomponents">Model!$894:$894</definedName>
    <definedName name="z_8ZF0D70112_MO_VA_EnterpriseValueHigh">"Deleted"</definedName>
    <definedName name="z_8ZF0D70112_MO_VA_EnterpriseValueLow">"Deleted"</definedName>
    <definedName name="z_8ZF0D70112_MO_VA_EVEBITDAAverage">Model!$883:$883</definedName>
    <definedName name="z_8ZF0D70112_MO_VA_FCFYieldtoAverageEnterpriseValue">Model!$886:$886</definedName>
    <definedName name="z_8ZF0D70112_MO_VA_FCFYieldtoAverageMarketCap">Model!$885:$885</definedName>
    <definedName name="z_8ZF0D70112_MO_VA_MarketCapAverage">Model!$879:$879</definedName>
    <definedName name="z_8ZF0D70112_MO_VA_MarketCapAvg">"Deleted"</definedName>
    <definedName name="z_8ZF0D70112_MO_VA_MarketCapHigh">"Deleted"</definedName>
    <definedName name="z_8ZF0D70112_MO_VA_MarketCapLow">"Deleted"</definedName>
    <definedName name="z_8ZF0D70112_MO_VA_NoncontrollingInterest">Model!$895:$895</definedName>
    <definedName name="z_8ZF0D70112_MO_VA_OtherEVComponents">Model!$897:$897</definedName>
    <definedName name="z_8ZF0D70112_MO_VA_PCFAverage">Model!$884:$884</definedName>
    <definedName name="z_8ZF0D70112_MO_VA_PEAverage">Model!$882:$882</definedName>
    <definedName name="z_8ZF0D70112_MO_VA_PreferredShares">Model!$896:$896</definedName>
    <definedName name="z_8ZF0D70112_MO_VA_StockAvg">Model!$890:$890</definedName>
    <definedName name="z_8ZF0D70112_MO_VA_StockHigh">Model!$888:$888</definedName>
    <definedName name="z_8ZF0D70112_MO_VA_StockLow">Model!$889:$889</definedName>
    <definedName name="z_8ZF0D70112_MO_VA_StockPriceAverage">Model!$878:$878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9" i="15" l="1"/>
  <c r="C22" i="15"/>
  <c r="A18" i="15"/>
  <c r="A17" i="15"/>
  <c r="A16" i="15"/>
  <c r="A15" i="15"/>
  <c r="C13" i="15"/>
  <c r="A10" i="15"/>
  <c r="G6" i="15"/>
  <c r="H6" i="15" s="1"/>
  <c r="C6" i="15"/>
  <c r="C24" i="15" s="1"/>
  <c r="B6" i="15"/>
  <c r="A5" i="15"/>
  <c r="A4" i="15"/>
  <c r="A3" i="15"/>
  <c r="A1" i="15"/>
  <c r="I16" i="14"/>
  <c r="F16" i="14"/>
  <c r="B13" i="14"/>
  <c r="A182" i="13"/>
  <c r="A173" i="13"/>
  <c r="A134" i="13"/>
  <c r="A108" i="13"/>
  <c r="A68" i="13"/>
  <c r="C59" i="13"/>
  <c r="C58" i="13"/>
  <c r="C57" i="13"/>
  <c r="C54" i="13"/>
  <c r="A52" i="13"/>
  <c r="A51" i="13"/>
  <c r="A39" i="13"/>
  <c r="C38" i="13"/>
  <c r="A38" i="13"/>
  <c r="A36" i="13"/>
  <c r="A40" i="13" s="1"/>
  <c r="A24" i="13"/>
  <c r="A22" i="13"/>
  <c r="A12" i="13"/>
  <c r="A11" i="13"/>
  <c r="A20" i="13" s="1"/>
  <c r="A10" i="13"/>
  <c r="A19" i="13" s="1"/>
  <c r="A9" i="13"/>
  <c r="A18" i="13" s="1"/>
  <c r="A7" i="13"/>
  <c r="A16" i="13" s="1"/>
  <c r="A6" i="13"/>
  <c r="A5" i="13"/>
  <c r="A15" i="13" s="1"/>
  <c r="A3" i="13"/>
  <c r="A1" i="13"/>
  <c r="B129" i="12"/>
  <c r="B130" i="12" s="1"/>
  <c r="B127" i="12" a="1"/>
  <c r="B127" i="12" s="1"/>
  <c r="B131" i="12" s="1"/>
  <c r="B103" i="12"/>
  <c r="B55" i="12" a="1"/>
  <c r="B55" i="12" s="1"/>
  <c r="B49" i="12"/>
  <c r="B43" i="12" a="1"/>
  <c r="B43" i="12" s="1"/>
  <c r="B37" i="12" a="1"/>
  <c r="B37" i="12" s="1"/>
  <c r="B137" i="12" s="1"/>
  <c r="B34" i="12"/>
  <c r="B28" i="12" a="1"/>
  <c r="B28" i="12" s="1"/>
  <c r="B100" i="12" s="1"/>
  <c r="B21" i="12"/>
  <c r="B11" i="12"/>
  <c r="B7" i="12" a="1"/>
  <c r="B7" i="12" s="1"/>
  <c r="X4" i="12"/>
  <c r="AG2" i="12"/>
  <c r="AG3" i="12" s="1"/>
  <c r="AA2" i="12"/>
  <c r="AD2" i="12" s="1"/>
  <c r="B2" i="12"/>
  <c r="A1" i="12" a="1"/>
  <c r="A1" i="12" s="1"/>
  <c r="H16" i="7"/>
  <c r="H8" i="8"/>
  <c r="H7" i="8"/>
  <c r="F7" i="8"/>
  <c r="AJ2" i="12" s="1"/>
  <c r="AJ3" i="12" s="1"/>
  <c r="A149" i="9"/>
  <c r="A148" i="9"/>
  <c r="A147" i="9"/>
  <c r="A146" i="9"/>
  <c r="A145" i="9"/>
  <c r="I134" i="9"/>
  <c r="H134" i="9"/>
  <c r="G134" i="9"/>
  <c r="AY132" i="9"/>
  <c r="AX132" i="9"/>
  <c r="AW132" i="9"/>
  <c r="AV132" i="9"/>
  <c r="AU132" i="9"/>
  <c r="AT132" i="9"/>
  <c r="AS132" i="9"/>
  <c r="AR132" i="9"/>
  <c r="AQ132" i="9"/>
  <c r="AP132" i="9"/>
  <c r="AO132" i="9"/>
  <c r="AN132" i="9"/>
  <c r="AM132" i="9"/>
  <c r="AL132" i="9"/>
  <c r="AK132" i="9"/>
  <c r="AJ132" i="9"/>
  <c r="AI132" i="9"/>
  <c r="AH132" i="9"/>
  <c r="AG132" i="9"/>
  <c r="AF132" i="9"/>
  <c r="AE132" i="9"/>
  <c r="AD132" i="9"/>
  <c r="AC132" i="9"/>
  <c r="AB132" i="9"/>
  <c r="AA132" i="9"/>
  <c r="Z132" i="9"/>
  <c r="Y132" i="9"/>
  <c r="X132" i="9"/>
  <c r="W132" i="9"/>
  <c r="V132" i="9"/>
  <c r="U132" i="9"/>
  <c r="U133" i="9" s="1"/>
  <c r="T132" i="9"/>
  <c r="S132" i="9"/>
  <c r="R132" i="9"/>
  <c r="Q132" i="9"/>
  <c r="P132" i="9"/>
  <c r="O132" i="9"/>
  <c r="N132" i="9"/>
  <c r="M132" i="9"/>
  <c r="L132" i="9"/>
  <c r="K132" i="9"/>
  <c r="J132" i="9"/>
  <c r="I132" i="9"/>
  <c r="H132" i="9"/>
  <c r="G132" i="9"/>
  <c r="F132" i="9"/>
  <c r="E132" i="9"/>
  <c r="D132" i="9"/>
  <c r="C132" i="9"/>
  <c r="C133" i="9" s="1"/>
  <c r="BG130" i="9"/>
  <c r="BG131" i="9" s="1"/>
  <c r="BF130" i="9"/>
  <c r="BF131" i="9" s="1"/>
  <c r="BE130" i="9"/>
  <c r="BE131" i="9" s="1"/>
  <c r="BD130" i="9"/>
  <c r="BD131" i="9" s="1"/>
  <c r="BC130" i="9"/>
  <c r="BB130" i="9"/>
  <c r="BA130" i="9"/>
  <c r="AZ130" i="9"/>
  <c r="AY130" i="9"/>
  <c r="AY131" i="9" s="1"/>
  <c r="AX130" i="9"/>
  <c r="AW130" i="9"/>
  <c r="AV130" i="9"/>
  <c r="AU130" i="9"/>
  <c r="AT130" i="9"/>
  <c r="AT131" i="9" s="1"/>
  <c r="AS130" i="9"/>
  <c r="AR130" i="9"/>
  <c r="AQ130" i="9"/>
  <c r="AP130" i="9"/>
  <c r="AO130" i="9"/>
  <c r="AO131" i="9" s="1"/>
  <c r="AN130" i="9"/>
  <c r="AM130" i="9"/>
  <c r="AL130" i="9"/>
  <c r="AK130" i="9"/>
  <c r="AJ130" i="9"/>
  <c r="AJ131" i="9" s="1"/>
  <c r="AI130" i="9"/>
  <c r="AH130" i="9"/>
  <c r="AG130" i="9"/>
  <c r="AF130" i="9"/>
  <c r="AE130" i="9"/>
  <c r="AE131" i="9" s="1"/>
  <c r="AD130" i="9"/>
  <c r="AC130" i="9"/>
  <c r="AB130" i="9"/>
  <c r="AA130" i="9"/>
  <c r="Z130" i="9"/>
  <c r="Z131" i="9" s="1"/>
  <c r="Y130" i="9"/>
  <c r="X130" i="9"/>
  <c r="W130" i="9"/>
  <c r="V130" i="9"/>
  <c r="U130" i="9"/>
  <c r="U131" i="9" s="1"/>
  <c r="T130" i="9"/>
  <c r="S130" i="9"/>
  <c r="R130" i="9"/>
  <c r="Q130" i="9"/>
  <c r="P130" i="9"/>
  <c r="P131" i="9" s="1"/>
  <c r="O130" i="9"/>
  <c r="N130" i="9"/>
  <c r="M130" i="9"/>
  <c r="L130" i="9"/>
  <c r="K130" i="9"/>
  <c r="K131" i="9" s="1"/>
  <c r="J130" i="9"/>
  <c r="I130" i="9"/>
  <c r="H130" i="9"/>
  <c r="G130" i="9"/>
  <c r="F130" i="9"/>
  <c r="F131" i="9" s="1"/>
  <c r="E130" i="9"/>
  <c r="E131" i="9" s="1"/>
  <c r="D130" i="9"/>
  <c r="D131" i="9" s="1"/>
  <c r="C130" i="9"/>
  <c r="C131" i="9" s="1"/>
  <c r="I128" i="9"/>
  <c r="H128" i="9"/>
  <c r="G128" i="9"/>
  <c r="AY126" i="9"/>
  <c r="AX126" i="9"/>
  <c r="AW126" i="9"/>
  <c r="AV126" i="9"/>
  <c r="AU126" i="9"/>
  <c r="AT126" i="9"/>
  <c r="AS126" i="9"/>
  <c r="AR126" i="9"/>
  <c r="AQ126" i="9"/>
  <c r="AP126" i="9"/>
  <c r="AO126" i="9"/>
  <c r="AN126" i="9"/>
  <c r="AM126" i="9"/>
  <c r="AL126" i="9"/>
  <c r="AK126" i="9"/>
  <c r="AJ126" i="9"/>
  <c r="AI126" i="9"/>
  <c r="AH126" i="9"/>
  <c r="AG126" i="9"/>
  <c r="AF126" i="9"/>
  <c r="AE126" i="9"/>
  <c r="AD126" i="9"/>
  <c r="AC126" i="9"/>
  <c r="AB126" i="9"/>
  <c r="AA126" i="9"/>
  <c r="Z126" i="9"/>
  <c r="Y126" i="9"/>
  <c r="X126" i="9"/>
  <c r="W126" i="9"/>
  <c r="V126" i="9"/>
  <c r="U126" i="9"/>
  <c r="T126" i="9"/>
  <c r="S126" i="9"/>
  <c r="R126" i="9"/>
  <c r="Q126" i="9"/>
  <c r="P126" i="9"/>
  <c r="O126" i="9"/>
  <c r="N126" i="9"/>
  <c r="M126" i="9"/>
  <c r="L126" i="9"/>
  <c r="K126" i="9"/>
  <c r="K127" i="9" s="1"/>
  <c r="J126" i="9"/>
  <c r="I126" i="9"/>
  <c r="H126" i="9"/>
  <c r="G126" i="9"/>
  <c r="F126" i="9"/>
  <c r="E126" i="9"/>
  <c r="D126" i="9"/>
  <c r="C126" i="9"/>
  <c r="C127" i="9" s="1"/>
  <c r="AY123" i="9"/>
  <c r="AX123" i="9"/>
  <c r="AW123" i="9"/>
  <c r="AV123" i="9"/>
  <c r="AU123" i="9"/>
  <c r="AT123" i="9"/>
  <c r="AS123" i="9"/>
  <c r="AR123" i="9"/>
  <c r="AQ123" i="9"/>
  <c r="AP123" i="9"/>
  <c r="AO123" i="9"/>
  <c r="AN123" i="9"/>
  <c r="AM123" i="9"/>
  <c r="AL123" i="9"/>
  <c r="AK123" i="9"/>
  <c r="AJ123" i="9"/>
  <c r="AJ124" i="9" s="1"/>
  <c r="AI123" i="9"/>
  <c r="AH123" i="9"/>
  <c r="AG123" i="9"/>
  <c r="AF123" i="9"/>
  <c r="AE123" i="9"/>
  <c r="AD123" i="9"/>
  <c r="AC123" i="9"/>
  <c r="AB123" i="9"/>
  <c r="AA123" i="9"/>
  <c r="Z123" i="9"/>
  <c r="Y123" i="9"/>
  <c r="X123" i="9"/>
  <c r="W123" i="9"/>
  <c r="V123" i="9"/>
  <c r="U123" i="9"/>
  <c r="T123" i="9"/>
  <c r="S123" i="9"/>
  <c r="R123" i="9"/>
  <c r="Q123" i="9"/>
  <c r="P123" i="9"/>
  <c r="O123" i="9"/>
  <c r="N123" i="9"/>
  <c r="M123" i="9"/>
  <c r="L123" i="9"/>
  <c r="K123" i="9"/>
  <c r="J123" i="9"/>
  <c r="I123" i="9"/>
  <c r="H123" i="9"/>
  <c r="G123" i="9"/>
  <c r="F123" i="9"/>
  <c r="E123" i="9"/>
  <c r="D123" i="9"/>
  <c r="C123" i="9"/>
  <c r="C124" i="9" s="1"/>
  <c r="AU118" i="9"/>
  <c r="AT118" i="9"/>
  <c r="AR118" i="9"/>
  <c r="AQ118" i="9"/>
  <c r="AP118" i="9"/>
  <c r="AO118" i="9"/>
  <c r="AN118" i="9"/>
  <c r="AM118" i="9"/>
  <c r="AL118" i="9"/>
  <c r="AK118" i="9"/>
  <c r="AJ118" i="9"/>
  <c r="AI118" i="9"/>
  <c r="AH118" i="9"/>
  <c r="AG118" i="9"/>
  <c r="AF118" i="9"/>
  <c r="AE118" i="9"/>
  <c r="AE119" i="9" s="1"/>
  <c r="AD118" i="9"/>
  <c r="AC118" i="9"/>
  <c r="AB118" i="9"/>
  <c r="AA118" i="9"/>
  <c r="Z118" i="9"/>
  <c r="Y118" i="9"/>
  <c r="X118" i="9"/>
  <c r="W118" i="9"/>
  <c r="V118" i="9"/>
  <c r="U118" i="9"/>
  <c r="U119" i="9" s="1"/>
  <c r="T118" i="9"/>
  <c r="S118" i="9"/>
  <c r="R118" i="9"/>
  <c r="Q118" i="9"/>
  <c r="P118" i="9"/>
  <c r="O118" i="9"/>
  <c r="N118" i="9"/>
  <c r="M118" i="9"/>
  <c r="L118" i="9"/>
  <c r="K118" i="9"/>
  <c r="J118" i="9"/>
  <c r="I118" i="9"/>
  <c r="H118" i="9"/>
  <c r="G118" i="9"/>
  <c r="F118" i="9"/>
  <c r="E118" i="9"/>
  <c r="E119" i="9" s="1"/>
  <c r="D118" i="9"/>
  <c r="C118" i="9"/>
  <c r="C119" i="9" s="1"/>
  <c r="AU111" i="9"/>
  <c r="AT111" i="9"/>
  <c r="AR111" i="9"/>
  <c r="AQ111" i="9"/>
  <c r="AP111" i="9"/>
  <c r="AO111" i="9"/>
  <c r="AN111" i="9"/>
  <c r="AM111" i="9"/>
  <c r="AL111" i="9"/>
  <c r="AK111" i="9"/>
  <c r="AJ111" i="9"/>
  <c r="AI111" i="9"/>
  <c r="AH111" i="9"/>
  <c r="AG111" i="9"/>
  <c r="AF111" i="9"/>
  <c r="AE111" i="9"/>
  <c r="AD111" i="9"/>
  <c r="AC111" i="9"/>
  <c r="AB111" i="9"/>
  <c r="AA111" i="9"/>
  <c r="Z111" i="9"/>
  <c r="Y111" i="9"/>
  <c r="X111" i="9"/>
  <c r="W111" i="9"/>
  <c r="V111" i="9"/>
  <c r="U111" i="9"/>
  <c r="T111" i="9"/>
  <c r="S111" i="9"/>
  <c r="R111" i="9"/>
  <c r="Q111" i="9"/>
  <c r="P111" i="9"/>
  <c r="O111" i="9"/>
  <c r="N111" i="9"/>
  <c r="M111" i="9"/>
  <c r="L111" i="9"/>
  <c r="K111" i="9"/>
  <c r="J111" i="9"/>
  <c r="F111" i="9"/>
  <c r="E111" i="9"/>
  <c r="D111" i="9"/>
  <c r="C111" i="9"/>
  <c r="BG104" i="9"/>
  <c r="BF104" i="9"/>
  <c r="BE104" i="9"/>
  <c r="BD104" i="9"/>
  <c r="BC104" i="9"/>
  <c r="BB104" i="9"/>
  <c r="BA104" i="9"/>
  <c r="AZ104" i="9"/>
  <c r="AY104" i="9"/>
  <c r="AX104" i="9"/>
  <c r="AW104" i="9"/>
  <c r="AV104" i="9"/>
  <c r="AU104" i="9"/>
  <c r="AT104" i="9"/>
  <c r="AS104" i="9"/>
  <c r="AR104" i="9"/>
  <c r="AQ104" i="9"/>
  <c r="AP104" i="9"/>
  <c r="AO104" i="9"/>
  <c r="AN104" i="9"/>
  <c r="AM104" i="9"/>
  <c r="AL104" i="9"/>
  <c r="AK104" i="9"/>
  <c r="AJ104" i="9"/>
  <c r="AI104" i="9"/>
  <c r="AH104" i="9"/>
  <c r="AG104" i="9"/>
  <c r="AF104" i="9"/>
  <c r="AE104" i="9"/>
  <c r="AD104" i="9"/>
  <c r="AC104" i="9"/>
  <c r="AB104" i="9"/>
  <c r="AA104" i="9"/>
  <c r="Z104" i="9"/>
  <c r="Y104" i="9"/>
  <c r="X104" i="9"/>
  <c r="W104" i="9"/>
  <c r="V104" i="9"/>
  <c r="U104" i="9"/>
  <c r="T104" i="9"/>
  <c r="S104" i="9"/>
  <c r="R104" i="9"/>
  <c r="Q104" i="9"/>
  <c r="P104" i="9"/>
  <c r="O104" i="9"/>
  <c r="N104" i="9"/>
  <c r="M104" i="9"/>
  <c r="L104" i="9"/>
  <c r="K104" i="9"/>
  <c r="J104" i="9"/>
  <c r="I104" i="9"/>
  <c r="H104" i="9"/>
  <c r="G104" i="9"/>
  <c r="F104" i="9"/>
  <c r="E104" i="9"/>
  <c r="D104" i="9"/>
  <c r="C104" i="9"/>
  <c r="BG99" i="9"/>
  <c r="BF99" i="9"/>
  <c r="BE99" i="9"/>
  <c r="BD99" i="9"/>
  <c r="BC99" i="9"/>
  <c r="BB99" i="9"/>
  <c r="BA99" i="9"/>
  <c r="AZ99" i="9"/>
  <c r="AY99" i="9"/>
  <c r="AX99" i="9"/>
  <c r="AW99" i="9"/>
  <c r="AV99" i="9"/>
  <c r="AU99" i="9"/>
  <c r="AT99" i="9"/>
  <c r="AS99" i="9"/>
  <c r="AR99" i="9"/>
  <c r="AQ99" i="9"/>
  <c r="AP99" i="9"/>
  <c r="AO99" i="9"/>
  <c r="AN99" i="9"/>
  <c r="AM99" i="9"/>
  <c r="AL99" i="9"/>
  <c r="AK99" i="9"/>
  <c r="AJ99" i="9"/>
  <c r="AI99" i="9"/>
  <c r="AH99" i="9"/>
  <c r="AG99" i="9"/>
  <c r="AF99" i="9"/>
  <c r="AE99" i="9"/>
  <c r="AD99" i="9"/>
  <c r="AC99" i="9"/>
  <c r="AB99" i="9"/>
  <c r="AA99" i="9"/>
  <c r="Z99" i="9"/>
  <c r="Y99" i="9"/>
  <c r="X99" i="9"/>
  <c r="W99" i="9"/>
  <c r="V99" i="9"/>
  <c r="U99" i="9"/>
  <c r="T99" i="9"/>
  <c r="S99" i="9"/>
  <c r="R99" i="9"/>
  <c r="Q99" i="9"/>
  <c r="P99" i="9"/>
  <c r="O99" i="9"/>
  <c r="N99" i="9"/>
  <c r="M99" i="9"/>
  <c r="L99" i="9"/>
  <c r="K99" i="9"/>
  <c r="J99" i="9"/>
  <c r="I99" i="9"/>
  <c r="H99" i="9"/>
  <c r="G99" i="9"/>
  <c r="F99" i="9"/>
  <c r="E99" i="9"/>
  <c r="D99" i="9"/>
  <c r="C99" i="9"/>
  <c r="BG98" i="9"/>
  <c r="BF98" i="9"/>
  <c r="BE98" i="9"/>
  <c r="BD98" i="9"/>
  <c r="BC98" i="9"/>
  <c r="BB98" i="9"/>
  <c r="BA98" i="9"/>
  <c r="AZ98" i="9"/>
  <c r="AY98" i="9"/>
  <c r="AX98" i="9"/>
  <c r="AW98" i="9"/>
  <c r="AV98" i="9"/>
  <c r="AU98" i="9"/>
  <c r="AT98" i="9"/>
  <c r="AS98" i="9"/>
  <c r="AR98" i="9"/>
  <c r="AQ98" i="9"/>
  <c r="AP98" i="9"/>
  <c r="AO98" i="9"/>
  <c r="AN98" i="9"/>
  <c r="AM98" i="9"/>
  <c r="AL98" i="9"/>
  <c r="AK98" i="9"/>
  <c r="AJ98" i="9"/>
  <c r="AI98" i="9"/>
  <c r="AH98" i="9"/>
  <c r="AG98" i="9"/>
  <c r="AF98" i="9"/>
  <c r="AE98" i="9"/>
  <c r="AD98" i="9"/>
  <c r="AC98" i="9"/>
  <c r="AB98" i="9"/>
  <c r="AA98" i="9"/>
  <c r="Z98" i="9"/>
  <c r="Y98" i="9"/>
  <c r="X98" i="9"/>
  <c r="W98" i="9"/>
  <c r="V98" i="9"/>
  <c r="U98" i="9"/>
  <c r="T98" i="9"/>
  <c r="S98" i="9"/>
  <c r="R98" i="9"/>
  <c r="Q98" i="9"/>
  <c r="P98" i="9"/>
  <c r="O98" i="9"/>
  <c r="N98" i="9"/>
  <c r="M98" i="9"/>
  <c r="L98" i="9"/>
  <c r="K98" i="9"/>
  <c r="J98" i="9"/>
  <c r="I98" i="9"/>
  <c r="H98" i="9"/>
  <c r="G98" i="9"/>
  <c r="F98" i="9"/>
  <c r="E98" i="9"/>
  <c r="D98" i="9"/>
  <c r="C98" i="9"/>
  <c r="BG97" i="9"/>
  <c r="BF97" i="9"/>
  <c r="BE97" i="9"/>
  <c r="BD97" i="9"/>
  <c r="BC97" i="9"/>
  <c r="BB97" i="9"/>
  <c r="BA97" i="9"/>
  <c r="AZ97" i="9"/>
  <c r="AY97" i="9"/>
  <c r="AX97" i="9"/>
  <c r="AW97" i="9"/>
  <c r="AV97" i="9"/>
  <c r="AU97" i="9"/>
  <c r="AT97" i="9"/>
  <c r="AS97" i="9"/>
  <c r="AR97" i="9"/>
  <c r="AQ97" i="9"/>
  <c r="AP97" i="9"/>
  <c r="AO97" i="9"/>
  <c r="AN97" i="9"/>
  <c r="AM97" i="9"/>
  <c r="AL97" i="9"/>
  <c r="AK97" i="9"/>
  <c r="AJ97" i="9"/>
  <c r="AI97" i="9"/>
  <c r="AH97" i="9"/>
  <c r="AG97" i="9"/>
  <c r="AF97" i="9"/>
  <c r="AE97" i="9"/>
  <c r="AD97" i="9"/>
  <c r="AC97" i="9"/>
  <c r="AB97" i="9"/>
  <c r="AA97" i="9"/>
  <c r="Z97" i="9"/>
  <c r="Y97" i="9"/>
  <c r="X97" i="9"/>
  <c r="W97" i="9"/>
  <c r="V97" i="9"/>
  <c r="U97" i="9"/>
  <c r="T97" i="9"/>
  <c r="S97" i="9"/>
  <c r="R97" i="9"/>
  <c r="Q97" i="9"/>
  <c r="P97" i="9"/>
  <c r="O97" i="9"/>
  <c r="N97" i="9"/>
  <c r="M97" i="9"/>
  <c r="L97" i="9"/>
  <c r="K97" i="9"/>
  <c r="J97" i="9"/>
  <c r="I97" i="9"/>
  <c r="H97" i="9"/>
  <c r="G97" i="9"/>
  <c r="F97" i="9"/>
  <c r="E97" i="9"/>
  <c r="D97" i="9"/>
  <c r="C97" i="9"/>
  <c r="BG96" i="9"/>
  <c r="BF96" i="9"/>
  <c r="BE96" i="9"/>
  <c r="BD96" i="9"/>
  <c r="BC96" i="9"/>
  <c r="BB96" i="9"/>
  <c r="BA96" i="9"/>
  <c r="AZ96" i="9"/>
  <c r="AY96" i="9"/>
  <c r="AX96" i="9"/>
  <c r="AW96" i="9"/>
  <c r="AV96" i="9"/>
  <c r="AU96" i="9"/>
  <c r="AT96" i="9"/>
  <c r="AS96" i="9"/>
  <c r="AR96" i="9"/>
  <c r="AQ96" i="9"/>
  <c r="AP96" i="9"/>
  <c r="AO96" i="9"/>
  <c r="AN96" i="9"/>
  <c r="AM96" i="9"/>
  <c r="AL96" i="9"/>
  <c r="AK96" i="9"/>
  <c r="AJ96" i="9"/>
  <c r="AI96" i="9"/>
  <c r="AH96" i="9"/>
  <c r="AG96" i="9"/>
  <c r="AF96" i="9"/>
  <c r="AE96" i="9"/>
  <c r="AD96" i="9"/>
  <c r="AC96" i="9"/>
  <c r="AB96" i="9"/>
  <c r="AA96" i="9"/>
  <c r="Z96" i="9"/>
  <c r="Y96" i="9"/>
  <c r="X96" i="9"/>
  <c r="W96" i="9"/>
  <c r="V96" i="9"/>
  <c r="U96" i="9"/>
  <c r="T96" i="9"/>
  <c r="S96" i="9"/>
  <c r="R96" i="9"/>
  <c r="Q96" i="9"/>
  <c r="P96" i="9"/>
  <c r="O96" i="9"/>
  <c r="N96" i="9"/>
  <c r="M96" i="9"/>
  <c r="L96" i="9"/>
  <c r="K96" i="9"/>
  <c r="J96" i="9"/>
  <c r="I96" i="9"/>
  <c r="H96" i="9"/>
  <c r="G96" i="9"/>
  <c r="F96" i="9"/>
  <c r="E96" i="9"/>
  <c r="D96" i="9"/>
  <c r="C96" i="9"/>
  <c r="BG95" i="9"/>
  <c r="BF95" i="9"/>
  <c r="BE95" i="9"/>
  <c r="BD95" i="9"/>
  <c r="BC95" i="9"/>
  <c r="BB95" i="9"/>
  <c r="BA95" i="9"/>
  <c r="AZ95" i="9"/>
  <c r="AY95" i="9"/>
  <c r="AX95" i="9"/>
  <c r="AW95" i="9"/>
  <c r="AV95" i="9"/>
  <c r="AU95" i="9"/>
  <c r="AT95" i="9"/>
  <c r="AS95" i="9"/>
  <c r="AR95" i="9"/>
  <c r="AQ95" i="9"/>
  <c r="AP95" i="9"/>
  <c r="AO95" i="9"/>
  <c r="AN95" i="9"/>
  <c r="AM95" i="9"/>
  <c r="AL95" i="9"/>
  <c r="AK95" i="9"/>
  <c r="AJ95" i="9"/>
  <c r="AI95" i="9"/>
  <c r="AH95" i="9"/>
  <c r="AG95" i="9"/>
  <c r="AF95" i="9"/>
  <c r="AE95" i="9"/>
  <c r="AD95" i="9"/>
  <c r="AC95" i="9"/>
  <c r="AB95" i="9"/>
  <c r="AA95" i="9"/>
  <c r="Z95" i="9"/>
  <c r="Y95" i="9"/>
  <c r="X95" i="9"/>
  <c r="W95" i="9"/>
  <c r="V95" i="9"/>
  <c r="U95" i="9"/>
  <c r="T95" i="9"/>
  <c r="S95" i="9"/>
  <c r="R95" i="9"/>
  <c r="Q95" i="9"/>
  <c r="P95" i="9"/>
  <c r="O95" i="9"/>
  <c r="N95" i="9"/>
  <c r="M95" i="9"/>
  <c r="L95" i="9"/>
  <c r="K95" i="9"/>
  <c r="J95" i="9"/>
  <c r="I95" i="9"/>
  <c r="H95" i="9"/>
  <c r="G95" i="9"/>
  <c r="F95" i="9"/>
  <c r="E95" i="9"/>
  <c r="D95" i="9"/>
  <c r="C95" i="9"/>
  <c r="A95" i="9"/>
  <c r="BG94" i="9"/>
  <c r="BF94" i="9"/>
  <c r="BE94" i="9"/>
  <c r="BD94" i="9"/>
  <c r="BC94" i="9"/>
  <c r="BB94" i="9"/>
  <c r="BA94" i="9"/>
  <c r="AZ94" i="9"/>
  <c r="AY94" i="9"/>
  <c r="AX94" i="9"/>
  <c r="AW94" i="9"/>
  <c r="AV94" i="9"/>
  <c r="AU94" i="9"/>
  <c r="AT94" i="9"/>
  <c r="AS94" i="9"/>
  <c r="AR94" i="9"/>
  <c r="AQ94" i="9"/>
  <c r="AP94" i="9"/>
  <c r="AO94" i="9"/>
  <c r="AN94" i="9"/>
  <c r="AM94" i="9"/>
  <c r="AL94" i="9"/>
  <c r="AK94" i="9"/>
  <c r="AJ94" i="9"/>
  <c r="AI94" i="9"/>
  <c r="AH94" i="9"/>
  <c r="AG94" i="9"/>
  <c r="AF94" i="9"/>
  <c r="AE94" i="9"/>
  <c r="AD94" i="9"/>
  <c r="AC94" i="9"/>
  <c r="AB94" i="9"/>
  <c r="AA94" i="9"/>
  <c r="Z94" i="9"/>
  <c r="Y94" i="9"/>
  <c r="X94" i="9"/>
  <c r="W94" i="9"/>
  <c r="V94" i="9"/>
  <c r="U94" i="9"/>
  <c r="T94" i="9"/>
  <c r="S94" i="9"/>
  <c r="R94" i="9"/>
  <c r="Q94" i="9"/>
  <c r="P94" i="9"/>
  <c r="O94" i="9"/>
  <c r="N94" i="9"/>
  <c r="M94" i="9"/>
  <c r="L94" i="9"/>
  <c r="K94" i="9"/>
  <c r="J94" i="9"/>
  <c r="I94" i="9"/>
  <c r="H94" i="9"/>
  <c r="G94" i="9"/>
  <c r="F94" i="9"/>
  <c r="E94" i="9"/>
  <c r="D94" i="9"/>
  <c r="C94" i="9"/>
  <c r="A94" i="9"/>
  <c r="AY92" i="9"/>
  <c r="AU92" i="9"/>
  <c r="AT92" i="9"/>
  <c r="AS92" i="9"/>
  <c r="AR92" i="9"/>
  <c r="AQ92" i="9"/>
  <c r="AP92" i="9"/>
  <c r="AO92" i="9"/>
  <c r="AN92" i="9"/>
  <c r="AM92" i="9"/>
  <c r="AL92" i="9"/>
  <c r="AK92" i="9"/>
  <c r="AJ92" i="9"/>
  <c r="AI92" i="9"/>
  <c r="AH92" i="9"/>
  <c r="AG92" i="9"/>
  <c r="AF92" i="9"/>
  <c r="AE92" i="9"/>
  <c r="AD92" i="9"/>
  <c r="AC92" i="9"/>
  <c r="AB92" i="9"/>
  <c r="AA92" i="9"/>
  <c r="Z92" i="9"/>
  <c r="Y92" i="9"/>
  <c r="X92" i="9"/>
  <c r="W92" i="9"/>
  <c r="V92" i="9"/>
  <c r="U92" i="9"/>
  <c r="T92" i="9"/>
  <c r="S92" i="9"/>
  <c r="R92" i="9"/>
  <c r="Q92" i="9"/>
  <c r="P92" i="9"/>
  <c r="O92" i="9"/>
  <c r="N92" i="9"/>
  <c r="M92" i="9"/>
  <c r="L92" i="9"/>
  <c r="K92" i="9"/>
  <c r="J92" i="9"/>
  <c r="I92" i="9"/>
  <c r="H92" i="9"/>
  <c r="G92" i="9"/>
  <c r="F92" i="9"/>
  <c r="E92" i="9"/>
  <c r="D92" i="9"/>
  <c r="C92" i="9"/>
  <c r="A92" i="9"/>
  <c r="AY90" i="9"/>
  <c r="AX90" i="9"/>
  <c r="AW90" i="9"/>
  <c r="AV90" i="9"/>
  <c r="AU90" i="9"/>
  <c r="AT90" i="9"/>
  <c r="AS90" i="9"/>
  <c r="AR90" i="9"/>
  <c r="AQ90" i="9"/>
  <c r="AP90" i="9"/>
  <c r="AO90" i="9"/>
  <c r="AN90" i="9"/>
  <c r="AM90" i="9"/>
  <c r="AL90" i="9"/>
  <c r="AK90" i="9"/>
  <c r="AJ90" i="9"/>
  <c r="AI90" i="9"/>
  <c r="AH90" i="9"/>
  <c r="AG90" i="9"/>
  <c r="AF90" i="9"/>
  <c r="AE90" i="9"/>
  <c r="AD90" i="9"/>
  <c r="AC90" i="9"/>
  <c r="AB90" i="9"/>
  <c r="AA90" i="9"/>
  <c r="Z90" i="9"/>
  <c r="Y90" i="9"/>
  <c r="X90" i="9"/>
  <c r="W90" i="9"/>
  <c r="V90" i="9"/>
  <c r="U90" i="9"/>
  <c r="T90" i="9"/>
  <c r="S90" i="9"/>
  <c r="R90" i="9"/>
  <c r="Q90" i="9"/>
  <c r="P90" i="9"/>
  <c r="O90" i="9"/>
  <c r="N90" i="9"/>
  <c r="M90" i="9"/>
  <c r="L90" i="9"/>
  <c r="K90" i="9"/>
  <c r="J90" i="9"/>
  <c r="I90" i="9"/>
  <c r="H90" i="9"/>
  <c r="G90" i="9"/>
  <c r="F90" i="9"/>
  <c r="E90" i="9"/>
  <c r="D90" i="9"/>
  <c r="C90" i="9"/>
  <c r="A90" i="9"/>
  <c r="AY89" i="9"/>
  <c r="AY113" i="9" s="1"/>
  <c r="AY110" i="9" s="1"/>
  <c r="AX89" i="9"/>
  <c r="AW89" i="9"/>
  <c r="AV89" i="9"/>
  <c r="AU89" i="9"/>
  <c r="AT89" i="9"/>
  <c r="AS89" i="9"/>
  <c r="AS91" i="9" s="1"/>
  <c r="AR89" i="9"/>
  <c r="AQ89" i="9"/>
  <c r="AP89" i="9"/>
  <c r="AO89" i="9"/>
  <c r="AN89" i="9"/>
  <c r="AM89" i="9"/>
  <c r="AL89" i="9"/>
  <c r="AK89" i="9"/>
  <c r="AJ89" i="9"/>
  <c r="AJ113" i="9" s="1"/>
  <c r="AJ110" i="9" s="1"/>
  <c r="AI89" i="9"/>
  <c r="AH89" i="9"/>
  <c r="AG89" i="9"/>
  <c r="AG91" i="9" s="1"/>
  <c r="AF89" i="9"/>
  <c r="AE89" i="9"/>
  <c r="AD89" i="9"/>
  <c r="AC89" i="9"/>
  <c r="AB89" i="9"/>
  <c r="AA89" i="9"/>
  <c r="Z89" i="9"/>
  <c r="Y89" i="9"/>
  <c r="X89" i="9"/>
  <c r="W89" i="9"/>
  <c r="V89" i="9"/>
  <c r="U89" i="9"/>
  <c r="U91" i="9" s="1"/>
  <c r="T89" i="9"/>
  <c r="S89" i="9"/>
  <c r="R89" i="9"/>
  <c r="Q89" i="9"/>
  <c r="Q91" i="9" s="1"/>
  <c r="P89" i="9"/>
  <c r="O89" i="9"/>
  <c r="N89" i="9"/>
  <c r="M89" i="9"/>
  <c r="L89" i="9"/>
  <c r="K89" i="9"/>
  <c r="J89" i="9"/>
  <c r="J91" i="9" s="1"/>
  <c r="I89" i="9"/>
  <c r="I91" i="9" s="1"/>
  <c r="H89" i="9"/>
  <c r="G89" i="9"/>
  <c r="F89" i="9"/>
  <c r="E89" i="9"/>
  <c r="D89" i="9"/>
  <c r="C89" i="9"/>
  <c r="A89" i="9"/>
  <c r="A86" i="9"/>
  <c r="A85" i="9"/>
  <c r="A83" i="9"/>
  <c r="A82" i="9"/>
  <c r="A81" i="9"/>
  <c r="A80" i="9"/>
  <c r="AY77" i="9"/>
  <c r="AX77" i="9"/>
  <c r="AX106" i="9" s="1"/>
  <c r="AW77" i="9"/>
  <c r="AV77" i="9"/>
  <c r="AV106" i="9" s="1"/>
  <c r="AU77" i="9"/>
  <c r="AU106" i="9" s="1"/>
  <c r="AT77" i="9"/>
  <c r="AS77" i="9"/>
  <c r="AR77" i="9"/>
  <c r="AQ77" i="9"/>
  <c r="AP77" i="9"/>
  <c r="AP106" i="9" s="1"/>
  <c r="AO77" i="9"/>
  <c r="AO106" i="9" s="1"/>
  <c r="AN77" i="9"/>
  <c r="AM77" i="9"/>
  <c r="AL77" i="9"/>
  <c r="AL106" i="9" s="1"/>
  <c r="AK77" i="9"/>
  <c r="AJ77" i="9"/>
  <c r="AJ106" i="9" s="1"/>
  <c r="AI77" i="9"/>
  <c r="AI106" i="9" s="1"/>
  <c r="AH77" i="9"/>
  <c r="AG77" i="9"/>
  <c r="AF77" i="9"/>
  <c r="AE77" i="9"/>
  <c r="AD77" i="9"/>
  <c r="AD106" i="9" s="1"/>
  <c r="AC77" i="9"/>
  <c r="AC106" i="9" s="1"/>
  <c r="AB77" i="9"/>
  <c r="AA77" i="9"/>
  <c r="Z77" i="9"/>
  <c r="Z106" i="9" s="1"/>
  <c r="Y77" i="9"/>
  <c r="X77" i="9"/>
  <c r="X106" i="9" s="1"/>
  <c r="W77" i="9"/>
  <c r="W106" i="9" s="1"/>
  <c r="V77" i="9"/>
  <c r="U77" i="9"/>
  <c r="T77" i="9"/>
  <c r="S77" i="9"/>
  <c r="R77" i="9"/>
  <c r="R106" i="9" s="1"/>
  <c r="Q77" i="9"/>
  <c r="Q106" i="9" s="1"/>
  <c r="P77" i="9"/>
  <c r="O77" i="9"/>
  <c r="N77" i="9"/>
  <c r="N106" i="9" s="1"/>
  <c r="M77" i="9"/>
  <c r="L77" i="9"/>
  <c r="L106" i="9" s="1"/>
  <c r="K77" i="9"/>
  <c r="K106" i="9" s="1"/>
  <c r="J77" i="9"/>
  <c r="I77" i="9"/>
  <c r="H77" i="9"/>
  <c r="G77" i="9"/>
  <c r="F77" i="9"/>
  <c r="F106" i="9" s="1"/>
  <c r="E77" i="9"/>
  <c r="E106" i="9" s="1"/>
  <c r="D77" i="9"/>
  <c r="C77" i="9"/>
  <c r="A77" i="9"/>
  <c r="AY76" i="9"/>
  <c r="AX76" i="9"/>
  <c r="AW76" i="9"/>
  <c r="AV76" i="9"/>
  <c r="AU76" i="9"/>
  <c r="AT76" i="9"/>
  <c r="AS76" i="9"/>
  <c r="AR76" i="9"/>
  <c r="AQ76" i="9"/>
  <c r="AP76" i="9"/>
  <c r="AO76" i="9"/>
  <c r="AN76" i="9"/>
  <c r="AM76" i="9"/>
  <c r="AL76" i="9"/>
  <c r="AK76" i="9"/>
  <c r="AJ76" i="9"/>
  <c r="AI76" i="9"/>
  <c r="AH76" i="9"/>
  <c r="AG76" i="9"/>
  <c r="AF76" i="9"/>
  <c r="AE76" i="9"/>
  <c r="AD76" i="9"/>
  <c r="AC76" i="9"/>
  <c r="AB76" i="9"/>
  <c r="AA76" i="9"/>
  <c r="Z76" i="9"/>
  <c r="Y76" i="9"/>
  <c r="X76" i="9"/>
  <c r="W76" i="9"/>
  <c r="V76" i="9"/>
  <c r="U76" i="9"/>
  <c r="T76" i="9"/>
  <c r="S76" i="9"/>
  <c r="R76" i="9"/>
  <c r="Q76" i="9"/>
  <c r="P76" i="9"/>
  <c r="O76" i="9"/>
  <c r="N76" i="9"/>
  <c r="M76" i="9"/>
  <c r="L76" i="9"/>
  <c r="K76" i="9"/>
  <c r="J76" i="9"/>
  <c r="I76" i="9"/>
  <c r="H76" i="9"/>
  <c r="G76" i="9"/>
  <c r="F76" i="9"/>
  <c r="E76" i="9"/>
  <c r="D76" i="9"/>
  <c r="C76" i="9"/>
  <c r="A76" i="9"/>
  <c r="BG75" i="9"/>
  <c r="BF75" i="9"/>
  <c r="BE75" i="9"/>
  <c r="BD75" i="9"/>
  <c r="BC75" i="9"/>
  <c r="BB75" i="9"/>
  <c r="BA75" i="9"/>
  <c r="AZ75" i="9"/>
  <c r="AY75" i="9"/>
  <c r="AX75" i="9"/>
  <c r="AW75" i="9"/>
  <c r="AV75" i="9"/>
  <c r="AU75" i="9"/>
  <c r="AT75" i="9"/>
  <c r="AS75" i="9"/>
  <c r="AR75" i="9"/>
  <c r="AQ75" i="9"/>
  <c r="AP75" i="9"/>
  <c r="AO75" i="9"/>
  <c r="AN75" i="9"/>
  <c r="AM75" i="9"/>
  <c r="AL75" i="9"/>
  <c r="AK75" i="9"/>
  <c r="AJ75" i="9"/>
  <c r="AI75" i="9"/>
  <c r="AH75" i="9"/>
  <c r="AG75" i="9"/>
  <c r="AF75" i="9"/>
  <c r="AE75" i="9"/>
  <c r="AD75" i="9"/>
  <c r="AC75" i="9"/>
  <c r="AB75" i="9"/>
  <c r="AA75" i="9"/>
  <c r="Z75" i="9"/>
  <c r="Y75" i="9"/>
  <c r="X75" i="9"/>
  <c r="W75" i="9"/>
  <c r="V75" i="9"/>
  <c r="U75" i="9"/>
  <c r="T75" i="9"/>
  <c r="S75" i="9"/>
  <c r="R75" i="9"/>
  <c r="Q75" i="9"/>
  <c r="P75" i="9"/>
  <c r="O75" i="9"/>
  <c r="N75" i="9"/>
  <c r="M75" i="9"/>
  <c r="L75" i="9"/>
  <c r="K75" i="9"/>
  <c r="J75" i="9"/>
  <c r="I75" i="9"/>
  <c r="H75" i="9"/>
  <c r="G75" i="9"/>
  <c r="F75" i="9"/>
  <c r="E75" i="9"/>
  <c r="D75" i="9"/>
  <c r="C75" i="9"/>
  <c r="A75" i="9"/>
  <c r="BG74" i="9"/>
  <c r="BF74" i="9"/>
  <c r="BE74" i="9"/>
  <c r="BD74" i="9"/>
  <c r="BC74" i="9"/>
  <c r="BB74" i="9"/>
  <c r="BA74" i="9"/>
  <c r="AZ74" i="9"/>
  <c r="AY74" i="9"/>
  <c r="AX74" i="9"/>
  <c r="AW74" i="9"/>
  <c r="AV74" i="9"/>
  <c r="AU74" i="9"/>
  <c r="AT74" i="9"/>
  <c r="AS74" i="9"/>
  <c r="AR74" i="9"/>
  <c r="AQ74" i="9"/>
  <c r="AP74" i="9"/>
  <c r="AO74" i="9"/>
  <c r="AN74" i="9"/>
  <c r="AM74" i="9"/>
  <c r="AL74" i="9"/>
  <c r="AK74" i="9"/>
  <c r="AJ74" i="9"/>
  <c r="AI74" i="9"/>
  <c r="AH74" i="9"/>
  <c r="AG74" i="9"/>
  <c r="AF74" i="9"/>
  <c r="AE74" i="9"/>
  <c r="AD74" i="9"/>
  <c r="AC74" i="9"/>
  <c r="AB74" i="9"/>
  <c r="AA74" i="9"/>
  <c r="Z74" i="9"/>
  <c r="Y74" i="9"/>
  <c r="X74" i="9"/>
  <c r="W74" i="9"/>
  <c r="V74" i="9"/>
  <c r="U74" i="9"/>
  <c r="T74" i="9"/>
  <c r="S74" i="9"/>
  <c r="R74" i="9"/>
  <c r="Q74" i="9"/>
  <c r="P74" i="9"/>
  <c r="O74" i="9"/>
  <c r="N74" i="9"/>
  <c r="M74" i="9"/>
  <c r="L74" i="9"/>
  <c r="K74" i="9"/>
  <c r="J74" i="9"/>
  <c r="I74" i="9"/>
  <c r="H74" i="9"/>
  <c r="G74" i="9"/>
  <c r="F74" i="9"/>
  <c r="E74" i="9"/>
  <c r="D74" i="9"/>
  <c r="C74" i="9"/>
  <c r="A70" i="9"/>
  <c r="BG69" i="9"/>
  <c r="BF69" i="9"/>
  <c r="BE69" i="9"/>
  <c r="BD69" i="9"/>
  <c r="BC69" i="9"/>
  <c r="BB69" i="9"/>
  <c r="BA69" i="9"/>
  <c r="AZ69" i="9"/>
  <c r="AY69" i="9"/>
  <c r="AX69" i="9"/>
  <c r="AW69" i="9"/>
  <c r="AV69" i="9"/>
  <c r="AU69" i="9"/>
  <c r="AT69" i="9"/>
  <c r="AS69" i="9"/>
  <c r="AR69" i="9"/>
  <c r="AQ69" i="9"/>
  <c r="AP69" i="9"/>
  <c r="AO69" i="9"/>
  <c r="AN69" i="9"/>
  <c r="AM69" i="9"/>
  <c r="AL69" i="9"/>
  <c r="AK69" i="9"/>
  <c r="AJ69" i="9"/>
  <c r="AI69" i="9"/>
  <c r="AH69" i="9"/>
  <c r="AG69" i="9"/>
  <c r="AF69" i="9"/>
  <c r="AE69" i="9"/>
  <c r="AD69" i="9"/>
  <c r="AC69" i="9"/>
  <c r="AB69" i="9"/>
  <c r="AA69" i="9"/>
  <c r="Z69" i="9"/>
  <c r="Y69" i="9"/>
  <c r="X69" i="9"/>
  <c r="W69" i="9"/>
  <c r="V69" i="9"/>
  <c r="U69" i="9"/>
  <c r="T69" i="9"/>
  <c r="S69" i="9"/>
  <c r="R69" i="9"/>
  <c r="Q69" i="9"/>
  <c r="P69" i="9"/>
  <c r="O69" i="9"/>
  <c r="N69" i="9"/>
  <c r="M69" i="9"/>
  <c r="L69" i="9"/>
  <c r="K69" i="9"/>
  <c r="J69" i="9"/>
  <c r="I69" i="9"/>
  <c r="H69" i="9"/>
  <c r="G69" i="9"/>
  <c r="F69" i="9"/>
  <c r="E69" i="9"/>
  <c r="D69" i="9"/>
  <c r="C69" i="9"/>
  <c r="A69" i="9"/>
  <c r="BG68" i="9"/>
  <c r="BF68" i="9"/>
  <c r="BE68" i="9"/>
  <c r="BD68" i="9"/>
  <c r="BC68" i="9"/>
  <c r="BB68" i="9"/>
  <c r="BA68" i="9"/>
  <c r="AZ68" i="9"/>
  <c r="AY68" i="9"/>
  <c r="AX68" i="9"/>
  <c r="AW68" i="9"/>
  <c r="AV68" i="9"/>
  <c r="AU68" i="9"/>
  <c r="AT68" i="9"/>
  <c r="AS68" i="9"/>
  <c r="AR68" i="9"/>
  <c r="AQ68" i="9"/>
  <c r="AP68" i="9"/>
  <c r="AO68" i="9"/>
  <c r="AN68" i="9"/>
  <c r="AM68" i="9"/>
  <c r="AL68" i="9"/>
  <c r="AK68" i="9"/>
  <c r="AJ68" i="9"/>
  <c r="AI68" i="9"/>
  <c r="AH68" i="9"/>
  <c r="AG68" i="9"/>
  <c r="AF68" i="9"/>
  <c r="AE68" i="9"/>
  <c r="AD68" i="9"/>
  <c r="AC68" i="9"/>
  <c r="AB68" i="9"/>
  <c r="AA68" i="9"/>
  <c r="Z68" i="9"/>
  <c r="Y68" i="9"/>
  <c r="X68" i="9"/>
  <c r="W68" i="9"/>
  <c r="V68" i="9"/>
  <c r="U68" i="9"/>
  <c r="T68" i="9"/>
  <c r="S68" i="9"/>
  <c r="R68" i="9"/>
  <c r="Q68" i="9"/>
  <c r="P68" i="9"/>
  <c r="O68" i="9"/>
  <c r="N68" i="9"/>
  <c r="M68" i="9"/>
  <c r="L68" i="9"/>
  <c r="K68" i="9"/>
  <c r="J68" i="9"/>
  <c r="I68" i="9"/>
  <c r="H68" i="9"/>
  <c r="G68" i="9"/>
  <c r="F68" i="9"/>
  <c r="E68" i="9"/>
  <c r="D68" i="9"/>
  <c r="C68" i="9"/>
  <c r="A68" i="9"/>
  <c r="BG67" i="9"/>
  <c r="BF67" i="9"/>
  <c r="BE67" i="9"/>
  <c r="BD67" i="9"/>
  <c r="BC67" i="9"/>
  <c r="BB67" i="9"/>
  <c r="BA67" i="9"/>
  <c r="AZ67" i="9"/>
  <c r="AY67" i="9"/>
  <c r="AX67" i="9"/>
  <c r="AW67" i="9"/>
  <c r="AV67" i="9"/>
  <c r="AU67" i="9"/>
  <c r="AT67" i="9"/>
  <c r="AS67" i="9"/>
  <c r="AR67" i="9"/>
  <c r="AQ67" i="9"/>
  <c r="AP67" i="9"/>
  <c r="AO67" i="9"/>
  <c r="AN67" i="9"/>
  <c r="AM67" i="9"/>
  <c r="AL67" i="9"/>
  <c r="AK67" i="9"/>
  <c r="AJ67" i="9"/>
  <c r="AI67" i="9"/>
  <c r="AH67" i="9"/>
  <c r="AG67" i="9"/>
  <c r="AF67" i="9"/>
  <c r="AE67" i="9"/>
  <c r="AD67" i="9"/>
  <c r="AC67" i="9"/>
  <c r="AB67" i="9"/>
  <c r="AA67" i="9"/>
  <c r="Z67" i="9"/>
  <c r="Y67" i="9"/>
  <c r="X67" i="9"/>
  <c r="W67" i="9"/>
  <c r="V67" i="9"/>
  <c r="U67" i="9"/>
  <c r="T67" i="9"/>
  <c r="S67" i="9"/>
  <c r="R67" i="9"/>
  <c r="Q67" i="9"/>
  <c r="P67" i="9"/>
  <c r="O67" i="9"/>
  <c r="N67" i="9"/>
  <c r="M67" i="9"/>
  <c r="L67" i="9"/>
  <c r="K67" i="9"/>
  <c r="J67" i="9"/>
  <c r="I67" i="9"/>
  <c r="H67" i="9"/>
  <c r="G67" i="9"/>
  <c r="F67" i="9"/>
  <c r="E67" i="9"/>
  <c r="D67" i="9"/>
  <c r="C67" i="9"/>
  <c r="A67" i="9"/>
  <c r="AY66" i="9"/>
  <c r="AX66" i="9"/>
  <c r="AW66" i="9"/>
  <c r="AV66" i="9"/>
  <c r="AU66" i="9"/>
  <c r="AT66" i="9"/>
  <c r="AS66" i="9"/>
  <c r="AR66" i="9"/>
  <c r="AQ66" i="9"/>
  <c r="AP66" i="9"/>
  <c r="AO66" i="9"/>
  <c r="AN66" i="9"/>
  <c r="AM66" i="9"/>
  <c r="AL66" i="9"/>
  <c r="AK66" i="9"/>
  <c r="AJ66" i="9"/>
  <c r="AI66" i="9"/>
  <c r="AH66" i="9"/>
  <c r="AG66" i="9"/>
  <c r="AF66" i="9"/>
  <c r="AE66" i="9"/>
  <c r="AD66" i="9"/>
  <c r="AC66" i="9"/>
  <c r="AB66" i="9"/>
  <c r="AA66" i="9"/>
  <c r="Z66" i="9"/>
  <c r="Y66" i="9"/>
  <c r="X66" i="9"/>
  <c r="W66" i="9"/>
  <c r="V66" i="9"/>
  <c r="U66" i="9"/>
  <c r="T66" i="9"/>
  <c r="S66" i="9"/>
  <c r="R66" i="9"/>
  <c r="Q66" i="9"/>
  <c r="P66" i="9"/>
  <c r="O66" i="9"/>
  <c r="N66" i="9"/>
  <c r="M66" i="9"/>
  <c r="L66" i="9"/>
  <c r="K66" i="9"/>
  <c r="J66" i="9"/>
  <c r="I66" i="9"/>
  <c r="H66" i="9"/>
  <c r="G66" i="9"/>
  <c r="F66" i="9"/>
  <c r="E66" i="9"/>
  <c r="D66" i="9"/>
  <c r="C66" i="9"/>
  <c r="A65" i="9"/>
  <c r="BG64" i="9"/>
  <c r="BF64" i="9"/>
  <c r="BE64" i="9"/>
  <c r="BD64" i="9"/>
  <c r="BC64" i="9"/>
  <c r="BB64" i="9"/>
  <c r="BA64" i="9"/>
  <c r="AZ64" i="9"/>
  <c r="AY64" i="9"/>
  <c r="AX64" i="9"/>
  <c r="AW64" i="9"/>
  <c r="AV64" i="9"/>
  <c r="AU64" i="9"/>
  <c r="AT64" i="9"/>
  <c r="AS64" i="9"/>
  <c r="AR64" i="9"/>
  <c r="AQ64" i="9"/>
  <c r="AP64" i="9"/>
  <c r="AO64" i="9"/>
  <c r="AN64" i="9"/>
  <c r="AM64" i="9"/>
  <c r="AL64" i="9"/>
  <c r="AK64" i="9"/>
  <c r="AJ64" i="9"/>
  <c r="AI64" i="9"/>
  <c r="AH64" i="9"/>
  <c r="AG64" i="9"/>
  <c r="AF64" i="9"/>
  <c r="AE64" i="9"/>
  <c r="AD64" i="9"/>
  <c r="AC64" i="9"/>
  <c r="AB64" i="9"/>
  <c r="AA64" i="9"/>
  <c r="Z64" i="9"/>
  <c r="Y64" i="9"/>
  <c r="X64" i="9"/>
  <c r="W64" i="9"/>
  <c r="V64" i="9"/>
  <c r="U64" i="9"/>
  <c r="T64" i="9"/>
  <c r="S64" i="9"/>
  <c r="R64" i="9"/>
  <c r="Q64" i="9"/>
  <c r="P64" i="9"/>
  <c r="O64" i="9"/>
  <c r="N64" i="9"/>
  <c r="M64" i="9"/>
  <c r="L64" i="9"/>
  <c r="K64" i="9"/>
  <c r="J64" i="9"/>
  <c r="I64" i="9"/>
  <c r="H64" i="9"/>
  <c r="G64" i="9"/>
  <c r="F64" i="9"/>
  <c r="E64" i="9"/>
  <c r="D64" i="9"/>
  <c r="C64" i="9"/>
  <c r="AV63" i="9"/>
  <c r="AU63" i="9"/>
  <c r="AT63" i="9"/>
  <c r="AS63" i="9"/>
  <c r="AR63" i="9"/>
  <c r="AQ63" i="9"/>
  <c r="AP63" i="9"/>
  <c r="AO63" i="9"/>
  <c r="AN63" i="9"/>
  <c r="AM63" i="9"/>
  <c r="AL63" i="9"/>
  <c r="AK63" i="9"/>
  <c r="AJ63" i="9"/>
  <c r="AI63" i="9"/>
  <c r="AH63" i="9"/>
  <c r="AG63" i="9"/>
  <c r="AF63" i="9"/>
  <c r="AE63" i="9"/>
  <c r="AD63" i="9"/>
  <c r="AC63" i="9"/>
  <c r="AB63" i="9"/>
  <c r="AA63" i="9"/>
  <c r="Z63" i="9"/>
  <c r="Y63" i="9"/>
  <c r="X63" i="9"/>
  <c r="W63" i="9"/>
  <c r="V63" i="9"/>
  <c r="U63" i="9"/>
  <c r="T63" i="9"/>
  <c r="S63" i="9"/>
  <c r="R63" i="9"/>
  <c r="Q63" i="9"/>
  <c r="P63" i="9"/>
  <c r="O63" i="9"/>
  <c r="N63" i="9"/>
  <c r="M63" i="9"/>
  <c r="L63" i="9"/>
  <c r="K63" i="9"/>
  <c r="J63" i="9"/>
  <c r="I63" i="9"/>
  <c r="H63" i="9"/>
  <c r="G63" i="9"/>
  <c r="F63" i="9"/>
  <c r="E63" i="9"/>
  <c r="D63" i="9"/>
  <c r="C63" i="9"/>
  <c r="A63" i="9"/>
  <c r="A62" i="9"/>
  <c r="BG61" i="9"/>
  <c r="BF61" i="9"/>
  <c r="BE61" i="9"/>
  <c r="BD61" i="9"/>
  <c r="BC61" i="9"/>
  <c r="BB61" i="9"/>
  <c r="BA61" i="9"/>
  <c r="AZ61" i="9"/>
  <c r="AY61" i="9"/>
  <c r="AX61" i="9"/>
  <c r="AW61" i="9"/>
  <c r="AV61" i="9"/>
  <c r="AU61" i="9"/>
  <c r="AT61" i="9"/>
  <c r="AS61" i="9"/>
  <c r="AR61" i="9"/>
  <c r="AQ61" i="9"/>
  <c r="AP61" i="9"/>
  <c r="AO61" i="9"/>
  <c r="AN61" i="9"/>
  <c r="AM61" i="9"/>
  <c r="AL61" i="9"/>
  <c r="AK61" i="9"/>
  <c r="AJ61" i="9"/>
  <c r="AI61" i="9"/>
  <c r="AH61" i="9"/>
  <c r="AG61" i="9"/>
  <c r="AF61" i="9"/>
  <c r="AE61" i="9"/>
  <c r="AD61" i="9"/>
  <c r="AC61" i="9"/>
  <c r="AB61" i="9"/>
  <c r="AA61" i="9"/>
  <c r="Z61" i="9"/>
  <c r="Y61" i="9"/>
  <c r="X61" i="9"/>
  <c r="W61" i="9"/>
  <c r="V61" i="9"/>
  <c r="U61" i="9"/>
  <c r="T61" i="9"/>
  <c r="S61" i="9"/>
  <c r="R61" i="9"/>
  <c r="Q61" i="9"/>
  <c r="P61" i="9"/>
  <c r="O61" i="9"/>
  <c r="N61" i="9"/>
  <c r="M61" i="9"/>
  <c r="L61" i="9"/>
  <c r="K61" i="9"/>
  <c r="J61" i="9"/>
  <c r="I61" i="9"/>
  <c r="H61" i="9"/>
  <c r="G61" i="9"/>
  <c r="F61" i="9"/>
  <c r="E61" i="9"/>
  <c r="D61" i="9"/>
  <c r="C61" i="9"/>
  <c r="A61" i="9"/>
  <c r="AZ60" i="9"/>
  <c r="AY60" i="9"/>
  <c r="AX60" i="9"/>
  <c r="AW60" i="9"/>
  <c r="AV60" i="9"/>
  <c r="AU60" i="9"/>
  <c r="AT60" i="9"/>
  <c r="AS60" i="9"/>
  <c r="AR60" i="9"/>
  <c r="AQ60" i="9"/>
  <c r="AP60" i="9"/>
  <c r="AO60" i="9"/>
  <c r="AN60" i="9"/>
  <c r="AM60" i="9"/>
  <c r="AL60" i="9"/>
  <c r="AK60" i="9"/>
  <c r="AJ60" i="9"/>
  <c r="AI60" i="9"/>
  <c r="AH60" i="9"/>
  <c r="AG60" i="9"/>
  <c r="AF60" i="9"/>
  <c r="AE60" i="9"/>
  <c r="AD60" i="9"/>
  <c r="AC60" i="9"/>
  <c r="AB60" i="9"/>
  <c r="AA60" i="9"/>
  <c r="Z60" i="9"/>
  <c r="Y60" i="9"/>
  <c r="X60" i="9"/>
  <c r="W60" i="9"/>
  <c r="V60" i="9"/>
  <c r="U60" i="9"/>
  <c r="T60" i="9"/>
  <c r="S60" i="9"/>
  <c r="R60" i="9"/>
  <c r="Q60" i="9"/>
  <c r="P60" i="9"/>
  <c r="O60" i="9"/>
  <c r="N60" i="9"/>
  <c r="M60" i="9"/>
  <c r="L60" i="9"/>
  <c r="K60" i="9"/>
  <c r="J60" i="9"/>
  <c r="I60" i="9"/>
  <c r="H60" i="9"/>
  <c r="G60" i="9"/>
  <c r="F60" i="9"/>
  <c r="E60" i="9"/>
  <c r="D60" i="9"/>
  <c r="C60" i="9"/>
  <c r="A60" i="9"/>
  <c r="BG59" i="9"/>
  <c r="BF59" i="9"/>
  <c r="BE59" i="9"/>
  <c r="BD59" i="9"/>
  <c r="BC59" i="9"/>
  <c r="BB59" i="9"/>
  <c r="BA59" i="9"/>
  <c r="AZ59" i="9"/>
  <c r="AY59" i="9"/>
  <c r="AX59" i="9"/>
  <c r="AW59" i="9"/>
  <c r="AV59" i="9"/>
  <c r="AU59" i="9"/>
  <c r="AT59" i="9"/>
  <c r="AS59" i="9"/>
  <c r="AR59" i="9"/>
  <c r="AQ59" i="9"/>
  <c r="AP59" i="9"/>
  <c r="AO59" i="9"/>
  <c r="AN59" i="9"/>
  <c r="AM59" i="9"/>
  <c r="AL59" i="9"/>
  <c r="AK59" i="9"/>
  <c r="AJ59" i="9"/>
  <c r="AI59" i="9"/>
  <c r="AH59" i="9"/>
  <c r="AG59" i="9"/>
  <c r="AF59" i="9"/>
  <c r="AE59" i="9"/>
  <c r="AD59" i="9"/>
  <c r="AC59" i="9"/>
  <c r="AB59" i="9"/>
  <c r="AA59" i="9"/>
  <c r="Z59" i="9"/>
  <c r="Y59" i="9"/>
  <c r="X59" i="9"/>
  <c r="W59" i="9"/>
  <c r="V59" i="9"/>
  <c r="U59" i="9"/>
  <c r="T59" i="9"/>
  <c r="S59" i="9"/>
  <c r="R59" i="9"/>
  <c r="Q59" i="9"/>
  <c r="P59" i="9"/>
  <c r="O59" i="9"/>
  <c r="N59" i="9"/>
  <c r="M59" i="9"/>
  <c r="L59" i="9"/>
  <c r="K59" i="9"/>
  <c r="J59" i="9"/>
  <c r="I59" i="9"/>
  <c r="H59" i="9"/>
  <c r="G59" i="9"/>
  <c r="F59" i="9"/>
  <c r="E59" i="9"/>
  <c r="D59" i="9"/>
  <c r="C59" i="9"/>
  <c r="A59" i="9"/>
  <c r="A58" i="9"/>
  <c r="BG57" i="9"/>
  <c r="BF57" i="9"/>
  <c r="BE57" i="9"/>
  <c r="BD57" i="9"/>
  <c r="BC57" i="9"/>
  <c r="BB57" i="9"/>
  <c r="BA57" i="9"/>
  <c r="AZ57" i="9"/>
  <c r="AY57" i="9"/>
  <c r="AX57" i="9"/>
  <c r="AW57" i="9"/>
  <c r="AV57" i="9"/>
  <c r="AU57" i="9"/>
  <c r="AT57" i="9"/>
  <c r="AS57" i="9"/>
  <c r="AR57" i="9"/>
  <c r="AQ57" i="9"/>
  <c r="AP57" i="9"/>
  <c r="AO57" i="9"/>
  <c r="AN57" i="9"/>
  <c r="AM57" i="9"/>
  <c r="AL57" i="9"/>
  <c r="AK57" i="9"/>
  <c r="AJ57" i="9"/>
  <c r="AI57" i="9"/>
  <c r="AH57" i="9"/>
  <c r="AG57" i="9"/>
  <c r="AF57" i="9"/>
  <c r="AE57" i="9"/>
  <c r="AD57" i="9"/>
  <c r="AC57" i="9"/>
  <c r="AB57" i="9"/>
  <c r="AA57" i="9"/>
  <c r="Z57" i="9"/>
  <c r="Y57" i="9"/>
  <c r="X57" i="9"/>
  <c r="W57" i="9"/>
  <c r="V57" i="9"/>
  <c r="U57" i="9"/>
  <c r="T57" i="9"/>
  <c r="S57" i="9"/>
  <c r="R57" i="9"/>
  <c r="Q57" i="9"/>
  <c r="P57" i="9"/>
  <c r="O57" i="9"/>
  <c r="N57" i="9"/>
  <c r="M57" i="9"/>
  <c r="L57" i="9"/>
  <c r="K57" i="9"/>
  <c r="J57" i="9"/>
  <c r="I57" i="9"/>
  <c r="H57" i="9"/>
  <c r="G57" i="9"/>
  <c r="F57" i="9"/>
  <c r="E57" i="9"/>
  <c r="D57" i="9"/>
  <c r="C57" i="9"/>
  <c r="A57" i="9"/>
  <c r="BG56" i="9"/>
  <c r="BF56" i="9"/>
  <c r="BE56" i="9"/>
  <c r="BD56" i="9"/>
  <c r="BC56" i="9"/>
  <c r="BB56" i="9"/>
  <c r="BA56" i="9"/>
  <c r="AZ56" i="9"/>
  <c r="AY56" i="9"/>
  <c r="AX56" i="9"/>
  <c r="AW56" i="9"/>
  <c r="AV56" i="9"/>
  <c r="AU56" i="9"/>
  <c r="AT56" i="9"/>
  <c r="AS56" i="9"/>
  <c r="AR56" i="9"/>
  <c r="AQ56" i="9"/>
  <c r="AP56" i="9"/>
  <c r="AO56" i="9"/>
  <c r="AN56" i="9"/>
  <c r="AM56" i="9"/>
  <c r="AL56" i="9"/>
  <c r="AK56" i="9"/>
  <c r="AJ56" i="9"/>
  <c r="AI56" i="9"/>
  <c r="AH56" i="9"/>
  <c r="AG56" i="9"/>
  <c r="AF56" i="9"/>
  <c r="AE56" i="9"/>
  <c r="AD56" i="9"/>
  <c r="AC56" i="9"/>
  <c r="AB56" i="9"/>
  <c r="AA56" i="9"/>
  <c r="Z56" i="9"/>
  <c r="Y56" i="9"/>
  <c r="X56" i="9"/>
  <c r="W56" i="9"/>
  <c r="V56" i="9"/>
  <c r="U56" i="9"/>
  <c r="T56" i="9"/>
  <c r="S56" i="9"/>
  <c r="R56" i="9"/>
  <c r="Q56" i="9"/>
  <c r="P56" i="9"/>
  <c r="O56" i="9"/>
  <c r="N56" i="9"/>
  <c r="M56" i="9"/>
  <c r="L56" i="9"/>
  <c r="K56" i="9"/>
  <c r="J56" i="9"/>
  <c r="I56" i="9"/>
  <c r="H56" i="9"/>
  <c r="G56" i="9"/>
  <c r="F56" i="9"/>
  <c r="E56" i="9"/>
  <c r="D56" i="9"/>
  <c r="C56" i="9"/>
  <c r="A56" i="9"/>
  <c r="AZ55" i="9"/>
  <c r="AY55" i="9"/>
  <c r="AX55" i="9"/>
  <c r="AW55" i="9"/>
  <c r="AV55" i="9"/>
  <c r="AU55" i="9"/>
  <c r="AT55" i="9"/>
  <c r="AS55" i="9"/>
  <c r="AR55" i="9"/>
  <c r="AQ55" i="9"/>
  <c r="AQ80" i="9" s="1"/>
  <c r="AP55" i="9"/>
  <c r="AO55" i="9"/>
  <c r="AN55" i="9"/>
  <c r="AM55" i="9"/>
  <c r="AL55" i="9"/>
  <c r="AK55" i="9"/>
  <c r="AJ55" i="9"/>
  <c r="AI55" i="9"/>
  <c r="AH55" i="9"/>
  <c r="AG55" i="9"/>
  <c r="AF55" i="9"/>
  <c r="AE55" i="9"/>
  <c r="AE80" i="9" s="1"/>
  <c r="AD55" i="9"/>
  <c r="AC55" i="9"/>
  <c r="AB55" i="9"/>
  <c r="AA55" i="9"/>
  <c r="Z55" i="9"/>
  <c r="Y55" i="9"/>
  <c r="X55" i="9"/>
  <c r="W55" i="9"/>
  <c r="V55" i="9"/>
  <c r="U55" i="9"/>
  <c r="T55" i="9"/>
  <c r="S55" i="9"/>
  <c r="S80" i="9" s="1"/>
  <c r="R55" i="9"/>
  <c r="Q55" i="9"/>
  <c r="P55" i="9"/>
  <c r="O55" i="9"/>
  <c r="N55" i="9"/>
  <c r="M55" i="9"/>
  <c r="L55" i="9"/>
  <c r="K55" i="9"/>
  <c r="J55" i="9"/>
  <c r="I55" i="9"/>
  <c r="H55" i="9"/>
  <c r="G55" i="9"/>
  <c r="G80" i="9" s="1"/>
  <c r="F55" i="9"/>
  <c r="E55" i="9"/>
  <c r="D55" i="9"/>
  <c r="C55" i="9"/>
  <c r="A55" i="9"/>
  <c r="BG54" i="9"/>
  <c r="BG86" i="9" s="1"/>
  <c r="BF54" i="9"/>
  <c r="BE54" i="9"/>
  <c r="BE84" i="9" s="1"/>
  <c r="BD54" i="9"/>
  <c r="BD84" i="9" s="1"/>
  <c r="BC54" i="9"/>
  <c r="BB54" i="9"/>
  <c r="BA54" i="9"/>
  <c r="BA86" i="9" s="1"/>
  <c r="AZ54" i="9"/>
  <c r="AY54" i="9"/>
  <c r="AX54" i="9"/>
  <c r="AX84" i="9" s="1"/>
  <c r="AW54" i="9"/>
  <c r="AV54" i="9"/>
  <c r="AU54" i="9"/>
  <c r="AT54" i="9"/>
  <c r="AS54" i="9"/>
  <c r="AR54" i="9"/>
  <c r="AQ54" i="9"/>
  <c r="AP54" i="9"/>
  <c r="AO54" i="9"/>
  <c r="AN54" i="9"/>
  <c r="AM54" i="9"/>
  <c r="AL54" i="9"/>
  <c r="AK54" i="9"/>
  <c r="AJ54" i="9"/>
  <c r="AI54" i="9"/>
  <c r="AH54" i="9"/>
  <c r="AG54" i="9"/>
  <c r="AF54" i="9"/>
  <c r="AE54" i="9"/>
  <c r="AD54" i="9"/>
  <c r="AC54" i="9"/>
  <c r="AB54" i="9"/>
  <c r="AA54" i="9"/>
  <c r="Z54" i="9"/>
  <c r="Y54" i="9"/>
  <c r="X54" i="9"/>
  <c r="W54" i="9"/>
  <c r="W86" i="9" s="1"/>
  <c r="V54" i="9"/>
  <c r="U54" i="9"/>
  <c r="T54" i="9"/>
  <c r="S54" i="9"/>
  <c r="R54" i="9"/>
  <c r="Q54" i="9"/>
  <c r="P54" i="9"/>
  <c r="O54" i="9"/>
  <c r="N54" i="9"/>
  <c r="M54" i="9"/>
  <c r="L54" i="9"/>
  <c r="K54" i="9"/>
  <c r="K86" i="9" s="1"/>
  <c r="J54" i="9"/>
  <c r="I54" i="9"/>
  <c r="H54" i="9"/>
  <c r="G54" i="9"/>
  <c r="F54" i="9"/>
  <c r="E54" i="9"/>
  <c r="D54" i="9"/>
  <c r="C54" i="9"/>
  <c r="A54" i="9"/>
  <c r="BG51" i="9"/>
  <c r="BF51" i="9"/>
  <c r="BE51" i="9"/>
  <c r="BD51" i="9"/>
  <c r="BC51" i="9"/>
  <c r="BB51" i="9"/>
  <c r="BA51" i="9"/>
  <c r="AZ51" i="9"/>
  <c r="AY51" i="9"/>
  <c r="AX51" i="9"/>
  <c r="AW51" i="9"/>
  <c r="AV51" i="9"/>
  <c r="AU51" i="9"/>
  <c r="AT51" i="9"/>
  <c r="AS51" i="9"/>
  <c r="AR51" i="9"/>
  <c r="AQ51" i="9"/>
  <c r="AP51" i="9"/>
  <c r="A51" i="9"/>
  <c r="BG50" i="9"/>
  <c r="BF50" i="9"/>
  <c r="BE50" i="9"/>
  <c r="BD50" i="9"/>
  <c r="BC50" i="9"/>
  <c r="BB50" i="9"/>
  <c r="BA50" i="9"/>
  <c r="AZ50" i="9"/>
  <c r="AY50" i="9"/>
  <c r="AX50" i="9"/>
  <c r="AW50" i="9"/>
  <c r="AV50" i="9"/>
  <c r="AU50" i="9"/>
  <c r="AT50" i="9"/>
  <c r="AS50" i="9"/>
  <c r="AR50" i="9"/>
  <c r="AQ50" i="9"/>
  <c r="AP50" i="9"/>
  <c r="A50" i="9"/>
  <c r="BG49" i="9"/>
  <c r="BF49" i="9"/>
  <c r="BE49" i="9"/>
  <c r="BD49" i="9"/>
  <c r="BC49" i="9"/>
  <c r="BB49" i="9"/>
  <c r="BA49" i="9"/>
  <c r="AZ49" i="9"/>
  <c r="AY49" i="9"/>
  <c r="AX49" i="9"/>
  <c r="AW49" i="9"/>
  <c r="AV49" i="9"/>
  <c r="AU49" i="9"/>
  <c r="AT49" i="9"/>
  <c r="AS49" i="9"/>
  <c r="AR49" i="9"/>
  <c r="AQ49" i="9"/>
  <c r="AP49" i="9"/>
  <c r="A49" i="9"/>
  <c r="BG48" i="9"/>
  <c r="BF48" i="9"/>
  <c r="BE48" i="9"/>
  <c r="BD48" i="9"/>
  <c r="BC48" i="9"/>
  <c r="BB48" i="9"/>
  <c r="BA48" i="9"/>
  <c r="AZ48" i="9"/>
  <c r="AY48" i="9"/>
  <c r="AX48" i="9"/>
  <c r="AW48" i="9"/>
  <c r="AV48" i="9"/>
  <c r="AU48" i="9"/>
  <c r="AT48" i="9"/>
  <c r="AS48" i="9"/>
  <c r="AR48" i="9"/>
  <c r="AQ48" i="9"/>
  <c r="AP48" i="9"/>
  <c r="A48" i="9"/>
  <c r="BG47" i="9"/>
  <c r="BF47" i="9"/>
  <c r="BE47" i="9"/>
  <c r="BD47" i="9"/>
  <c r="BC47" i="9"/>
  <c r="BB47" i="9"/>
  <c r="BA47" i="9"/>
  <c r="AZ47" i="9"/>
  <c r="AY47" i="9"/>
  <c r="AX47" i="9"/>
  <c r="AW47" i="9"/>
  <c r="AV47" i="9"/>
  <c r="AU47" i="9"/>
  <c r="AT47" i="9"/>
  <c r="AS47" i="9"/>
  <c r="AR47" i="9"/>
  <c r="AQ47" i="9"/>
  <c r="AP47" i="9"/>
  <c r="A47" i="9"/>
  <c r="BG46" i="9"/>
  <c r="BF46" i="9"/>
  <c r="BE46" i="9"/>
  <c r="BD46" i="9"/>
  <c r="BC46" i="9"/>
  <c r="BB46" i="9"/>
  <c r="BA46" i="9"/>
  <c r="AZ46" i="9"/>
  <c r="AY46" i="9"/>
  <c r="AX46" i="9"/>
  <c r="AW46" i="9"/>
  <c r="AV46" i="9"/>
  <c r="AU46" i="9"/>
  <c r="AT46" i="9"/>
  <c r="AS46" i="9"/>
  <c r="AR46" i="9"/>
  <c r="AQ46" i="9"/>
  <c r="AP46" i="9"/>
  <c r="A46" i="9"/>
  <c r="BG45" i="9"/>
  <c r="BF45" i="9"/>
  <c r="BE45" i="9"/>
  <c r="BD45" i="9"/>
  <c r="BC45" i="9"/>
  <c r="BB45" i="9"/>
  <c r="BA45" i="9"/>
  <c r="AZ45" i="9"/>
  <c r="AY45" i="9"/>
  <c r="AX45" i="9"/>
  <c r="AW45" i="9"/>
  <c r="AV45" i="9"/>
  <c r="AU45" i="9"/>
  <c r="AT45" i="9"/>
  <c r="AS45" i="9"/>
  <c r="AR45" i="9"/>
  <c r="AQ45" i="9"/>
  <c r="AP45" i="9"/>
  <c r="A45" i="9"/>
  <c r="BG43" i="9"/>
  <c r="BF43" i="9"/>
  <c r="BE43" i="9"/>
  <c r="BD43" i="9"/>
  <c r="BC43" i="9"/>
  <c r="BB43" i="9"/>
  <c r="BA43" i="9"/>
  <c r="AZ43" i="9"/>
  <c r="AY43" i="9"/>
  <c r="AX43" i="9"/>
  <c r="AW43" i="9"/>
  <c r="AV43" i="9"/>
  <c r="AU43" i="9"/>
  <c r="AT43" i="9"/>
  <c r="AS43" i="9"/>
  <c r="AR43" i="9"/>
  <c r="AQ43" i="9"/>
  <c r="AP43" i="9"/>
  <c r="AO43" i="9"/>
  <c r="AN43" i="9"/>
  <c r="AM43" i="9"/>
  <c r="AL43" i="9"/>
  <c r="AK43" i="9"/>
  <c r="AJ43" i="9"/>
  <c r="AI43" i="9"/>
  <c r="AH43" i="9"/>
  <c r="AG43" i="9"/>
  <c r="AF43" i="9"/>
  <c r="AE43" i="9"/>
  <c r="AD43" i="9"/>
  <c r="AC43" i="9"/>
  <c r="AB43" i="9"/>
  <c r="AA43" i="9"/>
  <c r="A43" i="9"/>
  <c r="BG42" i="9"/>
  <c r="BF42" i="9"/>
  <c r="BE42" i="9"/>
  <c r="BD42" i="9"/>
  <c r="BC42" i="9"/>
  <c r="BB42" i="9"/>
  <c r="BA42" i="9"/>
  <c r="AZ42" i="9"/>
  <c r="AY42" i="9"/>
  <c r="AX42" i="9"/>
  <c r="AW42" i="9"/>
  <c r="AV42" i="9"/>
  <c r="AU42" i="9"/>
  <c r="AT42" i="9"/>
  <c r="AS42" i="9"/>
  <c r="AR42" i="9"/>
  <c r="AQ42" i="9"/>
  <c r="AP42" i="9"/>
  <c r="AO42" i="9"/>
  <c r="AN42" i="9"/>
  <c r="AM42" i="9"/>
  <c r="AL42" i="9"/>
  <c r="AK42" i="9"/>
  <c r="AJ42" i="9"/>
  <c r="AI42" i="9"/>
  <c r="AH42" i="9"/>
  <c r="AG42" i="9"/>
  <c r="AF42" i="9"/>
  <c r="AE42" i="9"/>
  <c r="AD42" i="9"/>
  <c r="AC42" i="9"/>
  <c r="AB42" i="9"/>
  <c r="AA42" i="9"/>
  <c r="A42" i="9"/>
  <c r="BG41" i="9"/>
  <c r="BF41" i="9"/>
  <c r="BE41" i="9"/>
  <c r="BD41" i="9"/>
  <c r="BC41" i="9"/>
  <c r="BB41" i="9"/>
  <c r="BA41" i="9"/>
  <c r="AZ41" i="9"/>
  <c r="AY41" i="9"/>
  <c r="AX41" i="9"/>
  <c r="AW41" i="9"/>
  <c r="AV41" i="9"/>
  <c r="AU41" i="9"/>
  <c r="AT41" i="9"/>
  <c r="AS41" i="9"/>
  <c r="AR41" i="9"/>
  <c r="AQ41" i="9"/>
  <c r="AP41" i="9"/>
  <c r="AO41" i="9"/>
  <c r="AN41" i="9"/>
  <c r="AM41" i="9"/>
  <c r="AL41" i="9"/>
  <c r="AK41" i="9"/>
  <c r="AJ41" i="9"/>
  <c r="AI41" i="9"/>
  <c r="AH41" i="9"/>
  <c r="AG41" i="9"/>
  <c r="AF41" i="9"/>
  <c r="AE41" i="9"/>
  <c r="AD41" i="9"/>
  <c r="AC41" i="9"/>
  <c r="AB41" i="9"/>
  <c r="AA41" i="9"/>
  <c r="Z41" i="9"/>
  <c r="Y41" i="9"/>
  <c r="X41" i="9"/>
  <c r="W41" i="9"/>
  <c r="V41" i="9"/>
  <c r="A41" i="9"/>
  <c r="BG39" i="9"/>
  <c r="BF39" i="9"/>
  <c r="BE39" i="9"/>
  <c r="BD39" i="9"/>
  <c r="BC39" i="9"/>
  <c r="BB39" i="9"/>
  <c r="BA39" i="9"/>
  <c r="AZ39" i="9"/>
  <c r="AY39" i="9"/>
  <c r="AX39" i="9"/>
  <c r="AW39" i="9"/>
  <c r="AV39" i="9"/>
  <c r="AU39" i="9"/>
  <c r="AT39" i="9"/>
  <c r="AS39" i="9"/>
  <c r="AR39" i="9"/>
  <c r="AQ39" i="9"/>
  <c r="AP39" i="9"/>
  <c r="AO39" i="9"/>
  <c r="AN39" i="9"/>
  <c r="AM39" i="9"/>
  <c r="AL39" i="9"/>
  <c r="AK39" i="9"/>
  <c r="AJ39" i="9"/>
  <c r="AI39" i="9"/>
  <c r="AH39" i="9"/>
  <c r="AG39" i="9"/>
  <c r="AF39" i="9"/>
  <c r="AE39" i="9"/>
  <c r="AD39" i="9"/>
  <c r="AC39" i="9"/>
  <c r="AB39" i="9"/>
  <c r="AA39" i="9"/>
  <c r="A39" i="9"/>
  <c r="BG38" i="9"/>
  <c r="BF38" i="9"/>
  <c r="BE38" i="9"/>
  <c r="BD38" i="9"/>
  <c r="BC38" i="9"/>
  <c r="BB38" i="9"/>
  <c r="BA38" i="9"/>
  <c r="AZ38" i="9"/>
  <c r="AY38" i="9"/>
  <c r="AX38" i="9"/>
  <c r="AW38" i="9"/>
  <c r="AV38" i="9"/>
  <c r="AU38" i="9"/>
  <c r="AT38" i="9"/>
  <c r="AS38" i="9"/>
  <c r="AR38" i="9"/>
  <c r="AQ38" i="9"/>
  <c r="AP38" i="9"/>
  <c r="AO38" i="9"/>
  <c r="AN38" i="9"/>
  <c r="AM38" i="9"/>
  <c r="AL38" i="9"/>
  <c r="AK38" i="9"/>
  <c r="AJ38" i="9"/>
  <c r="AI38" i="9"/>
  <c r="AH38" i="9"/>
  <c r="AG38" i="9"/>
  <c r="AF38" i="9"/>
  <c r="AE38" i="9"/>
  <c r="AD38" i="9"/>
  <c r="AC38" i="9"/>
  <c r="AB38" i="9"/>
  <c r="AA38" i="9"/>
  <c r="A38" i="9"/>
  <c r="BG37" i="9"/>
  <c r="BF37" i="9"/>
  <c r="BE37" i="9"/>
  <c r="BD37" i="9"/>
  <c r="BC37" i="9"/>
  <c r="BB37" i="9"/>
  <c r="BA37" i="9"/>
  <c r="AZ37" i="9"/>
  <c r="AY37" i="9"/>
  <c r="AX37" i="9"/>
  <c r="AW37" i="9"/>
  <c r="AV37" i="9"/>
  <c r="AU37" i="9"/>
  <c r="AT37" i="9"/>
  <c r="AS37" i="9"/>
  <c r="AR37" i="9"/>
  <c r="AQ37" i="9"/>
  <c r="AP37" i="9"/>
  <c r="AO37" i="9"/>
  <c r="AN37" i="9"/>
  <c r="AM37" i="9"/>
  <c r="AL37" i="9"/>
  <c r="AK37" i="9"/>
  <c r="AJ37" i="9"/>
  <c r="AI37" i="9"/>
  <c r="AH37" i="9"/>
  <c r="AG37" i="9"/>
  <c r="AF37" i="9"/>
  <c r="AE37" i="9"/>
  <c r="AD37" i="9"/>
  <c r="AC37" i="9"/>
  <c r="AB37" i="9"/>
  <c r="AA37" i="9"/>
  <c r="Z37" i="9"/>
  <c r="Y37" i="9"/>
  <c r="X37" i="9"/>
  <c r="W37" i="9"/>
  <c r="V37" i="9"/>
  <c r="A37" i="9"/>
  <c r="BG35" i="9"/>
  <c r="BF35" i="9"/>
  <c r="BE35" i="9"/>
  <c r="BD35" i="9"/>
  <c r="BC35" i="9"/>
  <c r="BB35" i="9"/>
  <c r="BA35" i="9"/>
  <c r="AZ35" i="9"/>
  <c r="AY35" i="9"/>
  <c r="AX35" i="9"/>
  <c r="AW35" i="9"/>
  <c r="AV35" i="9"/>
  <c r="AU35" i="9"/>
  <c r="AT35" i="9"/>
  <c r="AS35" i="9"/>
  <c r="AR35" i="9"/>
  <c r="AQ35" i="9"/>
  <c r="AP35" i="9"/>
  <c r="AO35" i="9"/>
  <c r="AN35" i="9"/>
  <c r="AM35" i="9"/>
  <c r="AL35" i="9"/>
  <c r="AK35" i="9"/>
  <c r="AJ35" i="9"/>
  <c r="AI35" i="9"/>
  <c r="AH35" i="9"/>
  <c r="AG35" i="9"/>
  <c r="AF35" i="9"/>
  <c r="AE35" i="9"/>
  <c r="AD35" i="9"/>
  <c r="AC35" i="9"/>
  <c r="AB35" i="9"/>
  <c r="AA35" i="9"/>
  <c r="Z35" i="9"/>
  <c r="Y35" i="9"/>
  <c r="X35" i="9"/>
  <c r="W35" i="9"/>
  <c r="V35" i="9"/>
  <c r="A35" i="9"/>
  <c r="BG34" i="9"/>
  <c r="BF34" i="9"/>
  <c r="BE34" i="9"/>
  <c r="BD34" i="9"/>
  <c r="BC34" i="9"/>
  <c r="BB34" i="9"/>
  <c r="BA34" i="9"/>
  <c r="AZ34" i="9"/>
  <c r="AY34" i="9"/>
  <c r="AX34" i="9"/>
  <c r="AW34" i="9"/>
  <c r="AV34" i="9"/>
  <c r="AU34" i="9"/>
  <c r="AT34" i="9"/>
  <c r="AS34" i="9"/>
  <c r="AR34" i="9"/>
  <c r="AQ34" i="9"/>
  <c r="AP34" i="9"/>
  <c r="AO34" i="9"/>
  <c r="AN34" i="9"/>
  <c r="AM34" i="9"/>
  <c r="AL34" i="9"/>
  <c r="AK34" i="9"/>
  <c r="AJ34" i="9"/>
  <c r="AI34" i="9"/>
  <c r="AH34" i="9"/>
  <c r="AG34" i="9"/>
  <c r="AF34" i="9"/>
  <c r="AE34" i="9"/>
  <c r="AD34" i="9"/>
  <c r="AC34" i="9"/>
  <c r="AB34" i="9"/>
  <c r="AA34" i="9"/>
  <c r="Z34" i="9"/>
  <c r="Y34" i="9"/>
  <c r="X34" i="9"/>
  <c r="W34" i="9"/>
  <c r="V34" i="9"/>
  <c r="A34" i="9"/>
  <c r="BG33" i="9"/>
  <c r="BF33" i="9"/>
  <c r="BE33" i="9"/>
  <c r="BD33" i="9"/>
  <c r="BC33" i="9"/>
  <c r="BB33" i="9"/>
  <c r="BA33" i="9"/>
  <c r="AZ33" i="9"/>
  <c r="AY33" i="9"/>
  <c r="AX33" i="9"/>
  <c r="AW33" i="9"/>
  <c r="AV33" i="9"/>
  <c r="AU33" i="9"/>
  <c r="AT33" i="9"/>
  <c r="AS33" i="9"/>
  <c r="AR33" i="9"/>
  <c r="AQ33" i="9"/>
  <c r="AP33" i="9"/>
  <c r="AO33" i="9"/>
  <c r="AN33" i="9"/>
  <c r="AM33" i="9"/>
  <c r="AL33" i="9"/>
  <c r="AK33" i="9"/>
  <c r="AJ33" i="9"/>
  <c r="AI33" i="9"/>
  <c r="AH33" i="9"/>
  <c r="AG33" i="9"/>
  <c r="AF33" i="9"/>
  <c r="AE33" i="9"/>
  <c r="AD33" i="9"/>
  <c r="AC33" i="9"/>
  <c r="AB33" i="9"/>
  <c r="AA33" i="9"/>
  <c r="Z33" i="9"/>
  <c r="Y33" i="9"/>
  <c r="X33" i="9"/>
  <c r="W33" i="9"/>
  <c r="V33" i="9"/>
  <c r="A33" i="9"/>
  <c r="BG32" i="9"/>
  <c r="BF32" i="9"/>
  <c r="BE32" i="9"/>
  <c r="BD32" i="9"/>
  <c r="BC32" i="9"/>
  <c r="BB32" i="9"/>
  <c r="BA32" i="9"/>
  <c r="AZ32" i="9"/>
  <c r="AY32" i="9"/>
  <c r="AX32" i="9"/>
  <c r="AW32" i="9"/>
  <c r="AV32" i="9"/>
  <c r="AU32" i="9"/>
  <c r="AT32" i="9"/>
  <c r="AS32" i="9"/>
  <c r="AR32" i="9"/>
  <c r="AQ32" i="9"/>
  <c r="AP32" i="9"/>
  <c r="AO32" i="9"/>
  <c r="AN32" i="9"/>
  <c r="AM32" i="9"/>
  <c r="AL32" i="9"/>
  <c r="AK32" i="9"/>
  <c r="AJ32" i="9"/>
  <c r="AI32" i="9"/>
  <c r="AH32" i="9"/>
  <c r="AG32" i="9"/>
  <c r="AF32" i="9"/>
  <c r="AE32" i="9"/>
  <c r="AD32" i="9"/>
  <c r="AC32" i="9"/>
  <c r="AB32" i="9"/>
  <c r="AA32" i="9"/>
  <c r="Z32" i="9"/>
  <c r="Y32" i="9"/>
  <c r="X32" i="9"/>
  <c r="W32" i="9"/>
  <c r="V32" i="9"/>
  <c r="A32" i="9"/>
  <c r="BG31" i="9"/>
  <c r="BF31" i="9"/>
  <c r="BE31" i="9"/>
  <c r="BD31" i="9"/>
  <c r="BC31" i="9"/>
  <c r="BB31" i="9"/>
  <c r="BA31" i="9"/>
  <c r="AZ31" i="9"/>
  <c r="AY31" i="9"/>
  <c r="AX31" i="9"/>
  <c r="AW31" i="9"/>
  <c r="AV31" i="9"/>
  <c r="AU31" i="9"/>
  <c r="AT31" i="9"/>
  <c r="AS31" i="9"/>
  <c r="AR31" i="9"/>
  <c r="AQ31" i="9"/>
  <c r="AP31" i="9"/>
  <c r="AO31" i="9"/>
  <c r="AN31" i="9"/>
  <c r="AM31" i="9"/>
  <c r="AL31" i="9"/>
  <c r="AK31" i="9"/>
  <c r="AJ31" i="9"/>
  <c r="AI31" i="9"/>
  <c r="AH31" i="9"/>
  <c r="AG31" i="9"/>
  <c r="AF31" i="9"/>
  <c r="AE31" i="9"/>
  <c r="AD31" i="9"/>
  <c r="AC31" i="9"/>
  <c r="AB31" i="9"/>
  <c r="AA31" i="9"/>
  <c r="Z31" i="9"/>
  <c r="Y31" i="9"/>
  <c r="X31" i="9"/>
  <c r="W31" i="9"/>
  <c r="V31" i="9"/>
  <c r="A31" i="9"/>
  <c r="BG30" i="9"/>
  <c r="BF30" i="9"/>
  <c r="BE30" i="9"/>
  <c r="BD30" i="9"/>
  <c r="BC30" i="9"/>
  <c r="BB30" i="9"/>
  <c r="BA30" i="9"/>
  <c r="AZ30" i="9"/>
  <c r="AY30" i="9"/>
  <c r="AX30" i="9"/>
  <c r="AW30" i="9"/>
  <c r="AV30" i="9"/>
  <c r="AU30" i="9"/>
  <c r="AT30" i="9"/>
  <c r="AS30" i="9"/>
  <c r="AR30" i="9"/>
  <c r="AQ30" i="9"/>
  <c r="AP30" i="9"/>
  <c r="AO30" i="9"/>
  <c r="AN30" i="9"/>
  <c r="AM30" i="9"/>
  <c r="AL30" i="9"/>
  <c r="AK30" i="9"/>
  <c r="AJ30" i="9"/>
  <c r="AI30" i="9"/>
  <c r="AH30" i="9"/>
  <c r="AG30" i="9"/>
  <c r="AF30" i="9"/>
  <c r="AE30" i="9"/>
  <c r="AD30" i="9"/>
  <c r="AC30" i="9"/>
  <c r="AB30" i="9"/>
  <c r="AA30" i="9"/>
  <c r="Z30" i="9"/>
  <c r="Y30" i="9"/>
  <c r="X30" i="9"/>
  <c r="W30" i="9"/>
  <c r="V30" i="9"/>
  <c r="A30" i="9"/>
  <c r="BG29" i="9"/>
  <c r="BF29" i="9"/>
  <c r="BE29" i="9"/>
  <c r="BD29" i="9"/>
  <c r="BC29" i="9"/>
  <c r="BB29" i="9"/>
  <c r="BA29" i="9"/>
  <c r="AZ29" i="9"/>
  <c r="AY29" i="9"/>
  <c r="AX29" i="9"/>
  <c r="AW29" i="9"/>
  <c r="AV29" i="9"/>
  <c r="AU29" i="9"/>
  <c r="AT29" i="9"/>
  <c r="AS29" i="9"/>
  <c r="AR29" i="9"/>
  <c r="AQ29" i="9"/>
  <c r="AP29" i="9"/>
  <c r="AO29" i="9"/>
  <c r="AN29" i="9"/>
  <c r="AM29" i="9"/>
  <c r="AL29" i="9"/>
  <c r="AK29" i="9"/>
  <c r="AJ29" i="9"/>
  <c r="AI29" i="9"/>
  <c r="AH29" i="9"/>
  <c r="AG29" i="9"/>
  <c r="AF29" i="9"/>
  <c r="AE29" i="9"/>
  <c r="AD29" i="9"/>
  <c r="AC29" i="9"/>
  <c r="AB29" i="9"/>
  <c r="AA29" i="9"/>
  <c r="Z29" i="9"/>
  <c r="Y29" i="9"/>
  <c r="X29" i="9"/>
  <c r="W29" i="9"/>
  <c r="V29" i="9"/>
  <c r="A29" i="9"/>
  <c r="BG28" i="9"/>
  <c r="BF28" i="9"/>
  <c r="BE28" i="9"/>
  <c r="BD28" i="9"/>
  <c r="BC28" i="9"/>
  <c r="BB28" i="9"/>
  <c r="BA28" i="9"/>
  <c r="AZ28" i="9"/>
  <c r="AY28" i="9"/>
  <c r="AX28" i="9"/>
  <c r="AW28" i="9"/>
  <c r="AV28" i="9"/>
  <c r="AU28" i="9"/>
  <c r="AT28" i="9"/>
  <c r="AS28" i="9"/>
  <c r="AR28" i="9"/>
  <c r="AQ28" i="9"/>
  <c r="AP28" i="9"/>
  <c r="AO28" i="9"/>
  <c r="AN28" i="9"/>
  <c r="AM28" i="9"/>
  <c r="AL28" i="9"/>
  <c r="AK28" i="9"/>
  <c r="AJ28" i="9"/>
  <c r="AI28" i="9"/>
  <c r="AH28" i="9"/>
  <c r="AG28" i="9"/>
  <c r="AF28" i="9"/>
  <c r="AE28" i="9"/>
  <c r="AD28" i="9"/>
  <c r="AC28" i="9"/>
  <c r="AB28" i="9"/>
  <c r="AA28" i="9"/>
  <c r="Z28" i="9"/>
  <c r="Y28" i="9"/>
  <c r="X28" i="9"/>
  <c r="W28" i="9"/>
  <c r="V28" i="9"/>
  <c r="A28" i="9"/>
  <c r="BG26" i="9"/>
  <c r="BF26" i="9"/>
  <c r="BE26" i="9"/>
  <c r="BD26" i="9"/>
  <c r="BC26" i="9"/>
  <c r="BB26" i="9"/>
  <c r="BA26" i="9"/>
  <c r="AZ26" i="9"/>
  <c r="AY26" i="9"/>
  <c r="AX26" i="9"/>
  <c r="AW26" i="9"/>
  <c r="AV26" i="9"/>
  <c r="AU26" i="9"/>
  <c r="AT26" i="9"/>
  <c r="AS26" i="9"/>
  <c r="AR26" i="9"/>
  <c r="AQ26" i="9"/>
  <c r="AP26" i="9"/>
  <c r="AO26" i="9"/>
  <c r="AN26" i="9"/>
  <c r="AM26" i="9"/>
  <c r="AL26" i="9"/>
  <c r="AK26" i="9"/>
  <c r="AJ26" i="9"/>
  <c r="AI26" i="9"/>
  <c r="AH26" i="9"/>
  <c r="AG26" i="9"/>
  <c r="AF26" i="9"/>
  <c r="AE26" i="9"/>
  <c r="AD26" i="9"/>
  <c r="AC26" i="9"/>
  <c r="AB26" i="9"/>
  <c r="AA26" i="9"/>
  <c r="Z26" i="9"/>
  <c r="Y26" i="9"/>
  <c r="X26" i="9"/>
  <c r="W26" i="9"/>
  <c r="V26" i="9"/>
  <c r="A26" i="9"/>
  <c r="BG25" i="9"/>
  <c r="BF25" i="9"/>
  <c r="BE25" i="9"/>
  <c r="BD25" i="9"/>
  <c r="BC25" i="9"/>
  <c r="BB25" i="9"/>
  <c r="BA25" i="9"/>
  <c r="AZ25" i="9"/>
  <c r="AY25" i="9"/>
  <c r="AX25" i="9"/>
  <c r="AW25" i="9"/>
  <c r="AV25" i="9"/>
  <c r="AU25" i="9"/>
  <c r="AT25" i="9"/>
  <c r="AS25" i="9"/>
  <c r="AR25" i="9"/>
  <c r="AQ25" i="9"/>
  <c r="AP25" i="9"/>
  <c r="AO25" i="9"/>
  <c r="AN25" i="9"/>
  <c r="AM25" i="9"/>
  <c r="AL25" i="9"/>
  <c r="AK25" i="9"/>
  <c r="AJ25" i="9"/>
  <c r="AI25" i="9"/>
  <c r="AH25" i="9"/>
  <c r="AG25" i="9"/>
  <c r="AF25" i="9"/>
  <c r="AE25" i="9"/>
  <c r="AD25" i="9"/>
  <c r="AC25" i="9"/>
  <c r="AB25" i="9"/>
  <c r="AA25" i="9"/>
  <c r="Z25" i="9"/>
  <c r="Y25" i="9"/>
  <c r="X25" i="9"/>
  <c r="W25" i="9"/>
  <c r="V25" i="9"/>
  <c r="A25"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A24" i="9"/>
  <c r="BG23" i="9"/>
  <c r="BF23" i="9"/>
  <c r="BE23" i="9"/>
  <c r="BD23" i="9"/>
  <c r="BC23" i="9"/>
  <c r="BB23" i="9"/>
  <c r="BA23" i="9"/>
  <c r="AZ23" i="9"/>
  <c r="AY23" i="9"/>
  <c r="AX23" i="9"/>
  <c r="AW23" i="9"/>
  <c r="AV23" i="9"/>
  <c r="AU23" i="9"/>
  <c r="AT23" i="9"/>
  <c r="AS23" i="9"/>
  <c r="AR23" i="9"/>
  <c r="AQ23" i="9"/>
  <c r="AP23" i="9"/>
  <c r="AO23" i="9"/>
  <c r="AN23" i="9"/>
  <c r="AM23" i="9"/>
  <c r="AL23" i="9"/>
  <c r="AK23" i="9"/>
  <c r="AJ23" i="9"/>
  <c r="AI23" i="9"/>
  <c r="AH23" i="9"/>
  <c r="AG23" i="9"/>
  <c r="AF23" i="9"/>
  <c r="AE23" i="9"/>
  <c r="AD23" i="9"/>
  <c r="AC23" i="9"/>
  <c r="AB23" i="9"/>
  <c r="AA23" i="9"/>
  <c r="Z23" i="9"/>
  <c r="Y23" i="9"/>
  <c r="X23" i="9"/>
  <c r="W23" i="9"/>
  <c r="V23" i="9"/>
  <c r="A23" i="9"/>
  <c r="BG22" i="9"/>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A22"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A21" i="9"/>
  <c r="BG20" i="9"/>
  <c r="BF20" i="9"/>
  <c r="BE20" i="9"/>
  <c r="BD20" i="9"/>
  <c r="BC20" i="9"/>
  <c r="BB20" i="9"/>
  <c r="BA20" i="9"/>
  <c r="AZ20" i="9"/>
  <c r="AY20" i="9"/>
  <c r="AX20" i="9"/>
  <c r="AW20" i="9"/>
  <c r="AV20" i="9"/>
  <c r="AU20" i="9"/>
  <c r="AT20" i="9"/>
  <c r="AS20" i="9"/>
  <c r="AR20" i="9"/>
  <c r="AQ20" i="9"/>
  <c r="AP20" i="9"/>
  <c r="AO20" i="9"/>
  <c r="AN20" i="9"/>
  <c r="AM20" i="9"/>
  <c r="AL20" i="9"/>
  <c r="AK20" i="9"/>
  <c r="AJ20" i="9"/>
  <c r="AI20" i="9"/>
  <c r="AH20" i="9"/>
  <c r="AG20" i="9"/>
  <c r="AF20" i="9"/>
  <c r="AE20" i="9"/>
  <c r="AD20" i="9"/>
  <c r="AC20" i="9"/>
  <c r="AB20" i="9"/>
  <c r="AA20" i="9"/>
  <c r="Z20" i="9"/>
  <c r="Y20" i="9"/>
  <c r="X20" i="9"/>
  <c r="W20" i="9"/>
  <c r="V20" i="9"/>
  <c r="A20" i="9"/>
  <c r="BG18" i="9"/>
  <c r="BF18" i="9"/>
  <c r="BE18" i="9"/>
  <c r="BD18" i="9"/>
  <c r="BC18" i="9"/>
  <c r="BB18" i="9"/>
  <c r="BA18" i="9"/>
  <c r="AZ18" i="9"/>
  <c r="AY18" i="9"/>
  <c r="AX18" i="9"/>
  <c r="AW18" i="9"/>
  <c r="AV18" i="9"/>
  <c r="AU18" i="9"/>
  <c r="AT18" i="9"/>
  <c r="AS18" i="9"/>
  <c r="AR18" i="9"/>
  <c r="AQ18" i="9"/>
  <c r="AP18" i="9"/>
  <c r="AO18" i="9"/>
  <c r="AN18" i="9"/>
  <c r="AM18" i="9"/>
  <c r="AL18" i="9"/>
  <c r="AK18" i="9"/>
  <c r="AJ18" i="9"/>
  <c r="AI18" i="9"/>
  <c r="AH18" i="9"/>
  <c r="AG18" i="9"/>
  <c r="AF18" i="9"/>
  <c r="AE18" i="9"/>
  <c r="AD18" i="9"/>
  <c r="AC18" i="9"/>
  <c r="AB18" i="9"/>
  <c r="AA18" i="9"/>
  <c r="Z18" i="9"/>
  <c r="Y18" i="9"/>
  <c r="X18" i="9"/>
  <c r="W18" i="9"/>
  <c r="V18" i="9"/>
  <c r="U18" i="9"/>
  <c r="T18" i="9"/>
  <c r="S18" i="9"/>
  <c r="R18" i="9"/>
  <c r="Q18" i="9"/>
  <c r="P18" i="9"/>
  <c r="O18" i="9"/>
  <c r="N18" i="9"/>
  <c r="M18" i="9"/>
  <c r="L18" i="9"/>
  <c r="K18" i="9"/>
  <c r="F18" i="9"/>
  <c r="E18" i="9"/>
  <c r="D18" i="9"/>
  <c r="A18" i="9"/>
  <c r="BG17" i="9"/>
  <c r="BF17" i="9"/>
  <c r="BE17" i="9"/>
  <c r="BD17" i="9"/>
  <c r="BC17" i="9"/>
  <c r="BB17" i="9"/>
  <c r="BA17" i="9"/>
  <c r="AZ17" i="9"/>
  <c r="AY17" i="9"/>
  <c r="AX17" i="9"/>
  <c r="AW17" i="9"/>
  <c r="AV17" i="9"/>
  <c r="AU17" i="9"/>
  <c r="AT17" i="9"/>
  <c r="AS17" i="9"/>
  <c r="AR17" i="9"/>
  <c r="AQ17" i="9"/>
  <c r="AP17" i="9"/>
  <c r="AO17" i="9"/>
  <c r="AN17" i="9"/>
  <c r="AM17" i="9"/>
  <c r="AL17" i="9"/>
  <c r="AK17" i="9"/>
  <c r="AJ17" i="9"/>
  <c r="AI17" i="9"/>
  <c r="AH17" i="9"/>
  <c r="AG17" i="9"/>
  <c r="AF17" i="9"/>
  <c r="AE17" i="9"/>
  <c r="AD17" i="9"/>
  <c r="AC17" i="9"/>
  <c r="AB17" i="9"/>
  <c r="AA17" i="9"/>
  <c r="A17" i="9"/>
  <c r="BG16" i="9"/>
  <c r="BF16" i="9"/>
  <c r="BE16" i="9"/>
  <c r="BD16" i="9"/>
  <c r="BC16" i="9"/>
  <c r="BB16" i="9"/>
  <c r="BA16" i="9"/>
  <c r="AZ16" i="9"/>
  <c r="AY16" i="9"/>
  <c r="AX16" i="9"/>
  <c r="AW16" i="9"/>
  <c r="AV16" i="9"/>
  <c r="AU16" i="9"/>
  <c r="AT16" i="9"/>
  <c r="AS16" i="9"/>
  <c r="AR16" i="9"/>
  <c r="AQ16" i="9"/>
  <c r="AP16" i="9"/>
  <c r="AO16" i="9"/>
  <c r="AN16" i="9"/>
  <c r="AM16" i="9"/>
  <c r="AL16" i="9"/>
  <c r="AK16" i="9"/>
  <c r="AJ16" i="9"/>
  <c r="AI16" i="9"/>
  <c r="AH16" i="9"/>
  <c r="AG16" i="9"/>
  <c r="AF16" i="9"/>
  <c r="AE16" i="9"/>
  <c r="AD16" i="9"/>
  <c r="AC16" i="9"/>
  <c r="AB16" i="9"/>
  <c r="AA16" i="9"/>
  <c r="A16" i="9"/>
  <c r="BG15" i="9"/>
  <c r="BF15" i="9"/>
  <c r="BE15" i="9"/>
  <c r="BD15" i="9"/>
  <c r="BC15" i="9"/>
  <c r="BB15" i="9"/>
  <c r="BA15" i="9"/>
  <c r="AZ15" i="9"/>
  <c r="AY15" i="9"/>
  <c r="AX15" i="9"/>
  <c r="AW15" i="9"/>
  <c r="AV15" i="9"/>
  <c r="AU15" i="9"/>
  <c r="AT15" i="9"/>
  <c r="AS15" i="9"/>
  <c r="AR15" i="9"/>
  <c r="AQ15" i="9"/>
  <c r="AP15" i="9"/>
  <c r="AO15" i="9"/>
  <c r="AN15" i="9"/>
  <c r="AM15" i="9"/>
  <c r="AL15" i="9"/>
  <c r="AK15" i="9"/>
  <c r="AJ15" i="9"/>
  <c r="AI15" i="9"/>
  <c r="AH15" i="9"/>
  <c r="AG15" i="9"/>
  <c r="AF15" i="9"/>
  <c r="AE15" i="9"/>
  <c r="AD15" i="9"/>
  <c r="AC15" i="9"/>
  <c r="AB15" i="9"/>
  <c r="AA15" i="9"/>
  <c r="A15" i="9"/>
  <c r="BG14" i="9"/>
  <c r="BF14" i="9"/>
  <c r="BE14" i="9"/>
  <c r="BD14" i="9"/>
  <c r="BC14" i="9"/>
  <c r="BB14" i="9"/>
  <c r="BA14" i="9"/>
  <c r="AZ14" i="9"/>
  <c r="AY14" i="9"/>
  <c r="AX14" i="9"/>
  <c r="AW14" i="9"/>
  <c r="AV14" i="9"/>
  <c r="AU14" i="9"/>
  <c r="AT14" i="9"/>
  <c r="AS14" i="9"/>
  <c r="AR14" i="9"/>
  <c r="AQ14" i="9"/>
  <c r="AP14" i="9"/>
  <c r="AO14" i="9"/>
  <c r="AN14" i="9"/>
  <c r="AM14" i="9"/>
  <c r="AL14" i="9"/>
  <c r="AK14" i="9"/>
  <c r="AJ14" i="9"/>
  <c r="AI14" i="9"/>
  <c r="AH14" i="9"/>
  <c r="AG14" i="9"/>
  <c r="AF14" i="9"/>
  <c r="AE14" i="9"/>
  <c r="AD14" i="9"/>
  <c r="AC14" i="9"/>
  <c r="AB14" i="9"/>
  <c r="AA14" i="9"/>
  <c r="A14" i="9"/>
  <c r="A11" i="9"/>
  <c r="BG10" i="9"/>
  <c r="BF10" i="9"/>
  <c r="BE10" i="9"/>
  <c r="BD10" i="9"/>
  <c r="BC10" i="9"/>
  <c r="BB10" i="9"/>
  <c r="BA10" i="9"/>
  <c r="AZ10" i="9"/>
  <c r="AY10" i="9"/>
  <c r="AX10" i="9"/>
  <c r="AW10" i="9"/>
  <c r="AV10" i="9"/>
  <c r="AU10" i="9"/>
  <c r="AT10" i="9"/>
  <c r="AS10" i="9"/>
  <c r="AR10" i="9"/>
  <c r="AQ10" i="9"/>
  <c r="AP10" i="9"/>
  <c r="AO10" i="9"/>
  <c r="AN10" i="9"/>
  <c r="AM10" i="9"/>
  <c r="AL10" i="9"/>
  <c r="AK10" i="9"/>
  <c r="AJ10" i="9"/>
  <c r="AI10" i="9"/>
  <c r="AH10" i="9"/>
  <c r="AG10"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G9" i="9"/>
  <c r="BF9" i="9"/>
  <c r="BE9" i="9"/>
  <c r="BD9" i="9"/>
  <c r="BC9" i="9"/>
  <c r="BB9" i="9"/>
  <c r="BA9" i="9"/>
  <c r="AZ9" i="9"/>
  <c r="AY9" i="9"/>
  <c r="AX9" i="9"/>
  <c r="AW9" i="9"/>
  <c r="AV9" i="9"/>
  <c r="AU9" i="9"/>
  <c r="AT9" i="9"/>
  <c r="AS9" i="9"/>
  <c r="AR9" i="9"/>
  <c r="AQ9" i="9"/>
  <c r="AP9" i="9"/>
  <c r="AO9" i="9"/>
  <c r="AN9" i="9"/>
  <c r="AM9" i="9"/>
  <c r="AL9" i="9"/>
  <c r="AK9" i="9"/>
  <c r="AJ9" i="9"/>
  <c r="AI9" i="9"/>
  <c r="AH9" i="9"/>
  <c r="AG9"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G8" i="9"/>
  <c r="BF8" i="9"/>
  <c r="BE8" i="9"/>
  <c r="BD8" i="9"/>
  <c r="BC8" i="9"/>
  <c r="BB8" i="9"/>
  <c r="BA8" i="9"/>
  <c r="AZ8" i="9"/>
  <c r="AY8" i="9"/>
  <c r="AX8" i="9"/>
  <c r="AW8" i="9"/>
  <c r="AV8" i="9"/>
  <c r="AU8" i="9"/>
  <c r="AT8" i="9"/>
  <c r="AS8" i="9"/>
  <c r="AR8" i="9"/>
  <c r="AQ8" i="9"/>
  <c r="AP8" i="9"/>
  <c r="AO8" i="9"/>
  <c r="AN8" i="9"/>
  <c r="AM8" i="9"/>
  <c r="AL8" i="9"/>
  <c r="AK8" i="9"/>
  <c r="AJ8" i="9"/>
  <c r="AI8" i="9"/>
  <c r="AH8" i="9"/>
  <c r="AG8"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A8" i="9"/>
  <c r="AY7" i="9"/>
  <c r="AX7" i="9"/>
  <c r="AW7" i="9"/>
  <c r="AV7" i="9"/>
  <c r="AU7" i="9"/>
  <c r="AT7" i="9"/>
  <c r="AS7" i="9"/>
  <c r="AR7" i="9"/>
  <c r="AQ7" i="9"/>
  <c r="AP7" i="9"/>
  <c r="AO7" i="9"/>
  <c r="AN7" i="9"/>
  <c r="AM7" i="9"/>
  <c r="AL7" i="9"/>
  <c r="AK7" i="9"/>
  <c r="AJ7" i="9"/>
  <c r="AI7" i="9"/>
  <c r="AH7" i="9"/>
  <c r="AG7"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A7" i="9"/>
  <c r="A6" i="9"/>
  <c r="AU5" i="9"/>
  <c r="AT5" i="9"/>
  <c r="AS5" i="9"/>
  <c r="AR5" i="9"/>
  <c r="AQ5" i="9"/>
  <c r="AP5" i="9"/>
  <c r="AO5" i="9"/>
  <c r="AN5" i="9"/>
  <c r="AM5" i="9"/>
  <c r="AL5" i="9"/>
  <c r="AK5" i="9"/>
  <c r="AJ5" i="9"/>
  <c r="AJ102" i="9" s="1"/>
  <c r="AI5" i="9"/>
  <c r="AH5" i="9"/>
  <c r="AG5" i="9"/>
  <c r="AF5" i="9"/>
  <c r="AE5" i="9"/>
  <c r="AD5" i="9"/>
  <c r="AC5" i="9"/>
  <c r="AB5" i="9"/>
  <c r="AA5" i="9"/>
  <c r="Z5" i="9"/>
  <c r="Y5" i="9"/>
  <c r="X5" i="9"/>
  <c r="X102" i="9" s="1"/>
  <c r="W5" i="9"/>
  <c r="V5" i="9"/>
  <c r="U5" i="9"/>
  <c r="T5" i="9"/>
  <c r="S5" i="9"/>
  <c r="R5" i="9"/>
  <c r="Q5" i="9"/>
  <c r="P5" i="9"/>
  <c r="O5" i="9"/>
  <c r="N5" i="9"/>
  <c r="M5" i="9"/>
  <c r="L5" i="9"/>
  <c r="L102" i="9" s="1"/>
  <c r="K5" i="9"/>
  <c r="J5" i="9"/>
  <c r="I5" i="9"/>
  <c r="H5" i="9"/>
  <c r="G5" i="9"/>
  <c r="F5" i="9"/>
  <c r="E5" i="9"/>
  <c r="D5" i="9"/>
  <c r="C5" i="9"/>
  <c r="A5" i="9"/>
  <c r="A4" i="9"/>
  <c r="BG2" i="9"/>
  <c r="BF2" i="9"/>
  <c r="BE2" i="9"/>
  <c r="BD2" i="9"/>
  <c r="BC2" i="9"/>
  <c r="BB2" i="9"/>
  <c r="BA2" i="9"/>
  <c r="AZ2" i="9"/>
  <c r="AY2" i="9"/>
  <c r="AX2" i="9"/>
  <c r="AW2" i="9"/>
  <c r="AV2" i="9"/>
  <c r="AU2" i="9"/>
  <c r="AT2" i="9"/>
  <c r="AS2" i="9"/>
  <c r="AR2" i="9"/>
  <c r="AQ2" i="9"/>
  <c r="AP2" i="9"/>
  <c r="AO2" i="9"/>
  <c r="AN2" i="9"/>
  <c r="AM2" i="9"/>
  <c r="AL2" i="9"/>
  <c r="AK2" i="9"/>
  <c r="AJ2" i="9"/>
  <c r="AI2" i="9"/>
  <c r="AH2" i="9"/>
  <c r="AG2"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BG1" i="9"/>
  <c r="BF1" i="9"/>
  <c r="BE1" i="9"/>
  <c r="BD1" i="9"/>
  <c r="BC1" i="9"/>
  <c r="BB1" i="9"/>
  <c r="BA1" i="9"/>
  <c r="AZ1" i="9"/>
  <c r="AY1" i="9"/>
  <c r="AX1" i="9"/>
  <c r="AW1" i="9"/>
  <c r="AV1" i="9"/>
  <c r="AU1" i="9"/>
  <c r="AT1" i="9"/>
  <c r="AS1" i="9"/>
  <c r="AR1" i="9"/>
  <c r="AQ1" i="9"/>
  <c r="AP1" i="9"/>
  <c r="AO1" i="9"/>
  <c r="AN1" i="9"/>
  <c r="AM1" i="9"/>
  <c r="AL1" i="9"/>
  <c r="AK1" i="9"/>
  <c r="AJ1" i="9"/>
  <c r="AI1" i="9"/>
  <c r="AH1" i="9"/>
  <c r="AG1" i="9"/>
  <c r="AF1" i="9"/>
  <c r="AE1" i="9"/>
  <c r="AD1" i="9"/>
  <c r="AC1" i="9"/>
  <c r="AB1" i="9"/>
  <c r="AA1" i="9"/>
  <c r="Z1" i="9"/>
  <c r="Y1" i="9"/>
  <c r="X1" i="9"/>
  <c r="W1" i="9"/>
  <c r="V1" i="9"/>
  <c r="U1" i="9"/>
  <c r="T1" i="9"/>
  <c r="S1" i="9"/>
  <c r="R1" i="9"/>
  <c r="Q1" i="9"/>
  <c r="P1" i="9"/>
  <c r="O1" i="9"/>
  <c r="N1" i="9"/>
  <c r="M1" i="9"/>
  <c r="L1" i="9"/>
  <c r="K1" i="9"/>
  <c r="J1" i="9"/>
  <c r="I1" i="9"/>
  <c r="H1" i="9"/>
  <c r="G1" i="9"/>
  <c r="F1" i="9"/>
  <c r="E1" i="9"/>
  <c r="D1" i="9"/>
  <c r="C1" i="9"/>
  <c r="A1" i="9"/>
  <c r="J170" i="10"/>
  <c r="J169" i="10"/>
  <c r="J168" i="10"/>
  <c r="J167" i="10"/>
  <c r="J166" i="10"/>
  <c r="J165" i="10"/>
  <c r="J164" i="10"/>
  <c r="J163" i="10"/>
  <c r="J162" i="10"/>
  <c r="J161" i="10"/>
  <c r="J160" i="10"/>
  <c r="J159" i="10"/>
  <c r="J158" i="10"/>
  <c r="J157" i="10"/>
  <c r="J155" i="10"/>
  <c r="J154" i="10"/>
  <c r="J153" i="10"/>
  <c r="J152" i="10"/>
  <c r="J151" i="10"/>
  <c r="J150" i="10"/>
  <c r="J149" i="10"/>
  <c r="J148" i="10"/>
  <c r="J147" i="10"/>
  <c r="J146" i="10"/>
  <c r="J145" i="10"/>
  <c r="J144" i="10"/>
  <c r="J143" i="10"/>
  <c r="J142" i="10"/>
  <c r="J140" i="10"/>
  <c r="J139" i="10"/>
  <c r="J138" i="10"/>
  <c r="J137" i="10"/>
  <c r="J136" i="10"/>
  <c r="J135" i="10"/>
  <c r="J134" i="10"/>
  <c r="J133" i="10"/>
  <c r="J132" i="10"/>
  <c r="J131" i="10"/>
  <c r="J130" i="10"/>
  <c r="J129" i="10"/>
  <c r="J128" i="10"/>
  <c r="J127" i="10"/>
  <c r="J125" i="10"/>
  <c r="J124" i="10"/>
  <c r="J123" i="10"/>
  <c r="J122" i="10"/>
  <c r="J121" i="10"/>
  <c r="J120" i="10"/>
  <c r="J119" i="10"/>
  <c r="J118" i="10"/>
  <c r="J117" i="10"/>
  <c r="J116" i="10"/>
  <c r="J115" i="10"/>
  <c r="J114" i="10"/>
  <c r="J113" i="10"/>
  <c r="P112" i="10"/>
  <c r="O112" i="10"/>
  <c r="J112" i="10"/>
  <c r="P111" i="10"/>
  <c r="O111" i="10"/>
  <c r="J111" i="10"/>
  <c r="P110" i="10"/>
  <c r="O110" i="10"/>
  <c r="J110" i="10"/>
  <c r="P109" i="10"/>
  <c r="O109" i="10"/>
  <c r="J109" i="10"/>
  <c r="P108" i="10"/>
  <c r="O108" i="10"/>
  <c r="J108" i="10"/>
  <c r="P107" i="10"/>
  <c r="O107" i="10"/>
  <c r="J107" i="10"/>
  <c r="P106" i="10"/>
  <c r="O106" i="10"/>
  <c r="J106" i="10"/>
  <c r="P105" i="10"/>
  <c r="O105" i="10"/>
  <c r="J105" i="10"/>
  <c r="P104" i="10"/>
  <c r="O104" i="10"/>
  <c r="J104" i="10"/>
  <c r="J102" i="10"/>
  <c r="J101" i="10"/>
  <c r="J100" i="10"/>
  <c r="J99" i="10"/>
  <c r="J98" i="10"/>
  <c r="J97" i="10"/>
  <c r="J96" i="10"/>
  <c r="J95" i="10"/>
  <c r="J94" i="10"/>
  <c r="J93" i="10"/>
  <c r="J92" i="10"/>
  <c r="J91" i="10"/>
  <c r="J90" i="10"/>
  <c r="J89" i="10"/>
  <c r="J88" i="10"/>
  <c r="J87" i="10"/>
  <c r="J86" i="10"/>
  <c r="J85" i="10"/>
  <c r="J84" i="10"/>
  <c r="J82" i="10"/>
  <c r="J81" i="10"/>
  <c r="J80" i="10"/>
  <c r="J79" i="10"/>
  <c r="J78" i="10"/>
  <c r="J77" i="10"/>
  <c r="J76" i="10"/>
  <c r="J75" i="10"/>
  <c r="J74" i="10"/>
  <c r="J73" i="10"/>
  <c r="J72" i="10"/>
  <c r="J71" i="10"/>
  <c r="J70" i="10"/>
  <c r="J69" i="10"/>
  <c r="J68" i="10"/>
  <c r="J66" i="10"/>
  <c r="J65" i="10"/>
  <c r="J64" i="10"/>
  <c r="J63" i="10"/>
  <c r="J61" i="10"/>
  <c r="J60" i="10"/>
  <c r="J59" i="10"/>
  <c r="J58" i="10"/>
  <c r="J57" i="10"/>
  <c r="J56" i="10"/>
  <c r="J55" i="10"/>
  <c r="J54" i="10"/>
  <c r="J53" i="10"/>
  <c r="J52" i="10"/>
  <c r="J51" i="10"/>
  <c r="J50" i="10"/>
  <c r="J49" i="10"/>
  <c r="J48" i="10"/>
  <c r="J46" i="10"/>
  <c r="J45" i="10"/>
  <c r="J44" i="10"/>
  <c r="J43" i="10"/>
  <c r="J42" i="10"/>
  <c r="J41" i="10"/>
  <c r="J40" i="10"/>
  <c r="J39" i="10"/>
  <c r="J38" i="10"/>
  <c r="J37" i="10"/>
  <c r="P36" i="10"/>
  <c r="O36" i="10"/>
  <c r="J36" i="10"/>
  <c r="P35" i="10"/>
  <c r="O35" i="10"/>
  <c r="J35" i="10"/>
  <c r="P34" i="10"/>
  <c r="O34" i="10"/>
  <c r="J34" i="10"/>
  <c r="J33" i="10"/>
  <c r="J32" i="10"/>
  <c r="J31" i="10"/>
  <c r="J30" i="10"/>
  <c r="J28" i="10"/>
  <c r="J25" i="10"/>
  <c r="J23" i="10"/>
  <c r="J22" i="10"/>
  <c r="J21" i="10"/>
  <c r="J20" i="10"/>
  <c r="J19" i="10"/>
  <c r="J18" i="10"/>
  <c r="P17" i="10"/>
  <c r="O17" i="10"/>
  <c r="J17" i="10"/>
  <c r="P16" i="10"/>
  <c r="O16" i="10"/>
  <c r="J16" i="10"/>
  <c r="P15" i="10"/>
  <c r="O15" i="10"/>
  <c r="J15" i="10"/>
  <c r="P14" i="10"/>
  <c r="O14" i="10"/>
  <c r="J14" i="10"/>
  <c r="P13" i="10"/>
  <c r="O13" i="10"/>
  <c r="J13" i="10"/>
  <c r="P12" i="10"/>
  <c r="O12" i="10"/>
  <c r="J12" i="10"/>
  <c r="P11" i="10"/>
  <c r="O11" i="10"/>
  <c r="J11" i="10"/>
  <c r="J9" i="10"/>
  <c r="J8" i="10"/>
  <c r="J7" i="10"/>
  <c r="P6" i="10"/>
  <c r="O6" i="10"/>
  <c r="J6" i="10"/>
  <c r="F2" i="10"/>
  <c r="B1" i="10"/>
  <c r="B1191" i="1"/>
  <c r="O5" i="12" s="1" a="1"/>
  <c r="O5" i="12" s="1"/>
  <c r="P5" i="12" s="1"/>
  <c r="B1190" i="1"/>
  <c r="B1181" i="1"/>
  <c r="B1180" i="1"/>
  <c r="B1179" i="1"/>
  <c r="BG1175" i="1"/>
  <c r="BF1175" i="1"/>
  <c r="BE1175" i="1"/>
  <c r="BD1175" i="1"/>
  <c r="BC1175" i="1"/>
  <c r="BB1175" i="1"/>
  <c r="BA1175" i="1"/>
  <c r="AZ1175" i="1"/>
  <c r="AY1175" i="1"/>
  <c r="AX1175" i="1"/>
  <c r="AW1175" i="1"/>
  <c r="AV1175" i="1"/>
  <c r="AU1175" i="1"/>
  <c r="AT1175" i="1"/>
  <c r="AS1175" i="1"/>
  <c r="AR1175" i="1"/>
  <c r="AQ1175" i="1"/>
  <c r="AP1175" i="1"/>
  <c r="AO1175" i="1"/>
  <c r="AN1175" i="1"/>
  <c r="AM1175" i="1"/>
  <c r="AL1175" i="1"/>
  <c r="AK1175" i="1"/>
  <c r="AJ1175" i="1"/>
  <c r="AI1175" i="1"/>
  <c r="AH1175" i="1"/>
  <c r="AG1175" i="1"/>
  <c r="AF1175" i="1"/>
  <c r="AE1175" i="1"/>
  <c r="AD1175" i="1"/>
  <c r="AC1175" i="1"/>
  <c r="AB1175" i="1"/>
  <c r="AA1175" i="1"/>
  <c r="Z1175" i="1"/>
  <c r="Y1175" i="1"/>
  <c r="X1175" i="1"/>
  <c r="W1175" i="1"/>
  <c r="V1175" i="1"/>
  <c r="U1175" i="1"/>
  <c r="T1175" i="1"/>
  <c r="S1175" i="1"/>
  <c r="R1175" i="1"/>
  <c r="Q1175" i="1"/>
  <c r="P1175" i="1"/>
  <c r="O1175" i="1"/>
  <c r="N1175" i="1"/>
  <c r="M1175" i="1"/>
  <c r="L1175" i="1"/>
  <c r="K1175" i="1"/>
  <c r="J1175" i="1"/>
  <c r="I1175" i="1"/>
  <c r="H1175" i="1"/>
  <c r="G1175" i="1"/>
  <c r="F1175" i="1"/>
  <c r="E1175" i="1"/>
  <c r="D1175" i="1"/>
  <c r="C1175" i="1"/>
  <c r="BG1171" i="1"/>
  <c r="BF1171" i="1"/>
  <c r="BE1171" i="1"/>
  <c r="BD1171" i="1"/>
  <c r="BC1171" i="1"/>
  <c r="BB1171" i="1"/>
  <c r="BA1171" i="1"/>
  <c r="AZ1171" i="1"/>
  <c r="AY1171" i="1"/>
  <c r="AX1171" i="1"/>
  <c r="AW1171" i="1"/>
  <c r="AV1171" i="1"/>
  <c r="BG1168" i="1"/>
  <c r="BF1168" i="1"/>
  <c r="BE1168" i="1"/>
  <c r="BD1168" i="1"/>
  <c r="BC1168" i="1"/>
  <c r="BB1168" i="1"/>
  <c r="BA1168" i="1"/>
  <c r="AZ1168" i="1"/>
  <c r="AY1168" i="1"/>
  <c r="AX1168" i="1"/>
  <c r="AW1168" i="1"/>
  <c r="AV1168" i="1"/>
  <c r="AU1168" i="1"/>
  <c r="AT1168" i="1"/>
  <c r="AS1168" i="1"/>
  <c r="AR1168" i="1"/>
  <c r="AQ1168" i="1"/>
  <c r="AP1168" i="1"/>
  <c r="AO1168" i="1"/>
  <c r="AN1168" i="1"/>
  <c r="AM1168" i="1"/>
  <c r="AL1168" i="1"/>
  <c r="AK1168" i="1"/>
  <c r="AJ1168" i="1"/>
  <c r="AI1168" i="1"/>
  <c r="AH1168" i="1"/>
  <c r="AG1168" i="1"/>
  <c r="AF1168" i="1"/>
  <c r="AE1168" i="1"/>
  <c r="AD1168" i="1"/>
  <c r="AC1168" i="1"/>
  <c r="AB1168" i="1"/>
  <c r="AA1168" i="1"/>
  <c r="Z1168" i="1"/>
  <c r="Y1168" i="1"/>
  <c r="X1168" i="1"/>
  <c r="W1168" i="1"/>
  <c r="V1168" i="1"/>
  <c r="U1168" i="1"/>
  <c r="T1168" i="1"/>
  <c r="S1168" i="1"/>
  <c r="R1168" i="1"/>
  <c r="Q1168" i="1"/>
  <c r="P1168" i="1"/>
  <c r="O1168" i="1"/>
  <c r="N1168" i="1"/>
  <c r="M1168" i="1"/>
  <c r="L1168" i="1"/>
  <c r="K1168" i="1"/>
  <c r="J1168" i="1"/>
  <c r="I1168" i="1"/>
  <c r="H1168" i="1"/>
  <c r="G1168" i="1"/>
  <c r="F1168" i="1"/>
  <c r="E1168" i="1"/>
  <c r="D1168" i="1"/>
  <c r="C1168" i="1"/>
  <c r="BG1166" i="1"/>
  <c r="BF1166" i="1"/>
  <c r="BE1166" i="1"/>
  <c r="BD1166" i="1"/>
  <c r="BC1166" i="1"/>
  <c r="BB1166" i="1"/>
  <c r="BA1166" i="1"/>
  <c r="AZ1166" i="1"/>
  <c r="AY1166" i="1"/>
  <c r="AX1166" i="1"/>
  <c r="AW1166" i="1"/>
  <c r="AV1166" i="1"/>
  <c r="AU1166" i="1"/>
  <c r="AT1166" i="1"/>
  <c r="AS1166" i="1"/>
  <c r="AR1166" i="1"/>
  <c r="AQ1166" i="1"/>
  <c r="AP1166" i="1"/>
  <c r="AO1166" i="1"/>
  <c r="AN1166" i="1"/>
  <c r="AM1166" i="1"/>
  <c r="AL1166" i="1"/>
  <c r="AK1166" i="1"/>
  <c r="AJ1166" i="1"/>
  <c r="AI1166" i="1"/>
  <c r="AH1166" i="1"/>
  <c r="AG1166" i="1"/>
  <c r="AF1166" i="1"/>
  <c r="AE1166" i="1"/>
  <c r="AD1166" i="1"/>
  <c r="AC1166" i="1"/>
  <c r="AB1166" i="1"/>
  <c r="AA1166" i="1"/>
  <c r="Z1166" i="1"/>
  <c r="Y1166" i="1"/>
  <c r="X1166" i="1"/>
  <c r="W1166" i="1"/>
  <c r="V1166" i="1"/>
  <c r="U1166" i="1"/>
  <c r="T1166" i="1"/>
  <c r="S1166" i="1"/>
  <c r="R1166" i="1"/>
  <c r="Q1166" i="1"/>
  <c r="P1166" i="1"/>
  <c r="O1166" i="1"/>
  <c r="N1166" i="1"/>
  <c r="M1166" i="1"/>
  <c r="L1166" i="1"/>
  <c r="K1166" i="1"/>
  <c r="J1166" i="1"/>
  <c r="I1166" i="1"/>
  <c r="H1166" i="1"/>
  <c r="G1166" i="1"/>
  <c r="F1166" i="1"/>
  <c r="E1166" i="1"/>
  <c r="D1166" i="1"/>
  <c r="C1166" i="1"/>
  <c r="BG1161" i="1"/>
  <c r="BF1161" i="1"/>
  <c r="BE1161" i="1"/>
  <c r="BD1161" i="1"/>
  <c r="BC1161" i="1"/>
  <c r="BB1161" i="1"/>
  <c r="BA1161" i="1"/>
  <c r="AZ1161" i="1"/>
  <c r="AY1161" i="1"/>
  <c r="AX1161" i="1"/>
  <c r="AW1161" i="1"/>
  <c r="AV1161" i="1"/>
  <c r="AU1161" i="1"/>
  <c r="AT1161" i="1"/>
  <c r="AS1161" i="1"/>
  <c r="AR1161" i="1"/>
  <c r="AQ1161" i="1"/>
  <c r="AP1161" i="1"/>
  <c r="AO1161" i="1"/>
  <c r="AN1161" i="1"/>
  <c r="AM1161" i="1"/>
  <c r="AL1161" i="1"/>
  <c r="AK1161" i="1"/>
  <c r="AJ1161" i="1"/>
  <c r="AI1161" i="1"/>
  <c r="AH1161" i="1"/>
  <c r="AG1161" i="1"/>
  <c r="AF1161" i="1"/>
  <c r="AE1161" i="1"/>
  <c r="AD1161" i="1"/>
  <c r="AC1161" i="1"/>
  <c r="AB1161" i="1"/>
  <c r="AA1161" i="1"/>
  <c r="Z1161" i="1"/>
  <c r="Y1161" i="1"/>
  <c r="X1161" i="1"/>
  <c r="W1161" i="1"/>
  <c r="V1161" i="1"/>
  <c r="U1161" i="1"/>
  <c r="T1161" i="1"/>
  <c r="S1161" i="1"/>
  <c r="R1161" i="1"/>
  <c r="Q1161" i="1"/>
  <c r="P1161" i="1"/>
  <c r="O1161" i="1"/>
  <c r="N1161" i="1"/>
  <c r="M1161" i="1"/>
  <c r="L1161" i="1"/>
  <c r="K1161" i="1"/>
  <c r="J1161" i="1"/>
  <c r="I1161" i="1"/>
  <c r="H1161" i="1"/>
  <c r="G1161" i="1"/>
  <c r="F1161" i="1"/>
  <c r="E1161" i="1"/>
  <c r="D1161" i="1"/>
  <c r="C1161" i="1"/>
  <c r="BG1159" i="1"/>
  <c r="BF1159" i="1"/>
  <c r="BE1159" i="1"/>
  <c r="BD1159" i="1"/>
  <c r="BC1159" i="1"/>
  <c r="BB1159" i="1"/>
  <c r="BA1159" i="1"/>
  <c r="AZ1159" i="1"/>
  <c r="AY1159" i="1"/>
  <c r="AX1159" i="1"/>
  <c r="AW1159" i="1"/>
  <c r="AV1159" i="1"/>
  <c r="AU1159" i="1"/>
  <c r="AT1159" i="1"/>
  <c r="AS1159" i="1"/>
  <c r="AR1159" i="1"/>
  <c r="AQ1159" i="1"/>
  <c r="AP1159" i="1"/>
  <c r="AO1159" i="1"/>
  <c r="AN1159" i="1"/>
  <c r="AM1159" i="1"/>
  <c r="AL1159" i="1"/>
  <c r="AK1159" i="1"/>
  <c r="AJ1159" i="1"/>
  <c r="AI1159" i="1"/>
  <c r="AH1159" i="1"/>
  <c r="AG1159" i="1"/>
  <c r="AF1159" i="1"/>
  <c r="AE1159" i="1"/>
  <c r="AD1159" i="1"/>
  <c r="AC1159" i="1"/>
  <c r="AB1159" i="1"/>
  <c r="AA1159" i="1"/>
  <c r="Z1159" i="1"/>
  <c r="Y1159" i="1"/>
  <c r="X1159" i="1"/>
  <c r="W1159" i="1"/>
  <c r="V1159" i="1"/>
  <c r="U1159" i="1"/>
  <c r="T1159" i="1"/>
  <c r="S1159" i="1"/>
  <c r="R1159" i="1"/>
  <c r="Q1159" i="1"/>
  <c r="P1159" i="1"/>
  <c r="O1159" i="1"/>
  <c r="N1159" i="1"/>
  <c r="M1159" i="1"/>
  <c r="L1159" i="1"/>
  <c r="K1159" i="1"/>
  <c r="J1159" i="1"/>
  <c r="I1159" i="1"/>
  <c r="H1159" i="1"/>
  <c r="G1159" i="1"/>
  <c r="F1159" i="1"/>
  <c r="E1159" i="1"/>
  <c r="D1159" i="1"/>
  <c r="C1159" i="1"/>
  <c r="BG1154" i="1"/>
  <c r="BF1154" i="1"/>
  <c r="BE1154" i="1"/>
  <c r="BD1154" i="1"/>
  <c r="BC1154" i="1"/>
  <c r="BB1154" i="1"/>
  <c r="BA1154" i="1"/>
  <c r="AZ1154" i="1"/>
  <c r="AY1154" i="1"/>
  <c r="AX1154" i="1"/>
  <c r="AW1154" i="1"/>
  <c r="AV1154" i="1"/>
  <c r="AU1154" i="1"/>
  <c r="AT1154" i="1"/>
  <c r="AS1154" i="1"/>
  <c r="AR1154" i="1"/>
  <c r="AQ1154" i="1"/>
  <c r="AP1154" i="1"/>
  <c r="AO1154" i="1"/>
  <c r="AN1154" i="1"/>
  <c r="AM1154" i="1"/>
  <c r="AL1154" i="1"/>
  <c r="AK1154" i="1"/>
  <c r="AJ1154" i="1"/>
  <c r="AI1154" i="1"/>
  <c r="AH1154" i="1"/>
  <c r="AG1154" i="1"/>
  <c r="AF1154" i="1"/>
  <c r="AE1154" i="1"/>
  <c r="AD1154" i="1"/>
  <c r="AC1154" i="1"/>
  <c r="AB1154" i="1"/>
  <c r="AA1154" i="1"/>
  <c r="Z1154" i="1"/>
  <c r="Y1154" i="1"/>
  <c r="X1154" i="1"/>
  <c r="W1154" i="1"/>
  <c r="V1154" i="1"/>
  <c r="U1154" i="1"/>
  <c r="T1154" i="1"/>
  <c r="S1154" i="1"/>
  <c r="R1154" i="1"/>
  <c r="Q1154" i="1"/>
  <c r="P1154" i="1"/>
  <c r="O1154" i="1"/>
  <c r="N1154" i="1"/>
  <c r="M1154" i="1"/>
  <c r="L1154" i="1"/>
  <c r="K1154" i="1"/>
  <c r="J1154" i="1"/>
  <c r="I1154" i="1"/>
  <c r="H1154" i="1"/>
  <c r="G1154" i="1"/>
  <c r="F1154" i="1"/>
  <c r="E1154" i="1"/>
  <c r="D1154" i="1"/>
  <c r="C1154" i="1"/>
  <c r="BG1152" i="1"/>
  <c r="BF1152" i="1"/>
  <c r="BE1152" i="1"/>
  <c r="BD1152" i="1"/>
  <c r="BC1152" i="1"/>
  <c r="BB1152" i="1"/>
  <c r="BA1152" i="1"/>
  <c r="AZ1152" i="1"/>
  <c r="AY1152" i="1"/>
  <c r="AX1152" i="1"/>
  <c r="AW1152" i="1"/>
  <c r="AV1152" i="1"/>
  <c r="AU1152" i="1"/>
  <c r="AT1152" i="1"/>
  <c r="AS1152" i="1"/>
  <c r="AR1152" i="1"/>
  <c r="AQ1152" i="1"/>
  <c r="AP1152" i="1"/>
  <c r="AO1152" i="1"/>
  <c r="AN1152" i="1"/>
  <c r="AM1152" i="1"/>
  <c r="AL1152" i="1"/>
  <c r="AK1152" i="1"/>
  <c r="AJ1152" i="1"/>
  <c r="AI1152" i="1"/>
  <c r="AH1152" i="1"/>
  <c r="AG1152" i="1"/>
  <c r="AF1152" i="1"/>
  <c r="AE1152" i="1"/>
  <c r="AD1152" i="1"/>
  <c r="AC1152" i="1"/>
  <c r="AB1152" i="1"/>
  <c r="AA1152" i="1"/>
  <c r="Z1152" i="1"/>
  <c r="Y1152" i="1"/>
  <c r="X1152" i="1"/>
  <c r="W1152" i="1"/>
  <c r="V1152" i="1"/>
  <c r="U1152" i="1"/>
  <c r="T1152" i="1"/>
  <c r="S1152" i="1"/>
  <c r="R1152" i="1"/>
  <c r="Q1152" i="1"/>
  <c r="P1152" i="1"/>
  <c r="O1152" i="1"/>
  <c r="N1152" i="1"/>
  <c r="M1152" i="1"/>
  <c r="L1152" i="1"/>
  <c r="K1152" i="1"/>
  <c r="J1152" i="1"/>
  <c r="I1152" i="1"/>
  <c r="H1152" i="1"/>
  <c r="G1152" i="1"/>
  <c r="F1152" i="1"/>
  <c r="E1152" i="1"/>
  <c r="D1152" i="1"/>
  <c r="C1152" i="1"/>
  <c r="BG1148" i="1"/>
  <c r="BF1148" i="1"/>
  <c r="BE1148" i="1"/>
  <c r="BD1148" i="1"/>
  <c r="BC1148" i="1"/>
  <c r="BB1148" i="1"/>
  <c r="BA1148" i="1"/>
  <c r="AZ1148" i="1"/>
  <c r="AY1148" i="1"/>
  <c r="AX1148" i="1"/>
  <c r="AW1148" i="1"/>
  <c r="AV1148" i="1"/>
  <c r="AU1148" i="1"/>
  <c r="AT1148" i="1"/>
  <c r="AS1148" i="1"/>
  <c r="AR1148" i="1"/>
  <c r="AQ1148" i="1"/>
  <c r="AP1148" i="1"/>
  <c r="AO1148" i="1"/>
  <c r="AN1148" i="1"/>
  <c r="AM1148" i="1"/>
  <c r="AL1148" i="1"/>
  <c r="AK1148" i="1"/>
  <c r="AJ1148" i="1"/>
  <c r="AI1148" i="1"/>
  <c r="AH1148" i="1"/>
  <c r="AG1148" i="1"/>
  <c r="AF1148" i="1"/>
  <c r="AE1148" i="1"/>
  <c r="AD1148" i="1"/>
  <c r="AC1148" i="1"/>
  <c r="AB1148" i="1"/>
  <c r="AA1148" i="1"/>
  <c r="Z1148" i="1"/>
  <c r="Y1148" i="1"/>
  <c r="X1148" i="1"/>
  <c r="W1148" i="1"/>
  <c r="V1148" i="1"/>
  <c r="U1148" i="1"/>
  <c r="T1148" i="1"/>
  <c r="S1148" i="1"/>
  <c r="R1148" i="1"/>
  <c r="Q1148" i="1"/>
  <c r="P1148" i="1"/>
  <c r="O1148" i="1"/>
  <c r="N1148" i="1"/>
  <c r="M1148" i="1"/>
  <c r="L1148" i="1"/>
  <c r="K1148" i="1"/>
  <c r="J1148" i="1"/>
  <c r="I1148" i="1"/>
  <c r="H1148" i="1"/>
  <c r="G1148" i="1"/>
  <c r="F1148" i="1"/>
  <c r="E1148" i="1"/>
  <c r="D1148" i="1"/>
  <c r="C1148" i="1"/>
  <c r="BG1147" i="1"/>
  <c r="BF1147" i="1"/>
  <c r="BE1147" i="1"/>
  <c r="BE1151" i="1" s="1"/>
  <c r="BD1147" i="1"/>
  <c r="BD1153" i="1" s="1"/>
  <c r="BC1147" i="1"/>
  <c r="BC1167" i="1" s="1"/>
  <c r="BB1147" i="1"/>
  <c r="BB1165" i="1" s="1"/>
  <c r="BA1147" i="1"/>
  <c r="AZ1147" i="1"/>
  <c r="AY1147" i="1"/>
  <c r="AY1151" i="1" s="1"/>
  <c r="AX1147" i="1"/>
  <c r="AX1167" i="1" s="1"/>
  <c r="AW1147" i="1"/>
  <c r="AW1167" i="1" s="1"/>
  <c r="AV1147" i="1"/>
  <c r="AV1167" i="1" s="1"/>
  <c r="AU1147" i="1"/>
  <c r="AT1147" i="1"/>
  <c r="AS1147" i="1"/>
  <c r="AS1151" i="1" s="1"/>
  <c r="AR1147" i="1"/>
  <c r="AR1160" i="1" s="1"/>
  <c r="AQ1147" i="1"/>
  <c r="AQ1167" i="1" s="1"/>
  <c r="AP1147" i="1"/>
  <c r="AP1165" i="1" s="1"/>
  <c r="AO1147" i="1"/>
  <c r="AN1147" i="1"/>
  <c r="AM1147" i="1"/>
  <c r="AL1147" i="1"/>
  <c r="AL1167" i="1" s="1"/>
  <c r="AK1147" i="1"/>
  <c r="AK1165" i="1" s="1"/>
  <c r="AJ1147" i="1"/>
  <c r="AJ1167" i="1" s="1"/>
  <c r="AI1147" i="1"/>
  <c r="AH1147" i="1"/>
  <c r="AG1147" i="1"/>
  <c r="AG1151" i="1" s="1"/>
  <c r="AF1147" i="1"/>
  <c r="AF1165" i="1" s="1"/>
  <c r="AE1147" i="1"/>
  <c r="AE1167" i="1" s="1"/>
  <c r="AD1147" i="1"/>
  <c r="AD1165" i="1" s="1"/>
  <c r="AC1147" i="1"/>
  <c r="AB1147" i="1"/>
  <c r="AA1147" i="1"/>
  <c r="AA1151" i="1" s="1"/>
  <c r="Z1147" i="1"/>
  <c r="Z1167" i="1" s="1"/>
  <c r="Y1147" i="1"/>
  <c r="Y1153" i="1" s="1"/>
  <c r="X1147" i="1"/>
  <c r="X1167" i="1" s="1"/>
  <c r="W1147" i="1"/>
  <c r="V1147" i="1"/>
  <c r="U1147" i="1"/>
  <c r="U1151" i="1" s="1"/>
  <c r="T1147" i="1"/>
  <c r="T1153" i="1" s="1"/>
  <c r="S1147" i="1"/>
  <c r="S1167" i="1" s="1"/>
  <c r="R1147" i="1"/>
  <c r="R1165" i="1" s="1"/>
  <c r="Q1147" i="1"/>
  <c r="P1147" i="1"/>
  <c r="O1147" i="1"/>
  <c r="N1147" i="1"/>
  <c r="N1167" i="1" s="1"/>
  <c r="M1147" i="1"/>
  <c r="M1158" i="1" s="1"/>
  <c r="L1147" i="1"/>
  <c r="L1167" i="1" s="1"/>
  <c r="K1147" i="1"/>
  <c r="J1147" i="1"/>
  <c r="I1147" i="1"/>
  <c r="I1153" i="1" s="1"/>
  <c r="H1147" i="1"/>
  <c r="H1160" i="1" s="1"/>
  <c r="G1147" i="1"/>
  <c r="G1167" i="1" s="1"/>
  <c r="F1147" i="1"/>
  <c r="F1165" i="1" s="1"/>
  <c r="E1147" i="1"/>
  <c r="D1147" i="1"/>
  <c r="C1147" i="1"/>
  <c r="C1153" i="1" s="1"/>
  <c r="A1143" i="1"/>
  <c r="A1142" i="1"/>
  <c r="A1141" i="1"/>
  <c r="A1140" i="1"/>
  <c r="A1138" i="1"/>
  <c r="A1137" i="1"/>
  <c r="BG1134" i="1"/>
  <c r="BF1134" i="1"/>
  <c r="BE1134" i="1"/>
  <c r="BD1134" i="1"/>
  <c r="BC1134" i="1"/>
  <c r="BB1134" i="1"/>
  <c r="BA1134" i="1"/>
  <c r="AZ1134" i="1"/>
  <c r="AY1134" i="1"/>
  <c r="AX1134" i="1"/>
  <c r="AW1134" i="1"/>
  <c r="AV1134" i="1"/>
  <c r="A1129" i="1"/>
  <c r="A1127" i="1"/>
  <c r="AT1111" i="1"/>
  <c r="AO1111" i="1"/>
  <c r="AJ1111" i="1"/>
  <c r="AE1111" i="1"/>
  <c r="Z1111" i="1"/>
  <c r="U1111" i="1"/>
  <c r="P1111" i="1"/>
  <c r="K1111" i="1"/>
  <c r="AY1110" i="1"/>
  <c r="AT1110" i="1"/>
  <c r="AO1110" i="1"/>
  <c r="AJ1110" i="1"/>
  <c r="AE1110" i="1"/>
  <c r="Z1110" i="1"/>
  <c r="U1110" i="1"/>
  <c r="P1110" i="1"/>
  <c r="K1110" i="1"/>
  <c r="AY1109" i="1"/>
  <c r="AT1109" i="1"/>
  <c r="AO1109" i="1"/>
  <c r="AJ1109" i="1"/>
  <c r="AE1109" i="1"/>
  <c r="Z1109" i="1"/>
  <c r="U1109" i="1"/>
  <c r="P1109" i="1"/>
  <c r="K1109" i="1"/>
  <c r="AY1108" i="1"/>
  <c r="AT1108" i="1"/>
  <c r="AO1108" i="1"/>
  <c r="AJ1108" i="1"/>
  <c r="AE1108" i="1"/>
  <c r="Z1108" i="1"/>
  <c r="U1108" i="1"/>
  <c r="P1108" i="1"/>
  <c r="K1108" i="1"/>
  <c r="AT1107" i="1"/>
  <c r="AO1107" i="1"/>
  <c r="AJ1107" i="1"/>
  <c r="AE1107" i="1"/>
  <c r="Z1107" i="1"/>
  <c r="U1107" i="1"/>
  <c r="P1107" i="1"/>
  <c r="K1107" i="1"/>
  <c r="AY1106" i="1"/>
  <c r="AT1106" i="1"/>
  <c r="AO1106" i="1"/>
  <c r="AJ1106" i="1"/>
  <c r="AE1106" i="1"/>
  <c r="Z1106" i="1"/>
  <c r="U1106" i="1"/>
  <c r="P1106" i="1"/>
  <c r="K1106" i="1"/>
  <c r="AY1105" i="1"/>
  <c r="AT1105" i="1"/>
  <c r="AO1105" i="1"/>
  <c r="AJ1105" i="1"/>
  <c r="AE1105" i="1"/>
  <c r="Z1105" i="1"/>
  <c r="U1105" i="1"/>
  <c r="P1105" i="1"/>
  <c r="K1105" i="1"/>
  <c r="AY1104" i="1"/>
  <c r="AU1104" i="1"/>
  <c r="AT1104" i="1"/>
  <c r="AS1104" i="1"/>
  <c r="AR1104" i="1"/>
  <c r="AQ1104" i="1"/>
  <c r="AP1104" i="1"/>
  <c r="AO1104" i="1"/>
  <c r="AN1104" i="1"/>
  <c r="AM1104" i="1"/>
  <c r="AL1104" i="1"/>
  <c r="AK1104" i="1"/>
  <c r="AJ1104" i="1"/>
  <c r="AI1104" i="1"/>
  <c r="AH1104" i="1"/>
  <c r="AG1104" i="1"/>
  <c r="AF1104" i="1"/>
  <c r="AE1104" i="1"/>
  <c r="AD1104" i="1"/>
  <c r="AC1104" i="1"/>
  <c r="AB1104" i="1"/>
  <c r="AA1104" i="1"/>
  <c r="Z1104" i="1"/>
  <c r="Y1104" i="1"/>
  <c r="X1104" i="1"/>
  <c r="W1104" i="1"/>
  <c r="V1104" i="1"/>
  <c r="U1104" i="1"/>
  <c r="T1104" i="1"/>
  <c r="S1104" i="1"/>
  <c r="R1104" i="1"/>
  <c r="Q1104" i="1"/>
  <c r="P1104" i="1"/>
  <c r="O1104" i="1"/>
  <c r="N1104" i="1"/>
  <c r="M1104" i="1"/>
  <c r="L1104" i="1"/>
  <c r="K1104" i="1"/>
  <c r="J1104" i="1"/>
  <c r="I1104" i="1"/>
  <c r="H1104" i="1"/>
  <c r="G1104" i="1"/>
  <c r="F1104" i="1"/>
  <c r="E1104" i="1"/>
  <c r="D1104" i="1"/>
  <c r="C1104" i="1"/>
  <c r="AZ1103" i="1"/>
  <c r="AY1103" i="1"/>
  <c r="AX1103" i="1"/>
  <c r="AW1103" i="1"/>
  <c r="AV1103" i="1"/>
  <c r="AU1103" i="1"/>
  <c r="AT1103" i="1"/>
  <c r="AS1103" i="1"/>
  <c r="AR1103" i="1"/>
  <c r="AQ1103" i="1"/>
  <c r="AP1103" i="1"/>
  <c r="AO1103" i="1"/>
  <c r="AN1103" i="1"/>
  <c r="AM1103" i="1"/>
  <c r="AL1103" i="1"/>
  <c r="AK1103" i="1"/>
  <c r="AJ1103" i="1"/>
  <c r="AI1103" i="1"/>
  <c r="AH1103" i="1"/>
  <c r="AG1103" i="1"/>
  <c r="AF1103" i="1"/>
  <c r="AE1103" i="1"/>
  <c r="AD1103" i="1"/>
  <c r="AC1103" i="1"/>
  <c r="AB1103" i="1"/>
  <c r="AA1103" i="1"/>
  <c r="Z1103" i="1"/>
  <c r="Y1103" i="1"/>
  <c r="X1103" i="1"/>
  <c r="W1103" i="1"/>
  <c r="V1103" i="1"/>
  <c r="U1103" i="1"/>
  <c r="T1103" i="1"/>
  <c r="S1103" i="1"/>
  <c r="R1103" i="1"/>
  <c r="Q1103" i="1"/>
  <c r="P1103" i="1"/>
  <c r="O1103" i="1"/>
  <c r="N1103" i="1"/>
  <c r="M1103" i="1"/>
  <c r="L1103" i="1"/>
  <c r="K1103" i="1"/>
  <c r="J1103" i="1"/>
  <c r="I1103" i="1"/>
  <c r="H1103" i="1"/>
  <c r="G1103" i="1"/>
  <c r="F1103" i="1"/>
  <c r="E1103" i="1"/>
  <c r="D1103" i="1"/>
  <c r="C1103" i="1"/>
  <c r="BD1102" i="1"/>
  <c r="AY1102" i="1"/>
  <c r="AT1102" i="1"/>
  <c r="AO1102" i="1"/>
  <c r="AJ1102" i="1"/>
  <c r="AE1102" i="1"/>
  <c r="Z1102" i="1"/>
  <c r="U1102" i="1"/>
  <c r="P1102" i="1"/>
  <c r="K1102" i="1"/>
  <c r="BG1101" i="1"/>
  <c r="BF1101" i="1"/>
  <c r="BE1101" i="1"/>
  <c r="BD1101" i="1"/>
  <c r="BC1101" i="1"/>
  <c r="BB1101" i="1"/>
  <c r="BA1101" i="1"/>
  <c r="AZ1101" i="1"/>
  <c r="AY1101" i="1"/>
  <c r="AX1101" i="1"/>
  <c r="AW1101" i="1"/>
  <c r="AV1101" i="1"/>
  <c r="AU1101" i="1"/>
  <c r="AT1101" i="1"/>
  <c r="AS1101" i="1"/>
  <c r="AR1101" i="1"/>
  <c r="AQ1101" i="1"/>
  <c r="AP1101" i="1"/>
  <c r="AO1101" i="1"/>
  <c r="AN1101" i="1"/>
  <c r="AM1101" i="1"/>
  <c r="AL1101" i="1"/>
  <c r="AK1101" i="1"/>
  <c r="AJ1101" i="1"/>
  <c r="AI1101" i="1"/>
  <c r="AH1101" i="1"/>
  <c r="AG1101" i="1"/>
  <c r="AF1101" i="1"/>
  <c r="AE1101" i="1"/>
  <c r="AD1101" i="1"/>
  <c r="AC1101" i="1"/>
  <c r="AB1101" i="1"/>
  <c r="AA1101" i="1"/>
  <c r="Z1101" i="1"/>
  <c r="Y1101" i="1"/>
  <c r="X1101" i="1"/>
  <c r="W1101" i="1"/>
  <c r="V1101" i="1"/>
  <c r="U1101" i="1"/>
  <c r="T1101" i="1"/>
  <c r="S1101" i="1"/>
  <c r="R1101" i="1"/>
  <c r="Q1101" i="1"/>
  <c r="P1101" i="1"/>
  <c r="O1101" i="1"/>
  <c r="N1101" i="1"/>
  <c r="M1101" i="1"/>
  <c r="L1101" i="1"/>
  <c r="K1101" i="1"/>
  <c r="J1101" i="1"/>
  <c r="I1101" i="1"/>
  <c r="H1101" i="1"/>
  <c r="G1101" i="1"/>
  <c r="F1101" i="1"/>
  <c r="E1101" i="1"/>
  <c r="D1101" i="1"/>
  <c r="C1101" i="1"/>
  <c r="AY1100" i="1"/>
  <c r="AX1100" i="1"/>
  <c r="AW1100" i="1"/>
  <c r="AV1100" i="1"/>
  <c r="AU1100" i="1"/>
  <c r="AT1100" i="1"/>
  <c r="AS1100" i="1"/>
  <c r="AR1100" i="1"/>
  <c r="AQ1100" i="1"/>
  <c r="AP1100" i="1"/>
  <c r="AO1100" i="1"/>
  <c r="AN1100" i="1"/>
  <c r="AM1100" i="1"/>
  <c r="AL1100" i="1"/>
  <c r="AK1100" i="1"/>
  <c r="AJ1100" i="1"/>
  <c r="AI1100" i="1"/>
  <c r="AH1100" i="1"/>
  <c r="AG1100" i="1"/>
  <c r="AF1100" i="1"/>
  <c r="AE1100" i="1"/>
  <c r="AD1100" i="1"/>
  <c r="AC1100" i="1"/>
  <c r="AB1100" i="1"/>
  <c r="AA1100" i="1"/>
  <c r="Z1100" i="1"/>
  <c r="Y1100" i="1"/>
  <c r="X1100" i="1"/>
  <c r="W1100" i="1"/>
  <c r="V1100" i="1"/>
  <c r="U1100" i="1"/>
  <c r="T1100" i="1"/>
  <c r="S1100" i="1"/>
  <c r="R1100" i="1"/>
  <c r="Q1100" i="1"/>
  <c r="P1100" i="1"/>
  <c r="O1100" i="1"/>
  <c r="N1100" i="1"/>
  <c r="M1100" i="1"/>
  <c r="L1100" i="1"/>
  <c r="K1100" i="1"/>
  <c r="J1100" i="1"/>
  <c r="I1100" i="1"/>
  <c r="H1100" i="1"/>
  <c r="G1100" i="1"/>
  <c r="F1100" i="1"/>
  <c r="E1100" i="1"/>
  <c r="D1100" i="1"/>
  <c r="C1100" i="1"/>
  <c r="BG1099" i="1"/>
  <c r="BF1099" i="1"/>
  <c r="BE1099" i="1"/>
  <c r="BD1099" i="1"/>
  <c r="BC1099" i="1"/>
  <c r="BB1099" i="1"/>
  <c r="BA1099" i="1"/>
  <c r="AZ1099" i="1"/>
  <c r="AY1099" i="1"/>
  <c r="AX1099" i="1"/>
  <c r="AW1099" i="1"/>
  <c r="AV1099" i="1"/>
  <c r="AU1099" i="1"/>
  <c r="AT1099" i="1"/>
  <c r="AS1099" i="1"/>
  <c r="AR1099" i="1"/>
  <c r="AQ1099" i="1"/>
  <c r="AP1099" i="1"/>
  <c r="AO1099" i="1"/>
  <c r="AN1099" i="1"/>
  <c r="AM1099" i="1"/>
  <c r="AL1099" i="1"/>
  <c r="AK1099" i="1"/>
  <c r="AJ1099" i="1"/>
  <c r="AI1099" i="1"/>
  <c r="AH1099" i="1"/>
  <c r="AG1099" i="1"/>
  <c r="AF1099" i="1"/>
  <c r="AE1099" i="1"/>
  <c r="AD1099" i="1"/>
  <c r="AC1099" i="1"/>
  <c r="AB1099" i="1"/>
  <c r="AA1099" i="1"/>
  <c r="Z1099" i="1"/>
  <c r="Y1099" i="1"/>
  <c r="X1099" i="1"/>
  <c r="W1099" i="1"/>
  <c r="V1099" i="1"/>
  <c r="U1099" i="1"/>
  <c r="T1099" i="1"/>
  <c r="S1099" i="1"/>
  <c r="R1099" i="1"/>
  <c r="Q1099" i="1"/>
  <c r="P1099" i="1"/>
  <c r="O1099" i="1"/>
  <c r="N1099" i="1"/>
  <c r="M1099" i="1"/>
  <c r="L1099" i="1"/>
  <c r="K1099" i="1"/>
  <c r="J1099" i="1"/>
  <c r="I1099" i="1"/>
  <c r="H1099" i="1"/>
  <c r="G1099" i="1"/>
  <c r="F1099" i="1"/>
  <c r="E1099" i="1"/>
  <c r="D1099" i="1"/>
  <c r="C1099" i="1"/>
  <c r="AU1098" i="1"/>
  <c r="AT1098" i="1"/>
  <c r="AS1098" i="1"/>
  <c r="AR1098" i="1"/>
  <c r="AQ1098" i="1"/>
  <c r="AP1098" i="1"/>
  <c r="AO1098" i="1"/>
  <c r="AN1098" i="1"/>
  <c r="AM1098" i="1"/>
  <c r="AL1098" i="1"/>
  <c r="AK1098" i="1"/>
  <c r="AJ1098" i="1"/>
  <c r="AI1098" i="1"/>
  <c r="AH1098" i="1"/>
  <c r="AG1098" i="1"/>
  <c r="AF1098" i="1"/>
  <c r="AE1098" i="1"/>
  <c r="AD1098" i="1"/>
  <c r="AC1098" i="1"/>
  <c r="AB1098" i="1"/>
  <c r="AA1098" i="1"/>
  <c r="Z1098" i="1"/>
  <c r="Y1098" i="1"/>
  <c r="X1098" i="1"/>
  <c r="W1098" i="1"/>
  <c r="V1098" i="1"/>
  <c r="U1098" i="1"/>
  <c r="T1098" i="1"/>
  <c r="S1098" i="1"/>
  <c r="R1098" i="1"/>
  <c r="Q1098" i="1"/>
  <c r="P1098" i="1"/>
  <c r="O1098" i="1"/>
  <c r="N1098" i="1"/>
  <c r="M1098" i="1"/>
  <c r="L1098" i="1"/>
  <c r="K1098" i="1"/>
  <c r="J1098" i="1"/>
  <c r="I1098" i="1"/>
  <c r="H1098" i="1"/>
  <c r="G1098" i="1"/>
  <c r="F1098" i="1"/>
  <c r="E1098" i="1"/>
  <c r="D1098" i="1"/>
  <c r="C1098" i="1"/>
  <c r="AU1097" i="1"/>
  <c r="AT1097" i="1"/>
  <c r="AS1097" i="1"/>
  <c r="AR1097" i="1"/>
  <c r="AQ1097" i="1"/>
  <c r="AP1097" i="1"/>
  <c r="AO1097" i="1"/>
  <c r="AN1097" i="1"/>
  <c r="AM1097" i="1"/>
  <c r="AL1097" i="1"/>
  <c r="AK1097" i="1"/>
  <c r="AJ1097" i="1"/>
  <c r="AI1097" i="1"/>
  <c r="AH1097" i="1"/>
  <c r="AG1097" i="1"/>
  <c r="AF1097" i="1"/>
  <c r="AE1097" i="1"/>
  <c r="AD1097" i="1"/>
  <c r="AC1097" i="1"/>
  <c r="AB1097" i="1"/>
  <c r="AA1097" i="1"/>
  <c r="Z1097" i="1"/>
  <c r="Y1097" i="1"/>
  <c r="X1097" i="1"/>
  <c r="W1097" i="1"/>
  <c r="V1097" i="1"/>
  <c r="U1097" i="1"/>
  <c r="T1097" i="1"/>
  <c r="S1097" i="1"/>
  <c r="R1097" i="1"/>
  <c r="Q1097" i="1"/>
  <c r="P1097" i="1"/>
  <c r="O1097" i="1"/>
  <c r="N1097" i="1"/>
  <c r="M1097" i="1"/>
  <c r="L1097" i="1"/>
  <c r="K1097" i="1"/>
  <c r="J1097" i="1"/>
  <c r="I1097" i="1"/>
  <c r="H1097" i="1"/>
  <c r="G1097" i="1"/>
  <c r="F1097" i="1"/>
  <c r="E1097" i="1"/>
  <c r="D1097" i="1"/>
  <c r="C1097" i="1"/>
  <c r="AU1096" i="1"/>
  <c r="AT1096" i="1"/>
  <c r="AS1096" i="1"/>
  <c r="AR1096" i="1"/>
  <c r="AQ1096" i="1"/>
  <c r="AP1096" i="1"/>
  <c r="AO1096" i="1"/>
  <c r="AN1096" i="1"/>
  <c r="AM1096" i="1"/>
  <c r="AL1096" i="1"/>
  <c r="AK1096" i="1"/>
  <c r="AJ1096" i="1"/>
  <c r="AI1096" i="1"/>
  <c r="AH1096" i="1"/>
  <c r="AG1096" i="1"/>
  <c r="AF1096" i="1"/>
  <c r="AE1096" i="1"/>
  <c r="AD1096" i="1"/>
  <c r="AC1096" i="1"/>
  <c r="AB1096" i="1"/>
  <c r="AA1096" i="1"/>
  <c r="Z1096" i="1"/>
  <c r="Y1096" i="1"/>
  <c r="X1096" i="1"/>
  <c r="W1096" i="1"/>
  <c r="V1096" i="1"/>
  <c r="U1096" i="1"/>
  <c r="T1096" i="1"/>
  <c r="S1096" i="1"/>
  <c r="R1096" i="1"/>
  <c r="Q1096" i="1"/>
  <c r="P1096" i="1"/>
  <c r="O1096" i="1"/>
  <c r="N1096" i="1"/>
  <c r="M1096" i="1"/>
  <c r="L1096" i="1"/>
  <c r="K1096" i="1"/>
  <c r="J1096" i="1"/>
  <c r="I1096" i="1"/>
  <c r="H1096" i="1"/>
  <c r="G1096" i="1"/>
  <c r="F1096" i="1"/>
  <c r="E1096" i="1"/>
  <c r="D1096" i="1"/>
  <c r="C1096" i="1"/>
  <c r="BG1095" i="1"/>
  <c r="BF1095" i="1"/>
  <c r="BE1095" i="1"/>
  <c r="BD1095" i="1"/>
  <c r="BC1095" i="1"/>
  <c r="BB1095" i="1"/>
  <c r="BA1095" i="1"/>
  <c r="AZ1095" i="1"/>
  <c r="AY1095" i="1"/>
  <c r="AX1095" i="1"/>
  <c r="AW1095" i="1"/>
  <c r="AV1095" i="1"/>
  <c r="AU1095" i="1"/>
  <c r="AT1095" i="1"/>
  <c r="AS1095" i="1"/>
  <c r="AR1095" i="1"/>
  <c r="AQ1095" i="1"/>
  <c r="AP1095" i="1"/>
  <c r="AO1095" i="1"/>
  <c r="AN1095" i="1"/>
  <c r="AM1095" i="1"/>
  <c r="AL1095" i="1"/>
  <c r="AK1095" i="1"/>
  <c r="AJ1095" i="1"/>
  <c r="AI1095" i="1"/>
  <c r="AH1095" i="1"/>
  <c r="AG1095" i="1"/>
  <c r="AF1095" i="1"/>
  <c r="AE1095" i="1"/>
  <c r="AD1095" i="1"/>
  <c r="AC1095" i="1"/>
  <c r="AB1095" i="1"/>
  <c r="AA1095" i="1"/>
  <c r="Z1095" i="1"/>
  <c r="Y1095" i="1"/>
  <c r="X1095" i="1"/>
  <c r="W1095" i="1"/>
  <c r="V1095" i="1"/>
  <c r="U1095" i="1"/>
  <c r="T1095" i="1"/>
  <c r="S1095" i="1"/>
  <c r="R1095" i="1"/>
  <c r="Q1095" i="1"/>
  <c r="P1095" i="1"/>
  <c r="O1095" i="1"/>
  <c r="N1095" i="1"/>
  <c r="M1095" i="1"/>
  <c r="L1095" i="1"/>
  <c r="K1095" i="1"/>
  <c r="J1095" i="1"/>
  <c r="I1095" i="1"/>
  <c r="H1095" i="1"/>
  <c r="G1095" i="1"/>
  <c r="F1095" i="1"/>
  <c r="E1095" i="1"/>
  <c r="D1095" i="1"/>
  <c r="C1095" i="1"/>
  <c r="BG1094" i="1"/>
  <c r="BF1094" i="1"/>
  <c r="BE1094" i="1"/>
  <c r="BD1094" i="1"/>
  <c r="BC1094" i="1"/>
  <c r="BB1094" i="1"/>
  <c r="BA1094" i="1"/>
  <c r="AZ1094" i="1"/>
  <c r="AY1094" i="1"/>
  <c r="AX1094" i="1"/>
  <c r="AW1094" i="1"/>
  <c r="AV1094" i="1"/>
  <c r="AU1094" i="1"/>
  <c r="AT1094" i="1"/>
  <c r="AS1094" i="1"/>
  <c r="AR1094" i="1"/>
  <c r="AQ1094" i="1"/>
  <c r="AP1094" i="1"/>
  <c r="AO1094" i="1"/>
  <c r="AN1094" i="1"/>
  <c r="AM1094" i="1"/>
  <c r="AL1094" i="1"/>
  <c r="AK1094" i="1"/>
  <c r="AJ1094" i="1"/>
  <c r="AI1094" i="1"/>
  <c r="AH1094" i="1"/>
  <c r="AG1094" i="1"/>
  <c r="AF1094" i="1"/>
  <c r="AE1094" i="1"/>
  <c r="AD1094" i="1"/>
  <c r="AC1094" i="1"/>
  <c r="AB1094" i="1"/>
  <c r="AA1094" i="1"/>
  <c r="Z1094" i="1"/>
  <c r="Y1094" i="1"/>
  <c r="X1094" i="1"/>
  <c r="W1094" i="1"/>
  <c r="V1094" i="1"/>
  <c r="U1094" i="1"/>
  <c r="T1094" i="1"/>
  <c r="S1094" i="1"/>
  <c r="R1094" i="1"/>
  <c r="Q1094" i="1"/>
  <c r="P1094" i="1"/>
  <c r="O1094" i="1"/>
  <c r="N1094" i="1"/>
  <c r="M1094" i="1"/>
  <c r="L1094" i="1"/>
  <c r="K1094" i="1"/>
  <c r="J1094" i="1"/>
  <c r="I1094" i="1"/>
  <c r="H1094" i="1"/>
  <c r="G1094" i="1"/>
  <c r="F1094" i="1"/>
  <c r="E1094" i="1"/>
  <c r="D1094" i="1"/>
  <c r="C1094" i="1"/>
  <c r="BG1093" i="1"/>
  <c r="BF1093" i="1"/>
  <c r="BE1093" i="1"/>
  <c r="BD1093" i="1"/>
  <c r="BC1093" i="1"/>
  <c r="BB1093" i="1"/>
  <c r="BA1093" i="1"/>
  <c r="AZ1093" i="1"/>
  <c r="AY1093" i="1"/>
  <c r="AX1093" i="1"/>
  <c r="AW1093" i="1"/>
  <c r="AV1093" i="1"/>
  <c r="AU1093" i="1"/>
  <c r="AT1093" i="1"/>
  <c r="AS1093" i="1"/>
  <c r="AR1093" i="1"/>
  <c r="AQ1093" i="1"/>
  <c r="AP1093" i="1"/>
  <c r="AO1093" i="1"/>
  <c r="AN1093" i="1"/>
  <c r="AM1093" i="1"/>
  <c r="AL1093" i="1"/>
  <c r="AK1093" i="1"/>
  <c r="AJ1093" i="1"/>
  <c r="AI1093" i="1"/>
  <c r="AH1093" i="1"/>
  <c r="AG1093" i="1"/>
  <c r="AF1093" i="1"/>
  <c r="AE1093" i="1"/>
  <c r="AD1093" i="1"/>
  <c r="AC1093" i="1"/>
  <c r="AB1093" i="1"/>
  <c r="AA1093" i="1"/>
  <c r="Z1093" i="1"/>
  <c r="Y1093" i="1"/>
  <c r="X1093" i="1"/>
  <c r="W1093" i="1"/>
  <c r="V1093" i="1"/>
  <c r="U1093" i="1"/>
  <c r="T1093" i="1"/>
  <c r="S1093" i="1"/>
  <c r="R1093" i="1"/>
  <c r="Q1093" i="1"/>
  <c r="P1093" i="1"/>
  <c r="O1093" i="1"/>
  <c r="N1093" i="1"/>
  <c r="M1093" i="1"/>
  <c r="L1093" i="1"/>
  <c r="K1093" i="1"/>
  <c r="J1093" i="1"/>
  <c r="I1093" i="1"/>
  <c r="H1093" i="1"/>
  <c r="G1093" i="1"/>
  <c r="F1093" i="1"/>
  <c r="E1093" i="1"/>
  <c r="D1093" i="1"/>
  <c r="C1093" i="1"/>
  <c r="BG1092" i="1"/>
  <c r="BF1092" i="1"/>
  <c r="BE1092" i="1"/>
  <c r="BD1092" i="1"/>
  <c r="BC1092" i="1"/>
  <c r="BB1092" i="1"/>
  <c r="BA1092" i="1"/>
  <c r="AZ1092" i="1"/>
  <c r="AY1092" i="1"/>
  <c r="AX1092" i="1"/>
  <c r="AW1092" i="1"/>
  <c r="AV1092" i="1"/>
  <c r="AU1092" i="1"/>
  <c r="AT1092" i="1"/>
  <c r="AS1092" i="1"/>
  <c r="AR1092" i="1"/>
  <c r="AQ1092" i="1"/>
  <c r="AP1092" i="1"/>
  <c r="AO1092" i="1"/>
  <c r="AN1092" i="1"/>
  <c r="AM1092" i="1"/>
  <c r="AL1092" i="1"/>
  <c r="AK1092" i="1"/>
  <c r="AJ1092" i="1"/>
  <c r="AI1092" i="1"/>
  <c r="AH1092" i="1"/>
  <c r="AG1092" i="1"/>
  <c r="AF1092" i="1"/>
  <c r="AE1092" i="1"/>
  <c r="AD1092" i="1"/>
  <c r="AC1092" i="1"/>
  <c r="AB1092" i="1"/>
  <c r="AA1092" i="1"/>
  <c r="Z1092" i="1"/>
  <c r="Y1092" i="1"/>
  <c r="X1092" i="1"/>
  <c r="W1092" i="1"/>
  <c r="V1092" i="1"/>
  <c r="U1092" i="1"/>
  <c r="T1092" i="1"/>
  <c r="S1092" i="1"/>
  <c r="R1092" i="1"/>
  <c r="Q1092" i="1"/>
  <c r="P1092" i="1"/>
  <c r="O1092" i="1"/>
  <c r="N1092" i="1"/>
  <c r="M1092" i="1"/>
  <c r="L1092" i="1"/>
  <c r="K1092" i="1"/>
  <c r="J1092" i="1"/>
  <c r="I1092" i="1"/>
  <c r="H1092" i="1"/>
  <c r="G1092" i="1"/>
  <c r="F1092" i="1"/>
  <c r="E1092" i="1"/>
  <c r="D1092" i="1"/>
  <c r="C1092" i="1"/>
  <c r="AY1091" i="1"/>
  <c r="AX1091" i="1"/>
  <c r="AW1091" i="1"/>
  <c r="AV1091" i="1"/>
  <c r="AU1091" i="1"/>
  <c r="AT1091" i="1"/>
  <c r="AS1091" i="1"/>
  <c r="AR1091" i="1"/>
  <c r="AQ1091" i="1"/>
  <c r="AP1091" i="1"/>
  <c r="AO1091" i="1"/>
  <c r="AN1091" i="1"/>
  <c r="AM1091" i="1"/>
  <c r="AL1091" i="1"/>
  <c r="AK1091" i="1"/>
  <c r="AJ1091" i="1"/>
  <c r="AI1091" i="1"/>
  <c r="AH1091" i="1"/>
  <c r="AG1091" i="1"/>
  <c r="AF1091" i="1"/>
  <c r="AE1091" i="1"/>
  <c r="AD1091" i="1"/>
  <c r="AC1091" i="1"/>
  <c r="AB1091" i="1"/>
  <c r="AA1091" i="1"/>
  <c r="Z1091" i="1"/>
  <c r="Y1091" i="1"/>
  <c r="X1091" i="1"/>
  <c r="W1091" i="1"/>
  <c r="V1091" i="1"/>
  <c r="U1091" i="1"/>
  <c r="T1091" i="1"/>
  <c r="S1091" i="1"/>
  <c r="R1091" i="1"/>
  <c r="Q1091" i="1"/>
  <c r="P1091" i="1"/>
  <c r="O1091" i="1"/>
  <c r="N1091" i="1"/>
  <c r="M1091" i="1"/>
  <c r="L1091" i="1"/>
  <c r="K1091" i="1"/>
  <c r="J1091" i="1"/>
  <c r="I1091" i="1"/>
  <c r="H1091" i="1"/>
  <c r="G1091" i="1"/>
  <c r="F1091" i="1"/>
  <c r="E1091" i="1"/>
  <c r="D1091" i="1"/>
  <c r="C1091" i="1"/>
  <c r="BG1090" i="1"/>
  <c r="BF1090" i="1"/>
  <c r="BE1090" i="1"/>
  <c r="BD1090" i="1"/>
  <c r="BC1090" i="1"/>
  <c r="BB1090" i="1"/>
  <c r="BA1090" i="1"/>
  <c r="AZ1090" i="1"/>
  <c r="AY1090" i="1"/>
  <c r="AX1090" i="1"/>
  <c r="AW1090" i="1"/>
  <c r="AV1090" i="1"/>
  <c r="AU1090" i="1"/>
  <c r="AT1090" i="1"/>
  <c r="AS1090" i="1"/>
  <c r="AR1090" i="1"/>
  <c r="AQ1090" i="1"/>
  <c r="AP1090" i="1"/>
  <c r="AO1090" i="1"/>
  <c r="AN1090" i="1"/>
  <c r="AM1090" i="1"/>
  <c r="AL1090" i="1"/>
  <c r="AK1090" i="1"/>
  <c r="AJ1090" i="1"/>
  <c r="AI1090" i="1"/>
  <c r="AH1090" i="1"/>
  <c r="AG1090" i="1"/>
  <c r="AF1090" i="1"/>
  <c r="AE1090" i="1"/>
  <c r="AD1090" i="1"/>
  <c r="AC1090" i="1"/>
  <c r="AB1090" i="1"/>
  <c r="AA1090" i="1"/>
  <c r="Z1090" i="1"/>
  <c r="Y1090" i="1"/>
  <c r="X1090" i="1"/>
  <c r="W1090" i="1"/>
  <c r="V1090" i="1"/>
  <c r="U1090" i="1"/>
  <c r="T1090" i="1"/>
  <c r="S1090" i="1"/>
  <c r="R1090" i="1"/>
  <c r="Q1090" i="1"/>
  <c r="P1090" i="1"/>
  <c r="O1090" i="1"/>
  <c r="N1090" i="1"/>
  <c r="M1090" i="1"/>
  <c r="L1090" i="1"/>
  <c r="K1090" i="1"/>
  <c r="J1090" i="1"/>
  <c r="I1090" i="1"/>
  <c r="H1090" i="1"/>
  <c r="G1090" i="1"/>
  <c r="F1090" i="1"/>
  <c r="E1090" i="1"/>
  <c r="D1090" i="1"/>
  <c r="C1090" i="1"/>
  <c r="BG1089" i="1"/>
  <c r="BF1089" i="1"/>
  <c r="BE1089" i="1"/>
  <c r="BD1089" i="1"/>
  <c r="BC1089" i="1"/>
  <c r="BB1089" i="1"/>
  <c r="BA1089" i="1"/>
  <c r="AZ1089" i="1"/>
  <c r="AY1089" i="1"/>
  <c r="AX1089" i="1"/>
  <c r="AW1089" i="1"/>
  <c r="AV1089" i="1"/>
  <c r="AU1089" i="1"/>
  <c r="AT1089" i="1"/>
  <c r="AS1089" i="1"/>
  <c r="AR1089" i="1"/>
  <c r="AQ1089" i="1"/>
  <c r="AP1089" i="1"/>
  <c r="AO1089" i="1"/>
  <c r="AN1089" i="1"/>
  <c r="AM1089" i="1"/>
  <c r="AL1089" i="1"/>
  <c r="AK1089" i="1"/>
  <c r="AJ1089" i="1"/>
  <c r="AI1089" i="1"/>
  <c r="AH1089" i="1"/>
  <c r="AG1089" i="1"/>
  <c r="AF1089" i="1"/>
  <c r="AE1089" i="1"/>
  <c r="AD1089" i="1"/>
  <c r="AC1089" i="1"/>
  <c r="AB1089" i="1"/>
  <c r="AA1089" i="1"/>
  <c r="Z1089" i="1"/>
  <c r="Y1089" i="1"/>
  <c r="X1089" i="1"/>
  <c r="W1089" i="1"/>
  <c r="V1089" i="1"/>
  <c r="U1089" i="1"/>
  <c r="T1089" i="1"/>
  <c r="S1089" i="1"/>
  <c r="R1089" i="1"/>
  <c r="Q1089" i="1"/>
  <c r="P1089" i="1"/>
  <c r="O1089" i="1"/>
  <c r="N1089" i="1"/>
  <c r="M1089" i="1"/>
  <c r="L1089" i="1"/>
  <c r="K1089" i="1"/>
  <c r="J1089" i="1"/>
  <c r="I1089" i="1"/>
  <c r="H1089" i="1"/>
  <c r="G1089" i="1"/>
  <c r="F1089" i="1"/>
  <c r="E1089" i="1"/>
  <c r="D1089" i="1"/>
  <c r="C1089" i="1"/>
  <c r="AU1086" i="1"/>
  <c r="AT1086" i="1"/>
  <c r="AR1086" i="1"/>
  <c r="AQ1086" i="1"/>
  <c r="AP1086" i="1"/>
  <c r="AO1086" i="1"/>
  <c r="AN1086" i="1"/>
  <c r="AM1086" i="1"/>
  <c r="AL1086" i="1"/>
  <c r="AK1086" i="1"/>
  <c r="AJ1086" i="1"/>
  <c r="AI1086" i="1"/>
  <c r="AH1086" i="1"/>
  <c r="AG1086" i="1"/>
  <c r="AF1086" i="1"/>
  <c r="AE1086" i="1"/>
  <c r="AD1086" i="1"/>
  <c r="AC1086" i="1"/>
  <c r="AB1086" i="1"/>
  <c r="AA1086" i="1"/>
  <c r="Z1086" i="1"/>
  <c r="Y1086" i="1"/>
  <c r="X1086" i="1"/>
  <c r="W1086" i="1"/>
  <c r="V1086" i="1"/>
  <c r="U1086" i="1"/>
  <c r="T1086" i="1"/>
  <c r="S1086" i="1"/>
  <c r="R1086" i="1"/>
  <c r="Q1086" i="1"/>
  <c r="P1086" i="1"/>
  <c r="O1086" i="1"/>
  <c r="N1086" i="1"/>
  <c r="M1086" i="1"/>
  <c r="L1086" i="1"/>
  <c r="K1086" i="1"/>
  <c r="J1086" i="1"/>
  <c r="I1086" i="1"/>
  <c r="H1086" i="1"/>
  <c r="G1086" i="1"/>
  <c r="F1086" i="1"/>
  <c r="E1086" i="1"/>
  <c r="D1086" i="1"/>
  <c r="C1086" i="1"/>
  <c r="AU1084" i="1"/>
  <c r="AT1084" i="1"/>
  <c r="AR1084" i="1"/>
  <c r="AQ1084" i="1"/>
  <c r="AP1084" i="1"/>
  <c r="AO1084" i="1"/>
  <c r="AN1084" i="1"/>
  <c r="AM1084" i="1"/>
  <c r="AL1084" i="1"/>
  <c r="AK1084" i="1"/>
  <c r="AJ1084" i="1"/>
  <c r="AI1084" i="1"/>
  <c r="AH1084" i="1"/>
  <c r="AG1084" i="1"/>
  <c r="AF1084" i="1"/>
  <c r="AE1084" i="1"/>
  <c r="AD1084" i="1"/>
  <c r="AC1084" i="1"/>
  <c r="AB1084" i="1"/>
  <c r="AA1084" i="1"/>
  <c r="Z1084" i="1"/>
  <c r="Y1084" i="1"/>
  <c r="X1084" i="1"/>
  <c r="W1084" i="1"/>
  <c r="V1084" i="1"/>
  <c r="U1084" i="1"/>
  <c r="T1084" i="1"/>
  <c r="S1084" i="1"/>
  <c r="R1084" i="1"/>
  <c r="Q1084" i="1"/>
  <c r="P1084" i="1"/>
  <c r="O1084" i="1"/>
  <c r="N1084" i="1"/>
  <c r="M1084" i="1"/>
  <c r="L1084" i="1"/>
  <c r="K1084" i="1"/>
  <c r="J1084" i="1"/>
  <c r="I1084" i="1"/>
  <c r="H1084" i="1"/>
  <c r="G1084" i="1"/>
  <c r="F1084" i="1"/>
  <c r="E1084" i="1"/>
  <c r="D1084" i="1"/>
  <c r="C1084" i="1"/>
  <c r="BG1083" i="1"/>
  <c r="BF1083" i="1"/>
  <c r="BE1083" i="1"/>
  <c r="BD1083" i="1"/>
  <c r="BC1083" i="1"/>
  <c r="BB1083" i="1"/>
  <c r="BA1083" i="1"/>
  <c r="AZ1083" i="1"/>
  <c r="AY1083" i="1"/>
  <c r="AX1083" i="1"/>
  <c r="AW1083" i="1"/>
  <c r="AV1083" i="1"/>
  <c r="AS1083" i="1"/>
  <c r="AN1083" i="1"/>
  <c r="AI1083" i="1"/>
  <c r="AD1083" i="1"/>
  <c r="Y1083" i="1"/>
  <c r="T1083" i="1"/>
  <c r="O1083" i="1"/>
  <c r="J1083" i="1"/>
  <c r="AU1082" i="1"/>
  <c r="AT1082" i="1"/>
  <c r="AR1082" i="1"/>
  <c r="AQ1082" i="1"/>
  <c r="AP1082" i="1"/>
  <c r="AO1082" i="1"/>
  <c r="AN1082" i="1"/>
  <c r="AM1082" i="1"/>
  <c r="AL1082" i="1"/>
  <c r="AK1082" i="1"/>
  <c r="AJ1082" i="1"/>
  <c r="AI1082" i="1"/>
  <c r="AH1082" i="1"/>
  <c r="AG1082" i="1"/>
  <c r="AF1082" i="1"/>
  <c r="AE1082" i="1"/>
  <c r="AD1082" i="1"/>
  <c r="AC1082" i="1"/>
  <c r="AB1082" i="1"/>
  <c r="AA1082" i="1"/>
  <c r="Z1082" i="1"/>
  <c r="Y1082" i="1"/>
  <c r="X1082" i="1"/>
  <c r="W1082" i="1"/>
  <c r="V1082" i="1"/>
  <c r="U1082" i="1"/>
  <c r="T1082" i="1"/>
  <c r="S1082" i="1"/>
  <c r="R1082" i="1"/>
  <c r="Q1082" i="1"/>
  <c r="P1082" i="1"/>
  <c r="O1082" i="1"/>
  <c r="N1082" i="1"/>
  <c r="M1082" i="1"/>
  <c r="L1082" i="1"/>
  <c r="K1082" i="1"/>
  <c r="J1082" i="1"/>
  <c r="I1082" i="1"/>
  <c r="H1082" i="1"/>
  <c r="G1082" i="1"/>
  <c r="F1082" i="1"/>
  <c r="E1082" i="1"/>
  <c r="D1082" i="1"/>
  <c r="C1082" i="1"/>
  <c r="BG1081" i="1"/>
  <c r="BF1081" i="1"/>
  <c r="BE1081" i="1"/>
  <c r="BD1081" i="1"/>
  <c r="BC1081" i="1"/>
  <c r="BB1081" i="1"/>
  <c r="BA1081" i="1"/>
  <c r="AZ1081" i="1"/>
  <c r="AY1081" i="1"/>
  <c r="AX1081" i="1"/>
  <c r="AW1081" i="1"/>
  <c r="AV1081" i="1"/>
  <c r="AN1081" i="1"/>
  <c r="AI1081" i="1"/>
  <c r="AD1081" i="1"/>
  <c r="Y1081" i="1"/>
  <c r="T1081" i="1"/>
  <c r="O1081" i="1"/>
  <c r="J1081" i="1"/>
  <c r="AV1080" i="1"/>
  <c r="AW1080" i="1" s="1"/>
  <c r="AX1080" i="1" s="1"/>
  <c r="AY1080" i="1" s="1"/>
  <c r="AZ1080" i="1" s="1"/>
  <c r="BA1080" i="1" s="1"/>
  <c r="BB1080" i="1" s="1"/>
  <c r="BC1080" i="1" s="1"/>
  <c r="BD1080" i="1" s="1"/>
  <c r="BE1080" i="1" s="1"/>
  <c r="BF1080" i="1" s="1"/>
  <c r="BG1080" i="1" s="1"/>
  <c r="AS1080" i="1"/>
  <c r="AS1081" i="1" s="1"/>
  <c r="AS1082" i="1" s="1"/>
  <c r="AN1080" i="1"/>
  <c r="AI1080" i="1"/>
  <c r="AD1080" i="1"/>
  <c r="Y1080" i="1"/>
  <c r="T1080" i="1"/>
  <c r="O1080" i="1"/>
  <c r="J1080" i="1"/>
  <c r="AS1079" i="1"/>
  <c r="AN1079" i="1"/>
  <c r="AI1079" i="1"/>
  <c r="AD1079" i="1"/>
  <c r="Y1079" i="1"/>
  <c r="T1079" i="1"/>
  <c r="O1079" i="1"/>
  <c r="J1079" i="1"/>
  <c r="BG1078" i="1"/>
  <c r="BF1078" i="1"/>
  <c r="BE1078" i="1"/>
  <c r="BD1078" i="1"/>
  <c r="BC1078" i="1"/>
  <c r="BB1078" i="1"/>
  <c r="BA1078" i="1"/>
  <c r="AZ1078" i="1"/>
  <c r="AY1078" i="1"/>
  <c r="AX1078" i="1"/>
  <c r="AW1078" i="1"/>
  <c r="AV1078" i="1"/>
  <c r="AS1078" i="1"/>
  <c r="AN1078" i="1"/>
  <c r="AI1078" i="1"/>
  <c r="AD1078" i="1"/>
  <c r="Y1078" i="1"/>
  <c r="T1078" i="1"/>
  <c r="O1078" i="1"/>
  <c r="J1078" i="1"/>
  <c r="BG1077" i="1"/>
  <c r="BF1077" i="1"/>
  <c r="BE1077" i="1"/>
  <c r="BD1077" i="1"/>
  <c r="BC1077" i="1"/>
  <c r="BB1077" i="1"/>
  <c r="BA1077" i="1"/>
  <c r="AZ1077" i="1"/>
  <c r="AY1077" i="1"/>
  <c r="AX1077" i="1"/>
  <c r="AW1077" i="1"/>
  <c r="AV1077" i="1"/>
  <c r="AS1077" i="1"/>
  <c r="AN1077" i="1"/>
  <c r="AI1077" i="1"/>
  <c r="AD1077" i="1"/>
  <c r="Y1077" i="1"/>
  <c r="T1077" i="1"/>
  <c r="O1077" i="1"/>
  <c r="J1077" i="1"/>
  <c r="BD1074" i="1"/>
  <c r="AY1074" i="1"/>
  <c r="AX1074" i="1"/>
  <c r="AW1074" i="1"/>
  <c r="AV1074" i="1"/>
  <c r="AU1074" i="1"/>
  <c r="AT1074" i="1"/>
  <c r="AS1074" i="1"/>
  <c r="AR1074" i="1"/>
  <c r="AQ1074" i="1"/>
  <c r="AP1074" i="1"/>
  <c r="AO1074" i="1"/>
  <c r="AN1074" i="1"/>
  <c r="AM1074" i="1"/>
  <c r="AL1074" i="1"/>
  <c r="AK1074" i="1"/>
  <c r="AJ1074" i="1"/>
  <c r="AI1074" i="1"/>
  <c r="AH1074" i="1"/>
  <c r="AG1074" i="1"/>
  <c r="AF1074" i="1"/>
  <c r="AE1074" i="1"/>
  <c r="AD1074" i="1"/>
  <c r="AC1074" i="1"/>
  <c r="AB1074" i="1"/>
  <c r="AA1074" i="1"/>
  <c r="Z1074" i="1"/>
  <c r="Y1074" i="1"/>
  <c r="X1074" i="1"/>
  <c r="W1074" i="1"/>
  <c r="V1074" i="1"/>
  <c r="U1074" i="1"/>
  <c r="T1074" i="1"/>
  <c r="S1074" i="1"/>
  <c r="R1074" i="1"/>
  <c r="Q1074" i="1"/>
  <c r="P1074" i="1"/>
  <c r="O1074" i="1"/>
  <c r="N1074" i="1"/>
  <c r="M1074" i="1"/>
  <c r="L1074" i="1"/>
  <c r="K1074" i="1"/>
  <c r="J1074" i="1"/>
  <c r="I1074" i="1"/>
  <c r="H1074" i="1"/>
  <c r="G1074" i="1"/>
  <c r="F1074" i="1"/>
  <c r="E1074" i="1"/>
  <c r="D1074" i="1"/>
  <c r="C1074" i="1"/>
  <c r="BG1073" i="1"/>
  <c r="BF1073" i="1"/>
  <c r="BE1073" i="1"/>
  <c r="BD1073" i="1"/>
  <c r="BC1073" i="1"/>
  <c r="BB1073" i="1"/>
  <c r="BA1073" i="1"/>
  <c r="AZ1073" i="1"/>
  <c r="AY1073" i="1"/>
  <c r="AX1073" i="1"/>
  <c r="AW1073" i="1"/>
  <c r="AV1073" i="1"/>
  <c r="AU1073" i="1"/>
  <c r="AT1073" i="1"/>
  <c r="AS1073" i="1"/>
  <c r="AR1073" i="1"/>
  <c r="AQ1073" i="1"/>
  <c r="AP1073" i="1"/>
  <c r="AO1073" i="1"/>
  <c r="AN1073" i="1"/>
  <c r="AM1073" i="1"/>
  <c r="AL1073" i="1"/>
  <c r="AK1073" i="1"/>
  <c r="AJ1073" i="1"/>
  <c r="AI1073" i="1"/>
  <c r="AH1073" i="1"/>
  <c r="AG1073" i="1"/>
  <c r="AF1073" i="1"/>
  <c r="AE1073" i="1"/>
  <c r="AD1073" i="1"/>
  <c r="AC1073" i="1"/>
  <c r="AB1073" i="1"/>
  <c r="AA1073" i="1"/>
  <c r="Z1073" i="1"/>
  <c r="Y1073" i="1"/>
  <c r="X1073" i="1"/>
  <c r="W1073" i="1"/>
  <c r="V1073" i="1"/>
  <c r="U1073" i="1"/>
  <c r="T1073" i="1"/>
  <c r="S1073" i="1"/>
  <c r="R1073" i="1"/>
  <c r="Q1073" i="1"/>
  <c r="P1073" i="1"/>
  <c r="O1073" i="1"/>
  <c r="N1073" i="1"/>
  <c r="M1073" i="1"/>
  <c r="L1073" i="1"/>
  <c r="K1073" i="1"/>
  <c r="J1073" i="1"/>
  <c r="I1073" i="1"/>
  <c r="H1073" i="1"/>
  <c r="G1073" i="1"/>
  <c r="F1073" i="1"/>
  <c r="E1073" i="1"/>
  <c r="D1073" i="1"/>
  <c r="C1073" i="1"/>
  <c r="BG1072" i="1"/>
  <c r="BF1072" i="1"/>
  <c r="BE1072" i="1"/>
  <c r="BD1072" i="1"/>
  <c r="BC1072" i="1"/>
  <c r="BB1072" i="1"/>
  <c r="BA1072" i="1"/>
  <c r="AZ1072" i="1"/>
  <c r="AY1072" i="1"/>
  <c r="AX1072" i="1"/>
  <c r="AW1072" i="1"/>
  <c r="AV1072" i="1"/>
  <c r="AS1072" i="1"/>
  <c r="AN1072" i="1"/>
  <c r="AI1072" i="1"/>
  <c r="AD1072" i="1"/>
  <c r="Y1072" i="1"/>
  <c r="T1072" i="1"/>
  <c r="O1072" i="1"/>
  <c r="J1072" i="1"/>
  <c r="BG1071" i="1"/>
  <c r="BF1071" i="1"/>
  <c r="BE1071" i="1"/>
  <c r="BD1071" i="1"/>
  <c r="BC1071" i="1"/>
  <c r="BB1071" i="1"/>
  <c r="BA1071" i="1"/>
  <c r="AZ1071" i="1"/>
  <c r="AY1071" i="1"/>
  <c r="AX1071" i="1"/>
  <c r="AW1071" i="1"/>
  <c r="AV1071" i="1"/>
  <c r="AS1071" i="1"/>
  <c r="AN1071" i="1"/>
  <c r="BG1070" i="1"/>
  <c r="BF1070" i="1"/>
  <c r="BE1070" i="1"/>
  <c r="BD1070" i="1"/>
  <c r="BC1070" i="1"/>
  <c r="BB1070" i="1"/>
  <c r="BA1070" i="1"/>
  <c r="AZ1070" i="1"/>
  <c r="AY1070" i="1"/>
  <c r="AX1070" i="1"/>
  <c r="AW1070" i="1"/>
  <c r="AV1070" i="1"/>
  <c r="AS1070" i="1"/>
  <c r="AN1070" i="1"/>
  <c r="AI1070" i="1"/>
  <c r="AD1070" i="1"/>
  <c r="Y1070" i="1"/>
  <c r="T1070" i="1"/>
  <c r="O1070" i="1"/>
  <c r="J1070" i="1"/>
  <c r="BG1069" i="1"/>
  <c r="BF1069" i="1"/>
  <c r="BE1069" i="1"/>
  <c r="BD1069" i="1"/>
  <c r="BC1069" i="1"/>
  <c r="BB1069" i="1"/>
  <c r="BA1069" i="1"/>
  <c r="AZ1069" i="1"/>
  <c r="AY1069" i="1"/>
  <c r="AX1069" i="1"/>
  <c r="AW1069" i="1"/>
  <c r="AV1069" i="1"/>
  <c r="AS1069" i="1"/>
  <c r="AN1069" i="1"/>
  <c r="AI1069" i="1"/>
  <c r="AD1069" i="1"/>
  <c r="Y1069" i="1"/>
  <c r="T1069" i="1"/>
  <c r="O1069" i="1"/>
  <c r="J1069" i="1"/>
  <c r="BD1066" i="1"/>
  <c r="BD132" i="9" s="1"/>
  <c r="BD133" i="9" s="1"/>
  <c r="AY1066" i="1"/>
  <c r="AX1066" i="1"/>
  <c r="AW1066" i="1"/>
  <c r="AV1066" i="1"/>
  <c r="AU1066" i="1"/>
  <c r="AT1066" i="1"/>
  <c r="AS1066" i="1"/>
  <c r="AR1066" i="1"/>
  <c r="AQ1066" i="1"/>
  <c r="AP1066" i="1"/>
  <c r="AO1066" i="1"/>
  <c r="AN1066" i="1"/>
  <c r="AM1066" i="1"/>
  <c r="AL1066" i="1"/>
  <c r="AK1066" i="1"/>
  <c r="AJ1066" i="1"/>
  <c r="AI1066" i="1"/>
  <c r="AH1066" i="1"/>
  <c r="AG1066" i="1"/>
  <c r="AF1066" i="1"/>
  <c r="AE1066" i="1"/>
  <c r="AD1066" i="1"/>
  <c r="AC1066" i="1"/>
  <c r="AB1066" i="1"/>
  <c r="AA1066" i="1"/>
  <c r="Z1066" i="1"/>
  <c r="Y1066" i="1"/>
  <c r="X1066" i="1"/>
  <c r="W1066" i="1"/>
  <c r="V1066" i="1"/>
  <c r="U1066" i="1"/>
  <c r="T1066" i="1"/>
  <c r="S1066" i="1"/>
  <c r="R1066" i="1"/>
  <c r="Q1066" i="1"/>
  <c r="P1066" i="1"/>
  <c r="O1066" i="1"/>
  <c r="N1066" i="1"/>
  <c r="M1066" i="1"/>
  <c r="L1066" i="1"/>
  <c r="K1066" i="1"/>
  <c r="J1066" i="1"/>
  <c r="I1066" i="1"/>
  <c r="H1066" i="1"/>
  <c r="G1066" i="1"/>
  <c r="F1066" i="1"/>
  <c r="E1066" i="1"/>
  <c r="D1066" i="1"/>
  <c r="C1066" i="1"/>
  <c r="BG1065" i="1"/>
  <c r="BF1065" i="1"/>
  <c r="BE1065" i="1"/>
  <c r="BD1065" i="1"/>
  <c r="BC1065" i="1"/>
  <c r="BB1065" i="1"/>
  <c r="BA1065" i="1"/>
  <c r="AZ1065" i="1"/>
  <c r="AY1065" i="1"/>
  <c r="AX1065" i="1"/>
  <c r="AW1065" i="1"/>
  <c r="AV1065" i="1"/>
  <c r="AS1065" i="1"/>
  <c r="AN1065" i="1"/>
  <c r="AI1065" i="1"/>
  <c r="AD1065" i="1"/>
  <c r="Y1065" i="1"/>
  <c r="T1065" i="1"/>
  <c r="O1065" i="1"/>
  <c r="J1065" i="1"/>
  <c r="BG1064" i="1"/>
  <c r="BF1064" i="1"/>
  <c r="BE1064" i="1"/>
  <c r="BD1064" i="1"/>
  <c r="BC1064" i="1"/>
  <c r="BB1064" i="1"/>
  <c r="BA1064" i="1"/>
  <c r="AZ1064" i="1"/>
  <c r="AY1064" i="1"/>
  <c r="AX1064" i="1"/>
  <c r="AW1064" i="1"/>
  <c r="AV1064" i="1"/>
  <c r="AS1064" i="1"/>
  <c r="AN1064" i="1"/>
  <c r="BD1063" i="1"/>
  <c r="AY1063" i="1"/>
  <c r="AX1063" i="1"/>
  <c r="AW1063" i="1"/>
  <c r="AV1063" i="1"/>
  <c r="AS1063" i="1"/>
  <c r="AN1063" i="1"/>
  <c r="AI1063" i="1"/>
  <c r="AD1063" i="1"/>
  <c r="Y1063" i="1"/>
  <c r="T1063" i="1"/>
  <c r="O1063" i="1"/>
  <c r="J1063" i="1"/>
  <c r="BG1062" i="1"/>
  <c r="BF1062" i="1"/>
  <c r="BE1062" i="1"/>
  <c r="BD1062" i="1"/>
  <c r="BC1062" i="1"/>
  <c r="BB1062" i="1"/>
  <c r="BA1062" i="1"/>
  <c r="AZ1062" i="1"/>
  <c r="AY1062" i="1"/>
  <c r="AX1062" i="1"/>
  <c r="AW1062" i="1"/>
  <c r="AV1062" i="1"/>
  <c r="AS1062" i="1"/>
  <c r="AN1062" i="1"/>
  <c r="AI1062" i="1"/>
  <c r="AD1062" i="1"/>
  <c r="Y1062" i="1"/>
  <c r="T1062" i="1"/>
  <c r="O1062" i="1"/>
  <c r="J1062" i="1"/>
  <c r="BG1061" i="1"/>
  <c r="BF1061" i="1"/>
  <c r="BE1061" i="1"/>
  <c r="BD1061" i="1"/>
  <c r="BC1061" i="1"/>
  <c r="BB1061" i="1"/>
  <c r="BA1061" i="1"/>
  <c r="AZ1061" i="1"/>
  <c r="AY1061" i="1"/>
  <c r="AX1061" i="1"/>
  <c r="AW1061" i="1"/>
  <c r="AV1061" i="1"/>
  <c r="AS1061" i="1"/>
  <c r="AN1061" i="1"/>
  <c r="AI1061" i="1"/>
  <c r="AD1061" i="1"/>
  <c r="Y1061" i="1"/>
  <c r="T1061" i="1"/>
  <c r="O1061" i="1"/>
  <c r="J1061" i="1"/>
  <c r="BG1060" i="1"/>
  <c r="BF1060" i="1"/>
  <c r="BE1060" i="1"/>
  <c r="BD1060" i="1"/>
  <c r="BC1060" i="1"/>
  <c r="BB1060" i="1"/>
  <c r="BA1060" i="1"/>
  <c r="AZ1060" i="1"/>
  <c r="AY1060" i="1"/>
  <c r="AX1060" i="1"/>
  <c r="AW1060" i="1"/>
  <c r="AV1060" i="1"/>
  <c r="AS1060" i="1"/>
  <c r="AN1060" i="1"/>
  <c r="AI1060" i="1"/>
  <c r="AD1060" i="1"/>
  <c r="Y1060" i="1"/>
  <c r="T1060" i="1"/>
  <c r="O1060" i="1"/>
  <c r="J1060" i="1"/>
  <c r="AY1057" i="1"/>
  <c r="AX1057" i="1"/>
  <c r="AW1057" i="1"/>
  <c r="AV1057" i="1"/>
  <c r="AU1057" i="1"/>
  <c r="AT1057" i="1"/>
  <c r="AS1057" i="1"/>
  <c r="AR1057" i="1"/>
  <c r="AQ1057" i="1"/>
  <c r="AP1057" i="1"/>
  <c r="AO1057" i="1"/>
  <c r="AN1057" i="1"/>
  <c r="AM1057" i="1"/>
  <c r="AL1057" i="1"/>
  <c r="AK1057" i="1"/>
  <c r="AJ1057" i="1"/>
  <c r="AI1057" i="1"/>
  <c r="AH1057" i="1"/>
  <c r="AG1057" i="1"/>
  <c r="AF1057" i="1"/>
  <c r="AE1057" i="1"/>
  <c r="AD1057" i="1"/>
  <c r="AC1057" i="1"/>
  <c r="AB1057" i="1"/>
  <c r="AA1057" i="1"/>
  <c r="Z1057" i="1"/>
  <c r="Y1057" i="1"/>
  <c r="X1057" i="1"/>
  <c r="W1057" i="1"/>
  <c r="V1057" i="1"/>
  <c r="U1057" i="1"/>
  <c r="T1057" i="1"/>
  <c r="S1057" i="1"/>
  <c r="R1057" i="1"/>
  <c r="Q1057" i="1"/>
  <c r="P1057" i="1"/>
  <c r="O1057" i="1"/>
  <c r="N1057" i="1"/>
  <c r="M1057" i="1"/>
  <c r="L1057" i="1"/>
  <c r="K1057" i="1"/>
  <c r="J1057" i="1"/>
  <c r="I1057" i="1"/>
  <c r="H1057" i="1"/>
  <c r="G1057" i="1"/>
  <c r="F1057" i="1"/>
  <c r="E1057" i="1"/>
  <c r="D1057" i="1"/>
  <c r="C1057" i="1"/>
  <c r="AY1056" i="1"/>
  <c r="AX1056" i="1"/>
  <c r="AW1056" i="1"/>
  <c r="AV1056" i="1"/>
  <c r="AU1056" i="1"/>
  <c r="AT1056" i="1"/>
  <c r="AS1056" i="1"/>
  <c r="AR1056" i="1"/>
  <c r="AQ1056" i="1"/>
  <c r="AP1056" i="1"/>
  <c r="AO1056" i="1"/>
  <c r="AN1056" i="1"/>
  <c r="AM1056" i="1"/>
  <c r="AL1056" i="1"/>
  <c r="AK1056" i="1"/>
  <c r="AJ1056" i="1"/>
  <c r="AI1056" i="1"/>
  <c r="AH1056" i="1"/>
  <c r="AG1056" i="1"/>
  <c r="AF1056" i="1"/>
  <c r="AE1056" i="1"/>
  <c r="AD1056" i="1"/>
  <c r="AC1056" i="1"/>
  <c r="AB1056" i="1"/>
  <c r="AA1056" i="1"/>
  <c r="Z1056" i="1"/>
  <c r="Y1056" i="1"/>
  <c r="X1056" i="1"/>
  <c r="W1056" i="1"/>
  <c r="V1056" i="1"/>
  <c r="U1056" i="1"/>
  <c r="T1056" i="1"/>
  <c r="S1056" i="1"/>
  <c r="R1056" i="1"/>
  <c r="Q1056" i="1"/>
  <c r="P1056" i="1"/>
  <c r="O1056" i="1"/>
  <c r="N1056" i="1"/>
  <c r="M1056" i="1"/>
  <c r="L1056" i="1"/>
  <c r="K1056" i="1"/>
  <c r="J1056" i="1"/>
  <c r="I1056" i="1"/>
  <c r="H1056" i="1"/>
  <c r="G1056" i="1"/>
  <c r="F1056" i="1"/>
  <c r="E1056" i="1"/>
  <c r="D1056" i="1"/>
  <c r="C1056" i="1"/>
  <c r="BG1055" i="1"/>
  <c r="BF1055" i="1"/>
  <c r="BE1055" i="1"/>
  <c r="BD1055" i="1"/>
  <c r="BC1055" i="1"/>
  <c r="BB1055" i="1"/>
  <c r="BA1055" i="1"/>
  <c r="AZ1055" i="1"/>
  <c r="AY1055" i="1"/>
  <c r="AX1055" i="1"/>
  <c r="AW1055" i="1"/>
  <c r="AV1055" i="1"/>
  <c r="AS1055" i="1"/>
  <c r="AN1055" i="1"/>
  <c r="AI1055" i="1"/>
  <c r="AD1055" i="1"/>
  <c r="Y1055" i="1"/>
  <c r="T1055" i="1"/>
  <c r="O1055" i="1"/>
  <c r="J1055" i="1"/>
  <c r="BG1054" i="1"/>
  <c r="BF1054" i="1"/>
  <c r="BE1054" i="1"/>
  <c r="BD1054" i="1"/>
  <c r="BC1054" i="1"/>
  <c r="BB1054" i="1"/>
  <c r="BA1054" i="1"/>
  <c r="AZ1054" i="1"/>
  <c r="AY1054" i="1"/>
  <c r="AX1054" i="1"/>
  <c r="AW1054" i="1"/>
  <c r="AV1054" i="1"/>
  <c r="AS1054" i="1"/>
  <c r="AN1054" i="1"/>
  <c r="AI1054" i="1"/>
  <c r="AD1054" i="1"/>
  <c r="Y1054" i="1"/>
  <c r="T1054" i="1"/>
  <c r="O1054" i="1"/>
  <c r="J1054" i="1"/>
  <c r="AY1053" i="1"/>
  <c r="AX1053" i="1"/>
  <c r="AW1053" i="1"/>
  <c r="AV1053" i="1"/>
  <c r="AS1053" i="1"/>
  <c r="AN1053" i="1"/>
  <c r="AI1053" i="1"/>
  <c r="AD1053" i="1"/>
  <c r="Y1053" i="1"/>
  <c r="T1053" i="1"/>
  <c r="O1053" i="1"/>
  <c r="J1053" i="1"/>
  <c r="BG1052" i="1"/>
  <c r="BF1052" i="1"/>
  <c r="BE1052" i="1"/>
  <c r="BD1052" i="1"/>
  <c r="BC1052" i="1"/>
  <c r="BB1052" i="1"/>
  <c r="BA1052" i="1"/>
  <c r="AZ1052" i="1"/>
  <c r="AY1052" i="1"/>
  <c r="AX1052" i="1"/>
  <c r="AW1052" i="1"/>
  <c r="AV1052" i="1"/>
  <c r="AS1052" i="1"/>
  <c r="AN1052" i="1"/>
  <c r="AI1052" i="1"/>
  <c r="AD1052" i="1"/>
  <c r="Y1052" i="1"/>
  <c r="T1052" i="1"/>
  <c r="O1052" i="1"/>
  <c r="J1052" i="1"/>
  <c r="BG1051" i="1"/>
  <c r="BF1051" i="1"/>
  <c r="BE1051" i="1"/>
  <c r="BD1051" i="1"/>
  <c r="BC1051" i="1"/>
  <c r="BB1051" i="1"/>
  <c r="BA1051" i="1"/>
  <c r="AZ1051" i="1"/>
  <c r="AY1051" i="1"/>
  <c r="AX1051" i="1"/>
  <c r="AW1051" i="1"/>
  <c r="AV1051" i="1"/>
  <c r="AS1051" i="1"/>
  <c r="AN1051" i="1"/>
  <c r="AY1050" i="1"/>
  <c r="AX1050" i="1"/>
  <c r="AW1050" i="1"/>
  <c r="AV1050" i="1"/>
  <c r="AU1050" i="1"/>
  <c r="AT1050" i="1"/>
  <c r="AS1050" i="1"/>
  <c r="AR1050" i="1"/>
  <c r="AQ1050" i="1"/>
  <c r="AP1050" i="1"/>
  <c r="AO1050" i="1"/>
  <c r="AN1050" i="1"/>
  <c r="AM1050" i="1"/>
  <c r="AL1050" i="1"/>
  <c r="AK1050" i="1"/>
  <c r="AJ1050" i="1"/>
  <c r="AI1050" i="1"/>
  <c r="AH1050" i="1"/>
  <c r="AG1050" i="1"/>
  <c r="AF1050" i="1"/>
  <c r="AE1050" i="1"/>
  <c r="AD1050" i="1"/>
  <c r="AC1050" i="1"/>
  <c r="AB1050" i="1"/>
  <c r="AA1050" i="1"/>
  <c r="Z1050" i="1"/>
  <c r="Y1050" i="1"/>
  <c r="X1050" i="1"/>
  <c r="W1050" i="1"/>
  <c r="V1050" i="1"/>
  <c r="U1050" i="1"/>
  <c r="T1050" i="1"/>
  <c r="S1050" i="1"/>
  <c r="R1050" i="1"/>
  <c r="Q1050" i="1"/>
  <c r="P1050" i="1"/>
  <c r="O1050" i="1"/>
  <c r="N1050" i="1"/>
  <c r="M1050" i="1"/>
  <c r="L1050" i="1"/>
  <c r="K1050" i="1"/>
  <c r="J1050" i="1"/>
  <c r="I1050" i="1"/>
  <c r="H1050" i="1"/>
  <c r="G1050" i="1"/>
  <c r="F1050" i="1"/>
  <c r="E1050" i="1"/>
  <c r="D1050" i="1"/>
  <c r="C1050" i="1"/>
  <c r="AS1049" i="1"/>
  <c r="AN1049" i="1"/>
  <c r="AI1049" i="1"/>
  <c r="AD1049" i="1"/>
  <c r="Y1049" i="1"/>
  <c r="T1049" i="1"/>
  <c r="O1049" i="1"/>
  <c r="J1049" i="1"/>
  <c r="AS1048" i="1"/>
  <c r="AN1048" i="1"/>
  <c r="AI1048" i="1"/>
  <c r="AD1048" i="1"/>
  <c r="Y1048" i="1"/>
  <c r="T1048" i="1"/>
  <c r="O1048" i="1"/>
  <c r="J1048" i="1"/>
  <c r="AD1047" i="1"/>
  <c r="Y1047" i="1"/>
  <c r="T1047" i="1"/>
  <c r="O1047" i="1"/>
  <c r="J1047" i="1"/>
  <c r="AD1046" i="1"/>
  <c r="Y1046" i="1"/>
  <c r="T1046" i="1"/>
  <c r="O1046" i="1"/>
  <c r="J1046" i="1"/>
  <c r="AY1043" i="1"/>
  <c r="AX1043" i="1"/>
  <c r="AW1043" i="1"/>
  <c r="AV1043" i="1"/>
  <c r="AU1043" i="1"/>
  <c r="AT1043" i="1"/>
  <c r="AS1043" i="1"/>
  <c r="AR1043" i="1"/>
  <c r="AQ1043" i="1"/>
  <c r="AP1043" i="1"/>
  <c r="AO1043" i="1"/>
  <c r="AN1043" i="1"/>
  <c r="AM1043" i="1"/>
  <c r="AL1043" i="1"/>
  <c r="AK1043" i="1"/>
  <c r="AJ1043" i="1"/>
  <c r="AI1043" i="1"/>
  <c r="AH1043" i="1"/>
  <c r="AG1043" i="1"/>
  <c r="AF1043" i="1"/>
  <c r="AE1043" i="1"/>
  <c r="AD1043" i="1"/>
  <c r="AC1043" i="1"/>
  <c r="AB1043" i="1"/>
  <c r="AA1043" i="1"/>
  <c r="Z1043" i="1"/>
  <c r="Y1043" i="1"/>
  <c r="X1043" i="1"/>
  <c r="W1043" i="1"/>
  <c r="V1043" i="1"/>
  <c r="U1043" i="1"/>
  <c r="T1043" i="1"/>
  <c r="S1043" i="1"/>
  <c r="R1043" i="1"/>
  <c r="Q1043" i="1"/>
  <c r="P1043" i="1"/>
  <c r="O1043" i="1"/>
  <c r="N1043" i="1"/>
  <c r="M1043" i="1"/>
  <c r="L1043" i="1"/>
  <c r="K1043" i="1"/>
  <c r="J1043" i="1"/>
  <c r="I1043" i="1"/>
  <c r="H1043" i="1"/>
  <c r="G1043" i="1"/>
  <c r="F1043" i="1"/>
  <c r="E1043" i="1"/>
  <c r="D1043" i="1"/>
  <c r="C1043" i="1"/>
  <c r="BG1042" i="1"/>
  <c r="BF1042" i="1"/>
  <c r="BE1042" i="1"/>
  <c r="BD1042" i="1"/>
  <c r="BC1042" i="1"/>
  <c r="BB1042" i="1"/>
  <c r="BA1042" i="1"/>
  <c r="AZ1042" i="1"/>
  <c r="AY1042" i="1"/>
  <c r="AX1042" i="1"/>
  <c r="AW1042" i="1"/>
  <c r="AV1042" i="1"/>
  <c r="AS1042" i="1"/>
  <c r="AN1042" i="1"/>
  <c r="AI1042" i="1"/>
  <c r="AD1042" i="1"/>
  <c r="Y1042" i="1"/>
  <c r="T1042" i="1"/>
  <c r="O1042" i="1"/>
  <c r="J1042" i="1"/>
  <c r="BG1041" i="1"/>
  <c r="BF1041" i="1"/>
  <c r="BE1041" i="1"/>
  <c r="BD1041" i="1"/>
  <c r="BC1041" i="1"/>
  <c r="BB1041" i="1"/>
  <c r="BA1041" i="1"/>
  <c r="AZ1041" i="1"/>
  <c r="AY1041" i="1"/>
  <c r="AX1041" i="1"/>
  <c r="AW1041" i="1"/>
  <c r="AV1041" i="1"/>
  <c r="AS1041" i="1"/>
  <c r="AN1041" i="1"/>
  <c r="AI1041" i="1"/>
  <c r="AD1041" i="1"/>
  <c r="BG1040" i="1"/>
  <c r="BF1040" i="1"/>
  <c r="BE1040" i="1"/>
  <c r="BD1040" i="1"/>
  <c r="BC1040" i="1"/>
  <c r="BB1040" i="1"/>
  <c r="BA1040" i="1"/>
  <c r="AZ1040" i="1"/>
  <c r="AY1040" i="1"/>
  <c r="AX1040" i="1"/>
  <c r="AW1040" i="1"/>
  <c r="AV1040" i="1"/>
  <c r="AU1040" i="1"/>
  <c r="AT1040" i="1"/>
  <c r="AS1040" i="1"/>
  <c r="AR1040" i="1"/>
  <c r="AQ1040" i="1"/>
  <c r="AP1040" i="1"/>
  <c r="AO1040" i="1"/>
  <c r="AN1040" i="1"/>
  <c r="AM1040" i="1"/>
  <c r="AL1040" i="1"/>
  <c r="AK1040" i="1"/>
  <c r="AJ1040" i="1"/>
  <c r="AI1040" i="1"/>
  <c r="AH1040" i="1"/>
  <c r="AG1040" i="1"/>
  <c r="AF1040" i="1"/>
  <c r="AE1040" i="1"/>
  <c r="AD1040" i="1"/>
  <c r="AC1040" i="1"/>
  <c r="AB1040" i="1"/>
  <c r="AA1040" i="1"/>
  <c r="Z1040" i="1"/>
  <c r="Y1040" i="1"/>
  <c r="X1040" i="1"/>
  <c r="W1040" i="1"/>
  <c r="V1040" i="1"/>
  <c r="U1040" i="1"/>
  <c r="T1040" i="1"/>
  <c r="S1040" i="1"/>
  <c r="R1040" i="1"/>
  <c r="Q1040" i="1"/>
  <c r="P1040" i="1"/>
  <c r="O1040" i="1"/>
  <c r="N1040" i="1"/>
  <c r="M1040" i="1"/>
  <c r="L1040" i="1"/>
  <c r="K1040" i="1"/>
  <c r="J1040" i="1"/>
  <c r="I1040" i="1"/>
  <c r="H1040" i="1"/>
  <c r="G1040" i="1"/>
  <c r="F1040" i="1"/>
  <c r="E1040" i="1"/>
  <c r="D1040" i="1"/>
  <c r="C1040" i="1"/>
  <c r="AS1039" i="1"/>
  <c r="AN1039" i="1"/>
  <c r="AI1039" i="1"/>
  <c r="AD1039" i="1"/>
  <c r="Y1039" i="1"/>
  <c r="T1039" i="1"/>
  <c r="O1039" i="1"/>
  <c r="J1039" i="1"/>
  <c r="AS1038" i="1"/>
  <c r="AN1038" i="1"/>
  <c r="AI1038" i="1"/>
  <c r="AD1038" i="1"/>
  <c r="Y1038" i="1"/>
  <c r="T1038" i="1"/>
  <c r="O1038" i="1"/>
  <c r="J1038" i="1"/>
  <c r="AS1037" i="1"/>
  <c r="AN1037" i="1"/>
  <c r="AI1037" i="1"/>
  <c r="AD1037" i="1"/>
  <c r="Y1037" i="1"/>
  <c r="T1037" i="1"/>
  <c r="O1037" i="1"/>
  <c r="J1037" i="1"/>
  <c r="BG1036" i="1"/>
  <c r="BF1036" i="1"/>
  <c r="BE1036" i="1"/>
  <c r="BD1036" i="1"/>
  <c r="BC1036" i="1"/>
  <c r="BB1036" i="1"/>
  <c r="BA1036" i="1"/>
  <c r="AZ1036" i="1"/>
  <c r="AY1036" i="1"/>
  <c r="AX1036" i="1"/>
  <c r="AW1036" i="1"/>
  <c r="AV1036" i="1"/>
  <c r="AS1036" i="1"/>
  <c r="AN1036" i="1"/>
  <c r="AI1036" i="1"/>
  <c r="AD1036" i="1"/>
  <c r="Y1036" i="1"/>
  <c r="T1036" i="1"/>
  <c r="O1036" i="1"/>
  <c r="J1036" i="1"/>
  <c r="BG1035" i="1"/>
  <c r="BF1035" i="1"/>
  <c r="BE1035" i="1"/>
  <c r="BD1035" i="1"/>
  <c r="BC1035" i="1"/>
  <c r="BB1035" i="1"/>
  <c r="BA1035" i="1"/>
  <c r="AZ1035" i="1"/>
  <c r="AY1035" i="1"/>
  <c r="AX1035" i="1"/>
  <c r="AW1035" i="1"/>
  <c r="AV1035" i="1"/>
  <c r="AS1035" i="1"/>
  <c r="AN1035" i="1"/>
  <c r="AI1035" i="1"/>
  <c r="AD1035" i="1"/>
  <c r="Y1035" i="1"/>
  <c r="T1035" i="1"/>
  <c r="O1035" i="1"/>
  <c r="J1035" i="1"/>
  <c r="AX1034" i="1"/>
  <c r="AY1034" i="1" s="1"/>
  <c r="AW1034" i="1"/>
  <c r="AV1034" i="1"/>
  <c r="AS1034" i="1"/>
  <c r="AN1034" i="1"/>
  <c r="AI1034" i="1"/>
  <c r="AD1034" i="1"/>
  <c r="Y1034" i="1"/>
  <c r="T1034" i="1"/>
  <c r="O1034" i="1"/>
  <c r="J1034" i="1"/>
  <c r="BG1030" i="1"/>
  <c r="BF1030" i="1"/>
  <c r="BE1030" i="1"/>
  <c r="BD1030" i="1"/>
  <c r="BC1030" i="1"/>
  <c r="BB1030" i="1"/>
  <c r="BA1030" i="1"/>
  <c r="AZ1030" i="1"/>
  <c r="AY1030" i="1"/>
  <c r="AX1030" i="1"/>
  <c r="AW1030" i="1"/>
  <c r="AV1030" i="1"/>
  <c r="AY1029" i="1"/>
  <c r="AX1029" i="1"/>
  <c r="AW1029" i="1"/>
  <c r="AV1029" i="1"/>
  <c r="AU1029" i="1"/>
  <c r="AT1029" i="1"/>
  <c r="AS1029" i="1"/>
  <c r="AR1029" i="1"/>
  <c r="AQ1029" i="1"/>
  <c r="AP1029" i="1"/>
  <c r="AO1029" i="1"/>
  <c r="AN1029" i="1"/>
  <c r="AM1029" i="1"/>
  <c r="AL1029" i="1"/>
  <c r="AK1029" i="1"/>
  <c r="AJ1029" i="1"/>
  <c r="AI1029" i="1"/>
  <c r="AH1029" i="1"/>
  <c r="AG1029" i="1"/>
  <c r="AF1029" i="1"/>
  <c r="AE1029" i="1"/>
  <c r="AD1029" i="1"/>
  <c r="AC1029" i="1"/>
  <c r="AB1029" i="1"/>
  <c r="AA1029" i="1"/>
  <c r="Z1029" i="1"/>
  <c r="Y1029" i="1"/>
  <c r="X1029" i="1"/>
  <c r="W1029" i="1"/>
  <c r="V1029" i="1"/>
  <c r="U1029" i="1"/>
  <c r="T1029" i="1"/>
  <c r="S1029" i="1"/>
  <c r="R1029" i="1"/>
  <c r="Q1029" i="1"/>
  <c r="P1029" i="1"/>
  <c r="O1029" i="1"/>
  <c r="N1029" i="1"/>
  <c r="M1029" i="1"/>
  <c r="L1029" i="1"/>
  <c r="K1029" i="1"/>
  <c r="J1029" i="1"/>
  <c r="I1029" i="1"/>
  <c r="H1029" i="1"/>
  <c r="G1029" i="1"/>
  <c r="F1029" i="1"/>
  <c r="E1029" i="1"/>
  <c r="D1029" i="1"/>
  <c r="C1029" i="1"/>
  <c r="BG1028" i="1"/>
  <c r="BF1028" i="1"/>
  <c r="BE1028" i="1"/>
  <c r="BC1028" i="1"/>
  <c r="BB1028" i="1"/>
  <c r="BA1028" i="1"/>
  <c r="AZ1028" i="1"/>
  <c r="AY1028" i="1"/>
  <c r="AX1028" i="1"/>
  <c r="AW1028" i="1"/>
  <c r="AV1028" i="1"/>
  <c r="AU1028" i="1"/>
  <c r="AT1028" i="1"/>
  <c r="AS1028" i="1"/>
  <c r="AR1028" i="1"/>
  <c r="AQ1028" i="1"/>
  <c r="AP1028" i="1"/>
  <c r="AO1028" i="1"/>
  <c r="AN1028" i="1"/>
  <c r="AM1028" i="1"/>
  <c r="AL1028" i="1"/>
  <c r="AK1028" i="1"/>
  <c r="AJ1028" i="1"/>
  <c r="AI1028" i="1"/>
  <c r="AH1028" i="1"/>
  <c r="AG1028" i="1"/>
  <c r="AF1028" i="1"/>
  <c r="AE1028" i="1"/>
  <c r="AD1028" i="1"/>
  <c r="AC1028" i="1"/>
  <c r="AB1028" i="1"/>
  <c r="AA1028" i="1"/>
  <c r="Z1028" i="1"/>
  <c r="Y1028" i="1"/>
  <c r="X1028" i="1"/>
  <c r="W1028" i="1"/>
  <c r="V1028" i="1"/>
  <c r="U1028" i="1"/>
  <c r="T1028" i="1"/>
  <c r="S1028" i="1"/>
  <c r="R1028" i="1"/>
  <c r="Q1028" i="1"/>
  <c r="P1028" i="1"/>
  <c r="O1028" i="1"/>
  <c r="N1028" i="1"/>
  <c r="M1028" i="1"/>
  <c r="L1028" i="1"/>
  <c r="K1028" i="1"/>
  <c r="J1028" i="1"/>
  <c r="I1028" i="1"/>
  <c r="H1028" i="1"/>
  <c r="G1028" i="1"/>
  <c r="F1028" i="1"/>
  <c r="E1028" i="1"/>
  <c r="D1028" i="1"/>
  <c r="C1028" i="1"/>
  <c r="AZ1026" i="1"/>
  <c r="AY1026" i="1"/>
  <c r="AX1026" i="1"/>
  <c r="AW1026" i="1"/>
  <c r="AV1026" i="1"/>
  <c r="AU1026" i="1"/>
  <c r="AT1026" i="1"/>
  <c r="AS1026" i="1"/>
  <c r="AR1026" i="1"/>
  <c r="AQ1026" i="1"/>
  <c r="AP1026" i="1"/>
  <c r="AO1026" i="1"/>
  <c r="AN1026" i="1"/>
  <c r="AM1026" i="1"/>
  <c r="AL1026" i="1"/>
  <c r="AK1026" i="1"/>
  <c r="AJ1026" i="1"/>
  <c r="AI1026" i="1"/>
  <c r="AH1026" i="1"/>
  <c r="AG1026" i="1"/>
  <c r="AF1026" i="1"/>
  <c r="AE1026" i="1"/>
  <c r="AD1026" i="1"/>
  <c r="AC1026" i="1"/>
  <c r="AB1026" i="1"/>
  <c r="AA1026" i="1"/>
  <c r="Z1026" i="1"/>
  <c r="Y1026" i="1"/>
  <c r="X1026" i="1"/>
  <c r="W1026" i="1"/>
  <c r="V1026" i="1"/>
  <c r="U1026" i="1"/>
  <c r="T1026" i="1"/>
  <c r="S1026" i="1"/>
  <c r="R1026" i="1"/>
  <c r="Q1026" i="1"/>
  <c r="P1026" i="1"/>
  <c r="O1026" i="1"/>
  <c r="N1026" i="1"/>
  <c r="M1026" i="1"/>
  <c r="L1026" i="1"/>
  <c r="K1026" i="1"/>
  <c r="J1026" i="1"/>
  <c r="I1026" i="1"/>
  <c r="H1026" i="1"/>
  <c r="G1026" i="1"/>
  <c r="F1026" i="1"/>
  <c r="E1026" i="1"/>
  <c r="D1026" i="1"/>
  <c r="C1026" i="1"/>
  <c r="AZ1025" i="1"/>
  <c r="AY1025" i="1"/>
  <c r="AX1025" i="1"/>
  <c r="AW1025" i="1"/>
  <c r="AV1025" i="1"/>
  <c r="AU1025" i="1"/>
  <c r="AT1025" i="1"/>
  <c r="AS1025" i="1"/>
  <c r="AR1025" i="1"/>
  <c r="AQ1025" i="1"/>
  <c r="AP1025" i="1"/>
  <c r="AO1025" i="1"/>
  <c r="AN1025" i="1"/>
  <c r="AM1025" i="1"/>
  <c r="AL1025" i="1"/>
  <c r="AK1025" i="1"/>
  <c r="AJ1025" i="1"/>
  <c r="AI1025" i="1"/>
  <c r="AH1025" i="1"/>
  <c r="AG1025" i="1"/>
  <c r="AF1025" i="1"/>
  <c r="AE1025" i="1"/>
  <c r="AD1025" i="1"/>
  <c r="AC1025" i="1"/>
  <c r="AB1025" i="1"/>
  <c r="AA1025" i="1"/>
  <c r="Z1025" i="1"/>
  <c r="Y1025" i="1"/>
  <c r="X1025" i="1"/>
  <c r="W1025" i="1"/>
  <c r="V1025" i="1"/>
  <c r="U1025" i="1"/>
  <c r="T1025" i="1"/>
  <c r="S1025" i="1"/>
  <c r="R1025" i="1"/>
  <c r="Q1025" i="1"/>
  <c r="P1025" i="1"/>
  <c r="O1025" i="1"/>
  <c r="N1025" i="1"/>
  <c r="M1025" i="1"/>
  <c r="L1025" i="1"/>
  <c r="K1025" i="1"/>
  <c r="J1025" i="1"/>
  <c r="I1025" i="1"/>
  <c r="H1025" i="1"/>
  <c r="G1025" i="1"/>
  <c r="F1025" i="1"/>
  <c r="E1025" i="1"/>
  <c r="D1025" i="1"/>
  <c r="C1025" i="1"/>
  <c r="AZ1024" i="1"/>
  <c r="AY1024" i="1"/>
  <c r="AX1024" i="1"/>
  <c r="AW1024" i="1"/>
  <c r="AV1024" i="1"/>
  <c r="AU1024" i="1"/>
  <c r="AT1024" i="1"/>
  <c r="AS1024" i="1"/>
  <c r="AR1024" i="1"/>
  <c r="AQ1024" i="1"/>
  <c r="AP1024" i="1"/>
  <c r="AO1024" i="1"/>
  <c r="AN1024" i="1"/>
  <c r="AM1024" i="1"/>
  <c r="AL1024" i="1"/>
  <c r="AK1024" i="1"/>
  <c r="AJ1024" i="1"/>
  <c r="AI1024" i="1"/>
  <c r="AH1024" i="1"/>
  <c r="AG1024" i="1"/>
  <c r="AF1024" i="1"/>
  <c r="AE1024" i="1"/>
  <c r="AD1024" i="1"/>
  <c r="AC1024" i="1"/>
  <c r="AB1024" i="1"/>
  <c r="AA1024" i="1"/>
  <c r="Z1024" i="1"/>
  <c r="Y1024" i="1"/>
  <c r="X1024" i="1"/>
  <c r="W1024" i="1"/>
  <c r="V1024" i="1"/>
  <c r="U1024" i="1"/>
  <c r="T1024" i="1"/>
  <c r="S1024" i="1"/>
  <c r="R1024" i="1"/>
  <c r="Q1024" i="1"/>
  <c r="P1024" i="1"/>
  <c r="O1024" i="1"/>
  <c r="N1024" i="1"/>
  <c r="M1024" i="1"/>
  <c r="L1024" i="1"/>
  <c r="K1024" i="1"/>
  <c r="J1024" i="1"/>
  <c r="I1024" i="1"/>
  <c r="H1024" i="1"/>
  <c r="G1024" i="1"/>
  <c r="F1024" i="1"/>
  <c r="E1024" i="1"/>
  <c r="D1024" i="1"/>
  <c r="C1024" i="1"/>
  <c r="BG1023" i="1"/>
  <c r="BF1023" i="1"/>
  <c r="BE1023" i="1"/>
  <c r="BD1023" i="1"/>
  <c r="BC1023" i="1"/>
  <c r="BB1023" i="1"/>
  <c r="BA1023" i="1"/>
  <c r="AZ1023" i="1"/>
  <c r="AY1023" i="1"/>
  <c r="AX1023" i="1"/>
  <c r="AW1023" i="1"/>
  <c r="AV1023" i="1"/>
  <c r="AU1023" i="1"/>
  <c r="AT1023" i="1"/>
  <c r="AS1023" i="1"/>
  <c r="AR1023" i="1"/>
  <c r="AQ1023" i="1"/>
  <c r="AP1023" i="1"/>
  <c r="AO1023" i="1"/>
  <c r="AN1023" i="1"/>
  <c r="AM1023" i="1"/>
  <c r="AL1023" i="1"/>
  <c r="AK1023" i="1"/>
  <c r="AJ1023" i="1"/>
  <c r="AI1023" i="1"/>
  <c r="AH1023" i="1"/>
  <c r="AG1023" i="1"/>
  <c r="AF1023" i="1"/>
  <c r="AE1023" i="1"/>
  <c r="AD1023" i="1"/>
  <c r="AC1023" i="1"/>
  <c r="AB1023" i="1"/>
  <c r="AA1023" i="1"/>
  <c r="Z1023" i="1"/>
  <c r="Y1023" i="1"/>
  <c r="X1023" i="1"/>
  <c r="W1023" i="1"/>
  <c r="V1023" i="1"/>
  <c r="U1023" i="1"/>
  <c r="T1023" i="1"/>
  <c r="S1023" i="1"/>
  <c r="R1023" i="1"/>
  <c r="Q1023" i="1"/>
  <c r="P1023" i="1"/>
  <c r="O1023" i="1"/>
  <c r="N1023" i="1"/>
  <c r="M1023" i="1"/>
  <c r="L1023" i="1"/>
  <c r="K1023" i="1"/>
  <c r="J1023" i="1"/>
  <c r="I1023" i="1"/>
  <c r="H1023" i="1"/>
  <c r="G1023" i="1"/>
  <c r="F1023" i="1"/>
  <c r="E1023" i="1"/>
  <c r="D1023" i="1"/>
  <c r="C1023" i="1"/>
  <c r="AY1021" i="1"/>
  <c r="AX1021" i="1"/>
  <c r="AW1021" i="1"/>
  <c r="AV1021" i="1"/>
  <c r="AU1021" i="1"/>
  <c r="AT1021" i="1"/>
  <c r="AS1021" i="1"/>
  <c r="AR1021" i="1"/>
  <c r="AQ1021" i="1"/>
  <c r="AP1021" i="1"/>
  <c r="AO1021" i="1"/>
  <c r="AN1021" i="1"/>
  <c r="AM1021" i="1"/>
  <c r="AL1021" i="1"/>
  <c r="AK1021" i="1"/>
  <c r="AJ1021" i="1"/>
  <c r="AI1021" i="1"/>
  <c r="AH1021" i="1"/>
  <c r="AG1021" i="1"/>
  <c r="AF1021" i="1"/>
  <c r="AE1021" i="1"/>
  <c r="AD1021" i="1"/>
  <c r="AC1021" i="1"/>
  <c r="AB1021" i="1"/>
  <c r="AA1021" i="1"/>
  <c r="Z1021" i="1"/>
  <c r="Y1021" i="1"/>
  <c r="X1021" i="1"/>
  <c r="W1021" i="1"/>
  <c r="V1021" i="1"/>
  <c r="U1021" i="1"/>
  <c r="T1021" i="1"/>
  <c r="S1021" i="1"/>
  <c r="R1021" i="1"/>
  <c r="Q1021" i="1"/>
  <c r="P1021" i="1"/>
  <c r="O1021" i="1"/>
  <c r="N1021" i="1"/>
  <c r="M1021" i="1"/>
  <c r="L1021" i="1"/>
  <c r="K1021" i="1"/>
  <c r="J1021" i="1"/>
  <c r="I1021" i="1"/>
  <c r="H1021" i="1"/>
  <c r="G1021" i="1"/>
  <c r="F1021" i="1"/>
  <c r="E1021" i="1"/>
  <c r="D1021" i="1"/>
  <c r="C1021" i="1"/>
  <c r="AY1020" i="1"/>
  <c r="AX1020" i="1"/>
  <c r="AW1020" i="1"/>
  <c r="AV1020" i="1"/>
  <c r="AU1020" i="1"/>
  <c r="AT1020" i="1"/>
  <c r="AS1020" i="1"/>
  <c r="AR1020" i="1"/>
  <c r="AQ1020" i="1"/>
  <c r="AP1020" i="1"/>
  <c r="AO1020" i="1"/>
  <c r="AN1020" i="1"/>
  <c r="AM1020" i="1"/>
  <c r="AL1020" i="1"/>
  <c r="AK1020" i="1"/>
  <c r="AJ1020" i="1"/>
  <c r="AI1020" i="1"/>
  <c r="AH1020" i="1"/>
  <c r="AG1020" i="1"/>
  <c r="AF1020" i="1"/>
  <c r="AE1020" i="1"/>
  <c r="AD1020" i="1"/>
  <c r="AC1020" i="1"/>
  <c r="AB1020" i="1"/>
  <c r="AA1020" i="1"/>
  <c r="Z1020" i="1"/>
  <c r="Y1020" i="1"/>
  <c r="X1020" i="1"/>
  <c r="W1020" i="1"/>
  <c r="V1020" i="1"/>
  <c r="U1020" i="1"/>
  <c r="T1020" i="1"/>
  <c r="S1020" i="1"/>
  <c r="R1020" i="1"/>
  <c r="Q1020" i="1"/>
  <c r="P1020" i="1"/>
  <c r="O1020" i="1"/>
  <c r="N1020" i="1"/>
  <c r="M1020" i="1"/>
  <c r="L1020" i="1"/>
  <c r="K1020" i="1"/>
  <c r="J1020" i="1"/>
  <c r="I1020" i="1"/>
  <c r="H1020" i="1"/>
  <c r="G1020" i="1"/>
  <c r="F1020" i="1"/>
  <c r="E1020" i="1"/>
  <c r="D1020" i="1"/>
  <c r="C1020" i="1"/>
  <c r="AY1019" i="1"/>
  <c r="AX1019" i="1"/>
  <c r="AW1019" i="1"/>
  <c r="AV1019" i="1"/>
  <c r="AZ1018" i="1"/>
  <c r="AY1018" i="1"/>
  <c r="AX1018" i="1"/>
  <c r="AW1018" i="1"/>
  <c r="AV1018" i="1"/>
  <c r="AU1018" i="1"/>
  <c r="AT1018" i="1"/>
  <c r="AS1018" i="1"/>
  <c r="AR1018" i="1"/>
  <c r="AQ1018" i="1"/>
  <c r="AP1018" i="1"/>
  <c r="AO1018" i="1"/>
  <c r="AN1018" i="1"/>
  <c r="AM1018" i="1"/>
  <c r="AL1018" i="1"/>
  <c r="AK1018" i="1"/>
  <c r="AJ1018" i="1"/>
  <c r="AI1018" i="1"/>
  <c r="AH1018" i="1"/>
  <c r="AG1018" i="1"/>
  <c r="AF1018" i="1"/>
  <c r="AE1018" i="1"/>
  <c r="AD1018" i="1"/>
  <c r="AC1018" i="1"/>
  <c r="AB1018" i="1"/>
  <c r="AA1018" i="1"/>
  <c r="Z1018" i="1"/>
  <c r="Y1018" i="1"/>
  <c r="X1018" i="1"/>
  <c r="W1018" i="1"/>
  <c r="V1018" i="1"/>
  <c r="U1018" i="1"/>
  <c r="T1018" i="1"/>
  <c r="S1018" i="1"/>
  <c r="R1018" i="1"/>
  <c r="Q1018" i="1"/>
  <c r="P1018" i="1"/>
  <c r="O1018" i="1"/>
  <c r="N1018" i="1"/>
  <c r="M1018" i="1"/>
  <c r="L1018" i="1"/>
  <c r="K1018" i="1"/>
  <c r="J1018" i="1"/>
  <c r="I1018" i="1"/>
  <c r="H1018" i="1"/>
  <c r="G1018" i="1"/>
  <c r="F1018" i="1"/>
  <c r="E1018" i="1"/>
  <c r="D1018" i="1"/>
  <c r="C1018" i="1"/>
  <c r="BD1017" i="1"/>
  <c r="AZ1017" i="1"/>
  <c r="AY1017" i="1"/>
  <c r="AX1017" i="1"/>
  <c r="AW1017" i="1"/>
  <c r="AV1017" i="1"/>
  <c r="AU1017" i="1"/>
  <c r="AT1017" i="1"/>
  <c r="AS1017" i="1"/>
  <c r="AR1017" i="1"/>
  <c r="AQ1017" i="1"/>
  <c r="AP1017" i="1"/>
  <c r="AO1017" i="1"/>
  <c r="AN1017" i="1"/>
  <c r="AM1017" i="1"/>
  <c r="AL1017" i="1"/>
  <c r="AK1017" i="1"/>
  <c r="AJ1017" i="1"/>
  <c r="AI1017" i="1"/>
  <c r="AH1017" i="1"/>
  <c r="AG1017" i="1"/>
  <c r="AF1017" i="1"/>
  <c r="AE1017" i="1"/>
  <c r="AD1017" i="1"/>
  <c r="AC1017" i="1"/>
  <c r="AB1017" i="1"/>
  <c r="AA1017" i="1"/>
  <c r="Z1017" i="1"/>
  <c r="Y1017" i="1"/>
  <c r="X1017" i="1"/>
  <c r="W1017" i="1"/>
  <c r="V1017" i="1"/>
  <c r="U1017" i="1"/>
  <c r="T1017" i="1"/>
  <c r="S1017" i="1"/>
  <c r="R1017" i="1"/>
  <c r="Q1017" i="1"/>
  <c r="P1017" i="1"/>
  <c r="O1017" i="1"/>
  <c r="N1017" i="1"/>
  <c r="M1017" i="1"/>
  <c r="L1017" i="1"/>
  <c r="K1017" i="1"/>
  <c r="J1017" i="1"/>
  <c r="I1017" i="1"/>
  <c r="H1017" i="1"/>
  <c r="G1017" i="1"/>
  <c r="F1017" i="1"/>
  <c r="E1017" i="1"/>
  <c r="D1017" i="1"/>
  <c r="AY1015" i="1"/>
  <c r="AX1015" i="1"/>
  <c r="AW1015" i="1"/>
  <c r="AV1015" i="1"/>
  <c r="AU1015" i="1"/>
  <c r="AT1015" i="1"/>
  <c r="AS1015" i="1"/>
  <c r="AR1015" i="1"/>
  <c r="AQ1015" i="1"/>
  <c r="AP1015" i="1"/>
  <c r="AO1015" i="1"/>
  <c r="AN1015" i="1"/>
  <c r="AM1015" i="1"/>
  <c r="AL1015" i="1"/>
  <c r="AK1015" i="1"/>
  <c r="AJ1015" i="1"/>
  <c r="AI1015" i="1"/>
  <c r="AH1015" i="1"/>
  <c r="AG1015" i="1"/>
  <c r="AF1015" i="1"/>
  <c r="AE1015" i="1"/>
  <c r="AD1015" i="1"/>
  <c r="AC1015" i="1"/>
  <c r="AB1015" i="1"/>
  <c r="AA1015" i="1"/>
  <c r="Z1015" i="1"/>
  <c r="Y1015" i="1"/>
  <c r="X1015" i="1"/>
  <c r="W1015" i="1"/>
  <c r="V1015" i="1"/>
  <c r="U1015" i="1"/>
  <c r="T1015" i="1"/>
  <c r="S1015" i="1"/>
  <c r="R1015" i="1"/>
  <c r="Q1015" i="1"/>
  <c r="P1015" i="1"/>
  <c r="O1015" i="1"/>
  <c r="N1015" i="1"/>
  <c r="M1015" i="1"/>
  <c r="L1015" i="1"/>
  <c r="K1015" i="1"/>
  <c r="J1015" i="1"/>
  <c r="I1015" i="1"/>
  <c r="H1015" i="1"/>
  <c r="G1015" i="1"/>
  <c r="F1015" i="1"/>
  <c r="E1015" i="1"/>
  <c r="D1015" i="1"/>
  <c r="C1015" i="1"/>
  <c r="AY1014" i="1"/>
  <c r="AX1014" i="1"/>
  <c r="AW1014" i="1"/>
  <c r="AV1014" i="1"/>
  <c r="AU1014" i="1"/>
  <c r="AT1014" i="1"/>
  <c r="AS1014" i="1"/>
  <c r="AR1014" i="1"/>
  <c r="AQ1014" i="1"/>
  <c r="AP1014" i="1"/>
  <c r="AO1014" i="1"/>
  <c r="AN1014" i="1"/>
  <c r="AM1014" i="1"/>
  <c r="AL1014" i="1"/>
  <c r="AK1014" i="1"/>
  <c r="AJ1014" i="1"/>
  <c r="AI1014" i="1"/>
  <c r="AH1014" i="1"/>
  <c r="AG1014" i="1"/>
  <c r="AF1014" i="1"/>
  <c r="AE1014" i="1"/>
  <c r="AD1014" i="1"/>
  <c r="AC1014" i="1"/>
  <c r="AB1014" i="1"/>
  <c r="AA1014" i="1"/>
  <c r="Z1014" i="1"/>
  <c r="Y1014" i="1"/>
  <c r="X1014" i="1"/>
  <c r="W1014" i="1"/>
  <c r="V1014" i="1"/>
  <c r="U1014" i="1"/>
  <c r="T1014" i="1"/>
  <c r="S1014" i="1"/>
  <c r="R1014" i="1"/>
  <c r="Q1014" i="1"/>
  <c r="P1014" i="1"/>
  <c r="O1014" i="1"/>
  <c r="N1014" i="1"/>
  <c r="M1014" i="1"/>
  <c r="L1014" i="1"/>
  <c r="K1014" i="1"/>
  <c r="J1014" i="1"/>
  <c r="I1014" i="1"/>
  <c r="H1014" i="1"/>
  <c r="G1014" i="1"/>
  <c r="F1014" i="1"/>
  <c r="E1014" i="1"/>
  <c r="D1014" i="1"/>
  <c r="C1014" i="1"/>
  <c r="AY1013" i="1"/>
  <c r="AX1013" i="1"/>
  <c r="AW1013" i="1"/>
  <c r="AV1013" i="1"/>
  <c r="AZ1012" i="1"/>
  <c r="AY1012" i="1"/>
  <c r="AX1012" i="1"/>
  <c r="AW1012" i="1"/>
  <c r="AV1012" i="1"/>
  <c r="AU1012" i="1"/>
  <c r="AT1012" i="1"/>
  <c r="AS1012" i="1"/>
  <c r="AR1012" i="1"/>
  <c r="AQ1012" i="1"/>
  <c r="AP1012" i="1"/>
  <c r="AO1012" i="1"/>
  <c r="AN1012" i="1"/>
  <c r="AM1012" i="1"/>
  <c r="AL1012" i="1"/>
  <c r="AK1012" i="1"/>
  <c r="AJ1012" i="1"/>
  <c r="AI1012" i="1"/>
  <c r="AH1012" i="1"/>
  <c r="AG1012" i="1"/>
  <c r="AF1012" i="1"/>
  <c r="AE1012" i="1"/>
  <c r="AD1012" i="1"/>
  <c r="AC1012" i="1"/>
  <c r="AB1012" i="1"/>
  <c r="AA1012" i="1"/>
  <c r="Z1012" i="1"/>
  <c r="Y1012" i="1"/>
  <c r="X1012" i="1"/>
  <c r="W1012" i="1"/>
  <c r="V1012" i="1"/>
  <c r="U1012" i="1"/>
  <c r="T1012" i="1"/>
  <c r="S1012" i="1"/>
  <c r="R1012" i="1"/>
  <c r="Q1012" i="1"/>
  <c r="P1012" i="1"/>
  <c r="O1012" i="1"/>
  <c r="N1012" i="1"/>
  <c r="M1012" i="1"/>
  <c r="L1012" i="1"/>
  <c r="K1012" i="1"/>
  <c r="J1012" i="1"/>
  <c r="I1012" i="1"/>
  <c r="H1012" i="1"/>
  <c r="G1012" i="1"/>
  <c r="F1012" i="1"/>
  <c r="E1012" i="1"/>
  <c r="D1012" i="1"/>
  <c r="C1012" i="1"/>
  <c r="BD1011" i="1"/>
  <c r="AZ1011" i="1"/>
  <c r="AY1011" i="1"/>
  <c r="AX1011" i="1"/>
  <c r="AW1011" i="1"/>
  <c r="AV1011" i="1"/>
  <c r="AU1011" i="1"/>
  <c r="AT1011" i="1"/>
  <c r="AS1011" i="1"/>
  <c r="AR1011" i="1"/>
  <c r="AQ1011" i="1"/>
  <c r="AP1011" i="1"/>
  <c r="AO1011" i="1"/>
  <c r="AN1011" i="1"/>
  <c r="AM1011" i="1"/>
  <c r="AL1011" i="1"/>
  <c r="AK1011" i="1"/>
  <c r="AJ1011" i="1"/>
  <c r="AI1011" i="1"/>
  <c r="AH1011" i="1"/>
  <c r="AG1011" i="1"/>
  <c r="AF1011" i="1"/>
  <c r="AE1011" i="1"/>
  <c r="AD1011" i="1"/>
  <c r="AC1011" i="1"/>
  <c r="AB1011" i="1"/>
  <c r="AA1011" i="1"/>
  <c r="Z1011" i="1"/>
  <c r="Y1011" i="1"/>
  <c r="X1011" i="1"/>
  <c r="W1011" i="1"/>
  <c r="V1011" i="1"/>
  <c r="U1011" i="1"/>
  <c r="T1011" i="1"/>
  <c r="S1011" i="1"/>
  <c r="R1011" i="1"/>
  <c r="Q1011" i="1"/>
  <c r="P1011" i="1"/>
  <c r="O1011" i="1"/>
  <c r="N1011" i="1"/>
  <c r="M1011" i="1"/>
  <c r="L1011" i="1"/>
  <c r="K1011" i="1"/>
  <c r="J1011" i="1"/>
  <c r="I1011" i="1"/>
  <c r="H1011" i="1"/>
  <c r="G1011" i="1"/>
  <c r="F1011" i="1"/>
  <c r="E1011" i="1"/>
  <c r="D1011" i="1"/>
  <c r="BG1008" i="1"/>
  <c r="BF1008" i="1"/>
  <c r="BE1008" i="1"/>
  <c r="BD1008" i="1"/>
  <c r="BC1008" i="1"/>
  <c r="BB1008" i="1"/>
  <c r="BA1008" i="1"/>
  <c r="AZ1008" i="1"/>
  <c r="AY1008" i="1"/>
  <c r="AX1008" i="1"/>
  <c r="AW1008" i="1"/>
  <c r="AV1008" i="1"/>
  <c r="AU1008" i="1"/>
  <c r="AT1008" i="1"/>
  <c r="AS1008" i="1"/>
  <c r="AR1008" i="1"/>
  <c r="AQ1008" i="1"/>
  <c r="AP1008" i="1"/>
  <c r="AO1008" i="1"/>
  <c r="AN1008" i="1"/>
  <c r="AM1008" i="1"/>
  <c r="AL1008" i="1"/>
  <c r="AK1008" i="1"/>
  <c r="AJ1008" i="1"/>
  <c r="AI1008" i="1"/>
  <c r="AH1008" i="1"/>
  <c r="AG1008" i="1"/>
  <c r="AF1008" i="1"/>
  <c r="AE1008" i="1"/>
  <c r="AD1008" i="1"/>
  <c r="AC1008" i="1"/>
  <c r="AB1008" i="1"/>
  <c r="AA1008" i="1"/>
  <c r="Z1008" i="1"/>
  <c r="Y1008" i="1"/>
  <c r="X1008" i="1"/>
  <c r="W1008" i="1"/>
  <c r="V1008" i="1"/>
  <c r="U1008" i="1"/>
  <c r="T1008" i="1"/>
  <c r="S1008" i="1"/>
  <c r="R1008" i="1"/>
  <c r="Q1008" i="1"/>
  <c r="P1008" i="1"/>
  <c r="K1008" i="1"/>
  <c r="F1008" i="1"/>
  <c r="E1008" i="1"/>
  <c r="D1008" i="1"/>
  <c r="BG1007" i="1"/>
  <c r="BF1007" i="1"/>
  <c r="BE1007" i="1"/>
  <c r="BD1007" i="1"/>
  <c r="BC1007" i="1"/>
  <c r="BB1007" i="1"/>
  <c r="BA1007" i="1"/>
  <c r="AZ1007" i="1"/>
  <c r="AY1007" i="1"/>
  <c r="AX1007" i="1"/>
  <c r="AW1007" i="1"/>
  <c r="AV1007" i="1"/>
  <c r="AU1007" i="1"/>
  <c r="AT1007" i="1"/>
  <c r="AS1007" i="1"/>
  <c r="AR1007" i="1"/>
  <c r="AQ1007" i="1"/>
  <c r="AP1007" i="1"/>
  <c r="AO1007" i="1"/>
  <c r="AN1007" i="1"/>
  <c r="AM1007" i="1"/>
  <c r="AL1007" i="1"/>
  <c r="AK1007" i="1"/>
  <c r="AJ1007" i="1"/>
  <c r="AI1007" i="1"/>
  <c r="AH1007" i="1"/>
  <c r="AG1007" i="1"/>
  <c r="AF1007" i="1"/>
  <c r="AE1007" i="1"/>
  <c r="AD1007" i="1"/>
  <c r="AC1007" i="1"/>
  <c r="AB1007" i="1"/>
  <c r="AA1007" i="1"/>
  <c r="Z1007" i="1"/>
  <c r="Y1007" i="1"/>
  <c r="X1007" i="1"/>
  <c r="W1007" i="1"/>
  <c r="V1007" i="1"/>
  <c r="U1007" i="1"/>
  <c r="T1007" i="1"/>
  <c r="S1007" i="1"/>
  <c r="R1007" i="1"/>
  <c r="Q1007" i="1"/>
  <c r="P1007" i="1"/>
  <c r="K1007" i="1"/>
  <c r="F1007" i="1"/>
  <c r="E1007" i="1"/>
  <c r="D1007" i="1"/>
  <c r="BG1006" i="1"/>
  <c r="BF1006" i="1"/>
  <c r="BE1006" i="1"/>
  <c r="BD1006" i="1"/>
  <c r="BC1006" i="1"/>
  <c r="BB1006" i="1"/>
  <c r="BA1006" i="1"/>
  <c r="AZ1006" i="1"/>
  <c r="AY1006" i="1"/>
  <c r="AX1006" i="1"/>
  <c r="AW1006" i="1"/>
  <c r="AV1006" i="1"/>
  <c r="AU1006" i="1"/>
  <c r="AT1006" i="1"/>
  <c r="AS1006" i="1"/>
  <c r="AR1006" i="1"/>
  <c r="AQ1006" i="1"/>
  <c r="AP1006" i="1"/>
  <c r="AO1006" i="1"/>
  <c r="AN1006" i="1"/>
  <c r="AM1006" i="1"/>
  <c r="AL1006" i="1"/>
  <c r="AK1006" i="1"/>
  <c r="AJ1006" i="1"/>
  <c r="AI1006" i="1"/>
  <c r="AH1006" i="1"/>
  <c r="AG1006" i="1"/>
  <c r="AF1006" i="1"/>
  <c r="AE1006" i="1"/>
  <c r="AD1006" i="1"/>
  <c r="AC1006" i="1"/>
  <c r="AB1006" i="1"/>
  <c r="AA1006" i="1"/>
  <c r="Z1006" i="1"/>
  <c r="Y1006" i="1"/>
  <c r="X1006" i="1"/>
  <c r="W1006" i="1"/>
  <c r="V1006" i="1"/>
  <c r="U1006" i="1"/>
  <c r="T1006" i="1"/>
  <c r="S1006" i="1"/>
  <c r="R1006" i="1"/>
  <c r="Q1006" i="1"/>
  <c r="P1006" i="1"/>
  <c r="K1006" i="1"/>
  <c r="F1006" i="1"/>
  <c r="E1006" i="1"/>
  <c r="D1006" i="1"/>
  <c r="BG1005" i="1"/>
  <c r="BF1005" i="1"/>
  <c r="BE1005" i="1"/>
  <c r="BD1005" i="1"/>
  <c r="BC1005" i="1"/>
  <c r="BB1005" i="1"/>
  <c r="BA1005" i="1"/>
  <c r="AZ1005" i="1"/>
  <c r="AY1005" i="1"/>
  <c r="AX1005" i="1"/>
  <c r="AW1005" i="1"/>
  <c r="AV1005" i="1"/>
  <c r="AU1005" i="1"/>
  <c r="AT1005" i="1"/>
  <c r="AS1005" i="1"/>
  <c r="AR1005" i="1"/>
  <c r="AQ1005" i="1"/>
  <c r="AP1005" i="1"/>
  <c r="AO1005" i="1"/>
  <c r="AN1005" i="1"/>
  <c r="AM1005" i="1"/>
  <c r="AL1005" i="1"/>
  <c r="AK1005" i="1"/>
  <c r="AJ1005" i="1"/>
  <c r="AI1005" i="1"/>
  <c r="AH1005" i="1"/>
  <c r="AG1005" i="1"/>
  <c r="AF1005" i="1"/>
  <c r="AE1005" i="1"/>
  <c r="AD1005" i="1"/>
  <c r="AC1005" i="1"/>
  <c r="AB1005" i="1"/>
  <c r="AA1005" i="1"/>
  <c r="Z1005" i="1"/>
  <c r="Y1005" i="1"/>
  <c r="X1005" i="1"/>
  <c r="W1005" i="1"/>
  <c r="V1005" i="1"/>
  <c r="U1005" i="1"/>
  <c r="T1005" i="1"/>
  <c r="S1005" i="1"/>
  <c r="R1005" i="1"/>
  <c r="Q1005" i="1"/>
  <c r="P1005" i="1"/>
  <c r="K1005" i="1"/>
  <c r="F1005" i="1"/>
  <c r="E1005" i="1"/>
  <c r="D1005" i="1"/>
  <c r="BG1003" i="1"/>
  <c r="BF1003" i="1"/>
  <c r="BE1003" i="1"/>
  <c r="BD1003" i="1"/>
  <c r="BC1003" i="1"/>
  <c r="BB1003" i="1"/>
  <c r="BA1003" i="1"/>
  <c r="AZ1003" i="1"/>
  <c r="AY1003" i="1"/>
  <c r="AX1003" i="1"/>
  <c r="AW1003" i="1"/>
  <c r="AV1003" i="1"/>
  <c r="AU1003" i="1"/>
  <c r="AT1003" i="1"/>
  <c r="AS1003" i="1"/>
  <c r="AR1003" i="1"/>
  <c r="AQ1003" i="1"/>
  <c r="AP1003" i="1"/>
  <c r="AO1003" i="1"/>
  <c r="AN1003" i="1"/>
  <c r="AM1003" i="1"/>
  <c r="AL1003" i="1"/>
  <c r="AK1003" i="1"/>
  <c r="AJ1003" i="1"/>
  <c r="AI1003" i="1"/>
  <c r="AH1003" i="1"/>
  <c r="AG1003" i="1"/>
  <c r="AF1003" i="1"/>
  <c r="AE1003" i="1"/>
  <c r="AD1003" i="1"/>
  <c r="AC1003" i="1"/>
  <c r="AB1003" i="1"/>
  <c r="AA1003" i="1"/>
  <c r="Z1003" i="1"/>
  <c r="Y1003" i="1"/>
  <c r="X1003" i="1"/>
  <c r="W1003" i="1"/>
  <c r="V1003" i="1"/>
  <c r="U1003" i="1"/>
  <c r="T1003" i="1"/>
  <c r="S1003" i="1"/>
  <c r="R1003" i="1"/>
  <c r="Q1003" i="1"/>
  <c r="P1003" i="1"/>
  <c r="O1003" i="1"/>
  <c r="N1003" i="1"/>
  <c r="M1003" i="1"/>
  <c r="L1003" i="1"/>
  <c r="K1003" i="1"/>
  <c r="F1003" i="1"/>
  <c r="E1003" i="1"/>
  <c r="D1003" i="1"/>
  <c r="C1003" i="1"/>
  <c r="BG1002" i="1"/>
  <c r="BF1002" i="1"/>
  <c r="BE1002" i="1"/>
  <c r="BD1002" i="1"/>
  <c r="BC1002" i="1"/>
  <c r="BB1002" i="1"/>
  <c r="BA1002" i="1"/>
  <c r="AZ1002" i="1"/>
  <c r="AY1002" i="1"/>
  <c r="AX1002" i="1"/>
  <c r="AW1002" i="1"/>
  <c r="AV1002" i="1"/>
  <c r="AU1002" i="1"/>
  <c r="AT1002" i="1"/>
  <c r="AS1002" i="1"/>
  <c r="AR1002" i="1"/>
  <c r="AQ1002" i="1"/>
  <c r="AP1002" i="1"/>
  <c r="AO1002" i="1"/>
  <c r="AN1002" i="1"/>
  <c r="AM1002" i="1"/>
  <c r="AL1002" i="1"/>
  <c r="AK1002" i="1"/>
  <c r="AJ1002" i="1"/>
  <c r="AI1002" i="1"/>
  <c r="AH1002" i="1"/>
  <c r="AG1002" i="1"/>
  <c r="AF1002" i="1"/>
  <c r="AE1002" i="1"/>
  <c r="AD1002" i="1"/>
  <c r="AC1002" i="1"/>
  <c r="AB1002" i="1"/>
  <c r="AA1002" i="1"/>
  <c r="Z1002" i="1"/>
  <c r="Y1002" i="1"/>
  <c r="X1002" i="1"/>
  <c r="W1002" i="1"/>
  <c r="V1002" i="1"/>
  <c r="U1002" i="1"/>
  <c r="T1002" i="1"/>
  <c r="S1002" i="1"/>
  <c r="R1002" i="1"/>
  <c r="Q1002" i="1"/>
  <c r="P1002" i="1"/>
  <c r="O1002" i="1"/>
  <c r="N1002" i="1"/>
  <c r="M1002" i="1"/>
  <c r="L1002" i="1"/>
  <c r="K1002" i="1"/>
  <c r="F1002" i="1"/>
  <c r="E1002" i="1"/>
  <c r="D1002" i="1"/>
  <c r="C1002" i="1"/>
  <c r="BG1001" i="1"/>
  <c r="BF1001" i="1"/>
  <c r="BE1001" i="1"/>
  <c r="BD1001" i="1"/>
  <c r="BC1001" i="1"/>
  <c r="BB1001" i="1"/>
  <c r="BA1001" i="1"/>
  <c r="AZ1001" i="1"/>
  <c r="AY1001" i="1"/>
  <c r="AX1001" i="1"/>
  <c r="AW1001" i="1"/>
  <c r="AV1001" i="1"/>
  <c r="AU1001" i="1"/>
  <c r="AT1001" i="1"/>
  <c r="AS1001" i="1"/>
  <c r="AR1001" i="1"/>
  <c r="AQ1001" i="1"/>
  <c r="AP1001" i="1"/>
  <c r="AO1001" i="1"/>
  <c r="AN1001" i="1"/>
  <c r="AM1001" i="1"/>
  <c r="AL1001" i="1"/>
  <c r="AK1001" i="1"/>
  <c r="AJ1001" i="1"/>
  <c r="AI1001" i="1"/>
  <c r="AH1001" i="1"/>
  <c r="AG1001" i="1"/>
  <c r="AF1001" i="1"/>
  <c r="AE1001" i="1"/>
  <c r="AD1001" i="1"/>
  <c r="AC1001" i="1"/>
  <c r="AB1001" i="1"/>
  <c r="AA1001" i="1"/>
  <c r="Z1001" i="1"/>
  <c r="Y1001" i="1"/>
  <c r="X1001" i="1"/>
  <c r="W1001" i="1"/>
  <c r="V1001" i="1"/>
  <c r="U1001" i="1"/>
  <c r="T1001" i="1"/>
  <c r="S1001" i="1"/>
  <c r="R1001" i="1"/>
  <c r="Q1001" i="1"/>
  <c r="P1001" i="1"/>
  <c r="O1001" i="1"/>
  <c r="N1001" i="1"/>
  <c r="M1001" i="1"/>
  <c r="L1001" i="1"/>
  <c r="K1001" i="1"/>
  <c r="F1001" i="1"/>
  <c r="E1001" i="1"/>
  <c r="D1001" i="1"/>
  <c r="C1001" i="1"/>
  <c r="BG1000" i="1"/>
  <c r="BF1000" i="1"/>
  <c r="BE1000" i="1"/>
  <c r="BD1000" i="1"/>
  <c r="BC1000" i="1"/>
  <c r="BB1000" i="1"/>
  <c r="BA1000" i="1"/>
  <c r="AZ1000" i="1"/>
  <c r="AY1000" i="1"/>
  <c r="AX1000" i="1"/>
  <c r="AW1000" i="1"/>
  <c r="AV1000" i="1"/>
  <c r="AU1000" i="1"/>
  <c r="AT1000" i="1"/>
  <c r="AS1000" i="1"/>
  <c r="AR1000" i="1"/>
  <c r="AQ1000" i="1"/>
  <c r="AP1000" i="1"/>
  <c r="AO1000" i="1"/>
  <c r="AN1000" i="1"/>
  <c r="AM1000" i="1"/>
  <c r="AL1000" i="1"/>
  <c r="AK1000" i="1"/>
  <c r="AJ1000" i="1"/>
  <c r="AI1000" i="1"/>
  <c r="AH1000" i="1"/>
  <c r="AG1000" i="1"/>
  <c r="AF1000" i="1"/>
  <c r="AE1000" i="1"/>
  <c r="AD1000" i="1"/>
  <c r="AC1000" i="1"/>
  <c r="AB1000" i="1"/>
  <c r="AA1000" i="1"/>
  <c r="Z1000" i="1"/>
  <c r="Y1000" i="1"/>
  <c r="X1000" i="1"/>
  <c r="W1000" i="1"/>
  <c r="V1000" i="1"/>
  <c r="U1000" i="1"/>
  <c r="T1000" i="1"/>
  <c r="S1000" i="1"/>
  <c r="R1000" i="1"/>
  <c r="Q1000" i="1"/>
  <c r="P1000" i="1"/>
  <c r="O1000" i="1"/>
  <c r="N1000" i="1"/>
  <c r="M1000" i="1"/>
  <c r="L1000" i="1"/>
  <c r="K1000" i="1"/>
  <c r="F1000" i="1"/>
  <c r="E1000" i="1"/>
  <c r="D1000" i="1"/>
  <c r="C1000" i="1"/>
  <c r="AY997" i="1"/>
  <c r="AX997" i="1"/>
  <c r="AW997" i="1"/>
  <c r="AV997" i="1"/>
  <c r="AU997" i="1"/>
  <c r="AT997" i="1"/>
  <c r="AS997" i="1"/>
  <c r="AR997" i="1"/>
  <c r="AQ997" i="1"/>
  <c r="AP997" i="1"/>
  <c r="AO997" i="1"/>
  <c r="AN997" i="1"/>
  <c r="AM997" i="1"/>
  <c r="AL997" i="1"/>
  <c r="AK997" i="1"/>
  <c r="AJ997" i="1"/>
  <c r="AI997" i="1"/>
  <c r="AH997" i="1"/>
  <c r="AG997" i="1"/>
  <c r="AF997" i="1"/>
  <c r="AE997" i="1"/>
  <c r="AD997" i="1"/>
  <c r="AC997" i="1"/>
  <c r="AB997" i="1"/>
  <c r="AA997" i="1"/>
  <c r="Z997" i="1"/>
  <c r="Y997" i="1"/>
  <c r="X997" i="1"/>
  <c r="W997" i="1"/>
  <c r="V997" i="1"/>
  <c r="U997" i="1"/>
  <c r="T997" i="1"/>
  <c r="S997" i="1"/>
  <c r="R997" i="1"/>
  <c r="Q997" i="1"/>
  <c r="P997" i="1"/>
  <c r="O997" i="1"/>
  <c r="N997" i="1"/>
  <c r="M997" i="1"/>
  <c r="L997" i="1"/>
  <c r="K997" i="1"/>
  <c r="J997" i="1"/>
  <c r="I997" i="1"/>
  <c r="H997" i="1"/>
  <c r="G997" i="1"/>
  <c r="F997" i="1"/>
  <c r="E997" i="1"/>
  <c r="D997" i="1"/>
  <c r="C997" i="1"/>
  <c r="AY995" i="1"/>
  <c r="AX995" i="1"/>
  <c r="AW995" i="1"/>
  <c r="AV995" i="1"/>
  <c r="AU995" i="1"/>
  <c r="AT995" i="1"/>
  <c r="AS995" i="1"/>
  <c r="AR995" i="1"/>
  <c r="AQ995" i="1"/>
  <c r="AP995" i="1"/>
  <c r="AO995" i="1"/>
  <c r="AN995" i="1"/>
  <c r="AM995" i="1"/>
  <c r="AL995" i="1"/>
  <c r="AK995" i="1"/>
  <c r="AJ995" i="1"/>
  <c r="AI995" i="1"/>
  <c r="AH995" i="1"/>
  <c r="AG995" i="1"/>
  <c r="AF995" i="1"/>
  <c r="AE995" i="1"/>
  <c r="AD995" i="1"/>
  <c r="AC995" i="1"/>
  <c r="AB995" i="1"/>
  <c r="AA995" i="1"/>
  <c r="Z995" i="1"/>
  <c r="Y995" i="1"/>
  <c r="X995" i="1"/>
  <c r="W995" i="1"/>
  <c r="V995" i="1"/>
  <c r="U995" i="1"/>
  <c r="T995" i="1"/>
  <c r="S995" i="1"/>
  <c r="R995" i="1"/>
  <c r="Q995" i="1"/>
  <c r="P995" i="1"/>
  <c r="O995" i="1"/>
  <c r="N995" i="1"/>
  <c r="M995" i="1"/>
  <c r="L995" i="1"/>
  <c r="K995" i="1"/>
  <c r="J995" i="1"/>
  <c r="I995" i="1"/>
  <c r="H995" i="1"/>
  <c r="G995" i="1"/>
  <c r="F995" i="1"/>
  <c r="E995" i="1"/>
  <c r="D995" i="1"/>
  <c r="C995" i="1"/>
  <c r="A995" i="1"/>
  <c r="BD994" i="1"/>
  <c r="AZ994" i="1"/>
  <c r="AY994" i="1"/>
  <c r="AX994" i="1"/>
  <c r="AW994" i="1"/>
  <c r="AV994" i="1"/>
  <c r="AU994" i="1"/>
  <c r="AT994" i="1"/>
  <c r="AS994" i="1"/>
  <c r="AR994" i="1"/>
  <c r="AQ994" i="1"/>
  <c r="AP994" i="1"/>
  <c r="AO994" i="1"/>
  <c r="AN994" i="1"/>
  <c r="AM994" i="1"/>
  <c r="AL994" i="1"/>
  <c r="AK994" i="1"/>
  <c r="AJ994" i="1"/>
  <c r="AI994" i="1"/>
  <c r="AH994" i="1"/>
  <c r="AG994" i="1"/>
  <c r="AF994" i="1"/>
  <c r="AE994" i="1"/>
  <c r="AD994" i="1"/>
  <c r="AC994" i="1"/>
  <c r="AB994" i="1"/>
  <c r="AA994" i="1"/>
  <c r="Z994" i="1"/>
  <c r="Y994" i="1"/>
  <c r="X994" i="1"/>
  <c r="W994" i="1"/>
  <c r="V994" i="1"/>
  <c r="U994" i="1"/>
  <c r="T994" i="1"/>
  <c r="S994" i="1"/>
  <c r="R994" i="1"/>
  <c r="Q994" i="1"/>
  <c r="P994" i="1"/>
  <c r="O994" i="1"/>
  <c r="N994" i="1"/>
  <c r="M994" i="1"/>
  <c r="L994" i="1"/>
  <c r="K994" i="1"/>
  <c r="J994" i="1"/>
  <c r="I994" i="1"/>
  <c r="H994" i="1"/>
  <c r="G994" i="1"/>
  <c r="F994" i="1"/>
  <c r="E994" i="1"/>
  <c r="D994" i="1"/>
  <c r="C994" i="1"/>
  <c r="A994" i="1"/>
  <c r="AY992" i="1"/>
  <c r="AX992" i="1"/>
  <c r="AW992" i="1"/>
  <c r="AV992" i="1"/>
  <c r="AU992" i="1"/>
  <c r="AT992" i="1"/>
  <c r="AS992" i="1"/>
  <c r="AR992" i="1"/>
  <c r="AQ992" i="1"/>
  <c r="AP992" i="1"/>
  <c r="AO992" i="1"/>
  <c r="AN992" i="1"/>
  <c r="AM992" i="1"/>
  <c r="AL992" i="1"/>
  <c r="AK992" i="1"/>
  <c r="AJ992" i="1"/>
  <c r="AI992" i="1"/>
  <c r="AH992" i="1"/>
  <c r="AG992" i="1"/>
  <c r="AF992" i="1"/>
  <c r="AE992" i="1"/>
  <c r="AD992" i="1"/>
  <c r="AC992" i="1"/>
  <c r="AB992" i="1"/>
  <c r="AA992" i="1"/>
  <c r="Z992" i="1"/>
  <c r="Y992" i="1"/>
  <c r="X992" i="1"/>
  <c r="W992" i="1"/>
  <c r="V992" i="1"/>
  <c r="U992" i="1"/>
  <c r="T992" i="1"/>
  <c r="S992" i="1"/>
  <c r="R992" i="1"/>
  <c r="Q992" i="1"/>
  <c r="P992" i="1"/>
  <c r="O992" i="1"/>
  <c r="N992" i="1"/>
  <c r="M992" i="1"/>
  <c r="L992" i="1"/>
  <c r="K992" i="1"/>
  <c r="J992" i="1"/>
  <c r="I992" i="1"/>
  <c r="H992" i="1"/>
  <c r="G992" i="1"/>
  <c r="F992" i="1"/>
  <c r="E992" i="1"/>
  <c r="D992" i="1"/>
  <c r="C992" i="1"/>
  <c r="A992" i="1"/>
  <c r="BD991" i="1"/>
  <c r="AY991" i="1"/>
  <c r="AU991" i="1"/>
  <c r="AT991" i="1"/>
  <c r="AS991" i="1"/>
  <c r="AR991" i="1"/>
  <c r="AQ991" i="1"/>
  <c r="AP991" i="1"/>
  <c r="AO991" i="1"/>
  <c r="AN991" i="1"/>
  <c r="AM991" i="1"/>
  <c r="AL991" i="1"/>
  <c r="AK991" i="1"/>
  <c r="AJ991" i="1"/>
  <c r="AI991" i="1"/>
  <c r="AH991" i="1"/>
  <c r="AG991" i="1"/>
  <c r="AF991" i="1"/>
  <c r="AE991" i="1"/>
  <c r="AD991" i="1"/>
  <c r="AC991" i="1"/>
  <c r="AB991" i="1"/>
  <c r="AA991" i="1"/>
  <c r="Z991" i="1"/>
  <c r="Y991" i="1"/>
  <c r="X991" i="1"/>
  <c r="W991" i="1"/>
  <c r="V991" i="1"/>
  <c r="U991" i="1"/>
  <c r="T991" i="1"/>
  <c r="S991" i="1"/>
  <c r="R991" i="1"/>
  <c r="Q991" i="1"/>
  <c r="P991" i="1"/>
  <c r="O991" i="1"/>
  <c r="N991" i="1"/>
  <c r="M991" i="1"/>
  <c r="L991" i="1"/>
  <c r="K991" i="1"/>
  <c r="J991" i="1"/>
  <c r="I991" i="1"/>
  <c r="H991" i="1"/>
  <c r="G991" i="1"/>
  <c r="F991" i="1"/>
  <c r="E991" i="1"/>
  <c r="D991" i="1"/>
  <c r="C991" i="1"/>
  <c r="A991" i="1"/>
  <c r="BD989" i="1"/>
  <c r="AY989" i="1"/>
  <c r="AX989" i="1"/>
  <c r="AW989" i="1"/>
  <c r="AV989" i="1"/>
  <c r="AU989" i="1"/>
  <c r="AT989" i="1"/>
  <c r="AS989" i="1"/>
  <c r="AR989" i="1"/>
  <c r="AQ989" i="1"/>
  <c r="AP989" i="1"/>
  <c r="AO989" i="1"/>
  <c r="AN989" i="1"/>
  <c r="AM989" i="1"/>
  <c r="AL989" i="1"/>
  <c r="AK989" i="1"/>
  <c r="AJ989" i="1"/>
  <c r="AI989" i="1"/>
  <c r="AH989" i="1"/>
  <c r="AG989" i="1"/>
  <c r="AF989" i="1"/>
  <c r="AE989" i="1"/>
  <c r="AD989" i="1"/>
  <c r="AC989" i="1"/>
  <c r="AB989" i="1"/>
  <c r="AA989" i="1"/>
  <c r="Z989" i="1"/>
  <c r="Y989" i="1"/>
  <c r="X989" i="1"/>
  <c r="W989" i="1"/>
  <c r="V989" i="1"/>
  <c r="U989" i="1"/>
  <c r="T989" i="1"/>
  <c r="S989" i="1"/>
  <c r="R989" i="1"/>
  <c r="Q989" i="1"/>
  <c r="P989" i="1"/>
  <c r="O989" i="1"/>
  <c r="N989" i="1"/>
  <c r="M989" i="1"/>
  <c r="L989" i="1"/>
  <c r="K989" i="1"/>
  <c r="J989" i="1"/>
  <c r="I989" i="1"/>
  <c r="H989" i="1"/>
  <c r="G989" i="1"/>
  <c r="F989" i="1"/>
  <c r="E989" i="1"/>
  <c r="D989" i="1"/>
  <c r="C989" i="1"/>
  <c r="A989" i="1"/>
  <c r="BD988" i="1"/>
  <c r="AY988" i="1"/>
  <c r="AU988" i="1"/>
  <c r="AT988" i="1"/>
  <c r="AS988" i="1"/>
  <c r="AR988" i="1"/>
  <c r="AQ988" i="1"/>
  <c r="AP988" i="1"/>
  <c r="AO988" i="1"/>
  <c r="AN988" i="1"/>
  <c r="AM988" i="1"/>
  <c r="AL988" i="1"/>
  <c r="AK988" i="1"/>
  <c r="AJ988" i="1"/>
  <c r="AI988" i="1"/>
  <c r="AH988" i="1"/>
  <c r="AG988" i="1"/>
  <c r="AF988" i="1"/>
  <c r="AE988" i="1"/>
  <c r="AD988" i="1"/>
  <c r="AC988" i="1"/>
  <c r="AB988" i="1"/>
  <c r="AA988" i="1"/>
  <c r="Z988" i="1"/>
  <c r="Y988" i="1"/>
  <c r="X988" i="1"/>
  <c r="W988" i="1"/>
  <c r="V988" i="1"/>
  <c r="U988" i="1"/>
  <c r="T988" i="1"/>
  <c r="S988" i="1"/>
  <c r="R988" i="1"/>
  <c r="Q988" i="1"/>
  <c r="P988" i="1"/>
  <c r="O988" i="1"/>
  <c r="N988" i="1"/>
  <c r="M988" i="1"/>
  <c r="L988" i="1"/>
  <c r="K988" i="1"/>
  <c r="J988" i="1"/>
  <c r="I988" i="1"/>
  <c r="H988" i="1"/>
  <c r="G988" i="1"/>
  <c r="F988" i="1"/>
  <c r="E988" i="1"/>
  <c r="D988" i="1"/>
  <c r="C988" i="1"/>
  <c r="A988" i="1"/>
  <c r="BD987" i="1"/>
  <c r="AY987" i="1"/>
  <c r="AU987" i="1"/>
  <c r="AT987" i="1"/>
  <c r="AS987" i="1"/>
  <c r="AR987" i="1"/>
  <c r="AQ987" i="1"/>
  <c r="AP987" i="1"/>
  <c r="AO987" i="1"/>
  <c r="AN987" i="1"/>
  <c r="AM987" i="1"/>
  <c r="AL987" i="1"/>
  <c r="AK987" i="1"/>
  <c r="AJ987" i="1"/>
  <c r="AI987" i="1"/>
  <c r="AH987" i="1"/>
  <c r="AG987" i="1"/>
  <c r="AF987" i="1"/>
  <c r="AE987" i="1"/>
  <c r="AD987" i="1"/>
  <c r="AC987" i="1"/>
  <c r="AB987" i="1"/>
  <c r="AA987" i="1"/>
  <c r="Z987" i="1"/>
  <c r="Y987" i="1"/>
  <c r="X987" i="1"/>
  <c r="W987" i="1"/>
  <c r="V987" i="1"/>
  <c r="U987" i="1"/>
  <c r="T987" i="1"/>
  <c r="S987" i="1"/>
  <c r="R987" i="1"/>
  <c r="Q987" i="1"/>
  <c r="P987" i="1"/>
  <c r="O987" i="1"/>
  <c r="N987" i="1"/>
  <c r="M987" i="1"/>
  <c r="L987" i="1"/>
  <c r="K987" i="1"/>
  <c r="J987" i="1"/>
  <c r="I987" i="1"/>
  <c r="H987" i="1"/>
  <c r="G987" i="1"/>
  <c r="F987" i="1"/>
  <c r="E987" i="1"/>
  <c r="D987" i="1"/>
  <c r="C987" i="1"/>
  <c r="A987" i="1"/>
  <c r="BD986" i="1"/>
  <c r="AY986" i="1"/>
  <c r="AU986" i="1"/>
  <c r="AT986" i="1"/>
  <c r="AS986" i="1"/>
  <c r="AR986" i="1"/>
  <c r="AQ986" i="1"/>
  <c r="AP986" i="1"/>
  <c r="AO986" i="1"/>
  <c r="AN986" i="1"/>
  <c r="AM986" i="1"/>
  <c r="AL986" i="1"/>
  <c r="AK986" i="1"/>
  <c r="AJ986" i="1"/>
  <c r="AI986" i="1"/>
  <c r="AH986" i="1"/>
  <c r="AG986" i="1"/>
  <c r="AF986" i="1"/>
  <c r="AE986" i="1"/>
  <c r="AD986" i="1"/>
  <c r="AC986" i="1"/>
  <c r="AB986" i="1"/>
  <c r="AA986" i="1"/>
  <c r="Z986" i="1"/>
  <c r="Y986" i="1"/>
  <c r="X986" i="1"/>
  <c r="W986" i="1"/>
  <c r="V986" i="1"/>
  <c r="U986" i="1"/>
  <c r="T986" i="1"/>
  <c r="S986" i="1"/>
  <c r="R986" i="1"/>
  <c r="Q986" i="1"/>
  <c r="P986" i="1"/>
  <c r="O986" i="1"/>
  <c r="N986" i="1"/>
  <c r="M986" i="1"/>
  <c r="L986" i="1"/>
  <c r="K986" i="1"/>
  <c r="J986" i="1"/>
  <c r="I986" i="1"/>
  <c r="H986" i="1"/>
  <c r="G986" i="1"/>
  <c r="F986" i="1"/>
  <c r="E986" i="1"/>
  <c r="D986" i="1"/>
  <c r="C986" i="1"/>
  <c r="A986" i="1"/>
  <c r="BD985" i="1"/>
  <c r="AY985" i="1"/>
  <c r="AU985" i="1"/>
  <c r="AT985" i="1"/>
  <c r="AS985" i="1"/>
  <c r="AR985" i="1"/>
  <c r="AQ985" i="1"/>
  <c r="AP985" i="1"/>
  <c r="AO985" i="1"/>
  <c r="AN985" i="1"/>
  <c r="AM985" i="1"/>
  <c r="AL985" i="1"/>
  <c r="AK985" i="1"/>
  <c r="AJ985" i="1"/>
  <c r="AI985" i="1"/>
  <c r="AH985" i="1"/>
  <c r="AG985" i="1"/>
  <c r="AF985" i="1"/>
  <c r="AE985" i="1"/>
  <c r="AD985" i="1"/>
  <c r="AC985" i="1"/>
  <c r="AB985" i="1"/>
  <c r="AA985" i="1"/>
  <c r="Z985" i="1"/>
  <c r="Y985" i="1"/>
  <c r="X985" i="1"/>
  <c r="W985" i="1"/>
  <c r="V985" i="1"/>
  <c r="U985" i="1"/>
  <c r="T985" i="1"/>
  <c r="S985" i="1"/>
  <c r="R985" i="1"/>
  <c r="Q985" i="1"/>
  <c r="P985" i="1"/>
  <c r="O985" i="1"/>
  <c r="N985" i="1"/>
  <c r="M985" i="1"/>
  <c r="L985" i="1"/>
  <c r="K985" i="1"/>
  <c r="J985" i="1"/>
  <c r="I985" i="1"/>
  <c r="H985" i="1"/>
  <c r="G985" i="1"/>
  <c r="F985" i="1"/>
  <c r="E985" i="1"/>
  <c r="D985" i="1"/>
  <c r="C985" i="1"/>
  <c r="A985" i="1"/>
  <c r="BD984" i="1"/>
  <c r="AY984" i="1"/>
  <c r="AU984" i="1"/>
  <c r="AT984" i="1"/>
  <c r="AS984" i="1"/>
  <c r="AR984" i="1"/>
  <c r="AQ984" i="1"/>
  <c r="AP984" i="1"/>
  <c r="AO984" i="1"/>
  <c r="AN984" i="1"/>
  <c r="AM984" i="1"/>
  <c r="AL984" i="1"/>
  <c r="AK984" i="1"/>
  <c r="AJ984" i="1"/>
  <c r="AI984" i="1"/>
  <c r="AH984" i="1"/>
  <c r="AG984" i="1"/>
  <c r="AF984" i="1"/>
  <c r="AE984" i="1"/>
  <c r="AD984" i="1"/>
  <c r="AC984" i="1"/>
  <c r="AB984" i="1"/>
  <c r="AA984" i="1"/>
  <c r="Z984" i="1"/>
  <c r="Y984" i="1"/>
  <c r="X984" i="1"/>
  <c r="W984" i="1"/>
  <c r="V984" i="1"/>
  <c r="U984" i="1"/>
  <c r="T984" i="1"/>
  <c r="S984" i="1"/>
  <c r="R984" i="1"/>
  <c r="Q984" i="1"/>
  <c r="P984" i="1"/>
  <c r="O984" i="1"/>
  <c r="N984" i="1"/>
  <c r="M984" i="1"/>
  <c r="L984" i="1"/>
  <c r="K984" i="1"/>
  <c r="J984" i="1"/>
  <c r="I984" i="1"/>
  <c r="H984" i="1"/>
  <c r="G984" i="1"/>
  <c r="F984" i="1"/>
  <c r="E984" i="1"/>
  <c r="D984" i="1"/>
  <c r="C984" i="1"/>
  <c r="A984" i="1"/>
  <c r="BG983" i="1"/>
  <c r="BF983" i="1"/>
  <c r="BE983" i="1"/>
  <c r="BD983" i="1"/>
  <c r="BC983" i="1"/>
  <c r="BB983" i="1"/>
  <c r="BA983" i="1"/>
  <c r="AZ983" i="1"/>
  <c r="AY983" i="1"/>
  <c r="AX983" i="1"/>
  <c r="AW983" i="1"/>
  <c r="AV983" i="1"/>
  <c r="AU983" i="1"/>
  <c r="AT983" i="1"/>
  <c r="AS983" i="1"/>
  <c r="AR983" i="1"/>
  <c r="AQ983" i="1"/>
  <c r="AP983" i="1"/>
  <c r="AO983" i="1"/>
  <c r="AN983" i="1"/>
  <c r="AM983" i="1"/>
  <c r="AL983" i="1"/>
  <c r="AK983" i="1"/>
  <c r="AJ983" i="1"/>
  <c r="AI983" i="1"/>
  <c r="AH983" i="1"/>
  <c r="AG983" i="1"/>
  <c r="AF983" i="1"/>
  <c r="AE983" i="1"/>
  <c r="AD983" i="1"/>
  <c r="AC983" i="1"/>
  <c r="AB983" i="1"/>
  <c r="AA983" i="1"/>
  <c r="Z983" i="1"/>
  <c r="Y983" i="1"/>
  <c r="X983" i="1"/>
  <c r="W983" i="1"/>
  <c r="V983" i="1"/>
  <c r="U983" i="1"/>
  <c r="T983" i="1"/>
  <c r="S983" i="1"/>
  <c r="R983" i="1"/>
  <c r="Q983" i="1"/>
  <c r="P983" i="1"/>
  <c r="O983" i="1"/>
  <c r="N983" i="1"/>
  <c r="M983" i="1"/>
  <c r="L983" i="1"/>
  <c r="K983" i="1"/>
  <c r="J983" i="1"/>
  <c r="I983" i="1"/>
  <c r="H983" i="1"/>
  <c r="G983" i="1"/>
  <c r="F983" i="1"/>
  <c r="E983" i="1"/>
  <c r="D983" i="1"/>
  <c r="C983" i="1"/>
  <c r="A983" i="1"/>
  <c r="BD982" i="1"/>
  <c r="AY982" i="1"/>
  <c r="AU982" i="1"/>
  <c r="AT982" i="1"/>
  <c r="AS982" i="1"/>
  <c r="AR982" i="1"/>
  <c r="AQ982" i="1"/>
  <c r="AP982" i="1"/>
  <c r="AO982" i="1"/>
  <c r="AN982" i="1"/>
  <c r="AM982" i="1"/>
  <c r="AL982" i="1"/>
  <c r="AK982" i="1"/>
  <c r="AJ982" i="1"/>
  <c r="AI982" i="1"/>
  <c r="AH982" i="1"/>
  <c r="AG982" i="1"/>
  <c r="AF982" i="1"/>
  <c r="AE982" i="1"/>
  <c r="AD982" i="1"/>
  <c r="AC982" i="1"/>
  <c r="AB982" i="1"/>
  <c r="AA982" i="1"/>
  <c r="Z982" i="1"/>
  <c r="Y982" i="1"/>
  <c r="X982" i="1"/>
  <c r="W982" i="1"/>
  <c r="V982" i="1"/>
  <c r="U982" i="1"/>
  <c r="T982" i="1"/>
  <c r="S982" i="1"/>
  <c r="R982" i="1"/>
  <c r="Q982" i="1"/>
  <c r="P982" i="1"/>
  <c r="O982" i="1"/>
  <c r="N982" i="1"/>
  <c r="M982" i="1"/>
  <c r="L982" i="1"/>
  <c r="K982" i="1"/>
  <c r="J982" i="1"/>
  <c r="I982" i="1"/>
  <c r="H982" i="1"/>
  <c r="G982" i="1"/>
  <c r="F982" i="1"/>
  <c r="E982" i="1"/>
  <c r="D982" i="1"/>
  <c r="C982" i="1"/>
  <c r="A982" i="1"/>
  <c r="BG981" i="1"/>
  <c r="BF981" i="1"/>
  <c r="BE981" i="1"/>
  <c r="BD981" i="1"/>
  <c r="BC981" i="1"/>
  <c r="BB981" i="1"/>
  <c r="BA981" i="1"/>
  <c r="AZ981" i="1"/>
  <c r="AY981" i="1"/>
  <c r="AX981" i="1"/>
  <c r="AW981" i="1"/>
  <c r="AV981" i="1"/>
  <c r="AU981" i="1"/>
  <c r="AT981" i="1"/>
  <c r="AS981" i="1"/>
  <c r="AR981" i="1"/>
  <c r="AQ981" i="1"/>
  <c r="AP981" i="1"/>
  <c r="AO981" i="1"/>
  <c r="AN981" i="1"/>
  <c r="AM981" i="1"/>
  <c r="AL981" i="1"/>
  <c r="AK981" i="1"/>
  <c r="AJ981" i="1"/>
  <c r="AI981" i="1"/>
  <c r="AH981" i="1"/>
  <c r="AG981" i="1"/>
  <c r="AF981" i="1"/>
  <c r="AE981" i="1"/>
  <c r="AD981" i="1"/>
  <c r="AC981" i="1"/>
  <c r="AB981" i="1"/>
  <c r="AA981" i="1"/>
  <c r="Z981" i="1"/>
  <c r="Y981" i="1"/>
  <c r="X981" i="1"/>
  <c r="W981" i="1"/>
  <c r="V981" i="1"/>
  <c r="U981" i="1"/>
  <c r="T981" i="1"/>
  <c r="S981" i="1"/>
  <c r="R981" i="1"/>
  <c r="Q981" i="1"/>
  <c r="P981" i="1"/>
  <c r="O981" i="1"/>
  <c r="N981" i="1"/>
  <c r="M981" i="1"/>
  <c r="L981" i="1"/>
  <c r="K981" i="1"/>
  <c r="J981" i="1"/>
  <c r="I981" i="1"/>
  <c r="H981" i="1"/>
  <c r="G981" i="1"/>
  <c r="F981" i="1"/>
  <c r="E981" i="1"/>
  <c r="D981" i="1"/>
  <c r="C981" i="1"/>
  <c r="A981" i="1"/>
  <c r="BD980" i="1"/>
  <c r="AY980" i="1"/>
  <c r="AU980" i="1"/>
  <c r="AT980" i="1"/>
  <c r="AS980" i="1"/>
  <c r="AR980" i="1"/>
  <c r="AQ980" i="1"/>
  <c r="AP980" i="1"/>
  <c r="AO980" i="1"/>
  <c r="AN980" i="1"/>
  <c r="AM980" i="1"/>
  <c r="AL980" i="1"/>
  <c r="AK980" i="1"/>
  <c r="AJ980" i="1"/>
  <c r="AI980" i="1"/>
  <c r="AH980" i="1"/>
  <c r="AG980" i="1"/>
  <c r="AF980" i="1"/>
  <c r="AE980" i="1"/>
  <c r="AD980" i="1"/>
  <c r="AC980" i="1"/>
  <c r="AB980" i="1"/>
  <c r="AA980" i="1"/>
  <c r="Z980" i="1"/>
  <c r="Y980" i="1"/>
  <c r="X980" i="1"/>
  <c r="W980" i="1"/>
  <c r="V980" i="1"/>
  <c r="U980" i="1"/>
  <c r="T980" i="1"/>
  <c r="S980" i="1"/>
  <c r="R980" i="1"/>
  <c r="Q980" i="1"/>
  <c r="P980" i="1"/>
  <c r="O980" i="1"/>
  <c r="N980" i="1"/>
  <c r="M980" i="1"/>
  <c r="L980" i="1"/>
  <c r="K980" i="1"/>
  <c r="J980" i="1"/>
  <c r="I980" i="1"/>
  <c r="H980" i="1"/>
  <c r="G980" i="1"/>
  <c r="F980" i="1"/>
  <c r="E980" i="1"/>
  <c r="D980" i="1"/>
  <c r="C980" i="1"/>
  <c r="A980" i="1"/>
  <c r="A979" i="1"/>
  <c r="AY977" i="1"/>
  <c r="AX977" i="1"/>
  <c r="AW977" i="1"/>
  <c r="AV977" i="1"/>
  <c r="AU977" i="1"/>
  <c r="AT977" i="1"/>
  <c r="AS977" i="1"/>
  <c r="AR977" i="1"/>
  <c r="AQ977" i="1"/>
  <c r="AP977" i="1"/>
  <c r="AO977" i="1"/>
  <c r="AN977" i="1"/>
  <c r="AM977" i="1"/>
  <c r="AL977" i="1"/>
  <c r="AK977" i="1"/>
  <c r="AJ977" i="1"/>
  <c r="AI977" i="1"/>
  <c r="AH977" i="1"/>
  <c r="AG977" i="1"/>
  <c r="AF977" i="1"/>
  <c r="AE977" i="1"/>
  <c r="AD977" i="1"/>
  <c r="AC977" i="1"/>
  <c r="AB977" i="1"/>
  <c r="AA977" i="1"/>
  <c r="Z977" i="1"/>
  <c r="Y977" i="1"/>
  <c r="X977" i="1"/>
  <c r="W977" i="1"/>
  <c r="V977" i="1"/>
  <c r="U977" i="1"/>
  <c r="T977" i="1"/>
  <c r="S977" i="1"/>
  <c r="R977" i="1"/>
  <c r="Q977" i="1"/>
  <c r="P977" i="1"/>
  <c r="O977" i="1"/>
  <c r="N977" i="1"/>
  <c r="M977" i="1"/>
  <c r="L977" i="1"/>
  <c r="K977" i="1"/>
  <c r="J977" i="1"/>
  <c r="I977" i="1"/>
  <c r="H977" i="1"/>
  <c r="G977" i="1"/>
  <c r="F977" i="1"/>
  <c r="E977" i="1"/>
  <c r="D977" i="1"/>
  <c r="C977" i="1"/>
  <c r="A977" i="1"/>
  <c r="BD976" i="1"/>
  <c r="AY976" i="1"/>
  <c r="AU976" i="1"/>
  <c r="AT976" i="1"/>
  <c r="AS976" i="1"/>
  <c r="AR976" i="1"/>
  <c r="AQ976" i="1"/>
  <c r="AP976" i="1"/>
  <c r="AO976" i="1"/>
  <c r="AN976" i="1"/>
  <c r="AM976" i="1"/>
  <c r="AL976" i="1"/>
  <c r="AK976" i="1"/>
  <c r="AJ976" i="1"/>
  <c r="AI976" i="1"/>
  <c r="AH976" i="1"/>
  <c r="AG976" i="1"/>
  <c r="AF976" i="1"/>
  <c r="AE976" i="1"/>
  <c r="AD976" i="1"/>
  <c r="AC976" i="1"/>
  <c r="AB976" i="1"/>
  <c r="AA976" i="1"/>
  <c r="Z976" i="1"/>
  <c r="Y976" i="1"/>
  <c r="X976" i="1"/>
  <c r="W976" i="1"/>
  <c r="V976" i="1"/>
  <c r="U976" i="1"/>
  <c r="T976" i="1"/>
  <c r="S976" i="1"/>
  <c r="R976" i="1"/>
  <c r="Q976" i="1"/>
  <c r="P976" i="1"/>
  <c r="O976" i="1"/>
  <c r="N976" i="1"/>
  <c r="M976" i="1"/>
  <c r="L976" i="1"/>
  <c r="K976" i="1"/>
  <c r="J976" i="1"/>
  <c r="I976" i="1"/>
  <c r="H976" i="1"/>
  <c r="G976" i="1"/>
  <c r="F976" i="1"/>
  <c r="E976" i="1"/>
  <c r="D976" i="1"/>
  <c r="C976" i="1"/>
  <c r="A976" i="1"/>
  <c r="BG975" i="1"/>
  <c r="BF975" i="1"/>
  <c r="BE975" i="1"/>
  <c r="BD975" i="1"/>
  <c r="BC975" i="1"/>
  <c r="BB975" i="1"/>
  <c r="BA975" i="1"/>
  <c r="AZ975" i="1"/>
  <c r="AY975" i="1"/>
  <c r="AX975" i="1"/>
  <c r="AW975" i="1"/>
  <c r="AV975" i="1"/>
  <c r="AU975" i="1"/>
  <c r="AT975" i="1"/>
  <c r="AS975" i="1"/>
  <c r="AR975" i="1"/>
  <c r="AQ975" i="1"/>
  <c r="AP975" i="1"/>
  <c r="AO975" i="1"/>
  <c r="AN975" i="1"/>
  <c r="AM975" i="1"/>
  <c r="AL975" i="1"/>
  <c r="AK975" i="1"/>
  <c r="AJ975" i="1"/>
  <c r="AI975" i="1"/>
  <c r="AH975" i="1"/>
  <c r="AG975" i="1"/>
  <c r="AF975" i="1"/>
  <c r="AE975" i="1"/>
  <c r="AD975" i="1"/>
  <c r="AC975" i="1"/>
  <c r="AB975" i="1"/>
  <c r="AA975" i="1"/>
  <c r="Z975" i="1"/>
  <c r="Y975" i="1"/>
  <c r="X975" i="1"/>
  <c r="W975" i="1"/>
  <c r="V975" i="1"/>
  <c r="U975" i="1"/>
  <c r="T975" i="1"/>
  <c r="S975" i="1"/>
  <c r="R975" i="1"/>
  <c r="Q975" i="1"/>
  <c r="P975" i="1"/>
  <c r="O975" i="1"/>
  <c r="N975" i="1"/>
  <c r="M975" i="1"/>
  <c r="L975" i="1"/>
  <c r="K975" i="1"/>
  <c r="J975" i="1"/>
  <c r="I975" i="1"/>
  <c r="H975" i="1"/>
  <c r="G975" i="1"/>
  <c r="F975" i="1"/>
  <c r="E975" i="1"/>
  <c r="D975" i="1"/>
  <c r="C975" i="1"/>
  <c r="A975" i="1"/>
  <c r="BD974" i="1"/>
  <c r="AY974" i="1"/>
  <c r="AU974" i="1"/>
  <c r="AT974" i="1"/>
  <c r="AS974" i="1"/>
  <c r="AR974" i="1"/>
  <c r="AQ974" i="1"/>
  <c r="AP974" i="1"/>
  <c r="AO974" i="1"/>
  <c r="AN974" i="1"/>
  <c r="AM974" i="1"/>
  <c r="AL974" i="1"/>
  <c r="AK974" i="1"/>
  <c r="AJ974" i="1"/>
  <c r="AI974" i="1"/>
  <c r="AH974" i="1"/>
  <c r="AG974" i="1"/>
  <c r="AF974" i="1"/>
  <c r="AE974" i="1"/>
  <c r="AD974" i="1"/>
  <c r="AC974" i="1"/>
  <c r="AB974" i="1"/>
  <c r="AA974" i="1"/>
  <c r="Z974" i="1"/>
  <c r="Y974" i="1"/>
  <c r="X974" i="1"/>
  <c r="W974" i="1"/>
  <c r="V974" i="1"/>
  <c r="U974" i="1"/>
  <c r="T974" i="1"/>
  <c r="S974" i="1"/>
  <c r="R974" i="1"/>
  <c r="Q974" i="1"/>
  <c r="P974" i="1"/>
  <c r="O974" i="1"/>
  <c r="N974" i="1"/>
  <c r="M974" i="1"/>
  <c r="L974" i="1"/>
  <c r="K974" i="1"/>
  <c r="J974" i="1"/>
  <c r="I974" i="1"/>
  <c r="H974" i="1"/>
  <c r="G974" i="1"/>
  <c r="F974" i="1"/>
  <c r="E974" i="1"/>
  <c r="D974" i="1"/>
  <c r="C974" i="1"/>
  <c r="A974" i="1"/>
  <c r="BD973" i="1"/>
  <c r="AY973" i="1"/>
  <c r="AU973" i="1"/>
  <c r="AT973" i="1"/>
  <c r="AS973" i="1"/>
  <c r="AR973" i="1"/>
  <c r="AQ973" i="1"/>
  <c r="AP973" i="1"/>
  <c r="AO973" i="1"/>
  <c r="AN973" i="1"/>
  <c r="AM973" i="1"/>
  <c r="AL973" i="1"/>
  <c r="AK973" i="1"/>
  <c r="AJ973" i="1"/>
  <c r="AI973" i="1"/>
  <c r="AH973" i="1"/>
  <c r="AG973" i="1"/>
  <c r="AF973" i="1"/>
  <c r="AE973" i="1"/>
  <c r="AD973" i="1"/>
  <c r="AC973" i="1"/>
  <c r="AB973" i="1"/>
  <c r="AA973" i="1"/>
  <c r="Z973" i="1"/>
  <c r="Y973" i="1"/>
  <c r="X973" i="1"/>
  <c r="W973" i="1"/>
  <c r="V973" i="1"/>
  <c r="U973" i="1"/>
  <c r="T973" i="1"/>
  <c r="S973" i="1"/>
  <c r="R973" i="1"/>
  <c r="Q973" i="1"/>
  <c r="P973" i="1"/>
  <c r="O973" i="1"/>
  <c r="N973" i="1"/>
  <c r="M973" i="1"/>
  <c r="L973" i="1"/>
  <c r="K973" i="1"/>
  <c r="J973" i="1"/>
  <c r="I973" i="1"/>
  <c r="H973" i="1"/>
  <c r="G973" i="1"/>
  <c r="F973" i="1"/>
  <c r="E973" i="1"/>
  <c r="D973" i="1"/>
  <c r="C973" i="1"/>
  <c r="A973" i="1"/>
  <c r="BD972" i="1"/>
  <c r="AY972" i="1"/>
  <c r="AU972" i="1"/>
  <c r="AT972" i="1"/>
  <c r="AS972" i="1"/>
  <c r="AR972" i="1"/>
  <c r="AQ972" i="1"/>
  <c r="AP972" i="1"/>
  <c r="AO972" i="1"/>
  <c r="AN972" i="1"/>
  <c r="AM972" i="1"/>
  <c r="AL972" i="1"/>
  <c r="AK972" i="1"/>
  <c r="AJ972" i="1"/>
  <c r="AI972" i="1"/>
  <c r="AH972" i="1"/>
  <c r="AG972" i="1"/>
  <c r="AF972" i="1"/>
  <c r="AE972" i="1"/>
  <c r="AD972" i="1"/>
  <c r="AC972" i="1"/>
  <c r="AB972" i="1"/>
  <c r="AA972" i="1"/>
  <c r="Z972" i="1"/>
  <c r="Y972" i="1"/>
  <c r="X972" i="1"/>
  <c r="W972" i="1"/>
  <c r="V972" i="1"/>
  <c r="U972" i="1"/>
  <c r="T972" i="1"/>
  <c r="S972" i="1"/>
  <c r="R972" i="1"/>
  <c r="Q972" i="1"/>
  <c r="P972" i="1"/>
  <c r="O972" i="1"/>
  <c r="N972" i="1"/>
  <c r="M972" i="1"/>
  <c r="L972" i="1"/>
  <c r="K972" i="1"/>
  <c r="J972" i="1"/>
  <c r="I972" i="1"/>
  <c r="H972" i="1"/>
  <c r="G972" i="1"/>
  <c r="F972" i="1"/>
  <c r="E972" i="1"/>
  <c r="D972" i="1"/>
  <c r="C972" i="1"/>
  <c r="A972" i="1"/>
  <c r="BG971" i="1"/>
  <c r="BF971" i="1"/>
  <c r="BE971" i="1"/>
  <c r="BD971" i="1"/>
  <c r="BC971" i="1"/>
  <c r="BB971" i="1"/>
  <c r="BA971" i="1"/>
  <c r="AZ971" i="1"/>
  <c r="AY971" i="1"/>
  <c r="AX971" i="1"/>
  <c r="AW971" i="1"/>
  <c r="AV971" i="1"/>
  <c r="AU971" i="1"/>
  <c r="AT971" i="1"/>
  <c r="AS971" i="1"/>
  <c r="AR971" i="1"/>
  <c r="AQ971" i="1"/>
  <c r="AP971" i="1"/>
  <c r="AO971" i="1"/>
  <c r="AN971" i="1"/>
  <c r="AM971" i="1"/>
  <c r="AL971" i="1"/>
  <c r="AK971" i="1"/>
  <c r="AJ971" i="1"/>
  <c r="AI971" i="1"/>
  <c r="AH971" i="1"/>
  <c r="AG971" i="1"/>
  <c r="AF971" i="1"/>
  <c r="AE971" i="1"/>
  <c r="AD971" i="1"/>
  <c r="AC971" i="1"/>
  <c r="AB971" i="1"/>
  <c r="AA971" i="1"/>
  <c r="Z971" i="1"/>
  <c r="Y971" i="1"/>
  <c r="X971" i="1"/>
  <c r="W971" i="1"/>
  <c r="V971" i="1"/>
  <c r="U971" i="1"/>
  <c r="T971" i="1"/>
  <c r="S971" i="1"/>
  <c r="R971" i="1"/>
  <c r="Q971" i="1"/>
  <c r="P971" i="1"/>
  <c r="O971" i="1"/>
  <c r="N971" i="1"/>
  <c r="M971" i="1"/>
  <c r="L971" i="1"/>
  <c r="K971" i="1"/>
  <c r="J971" i="1"/>
  <c r="I971" i="1"/>
  <c r="H971" i="1"/>
  <c r="G971" i="1"/>
  <c r="F971" i="1"/>
  <c r="E971" i="1"/>
  <c r="D971" i="1"/>
  <c r="C971" i="1"/>
  <c r="A971" i="1"/>
  <c r="BD970" i="1"/>
  <c r="AY970" i="1"/>
  <c r="AU970" i="1"/>
  <c r="AT970" i="1"/>
  <c r="AS970" i="1"/>
  <c r="AR970" i="1"/>
  <c r="AQ970" i="1"/>
  <c r="AP970" i="1"/>
  <c r="AO970" i="1"/>
  <c r="AN970" i="1"/>
  <c r="AM970" i="1"/>
  <c r="AL970" i="1"/>
  <c r="AK970" i="1"/>
  <c r="AJ970" i="1"/>
  <c r="AI970" i="1"/>
  <c r="AH970" i="1"/>
  <c r="AG970" i="1"/>
  <c r="AF970" i="1"/>
  <c r="AE970" i="1"/>
  <c r="AD970" i="1"/>
  <c r="AC970" i="1"/>
  <c r="AB970" i="1"/>
  <c r="AA970" i="1"/>
  <c r="Z970" i="1"/>
  <c r="Y970" i="1"/>
  <c r="X970" i="1"/>
  <c r="W970" i="1"/>
  <c r="V970" i="1"/>
  <c r="U970" i="1"/>
  <c r="T970" i="1"/>
  <c r="S970" i="1"/>
  <c r="R970" i="1"/>
  <c r="Q970" i="1"/>
  <c r="P970" i="1"/>
  <c r="O970" i="1"/>
  <c r="N970" i="1"/>
  <c r="M970" i="1"/>
  <c r="L970" i="1"/>
  <c r="K970" i="1"/>
  <c r="J970" i="1"/>
  <c r="I970" i="1"/>
  <c r="H970" i="1"/>
  <c r="G970" i="1"/>
  <c r="F970" i="1"/>
  <c r="E970" i="1"/>
  <c r="D970" i="1"/>
  <c r="C970" i="1"/>
  <c r="A970" i="1"/>
  <c r="AY969" i="1"/>
  <c r="AX969" i="1"/>
  <c r="AW969" i="1"/>
  <c r="AV969" i="1"/>
  <c r="AU969" i="1"/>
  <c r="AT969" i="1"/>
  <c r="AS969" i="1"/>
  <c r="AR969" i="1"/>
  <c r="AQ969" i="1"/>
  <c r="AP969" i="1"/>
  <c r="AO969" i="1"/>
  <c r="AN969" i="1"/>
  <c r="AM969" i="1"/>
  <c r="AL969" i="1"/>
  <c r="AK969" i="1"/>
  <c r="AJ969" i="1"/>
  <c r="AI969" i="1"/>
  <c r="AH969" i="1"/>
  <c r="AG969" i="1"/>
  <c r="AF969" i="1"/>
  <c r="AE969" i="1"/>
  <c r="AD969" i="1"/>
  <c r="AC969" i="1"/>
  <c r="AB969" i="1"/>
  <c r="AA969" i="1"/>
  <c r="Z969" i="1"/>
  <c r="Y969" i="1"/>
  <c r="X969" i="1"/>
  <c r="W969" i="1"/>
  <c r="V969" i="1"/>
  <c r="U969" i="1"/>
  <c r="T969" i="1"/>
  <c r="S969" i="1"/>
  <c r="R969" i="1"/>
  <c r="Q969" i="1"/>
  <c r="P969" i="1"/>
  <c r="O969" i="1"/>
  <c r="N969" i="1"/>
  <c r="M969" i="1"/>
  <c r="L969" i="1"/>
  <c r="K969" i="1"/>
  <c r="J969" i="1"/>
  <c r="I969" i="1"/>
  <c r="H969" i="1"/>
  <c r="G969" i="1"/>
  <c r="F969" i="1"/>
  <c r="E969" i="1"/>
  <c r="D969" i="1"/>
  <c r="C969" i="1"/>
  <c r="A969" i="1"/>
  <c r="A968" i="1"/>
  <c r="AY966" i="1"/>
  <c r="AX966" i="1"/>
  <c r="AW966" i="1"/>
  <c r="AV966" i="1"/>
  <c r="AU966" i="1"/>
  <c r="AT966" i="1"/>
  <c r="AS966" i="1"/>
  <c r="AR966" i="1"/>
  <c r="AQ966" i="1"/>
  <c r="AP966" i="1"/>
  <c r="AO966" i="1"/>
  <c r="AN966" i="1"/>
  <c r="AM966" i="1"/>
  <c r="AL966" i="1"/>
  <c r="AK966" i="1"/>
  <c r="AJ966" i="1"/>
  <c r="AI966" i="1"/>
  <c r="AH966" i="1"/>
  <c r="AG966" i="1"/>
  <c r="AF966" i="1"/>
  <c r="AE966" i="1"/>
  <c r="AD966" i="1"/>
  <c r="AC966" i="1"/>
  <c r="AB966" i="1"/>
  <c r="AA966" i="1"/>
  <c r="Z966" i="1"/>
  <c r="Y966" i="1"/>
  <c r="X966" i="1"/>
  <c r="W966" i="1"/>
  <c r="V966" i="1"/>
  <c r="U966" i="1"/>
  <c r="T966" i="1"/>
  <c r="S966" i="1"/>
  <c r="R966" i="1"/>
  <c r="Q966" i="1"/>
  <c r="P966" i="1"/>
  <c r="O966" i="1"/>
  <c r="N966" i="1"/>
  <c r="M966" i="1"/>
  <c r="L966" i="1"/>
  <c r="K966" i="1"/>
  <c r="J966" i="1"/>
  <c r="I966" i="1"/>
  <c r="H966" i="1"/>
  <c r="G966" i="1"/>
  <c r="F966" i="1"/>
  <c r="E966" i="1"/>
  <c r="D966" i="1"/>
  <c r="C966" i="1"/>
  <c r="A966" i="1"/>
  <c r="BG965" i="1"/>
  <c r="BF965" i="1"/>
  <c r="BE965" i="1"/>
  <c r="BD965" i="1"/>
  <c r="BC965" i="1"/>
  <c r="BB965" i="1"/>
  <c r="BA965" i="1"/>
  <c r="AZ965" i="1"/>
  <c r="AY965" i="1"/>
  <c r="AX965" i="1"/>
  <c r="AW965" i="1"/>
  <c r="AV965" i="1"/>
  <c r="AU965" i="1"/>
  <c r="AT965" i="1"/>
  <c r="AS965" i="1"/>
  <c r="AR965" i="1"/>
  <c r="AQ965" i="1"/>
  <c r="AP965" i="1"/>
  <c r="AO965" i="1"/>
  <c r="AN965" i="1"/>
  <c r="AM965" i="1"/>
  <c r="AL965" i="1"/>
  <c r="AK965" i="1"/>
  <c r="AJ965" i="1"/>
  <c r="AI965" i="1"/>
  <c r="AH965" i="1"/>
  <c r="AG965" i="1"/>
  <c r="AF965" i="1"/>
  <c r="AE965" i="1"/>
  <c r="AD965" i="1"/>
  <c r="AC965" i="1"/>
  <c r="AB965" i="1"/>
  <c r="AA965" i="1"/>
  <c r="Z965" i="1"/>
  <c r="Y965" i="1"/>
  <c r="X965" i="1"/>
  <c r="W965" i="1"/>
  <c r="V965" i="1"/>
  <c r="U965" i="1"/>
  <c r="T965" i="1"/>
  <c r="S965" i="1"/>
  <c r="R965" i="1"/>
  <c r="Q965" i="1"/>
  <c r="P965" i="1"/>
  <c r="O965" i="1"/>
  <c r="N965" i="1"/>
  <c r="M965" i="1"/>
  <c r="L965" i="1"/>
  <c r="K965" i="1"/>
  <c r="J965" i="1"/>
  <c r="I965" i="1"/>
  <c r="H965" i="1"/>
  <c r="G965" i="1"/>
  <c r="F965" i="1"/>
  <c r="E965" i="1"/>
  <c r="D965" i="1"/>
  <c r="C965" i="1"/>
  <c r="A965" i="1"/>
  <c r="BD964" i="1"/>
  <c r="AY964" i="1"/>
  <c r="AU964" i="1"/>
  <c r="AT964" i="1"/>
  <c r="AS964" i="1"/>
  <c r="AR964" i="1"/>
  <c r="AQ964" i="1"/>
  <c r="AP964" i="1"/>
  <c r="AO964" i="1"/>
  <c r="AN964" i="1"/>
  <c r="AM964" i="1"/>
  <c r="AL964" i="1"/>
  <c r="AK964" i="1"/>
  <c r="AJ964" i="1"/>
  <c r="AI964" i="1"/>
  <c r="AH964" i="1"/>
  <c r="AG964" i="1"/>
  <c r="AF964" i="1"/>
  <c r="AE964" i="1"/>
  <c r="AD964" i="1"/>
  <c r="AC964" i="1"/>
  <c r="AB964" i="1"/>
  <c r="AA964" i="1"/>
  <c r="Z964" i="1"/>
  <c r="Y964" i="1"/>
  <c r="X964" i="1"/>
  <c r="W964" i="1"/>
  <c r="V964" i="1"/>
  <c r="U964" i="1"/>
  <c r="T964" i="1"/>
  <c r="S964" i="1"/>
  <c r="R964" i="1"/>
  <c r="Q964" i="1"/>
  <c r="P964" i="1"/>
  <c r="O964" i="1"/>
  <c r="N964" i="1"/>
  <c r="M964" i="1"/>
  <c r="L964" i="1"/>
  <c r="K964" i="1"/>
  <c r="J964" i="1"/>
  <c r="I964" i="1"/>
  <c r="H964" i="1"/>
  <c r="G964" i="1"/>
  <c r="F964" i="1"/>
  <c r="E964" i="1"/>
  <c r="D964" i="1"/>
  <c r="C964" i="1"/>
  <c r="A964" i="1"/>
  <c r="BD963" i="1"/>
  <c r="AY963" i="1"/>
  <c r="AU963" i="1"/>
  <c r="AT963" i="1"/>
  <c r="AS963" i="1"/>
  <c r="AR963" i="1"/>
  <c r="AQ963" i="1"/>
  <c r="AP963" i="1"/>
  <c r="AO963" i="1"/>
  <c r="AN963" i="1"/>
  <c r="AM963" i="1"/>
  <c r="AL963" i="1"/>
  <c r="AK963" i="1"/>
  <c r="AJ963" i="1"/>
  <c r="AI963" i="1"/>
  <c r="AH963" i="1"/>
  <c r="AG963" i="1"/>
  <c r="AF963" i="1"/>
  <c r="AE963" i="1"/>
  <c r="AD963" i="1"/>
  <c r="AC963" i="1"/>
  <c r="AB963" i="1"/>
  <c r="AA963" i="1"/>
  <c r="Z963" i="1"/>
  <c r="Y963" i="1"/>
  <c r="X963" i="1"/>
  <c r="W963" i="1"/>
  <c r="V963" i="1"/>
  <c r="U963" i="1"/>
  <c r="T963" i="1"/>
  <c r="S963" i="1"/>
  <c r="R963" i="1"/>
  <c r="Q963" i="1"/>
  <c r="P963" i="1"/>
  <c r="O963" i="1"/>
  <c r="N963" i="1"/>
  <c r="M963" i="1"/>
  <c r="L963" i="1"/>
  <c r="K963" i="1"/>
  <c r="J963" i="1"/>
  <c r="I963" i="1"/>
  <c r="H963" i="1"/>
  <c r="G963" i="1"/>
  <c r="F963" i="1"/>
  <c r="E963" i="1"/>
  <c r="D963" i="1"/>
  <c r="C963" i="1"/>
  <c r="A963" i="1"/>
  <c r="BG962" i="1"/>
  <c r="BF962" i="1"/>
  <c r="BE962" i="1"/>
  <c r="BD962" i="1"/>
  <c r="BC962" i="1"/>
  <c r="BB962" i="1"/>
  <c r="BA962" i="1"/>
  <c r="AZ962" i="1"/>
  <c r="AY962" i="1"/>
  <c r="AX962" i="1"/>
  <c r="AW962" i="1"/>
  <c r="AV962" i="1"/>
  <c r="AU962" i="1"/>
  <c r="AT962" i="1"/>
  <c r="AS962" i="1"/>
  <c r="AR962" i="1"/>
  <c r="AQ962" i="1"/>
  <c r="AP962" i="1"/>
  <c r="AO962" i="1"/>
  <c r="AN962" i="1"/>
  <c r="AM962" i="1"/>
  <c r="AL962" i="1"/>
  <c r="AK962" i="1"/>
  <c r="AJ962" i="1"/>
  <c r="AI962" i="1"/>
  <c r="AH962" i="1"/>
  <c r="AG962" i="1"/>
  <c r="AF962" i="1"/>
  <c r="AE962" i="1"/>
  <c r="AD962" i="1"/>
  <c r="AC962" i="1"/>
  <c r="AB962" i="1"/>
  <c r="AA962" i="1"/>
  <c r="Z962" i="1"/>
  <c r="Y962" i="1"/>
  <c r="X962" i="1"/>
  <c r="W962" i="1"/>
  <c r="V962" i="1"/>
  <c r="U962" i="1"/>
  <c r="T962" i="1"/>
  <c r="S962" i="1"/>
  <c r="R962" i="1"/>
  <c r="Q962" i="1"/>
  <c r="P962" i="1"/>
  <c r="O962" i="1"/>
  <c r="N962" i="1"/>
  <c r="M962" i="1"/>
  <c r="L962" i="1"/>
  <c r="K962" i="1"/>
  <c r="J962" i="1"/>
  <c r="I962" i="1"/>
  <c r="H962" i="1"/>
  <c r="G962" i="1"/>
  <c r="F962" i="1"/>
  <c r="E962" i="1"/>
  <c r="D962" i="1"/>
  <c r="C962" i="1"/>
  <c r="A962" i="1"/>
  <c r="BG961" i="1"/>
  <c r="BF961" i="1"/>
  <c r="BE961" i="1"/>
  <c r="BD961" i="1"/>
  <c r="BC961" i="1"/>
  <c r="BB961" i="1"/>
  <c r="BA961" i="1"/>
  <c r="AZ961" i="1"/>
  <c r="AY961" i="1"/>
  <c r="AX961" i="1"/>
  <c r="AW961" i="1"/>
  <c r="AV961" i="1"/>
  <c r="AU961" i="1"/>
  <c r="AT961" i="1"/>
  <c r="AS961" i="1"/>
  <c r="AR961" i="1"/>
  <c r="AQ961" i="1"/>
  <c r="AP961" i="1"/>
  <c r="AO961" i="1"/>
  <c r="AN961" i="1"/>
  <c r="AM961" i="1"/>
  <c r="AL961" i="1"/>
  <c r="AK961" i="1"/>
  <c r="AJ961" i="1"/>
  <c r="AI961" i="1"/>
  <c r="AH961" i="1"/>
  <c r="AG961" i="1"/>
  <c r="AF961" i="1"/>
  <c r="AE961" i="1"/>
  <c r="AD961" i="1"/>
  <c r="AC961" i="1"/>
  <c r="AB961" i="1"/>
  <c r="AA961" i="1"/>
  <c r="Z961" i="1"/>
  <c r="Y961" i="1"/>
  <c r="X961" i="1"/>
  <c r="W961" i="1"/>
  <c r="V961" i="1"/>
  <c r="U961" i="1"/>
  <c r="T961" i="1"/>
  <c r="S961" i="1"/>
  <c r="R961" i="1"/>
  <c r="Q961" i="1"/>
  <c r="P961" i="1"/>
  <c r="O961" i="1"/>
  <c r="N961" i="1"/>
  <c r="M961" i="1"/>
  <c r="L961" i="1"/>
  <c r="K961" i="1"/>
  <c r="J961" i="1"/>
  <c r="I961" i="1"/>
  <c r="H961" i="1"/>
  <c r="G961" i="1"/>
  <c r="F961" i="1"/>
  <c r="E961" i="1"/>
  <c r="D961" i="1"/>
  <c r="C961" i="1"/>
  <c r="A961" i="1"/>
  <c r="BG960" i="1"/>
  <c r="BF960" i="1"/>
  <c r="BE960" i="1"/>
  <c r="BD960" i="1"/>
  <c r="BC960" i="1"/>
  <c r="BB960" i="1"/>
  <c r="BA960" i="1"/>
  <c r="AZ960" i="1"/>
  <c r="AY960" i="1"/>
  <c r="AX960" i="1"/>
  <c r="AW960" i="1"/>
  <c r="AV960" i="1"/>
  <c r="AU960" i="1"/>
  <c r="AT960" i="1"/>
  <c r="AS960" i="1"/>
  <c r="AR960" i="1"/>
  <c r="AQ960" i="1"/>
  <c r="AP960" i="1"/>
  <c r="AO960" i="1"/>
  <c r="AN960" i="1"/>
  <c r="AM960" i="1"/>
  <c r="AL960" i="1"/>
  <c r="AK960" i="1"/>
  <c r="AJ960" i="1"/>
  <c r="AI960" i="1"/>
  <c r="AH960" i="1"/>
  <c r="AG960" i="1"/>
  <c r="AF960" i="1"/>
  <c r="AE960" i="1"/>
  <c r="AD960" i="1"/>
  <c r="AC960" i="1"/>
  <c r="AB960" i="1"/>
  <c r="AA960" i="1"/>
  <c r="Z960" i="1"/>
  <c r="Y960" i="1"/>
  <c r="X960" i="1"/>
  <c r="W960" i="1"/>
  <c r="V960" i="1"/>
  <c r="U960" i="1"/>
  <c r="T960" i="1"/>
  <c r="S960" i="1"/>
  <c r="R960" i="1"/>
  <c r="Q960" i="1"/>
  <c r="P960" i="1"/>
  <c r="O960" i="1"/>
  <c r="N960" i="1"/>
  <c r="M960" i="1"/>
  <c r="L960" i="1"/>
  <c r="K960" i="1"/>
  <c r="J960" i="1"/>
  <c r="I960" i="1"/>
  <c r="H960" i="1"/>
  <c r="G960" i="1"/>
  <c r="F960" i="1"/>
  <c r="E960" i="1"/>
  <c r="D960" i="1"/>
  <c r="C960" i="1"/>
  <c r="A960" i="1"/>
  <c r="AY959" i="1"/>
  <c r="AX959" i="1"/>
  <c r="AW959" i="1"/>
  <c r="AV959" i="1"/>
  <c r="AU959" i="1"/>
  <c r="AT959" i="1"/>
  <c r="AS959" i="1"/>
  <c r="AR959" i="1"/>
  <c r="AQ959" i="1"/>
  <c r="AP959" i="1"/>
  <c r="AO959" i="1"/>
  <c r="AN959" i="1"/>
  <c r="AM959" i="1"/>
  <c r="AL959" i="1"/>
  <c r="AK959" i="1"/>
  <c r="AJ959" i="1"/>
  <c r="AI959" i="1"/>
  <c r="AH959" i="1"/>
  <c r="AG959" i="1"/>
  <c r="AF959" i="1"/>
  <c r="AE959" i="1"/>
  <c r="AD959" i="1"/>
  <c r="AC959" i="1"/>
  <c r="AB959" i="1"/>
  <c r="AA959" i="1"/>
  <c r="Z959" i="1"/>
  <c r="Y959" i="1"/>
  <c r="X959" i="1"/>
  <c r="W959" i="1"/>
  <c r="V959" i="1"/>
  <c r="U959" i="1"/>
  <c r="T959" i="1"/>
  <c r="S959" i="1"/>
  <c r="R959" i="1"/>
  <c r="Q959" i="1"/>
  <c r="P959" i="1"/>
  <c r="O959" i="1"/>
  <c r="N959" i="1"/>
  <c r="M959" i="1"/>
  <c r="L959" i="1"/>
  <c r="K959" i="1"/>
  <c r="J959" i="1"/>
  <c r="I959" i="1"/>
  <c r="H959" i="1"/>
  <c r="G959" i="1"/>
  <c r="F959" i="1"/>
  <c r="E959" i="1"/>
  <c r="D959" i="1"/>
  <c r="C959" i="1"/>
  <c r="A959" i="1"/>
  <c r="BD958" i="1"/>
  <c r="AY958" i="1"/>
  <c r="AU958" i="1"/>
  <c r="AT958" i="1"/>
  <c r="AS958" i="1"/>
  <c r="AR958" i="1"/>
  <c r="AQ958" i="1"/>
  <c r="AP958" i="1"/>
  <c r="AO958" i="1"/>
  <c r="AN958" i="1"/>
  <c r="AM958" i="1"/>
  <c r="AL958" i="1"/>
  <c r="AK958" i="1"/>
  <c r="AJ958" i="1"/>
  <c r="AI958" i="1"/>
  <c r="AH958" i="1"/>
  <c r="AG958" i="1"/>
  <c r="AF958" i="1"/>
  <c r="AE958" i="1"/>
  <c r="AD958" i="1"/>
  <c r="AC958" i="1"/>
  <c r="AB958" i="1"/>
  <c r="AA958" i="1"/>
  <c r="Z958" i="1"/>
  <c r="Y958" i="1"/>
  <c r="X958" i="1"/>
  <c r="W958" i="1"/>
  <c r="V958" i="1"/>
  <c r="U958" i="1"/>
  <c r="T958" i="1"/>
  <c r="S958" i="1"/>
  <c r="R958" i="1"/>
  <c r="Q958" i="1"/>
  <c r="P958" i="1"/>
  <c r="O958" i="1"/>
  <c r="N958" i="1"/>
  <c r="M958" i="1"/>
  <c r="L958" i="1"/>
  <c r="K958" i="1"/>
  <c r="J958" i="1"/>
  <c r="I958" i="1"/>
  <c r="H958" i="1"/>
  <c r="G958" i="1"/>
  <c r="F958" i="1"/>
  <c r="E958" i="1"/>
  <c r="D958" i="1"/>
  <c r="C958" i="1"/>
  <c r="A958" i="1"/>
  <c r="BD957" i="1"/>
  <c r="AY957" i="1"/>
  <c r="AU957" i="1"/>
  <c r="AT957" i="1"/>
  <c r="AS957" i="1"/>
  <c r="AR957" i="1"/>
  <c r="AQ957" i="1"/>
  <c r="AP957" i="1"/>
  <c r="AO957" i="1"/>
  <c r="AN957" i="1"/>
  <c r="AM957" i="1"/>
  <c r="AL957" i="1"/>
  <c r="AK957" i="1"/>
  <c r="AJ957" i="1"/>
  <c r="AI957" i="1"/>
  <c r="AH957" i="1"/>
  <c r="AG957" i="1"/>
  <c r="AF957" i="1"/>
  <c r="AE957" i="1"/>
  <c r="AD957" i="1"/>
  <c r="AC957" i="1"/>
  <c r="AB957" i="1"/>
  <c r="AA957" i="1"/>
  <c r="Z957" i="1"/>
  <c r="Y957" i="1"/>
  <c r="X957" i="1"/>
  <c r="W957" i="1"/>
  <c r="V957" i="1"/>
  <c r="U957" i="1"/>
  <c r="T957" i="1"/>
  <c r="S957" i="1"/>
  <c r="R957" i="1"/>
  <c r="Q957" i="1"/>
  <c r="P957" i="1"/>
  <c r="O957" i="1"/>
  <c r="N957" i="1"/>
  <c r="M957" i="1"/>
  <c r="L957" i="1"/>
  <c r="K957" i="1"/>
  <c r="J957" i="1"/>
  <c r="I957" i="1"/>
  <c r="H957" i="1"/>
  <c r="G957" i="1"/>
  <c r="F957" i="1"/>
  <c r="E957" i="1"/>
  <c r="D957" i="1"/>
  <c r="C957" i="1"/>
  <c r="A957" i="1"/>
  <c r="AX956" i="1"/>
  <c r="AY956" i="1" s="1"/>
  <c r="AW956" i="1"/>
  <c r="AV956" i="1"/>
  <c r="AU956" i="1"/>
  <c r="AT956" i="1"/>
  <c r="AS956" i="1"/>
  <c r="AR956" i="1"/>
  <c r="AQ956" i="1"/>
  <c r="AP956" i="1"/>
  <c r="AO956" i="1"/>
  <c r="AN956" i="1"/>
  <c r="AM956" i="1"/>
  <c r="AL956" i="1"/>
  <c r="AK956" i="1"/>
  <c r="AJ956" i="1"/>
  <c r="AI956" i="1"/>
  <c r="AH956" i="1"/>
  <c r="AG956" i="1"/>
  <c r="AF956" i="1"/>
  <c r="AE956" i="1"/>
  <c r="AD956" i="1"/>
  <c r="AC956" i="1"/>
  <c r="AB956" i="1"/>
  <c r="AA956" i="1"/>
  <c r="Z956" i="1"/>
  <c r="Y956" i="1"/>
  <c r="X956" i="1"/>
  <c r="W956" i="1"/>
  <c r="V956" i="1"/>
  <c r="U956" i="1"/>
  <c r="T956" i="1"/>
  <c r="S956" i="1"/>
  <c r="R956" i="1"/>
  <c r="Q956" i="1"/>
  <c r="P956" i="1"/>
  <c r="O956" i="1"/>
  <c r="N956" i="1"/>
  <c r="M956" i="1"/>
  <c r="L956" i="1"/>
  <c r="K956" i="1"/>
  <c r="J956" i="1"/>
  <c r="I956" i="1"/>
  <c r="H956" i="1"/>
  <c r="G956" i="1"/>
  <c r="F956" i="1"/>
  <c r="E956" i="1"/>
  <c r="D956" i="1"/>
  <c r="C956" i="1"/>
  <c r="A956" i="1"/>
  <c r="BD955" i="1"/>
  <c r="AY955" i="1"/>
  <c r="AU955" i="1"/>
  <c r="AT955" i="1"/>
  <c r="AS955" i="1"/>
  <c r="AR955" i="1"/>
  <c r="AQ955" i="1"/>
  <c r="AP955" i="1"/>
  <c r="AO955" i="1"/>
  <c r="AN955" i="1"/>
  <c r="AM955" i="1"/>
  <c r="AL955" i="1"/>
  <c r="AK955" i="1"/>
  <c r="AJ955" i="1"/>
  <c r="AI955" i="1"/>
  <c r="AH955" i="1"/>
  <c r="AG955" i="1"/>
  <c r="AF955" i="1"/>
  <c r="AE955" i="1"/>
  <c r="AD955" i="1"/>
  <c r="AC955" i="1"/>
  <c r="AB955" i="1"/>
  <c r="AA955" i="1"/>
  <c r="Z955" i="1"/>
  <c r="Y955" i="1"/>
  <c r="X955" i="1"/>
  <c r="W955" i="1"/>
  <c r="V955" i="1"/>
  <c r="U955" i="1"/>
  <c r="T955" i="1"/>
  <c r="S955" i="1"/>
  <c r="R955" i="1"/>
  <c r="Q955" i="1"/>
  <c r="P955" i="1"/>
  <c r="O955" i="1"/>
  <c r="N955" i="1"/>
  <c r="M955" i="1"/>
  <c r="L955" i="1"/>
  <c r="K955" i="1"/>
  <c r="J955" i="1"/>
  <c r="I955" i="1"/>
  <c r="H955" i="1"/>
  <c r="G955" i="1"/>
  <c r="F955" i="1"/>
  <c r="E955" i="1"/>
  <c r="D955" i="1"/>
  <c r="C955" i="1"/>
  <c r="A955" i="1"/>
  <c r="BG954" i="1"/>
  <c r="BF954" i="1"/>
  <c r="BE954" i="1"/>
  <c r="BD954" i="1"/>
  <c r="BC954" i="1"/>
  <c r="BB954" i="1"/>
  <c r="BA954" i="1"/>
  <c r="AZ954" i="1"/>
  <c r="AY954" i="1"/>
  <c r="AX954" i="1"/>
  <c r="AW954" i="1"/>
  <c r="AV954" i="1"/>
  <c r="AU954" i="1"/>
  <c r="AT954" i="1"/>
  <c r="AS954" i="1"/>
  <c r="AR954" i="1"/>
  <c r="AQ954" i="1"/>
  <c r="AP954" i="1"/>
  <c r="AO954" i="1"/>
  <c r="AN954" i="1"/>
  <c r="AM954" i="1"/>
  <c r="AL954" i="1"/>
  <c r="AK954" i="1"/>
  <c r="AJ954" i="1"/>
  <c r="AI954" i="1"/>
  <c r="AH954" i="1"/>
  <c r="AG954" i="1"/>
  <c r="AF954" i="1"/>
  <c r="AE954" i="1"/>
  <c r="AD954" i="1"/>
  <c r="AC954" i="1"/>
  <c r="AB954" i="1"/>
  <c r="AA954" i="1"/>
  <c r="Z954" i="1"/>
  <c r="Y954" i="1"/>
  <c r="X954" i="1"/>
  <c r="W954" i="1"/>
  <c r="V954" i="1"/>
  <c r="U954" i="1"/>
  <c r="T954" i="1"/>
  <c r="S954" i="1"/>
  <c r="R954" i="1"/>
  <c r="Q954" i="1"/>
  <c r="P954" i="1"/>
  <c r="O954" i="1"/>
  <c r="N954" i="1"/>
  <c r="M954" i="1"/>
  <c r="L954" i="1"/>
  <c r="K954" i="1"/>
  <c r="J954" i="1"/>
  <c r="I954" i="1"/>
  <c r="H954" i="1"/>
  <c r="G954" i="1"/>
  <c r="F954" i="1"/>
  <c r="E954" i="1"/>
  <c r="D954" i="1"/>
  <c r="C954" i="1"/>
  <c r="A954" i="1"/>
  <c r="BD953" i="1"/>
  <c r="AY953" i="1"/>
  <c r="AU953" i="1"/>
  <c r="AT953" i="1"/>
  <c r="AS953" i="1"/>
  <c r="AR953" i="1"/>
  <c r="AQ953" i="1"/>
  <c r="AP953" i="1"/>
  <c r="AO953" i="1"/>
  <c r="AN953" i="1"/>
  <c r="AM953" i="1"/>
  <c r="AL953" i="1"/>
  <c r="AK953" i="1"/>
  <c r="AJ953" i="1"/>
  <c r="AI953" i="1"/>
  <c r="AH953" i="1"/>
  <c r="AG953" i="1"/>
  <c r="AF953" i="1"/>
  <c r="AE953" i="1"/>
  <c r="AD953" i="1"/>
  <c r="AC953" i="1"/>
  <c r="AB953" i="1"/>
  <c r="AA953" i="1"/>
  <c r="Z953" i="1"/>
  <c r="Y953" i="1"/>
  <c r="X953" i="1"/>
  <c r="W953" i="1"/>
  <c r="V953" i="1"/>
  <c r="U953" i="1"/>
  <c r="T953" i="1"/>
  <c r="S953" i="1"/>
  <c r="R953" i="1"/>
  <c r="Q953" i="1"/>
  <c r="P953" i="1"/>
  <c r="O953" i="1"/>
  <c r="N953" i="1"/>
  <c r="M953" i="1"/>
  <c r="L953" i="1"/>
  <c r="K953" i="1"/>
  <c r="J953" i="1"/>
  <c r="I953" i="1"/>
  <c r="H953" i="1"/>
  <c r="G953" i="1"/>
  <c r="F953" i="1"/>
  <c r="E953" i="1"/>
  <c r="D953" i="1"/>
  <c r="C953" i="1"/>
  <c r="A953" i="1"/>
  <c r="BD952" i="1"/>
  <c r="AY952" i="1"/>
  <c r="AU952" i="1"/>
  <c r="AT952" i="1"/>
  <c r="AS952" i="1"/>
  <c r="AR952" i="1"/>
  <c r="AQ952" i="1"/>
  <c r="AP952" i="1"/>
  <c r="AO952" i="1"/>
  <c r="AN952" i="1"/>
  <c r="AM952" i="1"/>
  <c r="AL952" i="1"/>
  <c r="AK952" i="1"/>
  <c r="AJ952" i="1"/>
  <c r="AI952" i="1"/>
  <c r="AH952" i="1"/>
  <c r="AG952" i="1"/>
  <c r="AF952" i="1"/>
  <c r="AE952" i="1"/>
  <c r="AD952" i="1"/>
  <c r="AC952" i="1"/>
  <c r="AB952" i="1"/>
  <c r="AA952" i="1"/>
  <c r="Z952" i="1"/>
  <c r="Y952" i="1"/>
  <c r="X952" i="1"/>
  <c r="W952" i="1"/>
  <c r="V952" i="1"/>
  <c r="U952" i="1"/>
  <c r="T952" i="1"/>
  <c r="S952" i="1"/>
  <c r="R952" i="1"/>
  <c r="Q952" i="1"/>
  <c r="P952" i="1"/>
  <c r="O952" i="1"/>
  <c r="N952" i="1"/>
  <c r="M952" i="1"/>
  <c r="L952" i="1"/>
  <c r="K952" i="1"/>
  <c r="J952" i="1"/>
  <c r="I952" i="1"/>
  <c r="H952" i="1"/>
  <c r="G952" i="1"/>
  <c r="F952" i="1"/>
  <c r="E952" i="1"/>
  <c r="D952" i="1"/>
  <c r="C952" i="1"/>
  <c r="A952" i="1"/>
  <c r="AZ951" i="1"/>
  <c r="AY951" i="1"/>
  <c r="AX951" i="1"/>
  <c r="AW951" i="1"/>
  <c r="AV951" i="1"/>
  <c r="AU951" i="1"/>
  <c r="AT951" i="1"/>
  <c r="AS951" i="1"/>
  <c r="AR951" i="1"/>
  <c r="AQ951" i="1"/>
  <c r="AP951" i="1"/>
  <c r="AO951" i="1"/>
  <c r="AN951" i="1"/>
  <c r="AM951" i="1"/>
  <c r="AL951" i="1"/>
  <c r="AK951" i="1"/>
  <c r="AJ951" i="1"/>
  <c r="AI951" i="1"/>
  <c r="AH951" i="1"/>
  <c r="AG951" i="1"/>
  <c r="AF951" i="1"/>
  <c r="AE951" i="1"/>
  <c r="AD951" i="1"/>
  <c r="AC951" i="1"/>
  <c r="AB951" i="1"/>
  <c r="AA951" i="1"/>
  <c r="Z951" i="1"/>
  <c r="Y951" i="1"/>
  <c r="X951" i="1"/>
  <c r="W951" i="1"/>
  <c r="V951" i="1"/>
  <c r="U951" i="1"/>
  <c r="T951" i="1"/>
  <c r="S951" i="1"/>
  <c r="R951" i="1"/>
  <c r="Q951" i="1"/>
  <c r="P951" i="1"/>
  <c r="O951" i="1"/>
  <c r="N951" i="1"/>
  <c r="M951" i="1"/>
  <c r="L951" i="1"/>
  <c r="K951" i="1"/>
  <c r="J951" i="1"/>
  <c r="I951" i="1"/>
  <c r="H951" i="1"/>
  <c r="G951" i="1"/>
  <c r="F951" i="1"/>
  <c r="E951" i="1"/>
  <c r="D951" i="1"/>
  <c r="C951" i="1"/>
  <c r="A951" i="1"/>
  <c r="AX950" i="1"/>
  <c r="AW950" i="1"/>
  <c r="AV950" i="1"/>
  <c r="AU950" i="1"/>
  <c r="AT950" i="1"/>
  <c r="AS950" i="1"/>
  <c r="AR950" i="1"/>
  <c r="AQ950" i="1"/>
  <c r="AP950" i="1"/>
  <c r="AO950" i="1"/>
  <c r="AN950" i="1"/>
  <c r="AM950" i="1"/>
  <c r="AL950" i="1"/>
  <c r="AK950" i="1"/>
  <c r="AJ950" i="1"/>
  <c r="AI950" i="1"/>
  <c r="AH950" i="1"/>
  <c r="AG950" i="1"/>
  <c r="AF950" i="1"/>
  <c r="AE950" i="1"/>
  <c r="AD950" i="1"/>
  <c r="AC950" i="1"/>
  <c r="AB950" i="1"/>
  <c r="AA950" i="1"/>
  <c r="Z950" i="1"/>
  <c r="Y950" i="1"/>
  <c r="X950" i="1"/>
  <c r="W950" i="1"/>
  <c r="V950" i="1"/>
  <c r="U950" i="1"/>
  <c r="T950" i="1"/>
  <c r="S950" i="1"/>
  <c r="R950" i="1"/>
  <c r="Q950" i="1"/>
  <c r="P950" i="1"/>
  <c r="O950" i="1"/>
  <c r="N950" i="1"/>
  <c r="M950" i="1"/>
  <c r="L950" i="1"/>
  <c r="K950" i="1"/>
  <c r="J950" i="1"/>
  <c r="I950" i="1"/>
  <c r="H950" i="1"/>
  <c r="G950" i="1"/>
  <c r="F950" i="1"/>
  <c r="E950" i="1"/>
  <c r="D950" i="1"/>
  <c r="C950" i="1"/>
  <c r="A950" i="1"/>
  <c r="A949" i="1"/>
  <c r="AU946" i="1"/>
  <c r="AT946" i="1"/>
  <c r="AS946" i="1"/>
  <c r="AR946" i="1"/>
  <c r="AQ946" i="1"/>
  <c r="AP946" i="1"/>
  <c r="AO946" i="1"/>
  <c r="AN946" i="1"/>
  <c r="AM946" i="1"/>
  <c r="AL946" i="1"/>
  <c r="AK946" i="1"/>
  <c r="AJ946" i="1"/>
  <c r="AI946" i="1"/>
  <c r="AH946" i="1"/>
  <c r="AG946" i="1"/>
  <c r="AF946" i="1"/>
  <c r="AE946" i="1"/>
  <c r="AD946" i="1"/>
  <c r="AC946" i="1"/>
  <c r="AB946" i="1"/>
  <c r="AA946" i="1"/>
  <c r="Z946" i="1"/>
  <c r="Y946" i="1"/>
  <c r="X946" i="1"/>
  <c r="W946" i="1"/>
  <c r="V946" i="1"/>
  <c r="U946" i="1"/>
  <c r="T946" i="1"/>
  <c r="S946" i="1"/>
  <c r="R946" i="1"/>
  <c r="Q946" i="1"/>
  <c r="P946" i="1"/>
  <c r="O946" i="1"/>
  <c r="N946" i="1"/>
  <c r="M946" i="1"/>
  <c r="L946" i="1"/>
  <c r="K946" i="1"/>
  <c r="J946" i="1"/>
  <c r="I946" i="1"/>
  <c r="H946" i="1"/>
  <c r="G946" i="1"/>
  <c r="F946" i="1"/>
  <c r="E946" i="1"/>
  <c r="D946" i="1"/>
  <c r="C946" i="1"/>
  <c r="AU945" i="1"/>
  <c r="AT945" i="1"/>
  <c r="AS945" i="1"/>
  <c r="AR945" i="1"/>
  <c r="AQ945" i="1"/>
  <c r="AP945" i="1"/>
  <c r="AO945" i="1"/>
  <c r="AN945" i="1"/>
  <c r="AM945" i="1"/>
  <c r="AL945" i="1"/>
  <c r="AK945" i="1"/>
  <c r="AJ945" i="1"/>
  <c r="AI945" i="1"/>
  <c r="AH945" i="1"/>
  <c r="AG945" i="1"/>
  <c r="AF945" i="1"/>
  <c r="AE945" i="1"/>
  <c r="AD945" i="1"/>
  <c r="AC945" i="1"/>
  <c r="AB945" i="1"/>
  <c r="AA945" i="1"/>
  <c r="Z945" i="1"/>
  <c r="Y945" i="1"/>
  <c r="X945" i="1"/>
  <c r="W945" i="1"/>
  <c r="V945" i="1"/>
  <c r="U945" i="1"/>
  <c r="T945" i="1"/>
  <c r="S945" i="1"/>
  <c r="R945" i="1"/>
  <c r="Q945" i="1"/>
  <c r="P945" i="1"/>
  <c r="O945" i="1"/>
  <c r="N945" i="1"/>
  <c r="M945" i="1"/>
  <c r="L945" i="1"/>
  <c r="K945" i="1"/>
  <c r="J945" i="1"/>
  <c r="I945" i="1"/>
  <c r="H945" i="1"/>
  <c r="G945" i="1"/>
  <c r="F945" i="1"/>
  <c r="E945" i="1"/>
  <c r="D945" i="1"/>
  <c r="BG943" i="1"/>
  <c r="BF943" i="1"/>
  <c r="BE943" i="1"/>
  <c r="BD943" i="1"/>
  <c r="BC943" i="1"/>
  <c r="BB943" i="1"/>
  <c r="BA943" i="1"/>
  <c r="AZ943" i="1"/>
  <c r="AY943" i="1"/>
  <c r="AX943" i="1"/>
  <c r="AW943" i="1"/>
  <c r="AV943" i="1"/>
  <c r="AU943" i="1"/>
  <c r="AT943" i="1"/>
  <c r="AS943" i="1"/>
  <c r="AR943" i="1"/>
  <c r="AQ943" i="1"/>
  <c r="AP943" i="1"/>
  <c r="AO943" i="1"/>
  <c r="AN943" i="1"/>
  <c r="AM943" i="1"/>
  <c r="AL943" i="1"/>
  <c r="AK943" i="1"/>
  <c r="AJ943" i="1"/>
  <c r="AI943" i="1"/>
  <c r="AH943" i="1"/>
  <c r="AG943" i="1"/>
  <c r="AF943" i="1"/>
  <c r="AE943" i="1"/>
  <c r="AD943" i="1"/>
  <c r="AC943" i="1"/>
  <c r="AB943" i="1"/>
  <c r="AA943" i="1"/>
  <c r="Z943" i="1"/>
  <c r="Y943" i="1"/>
  <c r="X943" i="1"/>
  <c r="W943" i="1"/>
  <c r="V943" i="1"/>
  <c r="U943" i="1"/>
  <c r="T943" i="1"/>
  <c r="S943" i="1"/>
  <c r="R943" i="1"/>
  <c r="Q943" i="1"/>
  <c r="P943" i="1"/>
  <c r="O943" i="1"/>
  <c r="N943" i="1"/>
  <c r="M943" i="1"/>
  <c r="L943" i="1"/>
  <c r="K943" i="1"/>
  <c r="J943" i="1"/>
  <c r="I943" i="1"/>
  <c r="H943" i="1"/>
  <c r="G943" i="1"/>
  <c r="F943" i="1"/>
  <c r="E943" i="1"/>
  <c r="D943" i="1"/>
  <c r="C943" i="1"/>
  <c r="BC942" i="1"/>
  <c r="AX942" i="1"/>
  <c r="AS942" i="1"/>
  <c r="AN942" i="1"/>
  <c r="AI942" i="1"/>
  <c r="AD942" i="1"/>
  <c r="Y942" i="1"/>
  <c r="T942" i="1"/>
  <c r="O942" i="1"/>
  <c r="J942" i="1"/>
  <c r="BG940" i="1"/>
  <c r="BF940" i="1"/>
  <c r="BE940" i="1"/>
  <c r="BD940" i="1"/>
  <c r="BC940" i="1"/>
  <c r="BB940" i="1"/>
  <c r="BA940" i="1"/>
  <c r="AZ940" i="1"/>
  <c r="AY940" i="1"/>
  <c r="AX940" i="1"/>
  <c r="AW940" i="1"/>
  <c r="AV940" i="1"/>
  <c r="AU940" i="1"/>
  <c r="AT940" i="1"/>
  <c r="AS940" i="1"/>
  <c r="AR940" i="1"/>
  <c r="AQ940" i="1"/>
  <c r="AP940" i="1"/>
  <c r="AO940" i="1"/>
  <c r="AN940" i="1"/>
  <c r="AM940" i="1"/>
  <c r="AL940" i="1"/>
  <c r="AK940" i="1"/>
  <c r="AJ940" i="1"/>
  <c r="AI940" i="1"/>
  <c r="AH940" i="1"/>
  <c r="AG940" i="1"/>
  <c r="AF940" i="1"/>
  <c r="AE940" i="1"/>
  <c r="AD940" i="1"/>
  <c r="AC940" i="1"/>
  <c r="AB940" i="1"/>
  <c r="AA940" i="1"/>
  <c r="Z940" i="1"/>
  <c r="Y940" i="1"/>
  <c r="X940" i="1"/>
  <c r="W940" i="1"/>
  <c r="V940" i="1"/>
  <c r="U940" i="1"/>
  <c r="T940" i="1"/>
  <c r="S940" i="1"/>
  <c r="R940" i="1"/>
  <c r="Q940" i="1"/>
  <c r="P940" i="1"/>
  <c r="O940" i="1"/>
  <c r="N940" i="1"/>
  <c r="M940" i="1"/>
  <c r="L940" i="1"/>
  <c r="K940" i="1"/>
  <c r="J940" i="1"/>
  <c r="I940" i="1"/>
  <c r="H940" i="1"/>
  <c r="G940" i="1"/>
  <c r="F940" i="1"/>
  <c r="E940" i="1"/>
  <c r="D940" i="1"/>
  <c r="C940" i="1"/>
  <c r="BC939" i="1"/>
  <c r="AX939" i="1"/>
  <c r="AS939" i="1"/>
  <c r="AN939" i="1"/>
  <c r="AI939" i="1"/>
  <c r="AD939" i="1"/>
  <c r="Y939" i="1"/>
  <c r="T939" i="1"/>
  <c r="O939" i="1"/>
  <c r="J939" i="1"/>
  <c r="BC938" i="1"/>
  <c r="AX938" i="1"/>
  <c r="AS938" i="1"/>
  <c r="AN938" i="1"/>
  <c r="AI938" i="1"/>
  <c r="AD938" i="1"/>
  <c r="Y938" i="1"/>
  <c r="T938" i="1"/>
  <c r="O938" i="1"/>
  <c r="J938" i="1"/>
  <c r="BC937" i="1"/>
  <c r="AX937" i="1"/>
  <c r="AS937" i="1"/>
  <c r="AN937" i="1"/>
  <c r="AI937" i="1"/>
  <c r="AD937" i="1"/>
  <c r="Y937" i="1"/>
  <c r="T937" i="1"/>
  <c r="O937" i="1"/>
  <c r="J937" i="1"/>
  <c r="BC936" i="1"/>
  <c r="AX936" i="1"/>
  <c r="AS936" i="1"/>
  <c r="AN936" i="1"/>
  <c r="AI936" i="1"/>
  <c r="AD936" i="1"/>
  <c r="Y936" i="1"/>
  <c r="T936" i="1"/>
  <c r="O936" i="1"/>
  <c r="J936" i="1"/>
  <c r="BC935" i="1"/>
  <c r="AX935" i="1"/>
  <c r="AS935" i="1"/>
  <c r="AN935" i="1"/>
  <c r="AI935" i="1"/>
  <c r="AD935" i="1"/>
  <c r="Y935" i="1"/>
  <c r="T935" i="1"/>
  <c r="O935" i="1"/>
  <c r="J935" i="1"/>
  <c r="BC934" i="1"/>
  <c r="AX934" i="1"/>
  <c r="AS934" i="1"/>
  <c r="AN934" i="1"/>
  <c r="AI934" i="1"/>
  <c r="AD934" i="1"/>
  <c r="Y934" i="1"/>
  <c r="T934" i="1"/>
  <c r="O934" i="1"/>
  <c r="J934" i="1"/>
  <c r="BC933" i="1"/>
  <c r="AX933" i="1"/>
  <c r="AS933" i="1"/>
  <c r="AN933" i="1"/>
  <c r="AI933" i="1"/>
  <c r="AD933" i="1"/>
  <c r="Y933" i="1"/>
  <c r="T933" i="1"/>
  <c r="O933" i="1"/>
  <c r="J933" i="1"/>
  <c r="BC932" i="1"/>
  <c r="AX932" i="1"/>
  <c r="AS932" i="1"/>
  <c r="AN932" i="1"/>
  <c r="AI932" i="1"/>
  <c r="AD932" i="1"/>
  <c r="Y932" i="1"/>
  <c r="T932" i="1"/>
  <c r="O932" i="1"/>
  <c r="J932" i="1"/>
  <c r="BC931" i="1"/>
  <c r="AX931" i="1"/>
  <c r="AS931" i="1"/>
  <c r="AN931" i="1"/>
  <c r="AI931" i="1"/>
  <c r="AD931" i="1"/>
  <c r="Y931" i="1"/>
  <c r="T931" i="1"/>
  <c r="O931" i="1"/>
  <c r="J931" i="1"/>
  <c r="BG928" i="1"/>
  <c r="BF928" i="1"/>
  <c r="BE928" i="1"/>
  <c r="BD928" i="1"/>
  <c r="BC928" i="1"/>
  <c r="BB928" i="1"/>
  <c r="BA928" i="1"/>
  <c r="AZ928" i="1"/>
  <c r="AY928" i="1"/>
  <c r="AX928" i="1"/>
  <c r="AW928" i="1"/>
  <c r="AV928" i="1"/>
  <c r="AU928" i="1"/>
  <c r="AT928" i="1"/>
  <c r="AS928" i="1"/>
  <c r="AR928" i="1"/>
  <c r="AQ928" i="1"/>
  <c r="AP928" i="1"/>
  <c r="AO928" i="1"/>
  <c r="AN928" i="1"/>
  <c r="AM928" i="1"/>
  <c r="AL928" i="1"/>
  <c r="AK928" i="1"/>
  <c r="AJ928" i="1"/>
  <c r="AI928" i="1"/>
  <c r="AH928" i="1"/>
  <c r="AG928" i="1"/>
  <c r="AF928" i="1"/>
  <c r="AE928" i="1"/>
  <c r="AD928" i="1"/>
  <c r="AC928" i="1"/>
  <c r="AB928" i="1"/>
  <c r="AA928" i="1"/>
  <c r="Z928" i="1"/>
  <c r="Y928" i="1"/>
  <c r="X928" i="1"/>
  <c r="W928" i="1"/>
  <c r="V928" i="1"/>
  <c r="U928" i="1"/>
  <c r="T928" i="1"/>
  <c r="S928" i="1"/>
  <c r="R928" i="1"/>
  <c r="Q928" i="1"/>
  <c r="P928" i="1"/>
  <c r="O928" i="1"/>
  <c r="N928" i="1"/>
  <c r="M928" i="1"/>
  <c r="L928" i="1"/>
  <c r="K928" i="1"/>
  <c r="J928" i="1"/>
  <c r="I928" i="1"/>
  <c r="H928" i="1"/>
  <c r="G928" i="1"/>
  <c r="F928" i="1"/>
  <c r="E928" i="1"/>
  <c r="D928" i="1"/>
  <c r="C928" i="1"/>
  <c r="BC927" i="1"/>
  <c r="AX927" i="1"/>
  <c r="AS927" i="1"/>
  <c r="AN927" i="1"/>
  <c r="AI927" i="1"/>
  <c r="AD927" i="1"/>
  <c r="Y927" i="1"/>
  <c r="T927" i="1"/>
  <c r="O927" i="1"/>
  <c r="J927" i="1"/>
  <c r="BC926" i="1"/>
  <c r="AX926" i="1"/>
  <c r="AS926" i="1"/>
  <c r="AN926" i="1"/>
  <c r="AI926" i="1"/>
  <c r="AD926" i="1"/>
  <c r="Y926" i="1"/>
  <c r="T926" i="1"/>
  <c r="O926" i="1"/>
  <c r="J926" i="1"/>
  <c r="BC925" i="1"/>
  <c r="AX925" i="1"/>
  <c r="AS925" i="1"/>
  <c r="AN925" i="1"/>
  <c r="AI925" i="1"/>
  <c r="AD925" i="1"/>
  <c r="Y925" i="1"/>
  <c r="T925" i="1"/>
  <c r="O925" i="1"/>
  <c r="J925" i="1"/>
  <c r="BC924" i="1"/>
  <c r="AX924" i="1"/>
  <c r="AS924" i="1"/>
  <c r="AN924" i="1"/>
  <c r="AI924" i="1"/>
  <c r="AD924" i="1"/>
  <c r="Y924" i="1"/>
  <c r="T924" i="1"/>
  <c r="O924" i="1"/>
  <c r="J924" i="1"/>
  <c r="BC923" i="1"/>
  <c r="AX923" i="1"/>
  <c r="AS923" i="1"/>
  <c r="AN923" i="1"/>
  <c r="AI923" i="1"/>
  <c r="AD923" i="1"/>
  <c r="Y923" i="1"/>
  <c r="T923" i="1"/>
  <c r="O923" i="1"/>
  <c r="J923" i="1"/>
  <c r="BC922" i="1"/>
  <c r="AX922" i="1"/>
  <c r="AS922" i="1"/>
  <c r="AN922" i="1"/>
  <c r="AI922" i="1"/>
  <c r="AD922" i="1"/>
  <c r="Y922" i="1"/>
  <c r="T922" i="1"/>
  <c r="O922" i="1"/>
  <c r="J922" i="1"/>
  <c r="BC921" i="1"/>
  <c r="AX921" i="1"/>
  <c r="AS921" i="1"/>
  <c r="AN921" i="1"/>
  <c r="AI921" i="1"/>
  <c r="AD921" i="1"/>
  <c r="Y921" i="1"/>
  <c r="T921" i="1"/>
  <c r="O921" i="1"/>
  <c r="J921" i="1"/>
  <c r="BC920" i="1"/>
  <c r="AX920" i="1"/>
  <c r="AS920" i="1"/>
  <c r="AN920" i="1"/>
  <c r="AI920" i="1"/>
  <c r="AD920" i="1"/>
  <c r="Y920" i="1"/>
  <c r="T920" i="1"/>
  <c r="O920" i="1"/>
  <c r="J920" i="1"/>
  <c r="BG917" i="1"/>
  <c r="BF917" i="1"/>
  <c r="BE917" i="1"/>
  <c r="BD917" i="1"/>
  <c r="BC917" i="1"/>
  <c r="BB917" i="1"/>
  <c r="BA917" i="1"/>
  <c r="AZ917" i="1"/>
  <c r="AY917" i="1"/>
  <c r="AX917" i="1"/>
  <c r="AW917" i="1"/>
  <c r="AV917" i="1"/>
  <c r="AU917" i="1"/>
  <c r="AT917" i="1"/>
  <c r="AS917" i="1"/>
  <c r="AR917" i="1"/>
  <c r="AQ917" i="1"/>
  <c r="AP917" i="1"/>
  <c r="AO917" i="1"/>
  <c r="AN917" i="1"/>
  <c r="AM917" i="1"/>
  <c r="AL917" i="1"/>
  <c r="AK917" i="1"/>
  <c r="AJ917" i="1"/>
  <c r="AI917" i="1"/>
  <c r="AH917" i="1"/>
  <c r="AG917" i="1"/>
  <c r="AF917" i="1"/>
  <c r="AE917" i="1"/>
  <c r="AD917" i="1"/>
  <c r="AC917" i="1"/>
  <c r="AB917" i="1"/>
  <c r="AA917" i="1"/>
  <c r="Z917" i="1"/>
  <c r="Y917" i="1"/>
  <c r="X917" i="1"/>
  <c r="W917" i="1"/>
  <c r="V917" i="1"/>
  <c r="U917" i="1"/>
  <c r="T917" i="1"/>
  <c r="S917" i="1"/>
  <c r="R917" i="1"/>
  <c r="Q917" i="1"/>
  <c r="P917" i="1"/>
  <c r="O917" i="1"/>
  <c r="N917" i="1"/>
  <c r="M917" i="1"/>
  <c r="L917" i="1"/>
  <c r="K917" i="1"/>
  <c r="J917" i="1"/>
  <c r="I917" i="1"/>
  <c r="H917" i="1"/>
  <c r="G917" i="1"/>
  <c r="F917" i="1"/>
  <c r="E917" i="1"/>
  <c r="D917" i="1"/>
  <c r="C917" i="1"/>
  <c r="BC916" i="1"/>
  <c r="AX916" i="1"/>
  <c r="AS916" i="1"/>
  <c r="AN916" i="1"/>
  <c r="AI916" i="1"/>
  <c r="AD916" i="1"/>
  <c r="Y916" i="1"/>
  <c r="T916" i="1"/>
  <c r="O916" i="1"/>
  <c r="J916" i="1"/>
  <c r="BC915" i="1"/>
  <c r="AX915" i="1"/>
  <c r="AS915" i="1"/>
  <c r="AN915" i="1"/>
  <c r="AI915" i="1"/>
  <c r="AD915" i="1"/>
  <c r="Y915" i="1"/>
  <c r="T915" i="1"/>
  <c r="O915" i="1"/>
  <c r="J915" i="1"/>
  <c r="BC914" i="1"/>
  <c r="AX914" i="1"/>
  <c r="AS914" i="1"/>
  <c r="AN914" i="1"/>
  <c r="AI914" i="1"/>
  <c r="AD914" i="1"/>
  <c r="Y914" i="1"/>
  <c r="T914" i="1"/>
  <c r="O914" i="1"/>
  <c r="J914" i="1"/>
  <c r="BC913" i="1"/>
  <c r="AX913" i="1"/>
  <c r="AS913" i="1"/>
  <c r="AN913" i="1"/>
  <c r="AI913" i="1"/>
  <c r="AD913" i="1"/>
  <c r="Y913" i="1"/>
  <c r="T913" i="1"/>
  <c r="O913" i="1"/>
  <c r="J913" i="1"/>
  <c r="BC912" i="1"/>
  <c r="AX912" i="1"/>
  <c r="AS912" i="1"/>
  <c r="AN912" i="1"/>
  <c r="AI912" i="1"/>
  <c r="AD912" i="1"/>
  <c r="Y912" i="1"/>
  <c r="T912" i="1"/>
  <c r="O912" i="1"/>
  <c r="J912" i="1"/>
  <c r="BC911" i="1"/>
  <c r="AX911" i="1"/>
  <c r="AS911" i="1"/>
  <c r="AN911" i="1"/>
  <c r="AI911" i="1"/>
  <c r="AD911" i="1"/>
  <c r="Y911" i="1"/>
  <c r="T911" i="1"/>
  <c r="O911" i="1"/>
  <c r="J911" i="1"/>
  <c r="BG910" i="1"/>
  <c r="BF910" i="1"/>
  <c r="BE910" i="1"/>
  <c r="BD910" i="1"/>
  <c r="BC910" i="1"/>
  <c r="BB910" i="1"/>
  <c r="BA910" i="1"/>
  <c r="AZ910" i="1"/>
  <c r="AY910" i="1"/>
  <c r="AX910" i="1"/>
  <c r="AW910" i="1"/>
  <c r="AV910" i="1"/>
  <c r="AU910" i="1"/>
  <c r="AT910" i="1"/>
  <c r="AS910" i="1"/>
  <c r="AR910" i="1"/>
  <c r="AQ910" i="1"/>
  <c r="AP910" i="1"/>
  <c r="AO910" i="1"/>
  <c r="AN910" i="1"/>
  <c r="AM910" i="1"/>
  <c r="AL910" i="1"/>
  <c r="AK910" i="1"/>
  <c r="AJ910" i="1"/>
  <c r="AI910" i="1"/>
  <c r="AH910" i="1"/>
  <c r="AG910" i="1"/>
  <c r="AF910" i="1"/>
  <c r="AE910" i="1"/>
  <c r="AD910" i="1"/>
  <c r="AC910" i="1"/>
  <c r="AB910" i="1"/>
  <c r="AA910" i="1"/>
  <c r="Z910" i="1"/>
  <c r="Y910" i="1"/>
  <c r="X910" i="1"/>
  <c r="W910" i="1"/>
  <c r="V910" i="1"/>
  <c r="U910" i="1"/>
  <c r="T910" i="1"/>
  <c r="S910" i="1"/>
  <c r="R910" i="1"/>
  <c r="Q910" i="1"/>
  <c r="P910" i="1"/>
  <c r="O910" i="1"/>
  <c r="N910" i="1"/>
  <c r="M910" i="1"/>
  <c r="L910" i="1"/>
  <c r="K910" i="1"/>
  <c r="J910" i="1"/>
  <c r="I910" i="1"/>
  <c r="H910" i="1"/>
  <c r="G910" i="1"/>
  <c r="F910" i="1"/>
  <c r="E910" i="1"/>
  <c r="D910" i="1"/>
  <c r="C910" i="1"/>
  <c r="BC909" i="1"/>
  <c r="AX909" i="1"/>
  <c r="AS909" i="1"/>
  <c r="AN909" i="1"/>
  <c r="AI909" i="1"/>
  <c r="AD909" i="1"/>
  <c r="Y909" i="1"/>
  <c r="T909" i="1"/>
  <c r="O909" i="1"/>
  <c r="J909" i="1"/>
  <c r="BC908" i="1"/>
  <c r="AX908" i="1"/>
  <c r="AS908" i="1"/>
  <c r="AN908" i="1"/>
  <c r="BC907" i="1"/>
  <c r="AX907" i="1"/>
  <c r="AS907" i="1"/>
  <c r="AN907" i="1"/>
  <c r="AI907" i="1"/>
  <c r="AD907" i="1"/>
  <c r="Y907" i="1"/>
  <c r="T907" i="1"/>
  <c r="O907" i="1"/>
  <c r="J907" i="1"/>
  <c r="BC906" i="1"/>
  <c r="AX906" i="1"/>
  <c r="AS906" i="1"/>
  <c r="AN906" i="1"/>
  <c r="AI906" i="1"/>
  <c r="AD906" i="1"/>
  <c r="BC905" i="1"/>
  <c r="AX905" i="1"/>
  <c r="AS905" i="1"/>
  <c r="AN905" i="1"/>
  <c r="AI905" i="1"/>
  <c r="AD905" i="1"/>
  <c r="Y905" i="1"/>
  <c r="T905" i="1"/>
  <c r="O905" i="1"/>
  <c r="J905" i="1"/>
  <c r="BC904" i="1"/>
  <c r="AX904" i="1"/>
  <c r="AS904" i="1"/>
  <c r="AN904" i="1"/>
  <c r="AI904" i="1"/>
  <c r="AD904" i="1"/>
  <c r="Y904" i="1"/>
  <c r="T904" i="1"/>
  <c r="O904" i="1"/>
  <c r="J904" i="1"/>
  <c r="BC903" i="1"/>
  <c r="AX903" i="1"/>
  <c r="AS903" i="1"/>
  <c r="AN903" i="1"/>
  <c r="AI903" i="1"/>
  <c r="AD903" i="1"/>
  <c r="Y903" i="1"/>
  <c r="T903" i="1"/>
  <c r="O903" i="1"/>
  <c r="J903" i="1"/>
  <c r="BC902" i="1"/>
  <c r="AX902" i="1"/>
  <c r="AS902" i="1"/>
  <c r="AN902" i="1"/>
  <c r="AI902" i="1"/>
  <c r="AD902" i="1"/>
  <c r="Y902" i="1"/>
  <c r="T902" i="1"/>
  <c r="O902" i="1"/>
  <c r="J902" i="1"/>
  <c r="BC901" i="1"/>
  <c r="AX901" i="1"/>
  <c r="AS901" i="1"/>
  <c r="AN901" i="1"/>
  <c r="AI901" i="1"/>
  <c r="AD901" i="1"/>
  <c r="Y901" i="1"/>
  <c r="T901" i="1"/>
  <c r="O901" i="1"/>
  <c r="J901" i="1"/>
  <c r="BG897" i="1"/>
  <c r="BF897" i="1"/>
  <c r="BE897" i="1"/>
  <c r="BD897" i="1"/>
  <c r="BC897" i="1"/>
  <c r="BB897" i="1"/>
  <c r="BA897" i="1"/>
  <c r="AZ897" i="1"/>
  <c r="AY897" i="1"/>
  <c r="AX897" i="1"/>
  <c r="AW897" i="1"/>
  <c r="AV897" i="1"/>
  <c r="AU897" i="1"/>
  <c r="AT897" i="1"/>
  <c r="AS897" i="1"/>
  <c r="AR897" i="1"/>
  <c r="AQ897" i="1"/>
  <c r="AP897" i="1"/>
  <c r="AO897" i="1"/>
  <c r="AN897" i="1"/>
  <c r="AM897" i="1"/>
  <c r="AL897" i="1"/>
  <c r="AK897" i="1"/>
  <c r="AJ897" i="1"/>
  <c r="AI897" i="1"/>
  <c r="AH897" i="1"/>
  <c r="AG897" i="1"/>
  <c r="AF897" i="1"/>
  <c r="AE897" i="1"/>
  <c r="AD897" i="1"/>
  <c r="AC897" i="1"/>
  <c r="AB897" i="1"/>
  <c r="AA897" i="1"/>
  <c r="Z897" i="1"/>
  <c r="Y897" i="1"/>
  <c r="X897" i="1"/>
  <c r="W897" i="1"/>
  <c r="V897" i="1"/>
  <c r="U897" i="1"/>
  <c r="T897" i="1"/>
  <c r="S897" i="1"/>
  <c r="R897" i="1"/>
  <c r="Q897" i="1"/>
  <c r="P897" i="1"/>
  <c r="O897" i="1"/>
  <c r="N897" i="1"/>
  <c r="M897" i="1"/>
  <c r="L897" i="1"/>
  <c r="K897" i="1"/>
  <c r="J897" i="1"/>
  <c r="I897" i="1"/>
  <c r="H897" i="1"/>
  <c r="G897" i="1"/>
  <c r="F897" i="1"/>
  <c r="E897" i="1"/>
  <c r="D897" i="1"/>
  <c r="C897" i="1"/>
  <c r="BG895" i="1"/>
  <c r="BF895" i="1"/>
  <c r="BE895" i="1"/>
  <c r="BD895" i="1"/>
  <c r="BC895" i="1"/>
  <c r="BB895" i="1"/>
  <c r="BA895" i="1"/>
  <c r="AZ895" i="1"/>
  <c r="AY895" i="1"/>
  <c r="AX895" i="1"/>
  <c r="AW895" i="1"/>
  <c r="AV895" i="1"/>
  <c r="AU895" i="1"/>
  <c r="AT895" i="1"/>
  <c r="AS895" i="1"/>
  <c r="AR895" i="1"/>
  <c r="AQ895" i="1"/>
  <c r="AP895" i="1"/>
  <c r="AO895" i="1"/>
  <c r="AN895" i="1"/>
  <c r="AM895" i="1"/>
  <c r="AL895" i="1"/>
  <c r="AK895" i="1"/>
  <c r="AJ895" i="1"/>
  <c r="AI895" i="1"/>
  <c r="AH895" i="1"/>
  <c r="AG895" i="1"/>
  <c r="AF895" i="1"/>
  <c r="AE895" i="1"/>
  <c r="AD895" i="1"/>
  <c r="AC895" i="1"/>
  <c r="AB895" i="1"/>
  <c r="AA895" i="1"/>
  <c r="Z895" i="1"/>
  <c r="Y895" i="1"/>
  <c r="X895" i="1"/>
  <c r="W895" i="1"/>
  <c r="V895" i="1"/>
  <c r="U895" i="1"/>
  <c r="T895" i="1"/>
  <c r="S895" i="1"/>
  <c r="R895" i="1"/>
  <c r="Q895" i="1"/>
  <c r="P895" i="1"/>
  <c r="O895" i="1"/>
  <c r="N895" i="1"/>
  <c r="M895" i="1"/>
  <c r="L895" i="1"/>
  <c r="K895" i="1"/>
  <c r="J895" i="1"/>
  <c r="I895" i="1"/>
  <c r="H895" i="1"/>
  <c r="G895" i="1"/>
  <c r="F895" i="1"/>
  <c r="E895" i="1"/>
  <c r="D895" i="1"/>
  <c r="C895" i="1"/>
  <c r="BG890" i="1"/>
  <c r="BF890" i="1"/>
  <c r="BE890" i="1"/>
  <c r="BD890" i="1"/>
  <c r="BC890" i="1"/>
  <c r="BB890" i="1"/>
  <c r="BA890" i="1"/>
  <c r="AZ890" i="1"/>
  <c r="AY890" i="1"/>
  <c r="AX890" i="1"/>
  <c r="AW890" i="1"/>
  <c r="AV890" i="1"/>
  <c r="BG889" i="1"/>
  <c r="BF889" i="1"/>
  <c r="BE889" i="1"/>
  <c r="BD889" i="1"/>
  <c r="BC889" i="1"/>
  <c r="BB889" i="1"/>
  <c r="BA889" i="1"/>
  <c r="AZ889" i="1"/>
  <c r="AY889" i="1"/>
  <c r="AX889" i="1"/>
  <c r="AW889" i="1"/>
  <c r="AV889" i="1"/>
  <c r="BG888" i="1"/>
  <c r="BF888" i="1"/>
  <c r="BE888" i="1"/>
  <c r="BD888" i="1"/>
  <c r="BC888" i="1"/>
  <c r="BB888" i="1"/>
  <c r="BA888" i="1"/>
  <c r="AZ888" i="1"/>
  <c r="AY888" i="1"/>
  <c r="AX888" i="1"/>
  <c r="AW888" i="1"/>
  <c r="AV888" i="1"/>
  <c r="A886" i="1"/>
  <c r="A885" i="1"/>
  <c r="A884" i="1"/>
  <c r="A883" i="1"/>
  <c r="A1130" i="1" s="1"/>
  <c r="A882" i="1"/>
  <c r="A1131" i="1" s="1"/>
  <c r="A880" i="1"/>
  <c r="A879" i="1"/>
  <c r="A878" i="1"/>
  <c r="AY875" i="1"/>
  <c r="AT875" i="1"/>
  <c r="AO875" i="1"/>
  <c r="AJ875" i="1"/>
  <c r="AE875" i="1"/>
  <c r="Z875" i="1"/>
  <c r="U875" i="1"/>
  <c r="P875" i="1"/>
  <c r="K875" i="1"/>
  <c r="F875" i="1"/>
  <c r="E875" i="1"/>
  <c r="D875" i="1"/>
  <c r="C875" i="1"/>
  <c r="AY874" i="1"/>
  <c r="AT874" i="1"/>
  <c r="AO874" i="1"/>
  <c r="AJ874" i="1"/>
  <c r="AE874" i="1"/>
  <c r="Z874" i="1"/>
  <c r="U874" i="1"/>
  <c r="P874" i="1"/>
  <c r="K874" i="1"/>
  <c r="F874" i="1"/>
  <c r="E874" i="1"/>
  <c r="D874" i="1"/>
  <c r="C874" i="1"/>
  <c r="AY873" i="1"/>
  <c r="AX873" i="1"/>
  <c r="AW873" i="1"/>
  <c r="AV873" i="1"/>
  <c r="AU873" i="1"/>
  <c r="AT873" i="1"/>
  <c r="AS873" i="1"/>
  <c r="AR873" i="1"/>
  <c r="AQ873" i="1"/>
  <c r="AP873" i="1"/>
  <c r="AO873" i="1"/>
  <c r="AN873" i="1"/>
  <c r="AM873" i="1"/>
  <c r="AL873" i="1"/>
  <c r="AK873" i="1"/>
  <c r="AJ873" i="1"/>
  <c r="AI873" i="1"/>
  <c r="AH873" i="1"/>
  <c r="AG873" i="1"/>
  <c r="AF873" i="1"/>
  <c r="AE873" i="1"/>
  <c r="AD873" i="1"/>
  <c r="AC873" i="1"/>
  <c r="AB873" i="1"/>
  <c r="AA873" i="1"/>
  <c r="Z873" i="1"/>
  <c r="Y873" i="1"/>
  <c r="X873" i="1"/>
  <c r="W873" i="1"/>
  <c r="V873" i="1"/>
  <c r="U873" i="1"/>
  <c r="T873" i="1"/>
  <c r="S873" i="1"/>
  <c r="R873" i="1"/>
  <c r="Q873" i="1"/>
  <c r="P873" i="1"/>
  <c r="O873" i="1"/>
  <c r="N873" i="1"/>
  <c r="M873" i="1"/>
  <c r="L873" i="1"/>
  <c r="K873" i="1"/>
  <c r="J873" i="1"/>
  <c r="I873" i="1"/>
  <c r="H873" i="1"/>
  <c r="G873" i="1"/>
  <c r="F873" i="1"/>
  <c r="E873" i="1"/>
  <c r="D873" i="1"/>
  <c r="C873" i="1"/>
  <c r="AY871" i="1"/>
  <c r="AX871" i="1"/>
  <c r="AW871" i="1"/>
  <c r="AV871" i="1"/>
  <c r="AU871" i="1"/>
  <c r="AT871" i="1"/>
  <c r="AS871" i="1"/>
  <c r="AR871" i="1"/>
  <c r="AQ871" i="1"/>
  <c r="AP871" i="1"/>
  <c r="AO871" i="1"/>
  <c r="AN871" i="1"/>
  <c r="AM871" i="1"/>
  <c r="AL871" i="1"/>
  <c r="AK871" i="1"/>
  <c r="AJ871" i="1"/>
  <c r="AI871" i="1"/>
  <c r="AH871" i="1"/>
  <c r="AG871" i="1"/>
  <c r="AF871" i="1"/>
  <c r="AE871" i="1"/>
  <c r="AD871" i="1"/>
  <c r="AC871" i="1"/>
  <c r="AB871" i="1"/>
  <c r="AA871" i="1"/>
  <c r="Z871" i="1"/>
  <c r="Y871" i="1"/>
  <c r="X871" i="1"/>
  <c r="W871" i="1"/>
  <c r="V871" i="1"/>
  <c r="U871" i="1"/>
  <c r="T871" i="1"/>
  <c r="S871" i="1"/>
  <c r="R871" i="1"/>
  <c r="Q871" i="1"/>
  <c r="P871" i="1"/>
  <c r="O871" i="1"/>
  <c r="N871" i="1"/>
  <c r="M871" i="1"/>
  <c r="L871" i="1"/>
  <c r="K871" i="1"/>
  <c r="J871" i="1"/>
  <c r="I871" i="1"/>
  <c r="H871" i="1"/>
  <c r="G871" i="1"/>
  <c r="F871" i="1"/>
  <c r="E871" i="1"/>
  <c r="D871" i="1"/>
  <c r="AZ870" i="1"/>
  <c r="AY870" i="1"/>
  <c r="AX870" i="1"/>
  <c r="AW870" i="1"/>
  <c r="AV870" i="1"/>
  <c r="AU870" i="1"/>
  <c r="AT870" i="1"/>
  <c r="AS870" i="1"/>
  <c r="AR870" i="1"/>
  <c r="AQ870" i="1"/>
  <c r="AP870" i="1"/>
  <c r="AO870" i="1"/>
  <c r="AN870" i="1"/>
  <c r="AM870" i="1"/>
  <c r="AL870" i="1"/>
  <c r="AK870" i="1"/>
  <c r="AJ870" i="1"/>
  <c r="AI870" i="1"/>
  <c r="AH870" i="1"/>
  <c r="AG870" i="1"/>
  <c r="AF870" i="1"/>
  <c r="AE870" i="1"/>
  <c r="AD870" i="1"/>
  <c r="AC870" i="1"/>
  <c r="AB870" i="1"/>
  <c r="AA870" i="1"/>
  <c r="Z870" i="1"/>
  <c r="Y870" i="1"/>
  <c r="X870" i="1"/>
  <c r="W870" i="1"/>
  <c r="V870" i="1"/>
  <c r="U870" i="1"/>
  <c r="T870" i="1"/>
  <c r="S870" i="1"/>
  <c r="R870" i="1"/>
  <c r="Q870" i="1"/>
  <c r="P870" i="1"/>
  <c r="O870" i="1"/>
  <c r="N870" i="1"/>
  <c r="M870" i="1"/>
  <c r="L870" i="1"/>
  <c r="K870" i="1"/>
  <c r="J870" i="1"/>
  <c r="I870" i="1"/>
  <c r="H870" i="1"/>
  <c r="G870" i="1"/>
  <c r="F870" i="1"/>
  <c r="E870" i="1"/>
  <c r="D870" i="1"/>
  <c r="C870" i="1"/>
  <c r="BG869" i="1"/>
  <c r="BF869" i="1"/>
  <c r="BE869" i="1"/>
  <c r="BC869" i="1"/>
  <c r="BB869" i="1"/>
  <c r="BA869" i="1"/>
  <c r="AZ869" i="1"/>
  <c r="AX869" i="1"/>
  <c r="AW869" i="1"/>
  <c r="AV869" i="1"/>
  <c r="AU869" i="1"/>
  <c r="AT869" i="1"/>
  <c r="AS869" i="1"/>
  <c r="AR869" i="1"/>
  <c r="AQ869" i="1"/>
  <c r="AP869" i="1"/>
  <c r="AO869" i="1"/>
  <c r="AN869" i="1"/>
  <c r="AM869" i="1"/>
  <c r="AL869" i="1"/>
  <c r="AK869" i="1"/>
  <c r="AJ869" i="1"/>
  <c r="AI869" i="1"/>
  <c r="AH869" i="1"/>
  <c r="AG869" i="1"/>
  <c r="AF869" i="1"/>
  <c r="AE869" i="1"/>
  <c r="AD869" i="1"/>
  <c r="AC869" i="1"/>
  <c r="AB869" i="1"/>
  <c r="AA869" i="1"/>
  <c r="Z869" i="1"/>
  <c r="Y869" i="1"/>
  <c r="X869" i="1"/>
  <c r="W869" i="1"/>
  <c r="V869" i="1"/>
  <c r="U869" i="1"/>
  <c r="T869" i="1"/>
  <c r="S869" i="1"/>
  <c r="R869" i="1"/>
  <c r="Q869" i="1"/>
  <c r="P869" i="1"/>
  <c r="O869" i="1"/>
  <c r="N869" i="1"/>
  <c r="M869" i="1"/>
  <c r="L869" i="1"/>
  <c r="K869" i="1"/>
  <c r="J869" i="1"/>
  <c r="I869" i="1"/>
  <c r="H869" i="1"/>
  <c r="G869" i="1"/>
  <c r="F869" i="1"/>
  <c r="E869" i="1"/>
  <c r="D869" i="1"/>
  <c r="AZ868" i="1"/>
  <c r="AY868" i="1"/>
  <c r="AY869" i="1" s="1"/>
  <c r="AX868" i="1"/>
  <c r="AW868" i="1"/>
  <c r="AW808" i="1" s="1"/>
  <c r="AV868" i="1"/>
  <c r="AU868" i="1"/>
  <c r="AT868" i="1"/>
  <c r="AS868" i="1"/>
  <c r="AR868" i="1"/>
  <c r="AQ868" i="1"/>
  <c r="AP868" i="1"/>
  <c r="AO868" i="1"/>
  <c r="AN868" i="1"/>
  <c r="AM868" i="1"/>
  <c r="AL868" i="1"/>
  <c r="AK868" i="1"/>
  <c r="AJ868" i="1"/>
  <c r="AI868" i="1"/>
  <c r="AH868" i="1"/>
  <c r="AG868" i="1"/>
  <c r="AF868" i="1"/>
  <c r="AE868" i="1"/>
  <c r="AD868" i="1"/>
  <c r="AC868" i="1"/>
  <c r="AB868" i="1"/>
  <c r="AA868" i="1"/>
  <c r="Z868" i="1"/>
  <c r="Y868" i="1"/>
  <c r="X868" i="1"/>
  <c r="W868" i="1"/>
  <c r="V868" i="1"/>
  <c r="U868" i="1"/>
  <c r="T868" i="1"/>
  <c r="S868" i="1"/>
  <c r="R868" i="1"/>
  <c r="Q868" i="1"/>
  <c r="P868" i="1"/>
  <c r="O868" i="1"/>
  <c r="N868" i="1"/>
  <c r="M868" i="1"/>
  <c r="L868" i="1"/>
  <c r="K868" i="1"/>
  <c r="J868" i="1"/>
  <c r="I868" i="1"/>
  <c r="H868" i="1"/>
  <c r="G868" i="1"/>
  <c r="F868" i="1"/>
  <c r="E868" i="1"/>
  <c r="D868" i="1"/>
  <c r="C868" i="1"/>
  <c r="BG867" i="1"/>
  <c r="BF867" i="1"/>
  <c r="BE867" i="1"/>
  <c r="BD867" i="1"/>
  <c r="BC867" i="1"/>
  <c r="BB867" i="1"/>
  <c r="BA867" i="1"/>
  <c r="AZ867" i="1"/>
  <c r="AY867" i="1"/>
  <c r="AX867" i="1"/>
  <c r="AW867" i="1"/>
  <c r="AV867" i="1"/>
  <c r="AU867" i="1"/>
  <c r="AT867" i="1"/>
  <c r="AS867" i="1"/>
  <c r="AR867" i="1"/>
  <c r="AQ867" i="1"/>
  <c r="AP867" i="1"/>
  <c r="AO867" i="1"/>
  <c r="AN867" i="1"/>
  <c r="AM867" i="1"/>
  <c r="AL867" i="1"/>
  <c r="AK867" i="1"/>
  <c r="AJ867" i="1"/>
  <c r="AI867" i="1"/>
  <c r="AH867" i="1"/>
  <c r="AG867" i="1"/>
  <c r="AF867" i="1"/>
  <c r="AE867" i="1"/>
  <c r="AD867" i="1"/>
  <c r="AC867" i="1"/>
  <c r="AB867" i="1"/>
  <c r="AA867" i="1"/>
  <c r="Z867" i="1"/>
  <c r="Y867" i="1"/>
  <c r="X867" i="1"/>
  <c r="W867" i="1"/>
  <c r="V867" i="1"/>
  <c r="U867" i="1"/>
  <c r="T867" i="1"/>
  <c r="S867" i="1"/>
  <c r="R867" i="1"/>
  <c r="Q867" i="1"/>
  <c r="P867" i="1"/>
  <c r="O867" i="1"/>
  <c r="N867" i="1"/>
  <c r="M867" i="1"/>
  <c r="L867" i="1"/>
  <c r="K867" i="1"/>
  <c r="J867" i="1"/>
  <c r="I867" i="1"/>
  <c r="H867" i="1"/>
  <c r="G867" i="1"/>
  <c r="F867" i="1"/>
  <c r="E867" i="1"/>
  <c r="D867" i="1"/>
  <c r="BG866" i="1"/>
  <c r="BF866" i="1"/>
  <c r="BE866" i="1"/>
  <c r="BD866" i="1"/>
  <c r="BC866" i="1"/>
  <c r="BB866" i="1"/>
  <c r="BA866" i="1"/>
  <c r="AZ866" i="1"/>
  <c r="AY866" i="1"/>
  <c r="AX866" i="1"/>
  <c r="AW866" i="1"/>
  <c r="AV866" i="1"/>
  <c r="AU866" i="1"/>
  <c r="AT866" i="1"/>
  <c r="AS866" i="1"/>
  <c r="AR866" i="1"/>
  <c r="AQ866" i="1"/>
  <c r="AP866" i="1"/>
  <c r="AO866" i="1"/>
  <c r="AN866" i="1"/>
  <c r="AM866" i="1"/>
  <c r="AL866" i="1"/>
  <c r="AK866" i="1"/>
  <c r="AJ866" i="1"/>
  <c r="AI866" i="1"/>
  <c r="AH866" i="1"/>
  <c r="AG866" i="1"/>
  <c r="AF866" i="1"/>
  <c r="AE866" i="1"/>
  <c r="AD866" i="1"/>
  <c r="AC866" i="1"/>
  <c r="AB866" i="1"/>
  <c r="AA866" i="1"/>
  <c r="Z866" i="1"/>
  <c r="Y866" i="1"/>
  <c r="X866" i="1"/>
  <c r="W866" i="1"/>
  <c r="V866" i="1"/>
  <c r="U866" i="1"/>
  <c r="T866" i="1"/>
  <c r="S866" i="1"/>
  <c r="R866" i="1"/>
  <c r="Q866" i="1"/>
  <c r="P866" i="1"/>
  <c r="O866" i="1"/>
  <c r="N866" i="1"/>
  <c r="M866" i="1"/>
  <c r="L866" i="1"/>
  <c r="K866" i="1"/>
  <c r="J866" i="1"/>
  <c r="I866" i="1"/>
  <c r="H866" i="1"/>
  <c r="G866" i="1"/>
  <c r="F866" i="1"/>
  <c r="E866" i="1"/>
  <c r="D866" i="1"/>
  <c r="C866" i="1"/>
  <c r="AY864" i="1"/>
  <c r="AX864" i="1"/>
  <c r="AW864" i="1"/>
  <c r="AV864" i="1"/>
  <c r="AU864" i="1"/>
  <c r="AT864" i="1"/>
  <c r="AS864" i="1"/>
  <c r="AR864" i="1"/>
  <c r="AQ864" i="1"/>
  <c r="AP864" i="1"/>
  <c r="AO864" i="1"/>
  <c r="AN864" i="1"/>
  <c r="AM864" i="1"/>
  <c r="AL864" i="1"/>
  <c r="AK864" i="1"/>
  <c r="AJ864" i="1"/>
  <c r="AI864" i="1"/>
  <c r="AH864" i="1"/>
  <c r="AG864" i="1"/>
  <c r="AF864" i="1"/>
  <c r="AE864" i="1"/>
  <c r="AD864" i="1"/>
  <c r="AC864" i="1"/>
  <c r="AB864" i="1"/>
  <c r="AA864" i="1"/>
  <c r="Z864" i="1"/>
  <c r="Y864" i="1"/>
  <c r="X864" i="1"/>
  <c r="W864" i="1"/>
  <c r="V864" i="1"/>
  <c r="U864" i="1"/>
  <c r="T864" i="1"/>
  <c r="S864" i="1"/>
  <c r="R864" i="1"/>
  <c r="Q864" i="1"/>
  <c r="P864" i="1"/>
  <c r="O864" i="1"/>
  <c r="N864" i="1"/>
  <c r="M864" i="1"/>
  <c r="L864" i="1"/>
  <c r="K864" i="1"/>
  <c r="J864" i="1"/>
  <c r="I864" i="1"/>
  <c r="H864" i="1"/>
  <c r="G864" i="1"/>
  <c r="F864" i="1"/>
  <c r="E864" i="1"/>
  <c r="D864" i="1"/>
  <c r="C864" i="1"/>
  <c r="BG863" i="1"/>
  <c r="BF863" i="1"/>
  <c r="BE863" i="1"/>
  <c r="BD863" i="1"/>
  <c r="BC863" i="1"/>
  <c r="BB863" i="1"/>
  <c r="BA863" i="1"/>
  <c r="AZ863" i="1"/>
  <c r="AY863" i="1"/>
  <c r="AX863" i="1"/>
  <c r="AW863" i="1"/>
  <c r="AV863" i="1"/>
  <c r="AU863" i="1"/>
  <c r="AT863" i="1"/>
  <c r="AS863" i="1"/>
  <c r="AR863" i="1"/>
  <c r="AQ863" i="1"/>
  <c r="AP863" i="1"/>
  <c r="AO863" i="1"/>
  <c r="AN863" i="1"/>
  <c r="AM863" i="1"/>
  <c r="AL863" i="1"/>
  <c r="AK863" i="1"/>
  <c r="AJ863" i="1"/>
  <c r="AI863" i="1"/>
  <c r="AH863" i="1"/>
  <c r="AG863" i="1"/>
  <c r="AF863" i="1"/>
  <c r="AE863" i="1"/>
  <c r="AD863" i="1"/>
  <c r="AC863" i="1"/>
  <c r="AB863" i="1"/>
  <c r="AA863" i="1"/>
  <c r="Z863" i="1"/>
  <c r="Y863" i="1"/>
  <c r="X863" i="1"/>
  <c r="W863" i="1"/>
  <c r="V863" i="1"/>
  <c r="U863" i="1"/>
  <c r="T863" i="1"/>
  <c r="S863" i="1"/>
  <c r="R863" i="1"/>
  <c r="Q863" i="1"/>
  <c r="P863" i="1"/>
  <c r="O863" i="1"/>
  <c r="N863" i="1"/>
  <c r="M863" i="1"/>
  <c r="L863" i="1"/>
  <c r="K863" i="1"/>
  <c r="J863" i="1"/>
  <c r="I863" i="1"/>
  <c r="H863" i="1"/>
  <c r="G863" i="1"/>
  <c r="F863" i="1"/>
  <c r="E863" i="1"/>
  <c r="D863" i="1"/>
  <c r="C863" i="1"/>
  <c r="BG862" i="1"/>
  <c r="BF862" i="1"/>
  <c r="BE862" i="1"/>
  <c r="BD862" i="1"/>
  <c r="BC862" i="1"/>
  <c r="BB862" i="1"/>
  <c r="BA862" i="1"/>
  <c r="AZ862" i="1"/>
  <c r="AY862" i="1"/>
  <c r="AX862" i="1"/>
  <c r="AW862" i="1"/>
  <c r="AV862" i="1"/>
  <c r="AU862" i="1"/>
  <c r="AT862" i="1"/>
  <c r="AS862" i="1"/>
  <c r="AR862" i="1"/>
  <c r="AQ862" i="1"/>
  <c r="AP862" i="1"/>
  <c r="AO862" i="1"/>
  <c r="AN862" i="1"/>
  <c r="AM862" i="1"/>
  <c r="AL862" i="1"/>
  <c r="AK862" i="1"/>
  <c r="AJ862" i="1"/>
  <c r="AI862" i="1"/>
  <c r="AH862" i="1"/>
  <c r="AG862" i="1"/>
  <c r="AF862" i="1"/>
  <c r="AE862" i="1"/>
  <c r="AD862" i="1"/>
  <c r="AC862" i="1"/>
  <c r="AB862" i="1"/>
  <c r="AA862" i="1"/>
  <c r="Z862" i="1"/>
  <c r="Y862" i="1"/>
  <c r="X862" i="1"/>
  <c r="W862" i="1"/>
  <c r="V862" i="1"/>
  <c r="U862" i="1"/>
  <c r="T862" i="1"/>
  <c r="S862" i="1"/>
  <c r="R862" i="1"/>
  <c r="Q862" i="1"/>
  <c r="P862" i="1"/>
  <c r="O862" i="1"/>
  <c r="N862" i="1"/>
  <c r="M862" i="1"/>
  <c r="L862" i="1"/>
  <c r="K862" i="1"/>
  <c r="J862" i="1"/>
  <c r="I862" i="1"/>
  <c r="H862" i="1"/>
  <c r="G862" i="1"/>
  <c r="F862" i="1"/>
  <c r="E862" i="1"/>
  <c r="D862" i="1"/>
  <c r="C862" i="1"/>
  <c r="BG861" i="1"/>
  <c r="BF861" i="1"/>
  <c r="BE861" i="1"/>
  <c r="BD861" i="1"/>
  <c r="BC861" i="1"/>
  <c r="BB861" i="1"/>
  <c r="BA861" i="1"/>
  <c r="AZ861" i="1"/>
  <c r="AY861" i="1"/>
  <c r="AX861" i="1"/>
  <c r="AW861" i="1"/>
  <c r="AV861" i="1"/>
  <c r="AU861" i="1"/>
  <c r="AT861" i="1"/>
  <c r="AS861" i="1"/>
  <c r="AR861" i="1"/>
  <c r="AQ861" i="1"/>
  <c r="AP861" i="1"/>
  <c r="AO861" i="1"/>
  <c r="AN861" i="1"/>
  <c r="AM861" i="1"/>
  <c r="AL861" i="1"/>
  <c r="AK861" i="1"/>
  <c r="AJ861" i="1"/>
  <c r="AI861" i="1"/>
  <c r="AH861" i="1"/>
  <c r="AG861" i="1"/>
  <c r="AF861" i="1"/>
  <c r="AE861" i="1"/>
  <c r="AD861" i="1"/>
  <c r="AC861" i="1"/>
  <c r="AB861" i="1"/>
  <c r="AA861" i="1"/>
  <c r="Z861" i="1"/>
  <c r="Y861" i="1"/>
  <c r="X861" i="1"/>
  <c r="W861" i="1"/>
  <c r="V861" i="1"/>
  <c r="U861" i="1"/>
  <c r="T861" i="1"/>
  <c r="S861" i="1"/>
  <c r="R861" i="1"/>
  <c r="Q861" i="1"/>
  <c r="P861" i="1"/>
  <c r="O861" i="1"/>
  <c r="N861" i="1"/>
  <c r="M861" i="1"/>
  <c r="L861" i="1"/>
  <c r="K861" i="1"/>
  <c r="J861" i="1"/>
  <c r="I861" i="1"/>
  <c r="H861" i="1"/>
  <c r="G861" i="1"/>
  <c r="F861" i="1"/>
  <c r="E861" i="1"/>
  <c r="D861" i="1"/>
  <c r="C861" i="1"/>
  <c r="BG860" i="1"/>
  <c r="BF860" i="1"/>
  <c r="BE860" i="1"/>
  <c r="BD860" i="1"/>
  <c r="BC860" i="1"/>
  <c r="BB860" i="1"/>
  <c r="BA860" i="1"/>
  <c r="AZ860" i="1"/>
  <c r="AY860" i="1"/>
  <c r="AX860" i="1"/>
  <c r="AW860" i="1"/>
  <c r="AV860" i="1"/>
  <c r="AU860" i="1"/>
  <c r="AT860" i="1"/>
  <c r="AS860" i="1"/>
  <c r="AR860" i="1"/>
  <c r="AQ860" i="1"/>
  <c r="AP860" i="1"/>
  <c r="AO860" i="1"/>
  <c r="AN860" i="1"/>
  <c r="AM860" i="1"/>
  <c r="AL860" i="1"/>
  <c r="AK860" i="1"/>
  <c r="AJ860" i="1"/>
  <c r="AI860" i="1"/>
  <c r="AH860" i="1"/>
  <c r="AG860" i="1"/>
  <c r="AF860" i="1"/>
  <c r="AE860" i="1"/>
  <c r="AD860" i="1"/>
  <c r="AC860" i="1"/>
  <c r="AB860" i="1"/>
  <c r="AA860" i="1"/>
  <c r="Z860" i="1"/>
  <c r="Y860" i="1"/>
  <c r="X860" i="1"/>
  <c r="W860" i="1"/>
  <c r="V860" i="1"/>
  <c r="U860" i="1"/>
  <c r="T860" i="1"/>
  <c r="S860" i="1"/>
  <c r="R860" i="1"/>
  <c r="Q860" i="1"/>
  <c r="P860" i="1"/>
  <c r="O860" i="1"/>
  <c r="N860" i="1"/>
  <c r="M860" i="1"/>
  <c r="L860" i="1"/>
  <c r="K860" i="1"/>
  <c r="J860" i="1"/>
  <c r="I860" i="1"/>
  <c r="H860" i="1"/>
  <c r="G860" i="1"/>
  <c r="F860" i="1"/>
  <c r="E860" i="1"/>
  <c r="D860" i="1"/>
  <c r="C860" i="1"/>
  <c r="AY859" i="1"/>
  <c r="AX859" i="1"/>
  <c r="AW859" i="1"/>
  <c r="AV859" i="1"/>
  <c r="AU859" i="1"/>
  <c r="AT859" i="1"/>
  <c r="AS859" i="1"/>
  <c r="AR859" i="1"/>
  <c r="AQ859" i="1"/>
  <c r="AP859" i="1"/>
  <c r="AO859" i="1"/>
  <c r="AN859" i="1"/>
  <c r="AM859" i="1"/>
  <c r="AL859" i="1"/>
  <c r="AK859" i="1"/>
  <c r="AJ859" i="1"/>
  <c r="AI859" i="1"/>
  <c r="AH859" i="1"/>
  <c r="AG859" i="1"/>
  <c r="AF859" i="1"/>
  <c r="AE859" i="1"/>
  <c r="AD859" i="1"/>
  <c r="AC859" i="1"/>
  <c r="AB859" i="1"/>
  <c r="AA859" i="1"/>
  <c r="Z859" i="1"/>
  <c r="Y859" i="1"/>
  <c r="X859" i="1"/>
  <c r="W859" i="1"/>
  <c r="V859" i="1"/>
  <c r="U859" i="1"/>
  <c r="T859" i="1"/>
  <c r="S859" i="1"/>
  <c r="R859" i="1"/>
  <c r="Q859" i="1"/>
  <c r="P859" i="1"/>
  <c r="O859" i="1"/>
  <c r="N859" i="1"/>
  <c r="M859" i="1"/>
  <c r="L859" i="1"/>
  <c r="K859" i="1"/>
  <c r="J859" i="1"/>
  <c r="I859" i="1"/>
  <c r="H859" i="1"/>
  <c r="G859" i="1"/>
  <c r="F859" i="1"/>
  <c r="E859" i="1"/>
  <c r="D859" i="1"/>
  <c r="C859" i="1"/>
  <c r="AY856" i="1"/>
  <c r="AX856" i="1"/>
  <c r="AW856" i="1"/>
  <c r="AV856" i="1"/>
  <c r="AU856" i="1"/>
  <c r="AT856" i="1"/>
  <c r="AS856" i="1"/>
  <c r="AR856" i="1"/>
  <c r="AQ856" i="1"/>
  <c r="AP856" i="1"/>
  <c r="AO856" i="1"/>
  <c r="AN856" i="1"/>
  <c r="AM856" i="1"/>
  <c r="AL856" i="1"/>
  <c r="AK856" i="1"/>
  <c r="AJ856" i="1"/>
  <c r="AI856" i="1"/>
  <c r="AH856" i="1"/>
  <c r="AG856" i="1"/>
  <c r="AF856" i="1"/>
  <c r="AE856" i="1"/>
  <c r="AD856" i="1"/>
  <c r="AC856" i="1"/>
  <c r="AB856" i="1"/>
  <c r="AA856" i="1"/>
  <c r="Z856" i="1"/>
  <c r="Y856" i="1"/>
  <c r="X856" i="1"/>
  <c r="W856" i="1"/>
  <c r="V856" i="1"/>
  <c r="U856" i="1"/>
  <c r="T856" i="1"/>
  <c r="S856" i="1"/>
  <c r="R856" i="1"/>
  <c r="Q856" i="1"/>
  <c r="P856" i="1"/>
  <c r="O856" i="1"/>
  <c r="N856" i="1"/>
  <c r="M856" i="1"/>
  <c r="L856" i="1"/>
  <c r="K856" i="1"/>
  <c r="J856" i="1"/>
  <c r="I856" i="1"/>
  <c r="H856" i="1"/>
  <c r="G856" i="1"/>
  <c r="F856" i="1"/>
  <c r="E856" i="1"/>
  <c r="D856" i="1"/>
  <c r="C856" i="1"/>
  <c r="AY855" i="1"/>
  <c r="AX855" i="1"/>
  <c r="AW855" i="1"/>
  <c r="AV855" i="1"/>
  <c r="AU855" i="1"/>
  <c r="AT855" i="1"/>
  <c r="AS855" i="1"/>
  <c r="AR855" i="1"/>
  <c r="AQ855" i="1"/>
  <c r="AP855" i="1"/>
  <c r="AO855" i="1"/>
  <c r="AN855" i="1"/>
  <c r="AM855" i="1"/>
  <c r="AL855" i="1"/>
  <c r="AK855" i="1"/>
  <c r="AJ855" i="1"/>
  <c r="AI855" i="1"/>
  <c r="AH855" i="1"/>
  <c r="AG855" i="1"/>
  <c r="AF855" i="1"/>
  <c r="AE855" i="1"/>
  <c r="AD855" i="1"/>
  <c r="AC855" i="1"/>
  <c r="AB855" i="1"/>
  <c r="AA855" i="1"/>
  <c r="Z855" i="1"/>
  <c r="Y855" i="1"/>
  <c r="X855" i="1"/>
  <c r="W855" i="1"/>
  <c r="V855" i="1"/>
  <c r="U855" i="1"/>
  <c r="T855" i="1"/>
  <c r="S855" i="1"/>
  <c r="R855" i="1"/>
  <c r="Q855" i="1"/>
  <c r="P855" i="1"/>
  <c r="O855" i="1"/>
  <c r="N855" i="1"/>
  <c r="M855" i="1"/>
  <c r="L855" i="1"/>
  <c r="K855" i="1"/>
  <c r="J855" i="1"/>
  <c r="I855" i="1"/>
  <c r="H855" i="1"/>
  <c r="G855" i="1"/>
  <c r="F855" i="1"/>
  <c r="E855" i="1"/>
  <c r="D855" i="1"/>
  <c r="C855" i="1"/>
  <c r="AY854" i="1"/>
  <c r="AX854" i="1"/>
  <c r="AW854" i="1"/>
  <c r="AV854" i="1"/>
  <c r="AU854" i="1"/>
  <c r="AT854" i="1"/>
  <c r="AS854" i="1"/>
  <c r="AR854" i="1"/>
  <c r="AQ854" i="1"/>
  <c r="AP854" i="1"/>
  <c r="AO854" i="1"/>
  <c r="AN854" i="1"/>
  <c r="AM854" i="1"/>
  <c r="AL854" i="1"/>
  <c r="AK854" i="1"/>
  <c r="AJ854" i="1"/>
  <c r="AI854" i="1"/>
  <c r="AH854" i="1"/>
  <c r="AG854" i="1"/>
  <c r="AF854" i="1"/>
  <c r="AE854" i="1"/>
  <c r="AD854" i="1"/>
  <c r="AC854" i="1"/>
  <c r="AB854" i="1"/>
  <c r="AA854" i="1"/>
  <c r="Z854" i="1"/>
  <c r="Y854" i="1"/>
  <c r="X854" i="1"/>
  <c r="W854" i="1"/>
  <c r="V854" i="1"/>
  <c r="U854" i="1"/>
  <c r="T854" i="1"/>
  <c r="S854" i="1"/>
  <c r="R854" i="1"/>
  <c r="Q854" i="1"/>
  <c r="P854" i="1"/>
  <c r="O854" i="1"/>
  <c r="N854" i="1"/>
  <c r="M854" i="1"/>
  <c r="L854" i="1"/>
  <c r="K854" i="1"/>
  <c r="J854" i="1"/>
  <c r="I854" i="1"/>
  <c r="H854" i="1"/>
  <c r="G854" i="1"/>
  <c r="F854" i="1"/>
  <c r="E854" i="1"/>
  <c r="D854" i="1"/>
  <c r="C854" i="1"/>
  <c r="AY853" i="1"/>
  <c r="AX853" i="1"/>
  <c r="AW853" i="1"/>
  <c r="AV853" i="1"/>
  <c r="AU853" i="1"/>
  <c r="AT853" i="1"/>
  <c r="AS853" i="1"/>
  <c r="AR853" i="1"/>
  <c r="AQ853" i="1"/>
  <c r="AP853" i="1"/>
  <c r="AO853" i="1"/>
  <c r="AN853" i="1"/>
  <c r="AM853" i="1"/>
  <c r="AL853" i="1"/>
  <c r="AK853" i="1"/>
  <c r="AJ853" i="1"/>
  <c r="AI853" i="1"/>
  <c r="AH853" i="1"/>
  <c r="AG853" i="1"/>
  <c r="AF853" i="1"/>
  <c r="AE853" i="1"/>
  <c r="AD853" i="1"/>
  <c r="AC853" i="1"/>
  <c r="AB853" i="1"/>
  <c r="AA853" i="1"/>
  <c r="Z853" i="1"/>
  <c r="Y853" i="1"/>
  <c r="X853" i="1"/>
  <c r="W853" i="1"/>
  <c r="V853" i="1"/>
  <c r="U853" i="1"/>
  <c r="T853" i="1"/>
  <c r="S853" i="1"/>
  <c r="R853" i="1"/>
  <c r="Q853" i="1"/>
  <c r="P853" i="1"/>
  <c r="O853" i="1"/>
  <c r="N853" i="1"/>
  <c r="M853" i="1"/>
  <c r="L853" i="1"/>
  <c r="K853" i="1"/>
  <c r="J853" i="1"/>
  <c r="I853" i="1"/>
  <c r="H853" i="1"/>
  <c r="G853" i="1"/>
  <c r="F853" i="1"/>
  <c r="E853" i="1"/>
  <c r="D853" i="1"/>
  <c r="C853" i="1"/>
  <c r="BG851" i="1"/>
  <c r="BF851" i="1"/>
  <c r="BE851" i="1"/>
  <c r="BD851" i="1"/>
  <c r="BC851" i="1"/>
  <c r="BB851" i="1"/>
  <c r="BA851" i="1"/>
  <c r="AZ851" i="1"/>
  <c r="AY851" i="1"/>
  <c r="AX851" i="1"/>
  <c r="AW851" i="1"/>
  <c r="AV851" i="1"/>
  <c r="BG850" i="1"/>
  <c r="BF850" i="1"/>
  <c r="BE850" i="1"/>
  <c r="BD850" i="1"/>
  <c r="BC850" i="1"/>
  <c r="BB850" i="1"/>
  <c r="BA850" i="1"/>
  <c r="AZ850" i="1"/>
  <c r="AY850" i="1"/>
  <c r="AX850" i="1"/>
  <c r="AW850" i="1"/>
  <c r="AV850" i="1"/>
  <c r="AU850" i="1"/>
  <c r="AT850" i="1"/>
  <c r="AS850" i="1"/>
  <c r="AR850" i="1"/>
  <c r="AQ850" i="1"/>
  <c r="AP850" i="1"/>
  <c r="AO850" i="1"/>
  <c r="AN850" i="1"/>
  <c r="AM850" i="1"/>
  <c r="AL850" i="1"/>
  <c r="AK850" i="1"/>
  <c r="AJ850" i="1"/>
  <c r="AI850" i="1"/>
  <c r="AH850" i="1"/>
  <c r="AG850" i="1"/>
  <c r="AF850" i="1"/>
  <c r="AE850" i="1"/>
  <c r="AD850" i="1"/>
  <c r="AC850" i="1"/>
  <c r="AB850" i="1"/>
  <c r="AA850" i="1"/>
  <c r="Z850" i="1"/>
  <c r="Y850" i="1"/>
  <c r="X850" i="1"/>
  <c r="W850" i="1"/>
  <c r="V850" i="1"/>
  <c r="U850" i="1"/>
  <c r="T850" i="1"/>
  <c r="S850" i="1"/>
  <c r="R850" i="1"/>
  <c r="Q850" i="1"/>
  <c r="P850" i="1"/>
  <c r="O850" i="1"/>
  <c r="N850" i="1"/>
  <c r="M850" i="1"/>
  <c r="L850" i="1"/>
  <c r="K850" i="1"/>
  <c r="J850" i="1"/>
  <c r="I850" i="1"/>
  <c r="H850" i="1"/>
  <c r="G850" i="1"/>
  <c r="F850" i="1"/>
  <c r="E850" i="1"/>
  <c r="D850" i="1"/>
  <c r="C850" i="1"/>
  <c r="BG849" i="1"/>
  <c r="BF849" i="1"/>
  <c r="BE849" i="1"/>
  <c r="BD849" i="1"/>
  <c r="BC849" i="1"/>
  <c r="BB849" i="1"/>
  <c r="BA849" i="1"/>
  <c r="AZ849" i="1"/>
  <c r="AY849" i="1"/>
  <c r="AX849" i="1"/>
  <c r="AW849" i="1"/>
  <c r="AV849" i="1"/>
  <c r="AU849" i="1"/>
  <c r="AT849" i="1"/>
  <c r="AS849" i="1"/>
  <c r="AR849" i="1"/>
  <c r="AQ849" i="1"/>
  <c r="AP849" i="1"/>
  <c r="AO849" i="1"/>
  <c r="AN849" i="1"/>
  <c r="AM849" i="1"/>
  <c r="AL849" i="1"/>
  <c r="AK849" i="1"/>
  <c r="AJ849" i="1"/>
  <c r="AI849" i="1"/>
  <c r="AH849" i="1"/>
  <c r="AG849" i="1"/>
  <c r="AF849" i="1"/>
  <c r="AE849" i="1"/>
  <c r="AD849" i="1"/>
  <c r="AC849" i="1"/>
  <c r="AB849" i="1"/>
  <c r="AA849" i="1"/>
  <c r="Z849" i="1"/>
  <c r="Y849" i="1"/>
  <c r="X849" i="1"/>
  <c r="W849" i="1"/>
  <c r="V849" i="1"/>
  <c r="U849" i="1"/>
  <c r="T849" i="1"/>
  <c r="S849" i="1"/>
  <c r="R849" i="1"/>
  <c r="Q849" i="1"/>
  <c r="P849" i="1"/>
  <c r="O849" i="1"/>
  <c r="N849" i="1"/>
  <c r="M849" i="1"/>
  <c r="L849" i="1"/>
  <c r="K849" i="1"/>
  <c r="J849" i="1"/>
  <c r="I849" i="1"/>
  <c r="H849" i="1"/>
  <c r="G849" i="1"/>
  <c r="F849" i="1"/>
  <c r="E849" i="1"/>
  <c r="D849" i="1"/>
  <c r="C849" i="1"/>
  <c r="BG847" i="1"/>
  <c r="BF847" i="1"/>
  <c r="BE847" i="1"/>
  <c r="BD847" i="1"/>
  <c r="BC847" i="1"/>
  <c r="BB847" i="1"/>
  <c r="BA847" i="1"/>
  <c r="AZ847" i="1"/>
  <c r="AY847" i="1"/>
  <c r="AX847" i="1"/>
  <c r="AW847" i="1"/>
  <c r="AV847" i="1"/>
  <c r="AT847" i="1"/>
  <c r="AO847" i="1"/>
  <c r="AJ847" i="1"/>
  <c r="AE847" i="1"/>
  <c r="Z847" i="1"/>
  <c r="U847" i="1"/>
  <c r="P847" i="1"/>
  <c r="K847" i="1"/>
  <c r="BD846" i="1"/>
  <c r="AY846" i="1"/>
  <c r="AU846" i="1"/>
  <c r="AT846" i="1"/>
  <c r="AS846" i="1"/>
  <c r="AR846" i="1"/>
  <c r="AQ846" i="1"/>
  <c r="AP846" i="1"/>
  <c r="AO846" i="1"/>
  <c r="AN846" i="1"/>
  <c r="AM846" i="1"/>
  <c r="AL846" i="1"/>
  <c r="AK846" i="1"/>
  <c r="AJ846" i="1"/>
  <c r="AI846" i="1"/>
  <c r="AH846" i="1"/>
  <c r="AG846" i="1"/>
  <c r="AF846" i="1"/>
  <c r="AE846" i="1"/>
  <c r="AD846" i="1"/>
  <c r="AC846" i="1"/>
  <c r="AB846" i="1"/>
  <c r="AA846" i="1"/>
  <c r="Z846" i="1"/>
  <c r="Y846" i="1"/>
  <c r="X846" i="1"/>
  <c r="W846" i="1"/>
  <c r="V846" i="1"/>
  <c r="U846" i="1"/>
  <c r="T846" i="1"/>
  <c r="S846" i="1"/>
  <c r="R846" i="1"/>
  <c r="Q846" i="1"/>
  <c r="P846" i="1"/>
  <c r="O846" i="1"/>
  <c r="N846" i="1"/>
  <c r="M846" i="1"/>
  <c r="L846" i="1"/>
  <c r="K846" i="1"/>
  <c r="J846" i="1"/>
  <c r="I846" i="1"/>
  <c r="H846" i="1"/>
  <c r="G846" i="1"/>
  <c r="F846" i="1"/>
  <c r="E846" i="1"/>
  <c r="D846" i="1"/>
  <c r="C846" i="1"/>
  <c r="BG845" i="1"/>
  <c r="BF845" i="1"/>
  <c r="BE845" i="1"/>
  <c r="BD845" i="1"/>
  <c r="BC845" i="1"/>
  <c r="BB845" i="1"/>
  <c r="BA845" i="1"/>
  <c r="AZ845" i="1"/>
  <c r="AY845" i="1"/>
  <c r="AX845" i="1"/>
  <c r="AW845" i="1"/>
  <c r="AV845" i="1"/>
  <c r="AU845" i="1"/>
  <c r="AT845" i="1"/>
  <c r="AS845" i="1"/>
  <c r="AR845" i="1"/>
  <c r="AQ845" i="1"/>
  <c r="AP845" i="1"/>
  <c r="AO845" i="1"/>
  <c r="AN845" i="1"/>
  <c r="AM845" i="1"/>
  <c r="AL845" i="1"/>
  <c r="AK845" i="1"/>
  <c r="AJ845" i="1"/>
  <c r="AI845" i="1"/>
  <c r="AH845" i="1"/>
  <c r="AG845" i="1"/>
  <c r="AF845" i="1"/>
  <c r="AE845" i="1"/>
  <c r="AD845" i="1"/>
  <c r="AC845" i="1"/>
  <c r="AB845" i="1"/>
  <c r="AA845" i="1"/>
  <c r="Z845" i="1"/>
  <c r="Y845" i="1"/>
  <c r="X845" i="1"/>
  <c r="W845" i="1"/>
  <c r="V845" i="1"/>
  <c r="U845" i="1"/>
  <c r="T845" i="1"/>
  <c r="S845" i="1"/>
  <c r="R845" i="1"/>
  <c r="Q845" i="1"/>
  <c r="P845" i="1"/>
  <c r="O845" i="1"/>
  <c r="N845" i="1"/>
  <c r="M845" i="1"/>
  <c r="L845" i="1"/>
  <c r="K845" i="1"/>
  <c r="J845" i="1"/>
  <c r="I845" i="1"/>
  <c r="H845" i="1"/>
  <c r="G845" i="1"/>
  <c r="F845" i="1"/>
  <c r="E845" i="1"/>
  <c r="D845" i="1"/>
  <c r="C845" i="1"/>
  <c r="BG844" i="1"/>
  <c r="BF844" i="1"/>
  <c r="BE844" i="1"/>
  <c r="BD844" i="1"/>
  <c r="BC844" i="1"/>
  <c r="BB844" i="1"/>
  <c r="BA844" i="1"/>
  <c r="AZ844" i="1"/>
  <c r="AY844" i="1"/>
  <c r="AX844" i="1"/>
  <c r="AW844" i="1"/>
  <c r="AV844" i="1"/>
  <c r="AU844" i="1"/>
  <c r="AT844" i="1"/>
  <c r="AS844" i="1"/>
  <c r="AR844" i="1"/>
  <c r="AQ844" i="1"/>
  <c r="AP844" i="1"/>
  <c r="AO844" i="1"/>
  <c r="AN844" i="1"/>
  <c r="AM844" i="1"/>
  <c r="AL844" i="1"/>
  <c r="AK844" i="1"/>
  <c r="AJ844" i="1"/>
  <c r="AI844" i="1"/>
  <c r="AH844" i="1"/>
  <c r="AG844" i="1"/>
  <c r="AF844" i="1"/>
  <c r="AE844" i="1"/>
  <c r="AD844" i="1"/>
  <c r="AC844" i="1"/>
  <c r="AB844" i="1"/>
  <c r="AA844" i="1"/>
  <c r="Z844" i="1"/>
  <c r="Y844" i="1"/>
  <c r="X844" i="1"/>
  <c r="W844" i="1"/>
  <c r="V844" i="1"/>
  <c r="U844" i="1"/>
  <c r="T844" i="1"/>
  <c r="S844" i="1"/>
  <c r="R844" i="1"/>
  <c r="Q844" i="1"/>
  <c r="P844" i="1"/>
  <c r="O844" i="1"/>
  <c r="N844" i="1"/>
  <c r="M844" i="1"/>
  <c r="L844" i="1"/>
  <c r="K844" i="1"/>
  <c r="J844" i="1"/>
  <c r="I844" i="1"/>
  <c r="H844" i="1"/>
  <c r="G844" i="1"/>
  <c r="F844" i="1"/>
  <c r="E844" i="1"/>
  <c r="D844" i="1"/>
  <c r="C844" i="1"/>
  <c r="A843" i="1"/>
  <c r="BG842" i="1"/>
  <c r="BG90" i="9" s="1"/>
  <c r="BF842" i="1"/>
  <c r="BF90" i="9" s="1"/>
  <c r="BE842" i="1"/>
  <c r="BE90" i="9" s="1"/>
  <c r="BC842" i="1"/>
  <c r="BC90" i="9" s="1"/>
  <c r="BB842" i="1"/>
  <c r="BB90" i="9" s="1"/>
  <c r="BA842" i="1"/>
  <c r="BA90" i="9" s="1"/>
  <c r="AZ842" i="1"/>
  <c r="AZ90" i="9" s="1"/>
  <c r="AY842" i="1"/>
  <c r="AX842" i="1"/>
  <c r="AW842" i="1"/>
  <c r="AV842" i="1"/>
  <c r="AU842" i="1"/>
  <c r="AT842" i="1"/>
  <c r="AS842" i="1"/>
  <c r="AR842" i="1"/>
  <c r="AQ842" i="1"/>
  <c r="AP842" i="1"/>
  <c r="AO842" i="1"/>
  <c r="AN842" i="1"/>
  <c r="AM842" i="1"/>
  <c r="AL842" i="1"/>
  <c r="AK842" i="1"/>
  <c r="AJ842" i="1"/>
  <c r="AI842" i="1"/>
  <c r="AH842" i="1"/>
  <c r="AG842" i="1"/>
  <c r="AF842" i="1"/>
  <c r="AE842" i="1"/>
  <c r="AD842" i="1"/>
  <c r="AC842" i="1"/>
  <c r="AB842" i="1"/>
  <c r="AA842" i="1"/>
  <c r="Z842" i="1"/>
  <c r="Y842" i="1"/>
  <c r="X842" i="1"/>
  <c r="W842" i="1"/>
  <c r="V842" i="1"/>
  <c r="U842" i="1"/>
  <c r="T842" i="1"/>
  <c r="S842" i="1"/>
  <c r="R842" i="1"/>
  <c r="Q842" i="1"/>
  <c r="P842" i="1"/>
  <c r="O842" i="1"/>
  <c r="N842" i="1"/>
  <c r="M842" i="1"/>
  <c r="L842" i="1"/>
  <c r="K842" i="1"/>
  <c r="J842" i="1"/>
  <c r="I842" i="1"/>
  <c r="H842" i="1"/>
  <c r="G842" i="1"/>
  <c r="F842" i="1"/>
  <c r="E842" i="1"/>
  <c r="D842" i="1"/>
  <c r="C842" i="1"/>
  <c r="A841" i="1"/>
  <c r="AY840" i="1"/>
  <c r="AX840" i="1"/>
  <c r="AW840" i="1"/>
  <c r="AV840" i="1"/>
  <c r="AU840" i="1"/>
  <c r="AT840" i="1"/>
  <c r="AS840" i="1"/>
  <c r="AR840" i="1"/>
  <c r="AQ840" i="1"/>
  <c r="AP840" i="1"/>
  <c r="AO840" i="1"/>
  <c r="AN840" i="1"/>
  <c r="AM840" i="1"/>
  <c r="AL840" i="1"/>
  <c r="AK840" i="1"/>
  <c r="AJ840" i="1"/>
  <c r="AI840" i="1"/>
  <c r="AH840" i="1"/>
  <c r="AG840" i="1"/>
  <c r="AF840" i="1"/>
  <c r="AE840" i="1"/>
  <c r="AD840" i="1"/>
  <c r="AC840" i="1"/>
  <c r="AB840" i="1"/>
  <c r="AA840" i="1"/>
  <c r="Z840" i="1"/>
  <c r="Y840" i="1"/>
  <c r="X840" i="1"/>
  <c r="W840" i="1"/>
  <c r="V840" i="1"/>
  <c r="U840" i="1"/>
  <c r="T840" i="1"/>
  <c r="S840" i="1"/>
  <c r="R840" i="1"/>
  <c r="Q840" i="1"/>
  <c r="P840" i="1"/>
  <c r="O840" i="1"/>
  <c r="N840" i="1"/>
  <c r="M840" i="1"/>
  <c r="L840" i="1"/>
  <c r="K840" i="1"/>
  <c r="J840" i="1"/>
  <c r="I840" i="1"/>
  <c r="H840" i="1"/>
  <c r="G840" i="1"/>
  <c r="F840" i="1"/>
  <c r="E840" i="1"/>
  <c r="D840" i="1"/>
  <c r="C840" i="1"/>
  <c r="AY839" i="1"/>
  <c r="AX839" i="1"/>
  <c r="AW839" i="1"/>
  <c r="AV839" i="1"/>
  <c r="AU839" i="1"/>
  <c r="AT839" i="1"/>
  <c r="AS839" i="1"/>
  <c r="AR839" i="1"/>
  <c r="AQ839" i="1"/>
  <c r="AP839" i="1"/>
  <c r="AO839" i="1"/>
  <c r="AN839" i="1"/>
  <c r="AM839" i="1"/>
  <c r="AL839" i="1"/>
  <c r="AK839" i="1"/>
  <c r="AJ839" i="1"/>
  <c r="AI839" i="1"/>
  <c r="AH839" i="1"/>
  <c r="AG839" i="1"/>
  <c r="AF839" i="1"/>
  <c r="AE839" i="1"/>
  <c r="AD839" i="1"/>
  <c r="AC839" i="1"/>
  <c r="AB839" i="1"/>
  <c r="AA839" i="1"/>
  <c r="Z839" i="1"/>
  <c r="Y839" i="1"/>
  <c r="X839" i="1"/>
  <c r="W839" i="1"/>
  <c r="V839" i="1"/>
  <c r="U839" i="1"/>
  <c r="T839" i="1"/>
  <c r="S839" i="1"/>
  <c r="R839" i="1"/>
  <c r="Q839" i="1"/>
  <c r="P839" i="1"/>
  <c r="O839" i="1"/>
  <c r="N839" i="1"/>
  <c r="M839" i="1"/>
  <c r="L839" i="1"/>
  <c r="K839" i="1"/>
  <c r="J839" i="1"/>
  <c r="I839" i="1"/>
  <c r="H839" i="1"/>
  <c r="G839" i="1"/>
  <c r="F839" i="1"/>
  <c r="E839" i="1"/>
  <c r="D839" i="1"/>
  <c r="C839" i="1"/>
  <c r="AU836" i="1"/>
  <c r="AT836" i="1"/>
  <c r="AS836" i="1"/>
  <c r="AR836" i="1"/>
  <c r="AQ836" i="1"/>
  <c r="AP836" i="1"/>
  <c r="AO836" i="1"/>
  <c r="AN836" i="1"/>
  <c r="AM836" i="1"/>
  <c r="AL836" i="1"/>
  <c r="AK836" i="1"/>
  <c r="AJ836" i="1"/>
  <c r="AI836" i="1"/>
  <c r="AH836" i="1"/>
  <c r="AG836" i="1"/>
  <c r="AF836" i="1"/>
  <c r="AE836" i="1"/>
  <c r="AD836" i="1"/>
  <c r="AC836" i="1"/>
  <c r="AB836" i="1"/>
  <c r="AA836" i="1"/>
  <c r="Z836" i="1"/>
  <c r="Y836" i="1"/>
  <c r="X836" i="1"/>
  <c r="W836" i="1"/>
  <c r="V836" i="1"/>
  <c r="U836" i="1"/>
  <c r="T836" i="1"/>
  <c r="S836" i="1"/>
  <c r="R836" i="1"/>
  <c r="Q836" i="1"/>
  <c r="P836" i="1"/>
  <c r="O836" i="1"/>
  <c r="N836" i="1"/>
  <c r="M836" i="1"/>
  <c r="L836" i="1"/>
  <c r="K836" i="1"/>
  <c r="J836" i="1"/>
  <c r="I836" i="1"/>
  <c r="H836" i="1"/>
  <c r="G836" i="1"/>
  <c r="F836" i="1"/>
  <c r="E836" i="1"/>
  <c r="D836" i="1"/>
  <c r="C836" i="1"/>
  <c r="A832" i="1"/>
  <c r="AY831" i="1"/>
  <c r="AX831" i="1"/>
  <c r="AW831" i="1"/>
  <c r="AV831" i="1"/>
  <c r="AU831" i="1"/>
  <c r="AT831" i="1"/>
  <c r="AS831" i="1"/>
  <c r="AR831" i="1"/>
  <c r="AQ831" i="1"/>
  <c r="AP831" i="1"/>
  <c r="AO831" i="1"/>
  <c r="AN831" i="1"/>
  <c r="AM831" i="1"/>
  <c r="AL831" i="1"/>
  <c r="AK831" i="1"/>
  <c r="AJ831" i="1"/>
  <c r="AI831" i="1"/>
  <c r="AH831" i="1"/>
  <c r="AG831" i="1"/>
  <c r="AF831" i="1"/>
  <c r="AE831" i="1"/>
  <c r="AD831" i="1"/>
  <c r="AC831" i="1"/>
  <c r="AB831" i="1"/>
  <c r="AA831" i="1"/>
  <c r="Z831" i="1"/>
  <c r="Y831" i="1"/>
  <c r="X831" i="1"/>
  <c r="W831" i="1"/>
  <c r="V831" i="1"/>
  <c r="U831" i="1"/>
  <c r="T831" i="1"/>
  <c r="S831" i="1"/>
  <c r="R831" i="1"/>
  <c r="Q831" i="1"/>
  <c r="P831" i="1"/>
  <c r="O831" i="1"/>
  <c r="N831" i="1"/>
  <c r="M831" i="1"/>
  <c r="L831" i="1"/>
  <c r="K831" i="1"/>
  <c r="J831" i="1"/>
  <c r="I831" i="1"/>
  <c r="H831" i="1"/>
  <c r="G831" i="1"/>
  <c r="F831" i="1"/>
  <c r="E831" i="1"/>
  <c r="D831" i="1"/>
  <c r="C831" i="1"/>
  <c r="AY830" i="1"/>
  <c r="AX830" i="1"/>
  <c r="AW830" i="1"/>
  <c r="AV830" i="1"/>
  <c r="AU830" i="1"/>
  <c r="AT830" i="1"/>
  <c r="AS830" i="1"/>
  <c r="AR830" i="1"/>
  <c r="AQ830" i="1"/>
  <c r="AP830" i="1"/>
  <c r="AO830" i="1"/>
  <c r="AN830" i="1"/>
  <c r="AM830" i="1"/>
  <c r="AL830" i="1"/>
  <c r="AK830" i="1"/>
  <c r="AJ830" i="1"/>
  <c r="AI830" i="1"/>
  <c r="AH830" i="1"/>
  <c r="AG830" i="1"/>
  <c r="AF830" i="1"/>
  <c r="AE830" i="1"/>
  <c r="AD830" i="1"/>
  <c r="AC830" i="1"/>
  <c r="AB830" i="1"/>
  <c r="AA830" i="1"/>
  <c r="Z830" i="1"/>
  <c r="Y830" i="1"/>
  <c r="X830" i="1"/>
  <c r="W830" i="1"/>
  <c r="V830" i="1"/>
  <c r="U830" i="1"/>
  <c r="T830" i="1"/>
  <c r="S830" i="1"/>
  <c r="R830" i="1"/>
  <c r="Q830" i="1"/>
  <c r="P830" i="1"/>
  <c r="O830" i="1"/>
  <c r="N830" i="1"/>
  <c r="M830" i="1"/>
  <c r="L830" i="1"/>
  <c r="K830" i="1"/>
  <c r="J830" i="1"/>
  <c r="I830" i="1"/>
  <c r="H830" i="1"/>
  <c r="G830" i="1"/>
  <c r="F830" i="1"/>
  <c r="E830" i="1"/>
  <c r="D830" i="1"/>
  <c r="C830" i="1"/>
  <c r="AU829" i="1"/>
  <c r="AT829" i="1"/>
  <c r="AS829" i="1"/>
  <c r="AR829" i="1"/>
  <c r="AQ829" i="1"/>
  <c r="AP829" i="1"/>
  <c r="AO829" i="1"/>
  <c r="AN829" i="1"/>
  <c r="AM829" i="1"/>
  <c r="AL829" i="1"/>
  <c r="AK829" i="1"/>
  <c r="AJ829" i="1"/>
  <c r="AI829" i="1"/>
  <c r="AH829" i="1"/>
  <c r="AG829" i="1"/>
  <c r="AF829" i="1"/>
  <c r="AE829" i="1"/>
  <c r="AD829" i="1"/>
  <c r="AC829" i="1"/>
  <c r="AB829" i="1"/>
  <c r="AA829" i="1"/>
  <c r="Z829" i="1"/>
  <c r="Y829" i="1"/>
  <c r="X829" i="1"/>
  <c r="W829" i="1"/>
  <c r="V829" i="1"/>
  <c r="U829" i="1"/>
  <c r="T829" i="1"/>
  <c r="S829" i="1"/>
  <c r="R829" i="1"/>
  <c r="Q829" i="1"/>
  <c r="P829" i="1"/>
  <c r="O829" i="1"/>
  <c r="N829" i="1"/>
  <c r="M829" i="1"/>
  <c r="L829" i="1"/>
  <c r="K829" i="1"/>
  <c r="J829" i="1"/>
  <c r="I829" i="1"/>
  <c r="H829" i="1"/>
  <c r="G829" i="1"/>
  <c r="F829" i="1"/>
  <c r="E829" i="1"/>
  <c r="D829" i="1"/>
  <c r="C829" i="1"/>
  <c r="BG827" i="1"/>
  <c r="BF827" i="1"/>
  <c r="BE827" i="1"/>
  <c r="BC827" i="1"/>
  <c r="BB827" i="1"/>
  <c r="BA827" i="1"/>
  <c r="AZ827" i="1"/>
  <c r="AX827" i="1"/>
  <c r="AW827" i="1"/>
  <c r="AV827" i="1"/>
  <c r="AU827" i="1"/>
  <c r="AT827" i="1"/>
  <c r="AS827" i="1"/>
  <c r="AR827" i="1"/>
  <c r="AQ827" i="1"/>
  <c r="AP827" i="1"/>
  <c r="AO827" i="1"/>
  <c r="AN827" i="1"/>
  <c r="AM827" i="1"/>
  <c r="AL827" i="1"/>
  <c r="AK827" i="1"/>
  <c r="AJ827" i="1"/>
  <c r="AI827" i="1"/>
  <c r="AH827" i="1"/>
  <c r="AG827" i="1"/>
  <c r="AF827" i="1"/>
  <c r="AE827" i="1"/>
  <c r="AD827" i="1"/>
  <c r="AC827" i="1"/>
  <c r="AB827" i="1"/>
  <c r="AA827" i="1"/>
  <c r="Z827" i="1"/>
  <c r="Y827" i="1"/>
  <c r="X827" i="1"/>
  <c r="W827" i="1"/>
  <c r="V827" i="1"/>
  <c r="U827" i="1"/>
  <c r="T827" i="1"/>
  <c r="S827" i="1"/>
  <c r="R827" i="1"/>
  <c r="Q827" i="1"/>
  <c r="P827" i="1"/>
  <c r="O827" i="1"/>
  <c r="N827" i="1"/>
  <c r="M827" i="1"/>
  <c r="L827" i="1"/>
  <c r="K827" i="1"/>
  <c r="J827" i="1"/>
  <c r="I827" i="1"/>
  <c r="H827" i="1"/>
  <c r="G827" i="1"/>
  <c r="F827" i="1"/>
  <c r="E827" i="1"/>
  <c r="D827" i="1"/>
  <c r="C827" i="1"/>
  <c r="BG826" i="1"/>
  <c r="BF826" i="1"/>
  <c r="BE826" i="1"/>
  <c r="BC826" i="1"/>
  <c r="BB826" i="1"/>
  <c r="BA826" i="1"/>
  <c r="AZ826" i="1"/>
  <c r="AX826" i="1"/>
  <c r="AW826" i="1"/>
  <c r="AV826" i="1"/>
  <c r="AU826" i="1"/>
  <c r="AT826" i="1"/>
  <c r="AS826" i="1"/>
  <c r="AR826" i="1"/>
  <c r="AQ826" i="1"/>
  <c r="AP826" i="1"/>
  <c r="AO826" i="1"/>
  <c r="AN826" i="1"/>
  <c r="AM826" i="1"/>
  <c r="AL826" i="1"/>
  <c r="AK826" i="1"/>
  <c r="AJ826" i="1"/>
  <c r="AI826" i="1"/>
  <c r="AH826" i="1"/>
  <c r="AG826" i="1"/>
  <c r="AF826" i="1"/>
  <c r="AE826" i="1"/>
  <c r="AD826" i="1"/>
  <c r="AC826" i="1"/>
  <c r="AB826" i="1"/>
  <c r="AA826" i="1"/>
  <c r="Z826" i="1"/>
  <c r="Y826" i="1"/>
  <c r="X826" i="1"/>
  <c r="W826" i="1"/>
  <c r="V826" i="1"/>
  <c r="U826" i="1"/>
  <c r="T826" i="1"/>
  <c r="S826" i="1"/>
  <c r="R826" i="1"/>
  <c r="Q826" i="1"/>
  <c r="P826" i="1"/>
  <c r="O826" i="1"/>
  <c r="N826" i="1"/>
  <c r="M826" i="1"/>
  <c r="L826" i="1"/>
  <c r="K826" i="1"/>
  <c r="J826" i="1"/>
  <c r="I826" i="1"/>
  <c r="H826" i="1"/>
  <c r="G826" i="1"/>
  <c r="F826" i="1"/>
  <c r="E826" i="1"/>
  <c r="D826" i="1"/>
  <c r="C826" i="1"/>
  <c r="AY824" i="1"/>
  <c r="AX824" i="1"/>
  <c r="AW824" i="1"/>
  <c r="AV824" i="1"/>
  <c r="AU824" i="1"/>
  <c r="AT824" i="1"/>
  <c r="AS824" i="1"/>
  <c r="AR824" i="1"/>
  <c r="AQ824" i="1"/>
  <c r="AP824" i="1"/>
  <c r="AO824" i="1"/>
  <c r="AN824" i="1"/>
  <c r="AM824" i="1"/>
  <c r="AL824" i="1"/>
  <c r="AK824" i="1"/>
  <c r="AJ824" i="1"/>
  <c r="AI824" i="1"/>
  <c r="AH824" i="1"/>
  <c r="AG824" i="1"/>
  <c r="AF824" i="1"/>
  <c r="AE824" i="1"/>
  <c r="AD824" i="1"/>
  <c r="AC824" i="1"/>
  <c r="AB824" i="1"/>
  <c r="AA824" i="1"/>
  <c r="Z824" i="1"/>
  <c r="Y824" i="1"/>
  <c r="X824" i="1"/>
  <c r="W824" i="1"/>
  <c r="V824" i="1"/>
  <c r="U824" i="1"/>
  <c r="T824" i="1"/>
  <c r="S824" i="1"/>
  <c r="R824" i="1"/>
  <c r="Q824" i="1"/>
  <c r="P824" i="1"/>
  <c r="O824" i="1"/>
  <c r="N824" i="1"/>
  <c r="M824" i="1"/>
  <c r="L824" i="1"/>
  <c r="K824" i="1"/>
  <c r="J824" i="1"/>
  <c r="I824" i="1"/>
  <c r="H824" i="1"/>
  <c r="G824" i="1"/>
  <c r="F824" i="1"/>
  <c r="E824" i="1"/>
  <c r="D824" i="1"/>
  <c r="C824" i="1"/>
  <c r="BG823" i="1"/>
  <c r="BF823" i="1"/>
  <c r="BE823" i="1"/>
  <c r="BD823" i="1"/>
  <c r="BC823" i="1"/>
  <c r="BB823" i="1"/>
  <c r="BA823" i="1"/>
  <c r="AZ823" i="1"/>
  <c r="AY823" i="1"/>
  <c r="AX823" i="1"/>
  <c r="AW823" i="1"/>
  <c r="AV823" i="1"/>
  <c r="BG822" i="1"/>
  <c r="BF822" i="1"/>
  <c r="BE822" i="1"/>
  <c r="BD822" i="1"/>
  <c r="BC822" i="1"/>
  <c r="BB822" i="1"/>
  <c r="BA822" i="1"/>
  <c r="AZ822" i="1"/>
  <c r="AY822" i="1"/>
  <c r="AX822" i="1"/>
  <c r="AW822" i="1"/>
  <c r="AV822" i="1"/>
  <c r="AU822" i="1"/>
  <c r="AT822" i="1"/>
  <c r="AS822" i="1"/>
  <c r="AR822" i="1"/>
  <c r="AQ822" i="1"/>
  <c r="AP822" i="1"/>
  <c r="AO822" i="1"/>
  <c r="AN822" i="1"/>
  <c r="AM822" i="1"/>
  <c r="AL822" i="1"/>
  <c r="AK822" i="1"/>
  <c r="AJ822" i="1"/>
  <c r="AI822" i="1"/>
  <c r="AH822" i="1"/>
  <c r="AG822" i="1"/>
  <c r="AF822" i="1"/>
  <c r="AE822" i="1"/>
  <c r="AD822" i="1"/>
  <c r="AC822" i="1"/>
  <c r="AB822" i="1"/>
  <c r="AA822" i="1"/>
  <c r="Z822" i="1"/>
  <c r="Y822" i="1"/>
  <c r="X822" i="1"/>
  <c r="W822" i="1"/>
  <c r="V822" i="1"/>
  <c r="U822" i="1"/>
  <c r="T822" i="1"/>
  <c r="S822" i="1"/>
  <c r="R822" i="1"/>
  <c r="Q822" i="1"/>
  <c r="P822" i="1"/>
  <c r="O822" i="1"/>
  <c r="N822" i="1"/>
  <c r="M822" i="1"/>
  <c r="L822" i="1"/>
  <c r="K822" i="1"/>
  <c r="J822" i="1"/>
  <c r="I822" i="1"/>
  <c r="H822" i="1"/>
  <c r="G822" i="1"/>
  <c r="F822" i="1"/>
  <c r="E822" i="1"/>
  <c r="D822" i="1"/>
  <c r="C822" i="1"/>
  <c r="AY821" i="1"/>
  <c r="AX821" i="1"/>
  <c r="AW821" i="1"/>
  <c r="AV821" i="1"/>
  <c r="AU821" i="1"/>
  <c r="AT821" i="1"/>
  <c r="AS821" i="1"/>
  <c r="AR821" i="1"/>
  <c r="AQ821" i="1"/>
  <c r="AP821" i="1"/>
  <c r="AO821" i="1"/>
  <c r="AN821" i="1"/>
  <c r="AM821" i="1"/>
  <c r="AL821" i="1"/>
  <c r="AK821" i="1"/>
  <c r="AJ821" i="1"/>
  <c r="AI821" i="1"/>
  <c r="AH821" i="1"/>
  <c r="AG821" i="1"/>
  <c r="AF821" i="1"/>
  <c r="AE821" i="1"/>
  <c r="AD821" i="1"/>
  <c r="AC821" i="1"/>
  <c r="AB821" i="1"/>
  <c r="AA821" i="1"/>
  <c r="Z821" i="1"/>
  <c r="Y821" i="1"/>
  <c r="X821" i="1"/>
  <c r="W821" i="1"/>
  <c r="V821" i="1"/>
  <c r="U821" i="1"/>
  <c r="T821" i="1"/>
  <c r="S821" i="1"/>
  <c r="R821" i="1"/>
  <c r="Q821" i="1"/>
  <c r="P821" i="1"/>
  <c r="O821" i="1"/>
  <c r="N821" i="1"/>
  <c r="M821" i="1"/>
  <c r="L821" i="1"/>
  <c r="K821" i="1"/>
  <c r="J821" i="1"/>
  <c r="I821" i="1"/>
  <c r="H821" i="1"/>
  <c r="G821" i="1"/>
  <c r="F821" i="1"/>
  <c r="E821" i="1"/>
  <c r="D821" i="1"/>
  <c r="C821" i="1"/>
  <c r="BG820" i="1"/>
  <c r="BF820" i="1"/>
  <c r="BE820" i="1"/>
  <c r="BD820" i="1"/>
  <c r="BC820" i="1"/>
  <c r="BB820" i="1"/>
  <c r="BA820" i="1"/>
  <c r="AZ820" i="1"/>
  <c r="AY820" i="1"/>
  <c r="AX820" i="1"/>
  <c r="AW820" i="1"/>
  <c r="AV820" i="1"/>
  <c r="AY819" i="1"/>
  <c r="AX819" i="1"/>
  <c r="AW819" i="1"/>
  <c r="AV819" i="1"/>
  <c r="AU819" i="1"/>
  <c r="AT819" i="1"/>
  <c r="AS819" i="1"/>
  <c r="AR819" i="1"/>
  <c r="AQ819" i="1"/>
  <c r="AP819" i="1"/>
  <c r="AO819" i="1"/>
  <c r="AN819" i="1"/>
  <c r="AM819" i="1"/>
  <c r="AL819" i="1"/>
  <c r="AK819" i="1"/>
  <c r="AJ819" i="1"/>
  <c r="AI819" i="1"/>
  <c r="AH819" i="1"/>
  <c r="AG819" i="1"/>
  <c r="AF819" i="1"/>
  <c r="AE819" i="1"/>
  <c r="AD819" i="1"/>
  <c r="AC819" i="1"/>
  <c r="AB819" i="1"/>
  <c r="AA819" i="1"/>
  <c r="Z819" i="1"/>
  <c r="Y819" i="1"/>
  <c r="X819" i="1"/>
  <c r="W819" i="1"/>
  <c r="V819" i="1"/>
  <c r="U819" i="1"/>
  <c r="T819" i="1"/>
  <c r="S819" i="1"/>
  <c r="R819" i="1"/>
  <c r="Q819" i="1"/>
  <c r="P819" i="1"/>
  <c r="O819" i="1"/>
  <c r="N819" i="1"/>
  <c r="M819" i="1"/>
  <c r="L819" i="1"/>
  <c r="K819" i="1"/>
  <c r="J819" i="1"/>
  <c r="I819" i="1"/>
  <c r="H819" i="1"/>
  <c r="G819" i="1"/>
  <c r="F819" i="1"/>
  <c r="E819" i="1"/>
  <c r="D819" i="1"/>
  <c r="C819" i="1"/>
  <c r="BG818" i="1"/>
  <c r="BF818" i="1"/>
  <c r="BE818" i="1"/>
  <c r="BD818" i="1"/>
  <c r="BC818" i="1"/>
  <c r="BB818" i="1"/>
  <c r="BA818" i="1"/>
  <c r="AZ818" i="1"/>
  <c r="AY818" i="1"/>
  <c r="AX818" i="1"/>
  <c r="AW818" i="1"/>
  <c r="AV818" i="1"/>
  <c r="BG817" i="1"/>
  <c r="BF817" i="1"/>
  <c r="BE817" i="1"/>
  <c r="BD817" i="1"/>
  <c r="BC817" i="1"/>
  <c r="BB817" i="1"/>
  <c r="BA817" i="1"/>
  <c r="AZ817" i="1"/>
  <c r="AY817" i="1"/>
  <c r="AX817" i="1"/>
  <c r="AW817" i="1"/>
  <c r="AV817" i="1"/>
  <c r="AU817" i="1"/>
  <c r="AT817" i="1"/>
  <c r="AS817" i="1"/>
  <c r="AR817" i="1"/>
  <c r="AQ817" i="1"/>
  <c r="AP817" i="1"/>
  <c r="AO817" i="1"/>
  <c r="AN817" i="1"/>
  <c r="AM817" i="1"/>
  <c r="AL817" i="1"/>
  <c r="AK817" i="1"/>
  <c r="AJ817" i="1"/>
  <c r="AI817" i="1"/>
  <c r="AH817" i="1"/>
  <c r="AG817" i="1"/>
  <c r="AF817" i="1"/>
  <c r="AE817" i="1"/>
  <c r="AD817" i="1"/>
  <c r="AC817" i="1"/>
  <c r="AB817" i="1"/>
  <c r="AA817" i="1"/>
  <c r="Z817" i="1"/>
  <c r="Y817" i="1"/>
  <c r="X817" i="1"/>
  <c r="W817" i="1"/>
  <c r="V817" i="1"/>
  <c r="U817" i="1"/>
  <c r="T817" i="1"/>
  <c r="S817" i="1"/>
  <c r="R817" i="1"/>
  <c r="Q817" i="1"/>
  <c r="P817" i="1"/>
  <c r="O817" i="1"/>
  <c r="N817" i="1"/>
  <c r="M817" i="1"/>
  <c r="L817" i="1"/>
  <c r="K817" i="1"/>
  <c r="J817" i="1"/>
  <c r="I817" i="1"/>
  <c r="H817" i="1"/>
  <c r="G817" i="1"/>
  <c r="F817" i="1"/>
  <c r="E817" i="1"/>
  <c r="D817" i="1"/>
  <c r="C817" i="1"/>
  <c r="BG816" i="1"/>
  <c r="BF816" i="1"/>
  <c r="BE816" i="1"/>
  <c r="BD816" i="1"/>
  <c r="BC816" i="1"/>
  <c r="BB816" i="1"/>
  <c r="BA816" i="1"/>
  <c r="AZ816" i="1"/>
  <c r="AY816" i="1"/>
  <c r="AX816" i="1"/>
  <c r="AW816" i="1"/>
  <c r="AV816" i="1"/>
  <c r="AU816" i="1"/>
  <c r="AT816" i="1"/>
  <c r="AS816" i="1"/>
  <c r="AR816" i="1"/>
  <c r="AQ816" i="1"/>
  <c r="AP816" i="1"/>
  <c r="AO816" i="1"/>
  <c r="AN816" i="1"/>
  <c r="AM816" i="1"/>
  <c r="AL816" i="1"/>
  <c r="AK816" i="1"/>
  <c r="AJ816" i="1"/>
  <c r="AI816" i="1"/>
  <c r="AH816" i="1"/>
  <c r="AG816" i="1"/>
  <c r="AF816" i="1"/>
  <c r="AE816" i="1"/>
  <c r="AD816" i="1"/>
  <c r="AC816" i="1"/>
  <c r="AB816" i="1"/>
  <c r="AA816" i="1"/>
  <c r="Z816" i="1"/>
  <c r="Y816" i="1"/>
  <c r="X816" i="1"/>
  <c r="W816" i="1"/>
  <c r="V816" i="1"/>
  <c r="U816" i="1"/>
  <c r="T816" i="1"/>
  <c r="S816" i="1"/>
  <c r="R816" i="1"/>
  <c r="Q816" i="1"/>
  <c r="P816" i="1"/>
  <c r="O816" i="1"/>
  <c r="N816" i="1"/>
  <c r="M816" i="1"/>
  <c r="L816" i="1"/>
  <c r="K816" i="1"/>
  <c r="J816" i="1"/>
  <c r="I816" i="1"/>
  <c r="H816" i="1"/>
  <c r="G816" i="1"/>
  <c r="F816" i="1"/>
  <c r="E816" i="1"/>
  <c r="D816" i="1"/>
  <c r="C816" i="1"/>
  <c r="AY815" i="1"/>
  <c r="AX815" i="1"/>
  <c r="AW815" i="1"/>
  <c r="AV815" i="1"/>
  <c r="AU815" i="1"/>
  <c r="AT815" i="1"/>
  <c r="AS815" i="1"/>
  <c r="AR815" i="1"/>
  <c r="AQ815" i="1"/>
  <c r="AP815" i="1"/>
  <c r="AO815" i="1"/>
  <c r="AN815" i="1"/>
  <c r="AM815" i="1"/>
  <c r="AL815" i="1"/>
  <c r="AK815" i="1"/>
  <c r="AJ815" i="1"/>
  <c r="AI815" i="1"/>
  <c r="AH815" i="1"/>
  <c r="AG815" i="1"/>
  <c r="AF815" i="1"/>
  <c r="AE815" i="1"/>
  <c r="AD815" i="1"/>
  <c r="AC815" i="1"/>
  <c r="AB815" i="1"/>
  <c r="AA815" i="1"/>
  <c r="Z815" i="1"/>
  <c r="Y815" i="1"/>
  <c r="X815" i="1"/>
  <c r="W815" i="1"/>
  <c r="V815" i="1"/>
  <c r="U815" i="1"/>
  <c r="T815" i="1"/>
  <c r="S815" i="1"/>
  <c r="R815" i="1"/>
  <c r="Q815" i="1"/>
  <c r="P815" i="1"/>
  <c r="O815" i="1"/>
  <c r="N815" i="1"/>
  <c r="M815" i="1"/>
  <c r="L815" i="1"/>
  <c r="K815" i="1"/>
  <c r="J815" i="1"/>
  <c r="I815" i="1"/>
  <c r="H815" i="1"/>
  <c r="G815" i="1"/>
  <c r="F815" i="1"/>
  <c r="E815" i="1"/>
  <c r="D815" i="1"/>
  <c r="C815" i="1"/>
  <c r="AY814" i="1"/>
  <c r="AY827" i="1" s="1"/>
  <c r="AX814" i="1"/>
  <c r="AW814" i="1"/>
  <c r="AV814" i="1"/>
  <c r="AU814" i="1"/>
  <c r="AT814" i="1"/>
  <c r="AS814" i="1"/>
  <c r="AR814" i="1"/>
  <c r="AQ814" i="1"/>
  <c r="AP814" i="1"/>
  <c r="AO814" i="1"/>
  <c r="AN814" i="1"/>
  <c r="AM814" i="1"/>
  <c r="AL814" i="1"/>
  <c r="AK814" i="1"/>
  <c r="AJ814" i="1"/>
  <c r="AI814" i="1"/>
  <c r="AH814" i="1"/>
  <c r="AG814" i="1"/>
  <c r="AF814" i="1"/>
  <c r="AE814" i="1"/>
  <c r="AD814" i="1"/>
  <c r="AC814" i="1"/>
  <c r="AB814" i="1"/>
  <c r="AA814" i="1"/>
  <c r="Z814" i="1"/>
  <c r="Y814" i="1"/>
  <c r="X814" i="1"/>
  <c r="W814" i="1"/>
  <c r="V814" i="1"/>
  <c r="U814" i="1"/>
  <c r="T814" i="1"/>
  <c r="S814" i="1"/>
  <c r="R814" i="1"/>
  <c r="Q814" i="1"/>
  <c r="P814" i="1"/>
  <c r="O814" i="1"/>
  <c r="N814" i="1"/>
  <c r="M814" i="1"/>
  <c r="L814" i="1"/>
  <c r="K814" i="1"/>
  <c r="J814" i="1"/>
  <c r="I814" i="1"/>
  <c r="H814" i="1"/>
  <c r="G814" i="1"/>
  <c r="F814" i="1"/>
  <c r="E814" i="1"/>
  <c r="D814" i="1"/>
  <c r="C814" i="1"/>
  <c r="AY813" i="1"/>
  <c r="AY826" i="1" s="1"/>
  <c r="AX813" i="1"/>
  <c r="AW813" i="1"/>
  <c r="AV813" i="1"/>
  <c r="AU813" i="1"/>
  <c r="AT813" i="1"/>
  <c r="AS813" i="1"/>
  <c r="AR813" i="1"/>
  <c r="AQ813" i="1"/>
  <c r="AP813" i="1"/>
  <c r="AO813" i="1"/>
  <c r="AN813" i="1"/>
  <c r="AM813" i="1"/>
  <c r="AL813" i="1"/>
  <c r="AK813" i="1"/>
  <c r="AJ813" i="1"/>
  <c r="AI813" i="1"/>
  <c r="AH813" i="1"/>
  <c r="AG813" i="1"/>
  <c r="AF813" i="1"/>
  <c r="AE813" i="1"/>
  <c r="AD813" i="1"/>
  <c r="AC813" i="1"/>
  <c r="AB813" i="1"/>
  <c r="AA813" i="1"/>
  <c r="Z813" i="1"/>
  <c r="Y813" i="1"/>
  <c r="X813" i="1"/>
  <c r="W813" i="1"/>
  <c r="V813" i="1"/>
  <c r="U813" i="1"/>
  <c r="T813" i="1"/>
  <c r="S813" i="1"/>
  <c r="R813" i="1"/>
  <c r="Q813" i="1"/>
  <c r="P813" i="1"/>
  <c r="O813" i="1"/>
  <c r="N813" i="1"/>
  <c r="M813" i="1"/>
  <c r="L813" i="1"/>
  <c r="K813" i="1"/>
  <c r="J813" i="1"/>
  <c r="I813" i="1"/>
  <c r="H813" i="1"/>
  <c r="G813" i="1"/>
  <c r="F813" i="1"/>
  <c r="E813" i="1"/>
  <c r="D813" i="1"/>
  <c r="C813" i="1"/>
  <c r="AZ811" i="1"/>
  <c r="AZ814" i="1" s="1"/>
  <c r="AY811" i="1"/>
  <c r="AX811" i="1"/>
  <c r="AW811" i="1"/>
  <c r="AV811" i="1"/>
  <c r="AU811" i="1"/>
  <c r="AT811" i="1"/>
  <c r="AS811" i="1"/>
  <c r="AR811" i="1"/>
  <c r="AQ811" i="1"/>
  <c r="AP811" i="1"/>
  <c r="AO811" i="1"/>
  <c r="AN811" i="1"/>
  <c r="AM811" i="1"/>
  <c r="AL811" i="1"/>
  <c r="AK811" i="1"/>
  <c r="AJ811" i="1"/>
  <c r="AI811" i="1"/>
  <c r="AH811" i="1"/>
  <c r="AG811" i="1"/>
  <c r="AF811" i="1"/>
  <c r="AE811" i="1"/>
  <c r="AD811" i="1"/>
  <c r="AC811" i="1"/>
  <c r="AB811" i="1"/>
  <c r="AA811" i="1"/>
  <c r="Z811" i="1"/>
  <c r="Y811" i="1"/>
  <c r="X811" i="1"/>
  <c r="W811" i="1"/>
  <c r="V811" i="1"/>
  <c r="U811" i="1"/>
  <c r="T811" i="1"/>
  <c r="S811" i="1"/>
  <c r="R811" i="1"/>
  <c r="Q811" i="1"/>
  <c r="P811" i="1"/>
  <c r="O811" i="1"/>
  <c r="N811" i="1"/>
  <c r="M811" i="1"/>
  <c r="L811" i="1"/>
  <c r="K811" i="1"/>
  <c r="J811" i="1"/>
  <c r="I811" i="1"/>
  <c r="H811" i="1"/>
  <c r="G811" i="1"/>
  <c r="F811" i="1"/>
  <c r="E811" i="1"/>
  <c r="D811" i="1"/>
  <c r="C811" i="1"/>
  <c r="BG810" i="1"/>
  <c r="BF810" i="1"/>
  <c r="BE810" i="1"/>
  <c r="BD810" i="1"/>
  <c r="BC810" i="1"/>
  <c r="BB810" i="1"/>
  <c r="BA810" i="1"/>
  <c r="AZ810" i="1"/>
  <c r="AY810" i="1"/>
  <c r="AX810" i="1"/>
  <c r="AW810" i="1"/>
  <c r="AV810" i="1"/>
  <c r="AU810" i="1"/>
  <c r="AT810" i="1"/>
  <c r="AS810" i="1"/>
  <c r="AR810" i="1"/>
  <c r="AQ810" i="1"/>
  <c r="AP810" i="1"/>
  <c r="AO810" i="1"/>
  <c r="AN810" i="1"/>
  <c r="AM810" i="1"/>
  <c r="AL810" i="1"/>
  <c r="AK810" i="1"/>
  <c r="AJ810" i="1"/>
  <c r="AI810" i="1"/>
  <c r="AH810" i="1"/>
  <c r="AG810" i="1"/>
  <c r="AF810" i="1"/>
  <c r="AE810" i="1"/>
  <c r="AD810" i="1"/>
  <c r="AC810" i="1"/>
  <c r="AB810" i="1"/>
  <c r="AA810" i="1"/>
  <c r="Z810" i="1"/>
  <c r="Y810" i="1"/>
  <c r="X810" i="1"/>
  <c r="W810" i="1"/>
  <c r="V810" i="1"/>
  <c r="U810" i="1"/>
  <c r="T810" i="1"/>
  <c r="S810" i="1"/>
  <c r="R810" i="1"/>
  <c r="Q810" i="1"/>
  <c r="P810" i="1"/>
  <c r="O810" i="1"/>
  <c r="N810" i="1"/>
  <c r="M810" i="1"/>
  <c r="L810" i="1"/>
  <c r="K810" i="1"/>
  <c r="J810" i="1"/>
  <c r="I810" i="1"/>
  <c r="H810" i="1"/>
  <c r="G810" i="1"/>
  <c r="F810" i="1"/>
  <c r="E810" i="1"/>
  <c r="D810" i="1"/>
  <c r="C810" i="1"/>
  <c r="BG809" i="1"/>
  <c r="BF809" i="1"/>
  <c r="BE809" i="1"/>
  <c r="BD809" i="1"/>
  <c r="BC809" i="1"/>
  <c r="BB809" i="1"/>
  <c r="BA809" i="1"/>
  <c r="AZ809" i="1"/>
  <c r="AY809" i="1"/>
  <c r="AX809" i="1"/>
  <c r="AW809" i="1"/>
  <c r="AV809" i="1"/>
  <c r="AU809" i="1"/>
  <c r="AT809" i="1"/>
  <c r="AS809" i="1"/>
  <c r="AR809" i="1"/>
  <c r="AQ809" i="1"/>
  <c r="AP809" i="1"/>
  <c r="AO809" i="1"/>
  <c r="AN809" i="1"/>
  <c r="AM809" i="1"/>
  <c r="AL809" i="1"/>
  <c r="AK809" i="1"/>
  <c r="AJ809" i="1"/>
  <c r="AI809" i="1"/>
  <c r="AH809" i="1"/>
  <c r="AG809" i="1"/>
  <c r="AF809" i="1"/>
  <c r="AE809" i="1"/>
  <c r="AD809" i="1"/>
  <c r="AC809" i="1"/>
  <c r="AB809" i="1"/>
  <c r="AA809" i="1"/>
  <c r="Z809" i="1"/>
  <c r="Y809" i="1"/>
  <c r="X809" i="1"/>
  <c r="W809" i="1"/>
  <c r="V809" i="1"/>
  <c r="U809" i="1"/>
  <c r="T809" i="1"/>
  <c r="S809" i="1"/>
  <c r="R809" i="1"/>
  <c r="Q809" i="1"/>
  <c r="P809" i="1"/>
  <c r="O809" i="1"/>
  <c r="N809" i="1"/>
  <c r="M809" i="1"/>
  <c r="L809" i="1"/>
  <c r="K809" i="1"/>
  <c r="J809" i="1"/>
  <c r="I809" i="1"/>
  <c r="H809" i="1"/>
  <c r="G809" i="1"/>
  <c r="F809" i="1"/>
  <c r="E809" i="1"/>
  <c r="D809" i="1"/>
  <c r="C809" i="1"/>
  <c r="AZ808" i="1"/>
  <c r="AX808" i="1"/>
  <c r="AX63" i="9" s="1"/>
  <c r="AV808" i="1"/>
  <c r="AU808" i="1"/>
  <c r="AT808" i="1"/>
  <c r="AS808" i="1"/>
  <c r="AR808" i="1"/>
  <c r="AQ808" i="1"/>
  <c r="AP808" i="1"/>
  <c r="AO808" i="1"/>
  <c r="AN808" i="1"/>
  <c r="AM808" i="1"/>
  <c r="AL808" i="1"/>
  <c r="AK808" i="1"/>
  <c r="AJ808" i="1"/>
  <c r="AI808" i="1"/>
  <c r="AH808" i="1"/>
  <c r="AG808" i="1"/>
  <c r="AF808" i="1"/>
  <c r="AE808" i="1"/>
  <c r="AD808" i="1"/>
  <c r="AC808" i="1"/>
  <c r="AB808" i="1"/>
  <c r="AA808" i="1"/>
  <c r="Z808" i="1"/>
  <c r="Y808" i="1"/>
  <c r="X808" i="1"/>
  <c r="W808" i="1"/>
  <c r="V808" i="1"/>
  <c r="U808" i="1"/>
  <c r="T808" i="1"/>
  <c r="S808" i="1"/>
  <c r="R808" i="1"/>
  <c r="Q808" i="1"/>
  <c r="P808" i="1"/>
  <c r="O808" i="1"/>
  <c r="N808" i="1"/>
  <c r="M808" i="1"/>
  <c r="L808" i="1"/>
  <c r="K808" i="1"/>
  <c r="J808" i="1"/>
  <c r="I808" i="1"/>
  <c r="H808" i="1"/>
  <c r="G808" i="1"/>
  <c r="F808" i="1"/>
  <c r="E808" i="1"/>
  <c r="D808" i="1"/>
  <c r="C808" i="1"/>
  <c r="BG807" i="1"/>
  <c r="BF807" i="1"/>
  <c r="BE807" i="1"/>
  <c r="BD807" i="1"/>
  <c r="BC807" i="1"/>
  <c r="BB807" i="1"/>
  <c r="BA807" i="1"/>
  <c r="AZ807" i="1"/>
  <c r="AY807" i="1"/>
  <c r="AX807" i="1"/>
  <c r="AW807" i="1"/>
  <c r="AV807" i="1"/>
  <c r="AU807" i="1"/>
  <c r="AT807" i="1"/>
  <c r="AS807" i="1"/>
  <c r="AR807" i="1"/>
  <c r="AQ807" i="1"/>
  <c r="AP807" i="1"/>
  <c r="AO807" i="1"/>
  <c r="AN807" i="1"/>
  <c r="AM807" i="1"/>
  <c r="AL807" i="1"/>
  <c r="AK807" i="1"/>
  <c r="AJ807" i="1"/>
  <c r="AI807" i="1"/>
  <c r="AH807" i="1"/>
  <c r="AG807" i="1"/>
  <c r="AF807" i="1"/>
  <c r="AE807" i="1"/>
  <c r="AD807" i="1"/>
  <c r="AC807" i="1"/>
  <c r="AB807" i="1"/>
  <c r="AA807" i="1"/>
  <c r="Z807" i="1"/>
  <c r="Y807" i="1"/>
  <c r="X807" i="1"/>
  <c r="W807" i="1"/>
  <c r="V807" i="1"/>
  <c r="U807" i="1"/>
  <c r="T807" i="1"/>
  <c r="S807" i="1"/>
  <c r="R807" i="1"/>
  <c r="Q807" i="1"/>
  <c r="P807" i="1"/>
  <c r="O807" i="1"/>
  <c r="N807" i="1"/>
  <c r="M807" i="1"/>
  <c r="L807" i="1"/>
  <c r="K807" i="1"/>
  <c r="J807" i="1"/>
  <c r="I807" i="1"/>
  <c r="H807" i="1"/>
  <c r="G807" i="1"/>
  <c r="F807" i="1"/>
  <c r="E807" i="1"/>
  <c r="D807" i="1"/>
  <c r="C807" i="1"/>
  <c r="A805" i="1"/>
  <c r="BG804" i="1"/>
  <c r="BF804" i="1"/>
  <c r="BE804" i="1"/>
  <c r="BD804" i="1"/>
  <c r="BC804" i="1"/>
  <c r="BB804" i="1"/>
  <c r="BA804" i="1"/>
  <c r="AZ804" i="1"/>
  <c r="AY804" i="1"/>
  <c r="AX804" i="1"/>
  <c r="AW804" i="1"/>
  <c r="AV804" i="1"/>
  <c r="AU804" i="1"/>
  <c r="AT804" i="1"/>
  <c r="AS804" i="1"/>
  <c r="AR804" i="1"/>
  <c r="AQ804" i="1"/>
  <c r="AP804" i="1"/>
  <c r="AO804" i="1"/>
  <c r="AN804" i="1"/>
  <c r="AM804" i="1"/>
  <c r="AL804" i="1"/>
  <c r="AK804" i="1"/>
  <c r="AJ804" i="1"/>
  <c r="AI804" i="1"/>
  <c r="AH804" i="1"/>
  <c r="AG804" i="1"/>
  <c r="AF804" i="1"/>
  <c r="AE804" i="1"/>
  <c r="AD804" i="1"/>
  <c r="AC804" i="1"/>
  <c r="AB804" i="1"/>
  <c r="AA804" i="1"/>
  <c r="Z804" i="1"/>
  <c r="Y804" i="1"/>
  <c r="X804" i="1"/>
  <c r="W804" i="1"/>
  <c r="V804" i="1"/>
  <c r="U804" i="1"/>
  <c r="T804" i="1"/>
  <c r="S804" i="1"/>
  <c r="R804" i="1"/>
  <c r="Q804" i="1"/>
  <c r="P804" i="1"/>
  <c r="O804" i="1"/>
  <c r="N804" i="1"/>
  <c r="M804" i="1"/>
  <c r="L804" i="1"/>
  <c r="K804" i="1"/>
  <c r="J804" i="1"/>
  <c r="I804" i="1"/>
  <c r="H804" i="1"/>
  <c r="G804" i="1"/>
  <c r="F804" i="1"/>
  <c r="E804" i="1"/>
  <c r="D804" i="1"/>
  <c r="C804" i="1"/>
  <c r="A804" i="1" a="1"/>
  <c r="A804" i="1"/>
  <c r="BG803" i="1"/>
  <c r="BF803" i="1"/>
  <c r="BE803" i="1"/>
  <c r="BD803" i="1"/>
  <c r="BC803" i="1"/>
  <c r="BB803" i="1"/>
  <c r="BA803" i="1"/>
  <c r="AZ803" i="1"/>
  <c r="AY803" i="1"/>
  <c r="AX803" i="1"/>
  <c r="AW803" i="1"/>
  <c r="AV803" i="1"/>
  <c r="AU803" i="1"/>
  <c r="AT803" i="1"/>
  <c r="AS803" i="1"/>
  <c r="AR803" i="1"/>
  <c r="AQ803" i="1"/>
  <c r="AP803" i="1"/>
  <c r="AO803" i="1"/>
  <c r="AN803" i="1"/>
  <c r="AM803" i="1"/>
  <c r="AL803" i="1"/>
  <c r="AK803" i="1"/>
  <c r="AJ803" i="1"/>
  <c r="AI803" i="1"/>
  <c r="AH803" i="1"/>
  <c r="AG803" i="1"/>
  <c r="AF803" i="1"/>
  <c r="AE803" i="1"/>
  <c r="AD803" i="1"/>
  <c r="AC803" i="1"/>
  <c r="AB803" i="1"/>
  <c r="AA803" i="1"/>
  <c r="Z803" i="1"/>
  <c r="Y803" i="1"/>
  <c r="X803" i="1"/>
  <c r="W803" i="1"/>
  <c r="V803" i="1"/>
  <c r="U803" i="1"/>
  <c r="T803" i="1"/>
  <c r="S803" i="1"/>
  <c r="R803" i="1"/>
  <c r="Q803" i="1"/>
  <c r="P803" i="1"/>
  <c r="O803" i="1"/>
  <c r="N803" i="1"/>
  <c r="M803" i="1"/>
  <c r="L803" i="1"/>
  <c r="K803" i="1"/>
  <c r="J803" i="1"/>
  <c r="I803" i="1"/>
  <c r="H803" i="1"/>
  <c r="G803" i="1"/>
  <c r="F803" i="1"/>
  <c r="E803" i="1"/>
  <c r="D803" i="1"/>
  <c r="C803" i="1"/>
  <c r="BG802" i="1"/>
  <c r="BF802" i="1"/>
  <c r="BE802" i="1"/>
  <c r="BD802" i="1"/>
  <c r="BC802" i="1"/>
  <c r="BB802" i="1"/>
  <c r="BA802" i="1"/>
  <c r="AZ802" i="1"/>
  <c r="AY802" i="1"/>
  <c r="AX802" i="1"/>
  <c r="AW802" i="1"/>
  <c r="AV802" i="1"/>
  <c r="AU802" i="1"/>
  <c r="AT802" i="1"/>
  <c r="AS802" i="1"/>
  <c r="AR802" i="1"/>
  <c r="AQ802" i="1"/>
  <c r="AP802" i="1"/>
  <c r="AO802" i="1"/>
  <c r="AN802" i="1"/>
  <c r="AM802" i="1"/>
  <c r="AL802" i="1"/>
  <c r="AK802" i="1"/>
  <c r="AJ802" i="1"/>
  <c r="AI802" i="1"/>
  <c r="AH802" i="1"/>
  <c r="AG802" i="1"/>
  <c r="AF802" i="1"/>
  <c r="AE802" i="1"/>
  <c r="AD802" i="1"/>
  <c r="AC802" i="1"/>
  <c r="AB802" i="1"/>
  <c r="AA802" i="1"/>
  <c r="Z802" i="1"/>
  <c r="Y802" i="1"/>
  <c r="X802" i="1"/>
  <c r="W802" i="1"/>
  <c r="V802" i="1"/>
  <c r="U802" i="1"/>
  <c r="T802" i="1"/>
  <c r="S802" i="1"/>
  <c r="R802" i="1"/>
  <c r="Q802" i="1"/>
  <c r="P802" i="1"/>
  <c r="O802" i="1"/>
  <c r="N802" i="1"/>
  <c r="M802" i="1"/>
  <c r="L802" i="1"/>
  <c r="K802" i="1"/>
  <c r="J802" i="1"/>
  <c r="I802" i="1"/>
  <c r="H802" i="1"/>
  <c r="G802" i="1"/>
  <c r="F802" i="1"/>
  <c r="E802" i="1"/>
  <c r="D802" i="1"/>
  <c r="C802" i="1"/>
  <c r="BG801" i="1"/>
  <c r="BF801" i="1"/>
  <c r="BE801" i="1"/>
  <c r="BD801" i="1"/>
  <c r="BC801" i="1"/>
  <c r="BB801" i="1"/>
  <c r="BA801" i="1"/>
  <c r="AZ801" i="1"/>
  <c r="AY801" i="1"/>
  <c r="AX801" i="1"/>
  <c r="AW801" i="1"/>
  <c r="AV801" i="1"/>
  <c r="AU801" i="1"/>
  <c r="AT801" i="1"/>
  <c r="AS801" i="1"/>
  <c r="AR801" i="1"/>
  <c r="AQ801" i="1"/>
  <c r="AP801" i="1"/>
  <c r="AO801" i="1"/>
  <c r="AN801" i="1"/>
  <c r="AM801" i="1"/>
  <c r="AL801" i="1"/>
  <c r="AK801" i="1"/>
  <c r="AJ801" i="1"/>
  <c r="AI801" i="1"/>
  <c r="AH801" i="1"/>
  <c r="AG801" i="1"/>
  <c r="AF801" i="1"/>
  <c r="AE801" i="1"/>
  <c r="AD801" i="1"/>
  <c r="AC801" i="1"/>
  <c r="AB801" i="1"/>
  <c r="AA801" i="1"/>
  <c r="Z801" i="1"/>
  <c r="Y801" i="1"/>
  <c r="X801" i="1"/>
  <c r="W801" i="1"/>
  <c r="V801" i="1"/>
  <c r="U801" i="1"/>
  <c r="T801" i="1"/>
  <c r="S801" i="1"/>
  <c r="R801" i="1"/>
  <c r="Q801" i="1"/>
  <c r="P801" i="1"/>
  <c r="O801" i="1"/>
  <c r="N801" i="1"/>
  <c r="M801" i="1"/>
  <c r="L801" i="1"/>
  <c r="K801" i="1"/>
  <c r="J801" i="1"/>
  <c r="I801" i="1"/>
  <c r="H801" i="1"/>
  <c r="G801" i="1"/>
  <c r="F801" i="1"/>
  <c r="E801" i="1"/>
  <c r="D801" i="1"/>
  <c r="C801" i="1"/>
  <c r="AZ800" i="1"/>
  <c r="AY800" i="1"/>
  <c r="AX800" i="1"/>
  <c r="AW800" i="1"/>
  <c r="AV800" i="1"/>
  <c r="AU800" i="1"/>
  <c r="AT800" i="1"/>
  <c r="AS800" i="1"/>
  <c r="AR800" i="1"/>
  <c r="AQ800" i="1"/>
  <c r="AP800" i="1"/>
  <c r="AO800" i="1"/>
  <c r="AN800" i="1"/>
  <c r="AM800" i="1"/>
  <c r="AL800" i="1"/>
  <c r="AK800" i="1"/>
  <c r="AJ800" i="1"/>
  <c r="AI800" i="1"/>
  <c r="AH800" i="1"/>
  <c r="AG800" i="1"/>
  <c r="AF800" i="1"/>
  <c r="AE800" i="1"/>
  <c r="AD800" i="1"/>
  <c r="AC800" i="1"/>
  <c r="AB800" i="1"/>
  <c r="AA800" i="1"/>
  <c r="Z800" i="1"/>
  <c r="Y800" i="1"/>
  <c r="X800" i="1"/>
  <c r="W800" i="1"/>
  <c r="V800" i="1"/>
  <c r="U800" i="1"/>
  <c r="T800" i="1"/>
  <c r="S800" i="1"/>
  <c r="R800" i="1"/>
  <c r="Q800" i="1"/>
  <c r="P800" i="1"/>
  <c r="O800" i="1"/>
  <c r="N800" i="1"/>
  <c r="M800" i="1"/>
  <c r="L800" i="1"/>
  <c r="K800" i="1"/>
  <c r="J800" i="1"/>
  <c r="I800" i="1"/>
  <c r="H800" i="1"/>
  <c r="G800" i="1"/>
  <c r="F800" i="1"/>
  <c r="E800" i="1"/>
  <c r="D800" i="1"/>
  <c r="C800" i="1"/>
  <c r="AZ799" i="1"/>
  <c r="AY799" i="1"/>
  <c r="AX799" i="1"/>
  <c r="AW799" i="1"/>
  <c r="AV799" i="1"/>
  <c r="AU799" i="1"/>
  <c r="AT799" i="1"/>
  <c r="AS799" i="1"/>
  <c r="AR799" i="1"/>
  <c r="AQ799" i="1"/>
  <c r="AP799" i="1"/>
  <c r="AO799" i="1"/>
  <c r="AN799" i="1"/>
  <c r="AM799" i="1"/>
  <c r="AL799" i="1"/>
  <c r="AK799" i="1"/>
  <c r="AJ799" i="1"/>
  <c r="AI799" i="1"/>
  <c r="AH799" i="1"/>
  <c r="AG799" i="1"/>
  <c r="AF799" i="1"/>
  <c r="AE799" i="1"/>
  <c r="AD799" i="1"/>
  <c r="AC799" i="1"/>
  <c r="AB799" i="1"/>
  <c r="AA799" i="1"/>
  <c r="Z799" i="1"/>
  <c r="Y799" i="1"/>
  <c r="X799" i="1"/>
  <c r="W799" i="1"/>
  <c r="V799" i="1"/>
  <c r="U799" i="1"/>
  <c r="T799" i="1"/>
  <c r="S799" i="1"/>
  <c r="R799" i="1"/>
  <c r="Q799" i="1"/>
  <c r="P799" i="1"/>
  <c r="O799" i="1"/>
  <c r="N799" i="1"/>
  <c r="M799" i="1"/>
  <c r="L799" i="1"/>
  <c r="K799" i="1"/>
  <c r="J799" i="1"/>
  <c r="I799" i="1"/>
  <c r="H799" i="1"/>
  <c r="G799" i="1"/>
  <c r="F799" i="1"/>
  <c r="E799" i="1"/>
  <c r="D799" i="1"/>
  <c r="C799" i="1"/>
  <c r="BG796" i="1"/>
  <c r="BF796" i="1"/>
  <c r="BE796" i="1"/>
  <c r="BD796" i="1"/>
  <c r="BC796" i="1"/>
  <c r="BB796" i="1"/>
  <c r="BA796" i="1"/>
  <c r="AZ796" i="1"/>
  <c r="AY796" i="1"/>
  <c r="AX796" i="1"/>
  <c r="AW796" i="1"/>
  <c r="AV796" i="1"/>
  <c r="AU796" i="1"/>
  <c r="AT796" i="1"/>
  <c r="AS796" i="1"/>
  <c r="AR796" i="1"/>
  <c r="AQ796" i="1"/>
  <c r="AP796" i="1"/>
  <c r="AO796" i="1"/>
  <c r="AN796" i="1"/>
  <c r="AM796" i="1"/>
  <c r="AL796" i="1"/>
  <c r="AK796" i="1"/>
  <c r="AJ796" i="1"/>
  <c r="AI796" i="1"/>
  <c r="AH796" i="1"/>
  <c r="AG796" i="1"/>
  <c r="AF796" i="1"/>
  <c r="AE796" i="1"/>
  <c r="AD796" i="1"/>
  <c r="AC796" i="1"/>
  <c r="AB796" i="1"/>
  <c r="AA796" i="1"/>
  <c r="Z796" i="1"/>
  <c r="Y796" i="1"/>
  <c r="X796" i="1"/>
  <c r="W796" i="1"/>
  <c r="V796" i="1"/>
  <c r="U796" i="1"/>
  <c r="T796" i="1"/>
  <c r="S796" i="1"/>
  <c r="R796" i="1"/>
  <c r="Q796" i="1"/>
  <c r="P796" i="1"/>
  <c r="O796" i="1"/>
  <c r="N796" i="1"/>
  <c r="M796" i="1"/>
  <c r="L796" i="1"/>
  <c r="K796" i="1"/>
  <c r="J796" i="1"/>
  <c r="I796" i="1"/>
  <c r="H796" i="1"/>
  <c r="G796" i="1"/>
  <c r="F796" i="1"/>
  <c r="E796" i="1"/>
  <c r="D796" i="1"/>
  <c r="C796" i="1"/>
  <c r="AZ795" i="1"/>
  <c r="AY795" i="1"/>
  <c r="AX795" i="1"/>
  <c r="AW795" i="1"/>
  <c r="AV795" i="1"/>
  <c r="AU795" i="1"/>
  <c r="AT795" i="1"/>
  <c r="AS795" i="1"/>
  <c r="AR795" i="1"/>
  <c r="AQ795" i="1"/>
  <c r="AP795" i="1"/>
  <c r="AO795" i="1"/>
  <c r="AN795" i="1"/>
  <c r="AM795" i="1"/>
  <c r="AL795" i="1"/>
  <c r="AK795" i="1"/>
  <c r="AJ795" i="1"/>
  <c r="AI795" i="1"/>
  <c r="AH795" i="1"/>
  <c r="AG795" i="1"/>
  <c r="AF795" i="1"/>
  <c r="AE795" i="1"/>
  <c r="AD795" i="1"/>
  <c r="AC795" i="1"/>
  <c r="AB795" i="1"/>
  <c r="AA795" i="1"/>
  <c r="Z795" i="1"/>
  <c r="Y795" i="1"/>
  <c r="X795" i="1"/>
  <c r="W795" i="1"/>
  <c r="V795" i="1"/>
  <c r="U795" i="1"/>
  <c r="T795" i="1"/>
  <c r="S795" i="1"/>
  <c r="R795" i="1"/>
  <c r="Q795" i="1"/>
  <c r="P795" i="1"/>
  <c r="O795" i="1"/>
  <c r="N795" i="1"/>
  <c r="M795" i="1"/>
  <c r="L795" i="1"/>
  <c r="K795" i="1"/>
  <c r="J795" i="1"/>
  <c r="I795" i="1"/>
  <c r="H795" i="1"/>
  <c r="G795" i="1"/>
  <c r="F795" i="1"/>
  <c r="E795" i="1"/>
  <c r="D795" i="1"/>
  <c r="C795" i="1"/>
  <c r="BG794" i="1"/>
  <c r="BF794" i="1"/>
  <c r="BE794" i="1"/>
  <c r="BD794" i="1"/>
  <c r="BC794" i="1"/>
  <c r="BB794" i="1"/>
  <c r="BA794" i="1"/>
  <c r="AZ794" i="1"/>
  <c r="AY794" i="1"/>
  <c r="AX794" i="1"/>
  <c r="AW794" i="1"/>
  <c r="AV794" i="1"/>
  <c r="AU794" i="1"/>
  <c r="AT794" i="1"/>
  <c r="AS794" i="1"/>
  <c r="AR794" i="1"/>
  <c r="AQ794" i="1"/>
  <c r="AP794" i="1"/>
  <c r="AO794" i="1"/>
  <c r="AN794" i="1"/>
  <c r="AM794" i="1"/>
  <c r="AL794" i="1"/>
  <c r="AK794" i="1"/>
  <c r="AJ794" i="1"/>
  <c r="AI794" i="1"/>
  <c r="AH794" i="1"/>
  <c r="AG794" i="1"/>
  <c r="AF794" i="1"/>
  <c r="AE794" i="1"/>
  <c r="AD794" i="1"/>
  <c r="AC794" i="1"/>
  <c r="AB794" i="1"/>
  <c r="AA794" i="1"/>
  <c r="Z794" i="1"/>
  <c r="Y794" i="1"/>
  <c r="X794" i="1"/>
  <c r="W794" i="1"/>
  <c r="V794" i="1"/>
  <c r="U794" i="1"/>
  <c r="T794" i="1"/>
  <c r="S794" i="1"/>
  <c r="R794" i="1"/>
  <c r="Q794" i="1"/>
  <c r="P794" i="1"/>
  <c r="O794" i="1"/>
  <c r="N794" i="1"/>
  <c r="M794" i="1"/>
  <c r="L794" i="1"/>
  <c r="K794" i="1"/>
  <c r="J794" i="1"/>
  <c r="I794" i="1"/>
  <c r="H794" i="1"/>
  <c r="G794" i="1"/>
  <c r="F794" i="1"/>
  <c r="E794" i="1"/>
  <c r="D794" i="1"/>
  <c r="C794" i="1"/>
  <c r="BG793" i="1"/>
  <c r="BF793" i="1"/>
  <c r="BE793" i="1"/>
  <c r="BD793" i="1"/>
  <c r="BC793" i="1"/>
  <c r="BB793" i="1"/>
  <c r="BA793" i="1"/>
  <c r="AZ793" i="1"/>
  <c r="AY793" i="1"/>
  <c r="AX793" i="1"/>
  <c r="AW793" i="1"/>
  <c r="AV793" i="1"/>
  <c r="AU793" i="1"/>
  <c r="AT793" i="1"/>
  <c r="AS793" i="1"/>
  <c r="AR793" i="1"/>
  <c r="AQ793" i="1"/>
  <c r="AP793" i="1"/>
  <c r="AO793" i="1"/>
  <c r="AN793" i="1"/>
  <c r="AM793" i="1"/>
  <c r="AL793" i="1"/>
  <c r="AK793" i="1"/>
  <c r="AJ793" i="1"/>
  <c r="AI793" i="1"/>
  <c r="AH793" i="1"/>
  <c r="AG793" i="1"/>
  <c r="AF793" i="1"/>
  <c r="AE793" i="1"/>
  <c r="AD793" i="1"/>
  <c r="AC793" i="1"/>
  <c r="AB793" i="1"/>
  <c r="AA793" i="1"/>
  <c r="Z793" i="1"/>
  <c r="Y793" i="1"/>
  <c r="X793" i="1"/>
  <c r="W793" i="1"/>
  <c r="V793" i="1"/>
  <c r="U793" i="1"/>
  <c r="T793" i="1"/>
  <c r="S793" i="1"/>
  <c r="R793" i="1"/>
  <c r="Q793" i="1"/>
  <c r="P793" i="1"/>
  <c r="O793" i="1"/>
  <c r="N793" i="1"/>
  <c r="M793" i="1"/>
  <c r="L793" i="1"/>
  <c r="K793" i="1"/>
  <c r="J793" i="1"/>
  <c r="I793" i="1"/>
  <c r="H793" i="1"/>
  <c r="G793" i="1"/>
  <c r="F793" i="1"/>
  <c r="E793" i="1"/>
  <c r="D793" i="1"/>
  <c r="C793" i="1"/>
  <c r="AZ791" i="1"/>
  <c r="AY791" i="1"/>
  <c r="AX791" i="1"/>
  <c r="AW791" i="1"/>
  <c r="AV791" i="1"/>
  <c r="AU791" i="1"/>
  <c r="AT791" i="1"/>
  <c r="AS791" i="1"/>
  <c r="AR791" i="1"/>
  <c r="AQ791" i="1"/>
  <c r="AP791" i="1"/>
  <c r="AO791" i="1"/>
  <c r="AN791" i="1"/>
  <c r="AM791" i="1"/>
  <c r="AL791" i="1"/>
  <c r="AK791" i="1"/>
  <c r="AJ791" i="1"/>
  <c r="AI791" i="1"/>
  <c r="AH791" i="1"/>
  <c r="AG791" i="1"/>
  <c r="AF791" i="1"/>
  <c r="AE791" i="1"/>
  <c r="AD791" i="1"/>
  <c r="AC791" i="1"/>
  <c r="AB791" i="1"/>
  <c r="AA791" i="1"/>
  <c r="Z791" i="1"/>
  <c r="Y791" i="1"/>
  <c r="X791" i="1"/>
  <c r="W791" i="1"/>
  <c r="V791" i="1"/>
  <c r="U791" i="1"/>
  <c r="T791" i="1"/>
  <c r="S791" i="1"/>
  <c r="R791" i="1"/>
  <c r="Q791" i="1"/>
  <c r="P791" i="1"/>
  <c r="O791" i="1"/>
  <c r="N791" i="1"/>
  <c r="M791" i="1"/>
  <c r="L791" i="1"/>
  <c r="K791" i="1"/>
  <c r="J791" i="1"/>
  <c r="I791" i="1"/>
  <c r="H791" i="1"/>
  <c r="G791" i="1"/>
  <c r="F791" i="1"/>
  <c r="E791" i="1"/>
  <c r="D791" i="1"/>
  <c r="C791" i="1"/>
  <c r="AZ790" i="1"/>
  <c r="AY790" i="1"/>
  <c r="AX790" i="1"/>
  <c r="AW790" i="1"/>
  <c r="AV790" i="1"/>
  <c r="AU790" i="1"/>
  <c r="AT790" i="1"/>
  <c r="AS790" i="1"/>
  <c r="AR790" i="1"/>
  <c r="AQ790" i="1"/>
  <c r="AP790" i="1"/>
  <c r="AO790" i="1"/>
  <c r="AN790" i="1"/>
  <c r="AM790" i="1"/>
  <c r="AL790" i="1"/>
  <c r="AK790" i="1"/>
  <c r="AJ790" i="1"/>
  <c r="AI790" i="1"/>
  <c r="AH790" i="1"/>
  <c r="AG790" i="1"/>
  <c r="AF790" i="1"/>
  <c r="AE790" i="1"/>
  <c r="AD790" i="1"/>
  <c r="AC790" i="1"/>
  <c r="AB790" i="1"/>
  <c r="AA790" i="1"/>
  <c r="Z790" i="1"/>
  <c r="Y790" i="1"/>
  <c r="X790" i="1"/>
  <c r="W790" i="1"/>
  <c r="V790" i="1"/>
  <c r="U790" i="1"/>
  <c r="T790" i="1"/>
  <c r="S790" i="1"/>
  <c r="R790" i="1"/>
  <c r="Q790" i="1"/>
  <c r="P790" i="1"/>
  <c r="O790" i="1"/>
  <c r="N790" i="1"/>
  <c r="M790" i="1"/>
  <c r="L790" i="1"/>
  <c r="K790" i="1"/>
  <c r="J790" i="1"/>
  <c r="I790" i="1"/>
  <c r="H790" i="1"/>
  <c r="G790" i="1"/>
  <c r="F790" i="1"/>
  <c r="E790" i="1"/>
  <c r="D790" i="1"/>
  <c r="C790" i="1"/>
  <c r="A788" i="1"/>
  <c r="BG787" i="1"/>
  <c r="BF787" i="1"/>
  <c r="BE787" i="1"/>
  <c r="BD787" i="1"/>
  <c r="BC787" i="1"/>
  <c r="BB787" i="1"/>
  <c r="BA787" i="1"/>
  <c r="AZ787" i="1"/>
  <c r="AY787" i="1"/>
  <c r="AX787" i="1"/>
  <c r="AW787" i="1"/>
  <c r="AV787" i="1"/>
  <c r="AU787" i="1"/>
  <c r="AT787" i="1"/>
  <c r="AS787" i="1"/>
  <c r="AR787" i="1"/>
  <c r="AQ787" i="1"/>
  <c r="AP787" i="1"/>
  <c r="AO787" i="1"/>
  <c r="AN787" i="1"/>
  <c r="AM787" i="1"/>
  <c r="AL787" i="1"/>
  <c r="AK787" i="1"/>
  <c r="AJ787" i="1"/>
  <c r="AI787" i="1"/>
  <c r="AH787" i="1"/>
  <c r="AG787" i="1"/>
  <c r="AF787" i="1"/>
  <c r="AE787" i="1"/>
  <c r="AD787" i="1"/>
  <c r="AC787" i="1"/>
  <c r="AB787" i="1"/>
  <c r="AA787" i="1"/>
  <c r="Z787" i="1"/>
  <c r="Y787" i="1"/>
  <c r="X787" i="1"/>
  <c r="W787" i="1"/>
  <c r="V787" i="1"/>
  <c r="U787" i="1"/>
  <c r="T787" i="1"/>
  <c r="S787" i="1"/>
  <c r="R787" i="1"/>
  <c r="Q787" i="1"/>
  <c r="P787" i="1"/>
  <c r="O787" i="1"/>
  <c r="N787" i="1"/>
  <c r="M787" i="1"/>
  <c r="L787" i="1"/>
  <c r="K787" i="1"/>
  <c r="J787" i="1"/>
  <c r="I787" i="1"/>
  <c r="H787" i="1"/>
  <c r="G787" i="1"/>
  <c r="F787" i="1"/>
  <c r="E787" i="1"/>
  <c r="D787" i="1"/>
  <c r="C787" i="1"/>
  <c r="BG784" i="1"/>
  <c r="BF784" i="1"/>
  <c r="BE784" i="1"/>
  <c r="BD784" i="1"/>
  <c r="BC784" i="1"/>
  <c r="BB784" i="1"/>
  <c r="BA784" i="1"/>
  <c r="AZ784" i="1"/>
  <c r="AY784" i="1"/>
  <c r="AX784" i="1"/>
  <c r="AW784" i="1"/>
  <c r="AV784" i="1"/>
  <c r="AU784" i="1"/>
  <c r="AT784" i="1"/>
  <c r="AS784" i="1"/>
  <c r="AR784" i="1"/>
  <c r="AQ784" i="1"/>
  <c r="AP784" i="1"/>
  <c r="AO784" i="1"/>
  <c r="AN784" i="1"/>
  <c r="AM784" i="1"/>
  <c r="AL784" i="1"/>
  <c r="AK784" i="1"/>
  <c r="AJ784" i="1"/>
  <c r="AI784" i="1"/>
  <c r="AH784" i="1"/>
  <c r="AG784" i="1"/>
  <c r="AF784" i="1"/>
  <c r="AE784" i="1"/>
  <c r="AD784" i="1"/>
  <c r="AC784" i="1"/>
  <c r="AB784" i="1"/>
  <c r="AA784" i="1"/>
  <c r="Z784" i="1"/>
  <c r="Y784" i="1"/>
  <c r="X784" i="1"/>
  <c r="W784" i="1"/>
  <c r="V784" i="1"/>
  <c r="U784" i="1"/>
  <c r="T784" i="1"/>
  <c r="S784" i="1"/>
  <c r="R784" i="1"/>
  <c r="Q784" i="1"/>
  <c r="P784" i="1"/>
  <c r="O784" i="1"/>
  <c r="N784" i="1"/>
  <c r="M784" i="1"/>
  <c r="L784" i="1"/>
  <c r="K784" i="1"/>
  <c r="J784" i="1"/>
  <c r="I784" i="1"/>
  <c r="H784" i="1"/>
  <c r="G784" i="1"/>
  <c r="F784" i="1"/>
  <c r="E784" i="1"/>
  <c r="D784" i="1"/>
  <c r="C784" i="1"/>
  <c r="BG783" i="1"/>
  <c r="BF783" i="1"/>
  <c r="BE783" i="1"/>
  <c r="BD783" i="1"/>
  <c r="BC783" i="1"/>
  <c r="BB783" i="1"/>
  <c r="BA783" i="1"/>
  <c r="AZ783" i="1"/>
  <c r="AY783" i="1"/>
  <c r="AX783" i="1"/>
  <c r="AW783" i="1"/>
  <c r="AV783" i="1"/>
  <c r="AS783" i="1"/>
  <c r="AN783" i="1"/>
  <c r="AI783" i="1"/>
  <c r="AD783" i="1"/>
  <c r="Y783" i="1"/>
  <c r="T783" i="1"/>
  <c r="O783" i="1"/>
  <c r="J783" i="1"/>
  <c r="BG782" i="1"/>
  <c r="BF782" i="1"/>
  <c r="BE782" i="1"/>
  <c r="BD782" i="1"/>
  <c r="BC782" i="1"/>
  <c r="BB782" i="1"/>
  <c r="BA782" i="1"/>
  <c r="AZ782" i="1"/>
  <c r="AY782" i="1"/>
  <c r="AX782" i="1"/>
  <c r="AW782" i="1"/>
  <c r="AV782" i="1"/>
  <c r="AS782" i="1"/>
  <c r="AN782" i="1"/>
  <c r="AI782" i="1"/>
  <c r="AD782" i="1"/>
  <c r="Y782" i="1"/>
  <c r="T782" i="1"/>
  <c r="O782" i="1"/>
  <c r="J782" i="1"/>
  <c r="BG781" i="1"/>
  <c r="BF781" i="1"/>
  <c r="BE781" i="1"/>
  <c r="BD781" i="1"/>
  <c r="BC781" i="1"/>
  <c r="BB781" i="1"/>
  <c r="BA781" i="1"/>
  <c r="AZ781" i="1"/>
  <c r="AY781" i="1"/>
  <c r="AX781" i="1"/>
  <c r="AW781" i="1"/>
  <c r="AV781" i="1"/>
  <c r="AS781" i="1"/>
  <c r="AN781" i="1"/>
  <c r="AI781" i="1"/>
  <c r="AD781" i="1"/>
  <c r="Y781" i="1"/>
  <c r="T781" i="1"/>
  <c r="O781" i="1"/>
  <c r="J781" i="1"/>
  <c r="AS779" i="1"/>
  <c r="AN779" i="1"/>
  <c r="AI779" i="1"/>
  <c r="AD779" i="1"/>
  <c r="Y779" i="1"/>
  <c r="T779" i="1"/>
  <c r="O779" i="1"/>
  <c r="J779" i="1"/>
  <c r="AU777" i="1"/>
  <c r="AT777" i="1"/>
  <c r="AS777" i="1"/>
  <c r="AR777" i="1"/>
  <c r="AQ777" i="1"/>
  <c r="AP777" i="1"/>
  <c r="AO777" i="1"/>
  <c r="AN777" i="1"/>
  <c r="AM777" i="1"/>
  <c r="AL777" i="1"/>
  <c r="AK777" i="1"/>
  <c r="AN776" i="1"/>
  <c r="AN775" i="1"/>
  <c r="AN774" i="1"/>
  <c r="AN773" i="1"/>
  <c r="AN772" i="1"/>
  <c r="AN771" i="1"/>
  <c r="AN770" i="1"/>
  <c r="AN769" i="1"/>
  <c r="AN768" i="1"/>
  <c r="AN767" i="1"/>
  <c r="AU766" i="1"/>
  <c r="AT766" i="1"/>
  <c r="AS766" i="1"/>
  <c r="AR766" i="1"/>
  <c r="AQ766" i="1"/>
  <c r="AP766" i="1"/>
  <c r="AO766" i="1"/>
  <c r="AN766" i="1"/>
  <c r="AM766" i="1"/>
  <c r="AL766" i="1"/>
  <c r="AK766" i="1"/>
  <c r="AU764" i="1"/>
  <c r="AT764" i="1"/>
  <c r="AS764" i="1"/>
  <c r="AR764" i="1"/>
  <c r="AQ764" i="1"/>
  <c r="AP764" i="1"/>
  <c r="AO764" i="1"/>
  <c r="AN764" i="1"/>
  <c r="AM764" i="1"/>
  <c r="AL764" i="1"/>
  <c r="AK764" i="1"/>
  <c r="AJ764" i="1"/>
  <c r="AI764" i="1"/>
  <c r="AH764" i="1"/>
  <c r="AG764" i="1"/>
  <c r="AF764" i="1"/>
  <c r="AE764" i="1"/>
  <c r="AD764" i="1"/>
  <c r="AC764" i="1"/>
  <c r="AB764" i="1"/>
  <c r="AA764" i="1"/>
  <c r="Z764" i="1"/>
  <c r="Y764" i="1"/>
  <c r="X764" i="1"/>
  <c r="W764" i="1"/>
  <c r="V764" i="1"/>
  <c r="U764" i="1"/>
  <c r="T764" i="1"/>
  <c r="S764" i="1"/>
  <c r="R764" i="1"/>
  <c r="Q764" i="1"/>
  <c r="P764" i="1"/>
  <c r="O764" i="1"/>
  <c r="N764" i="1"/>
  <c r="M764" i="1"/>
  <c r="L764" i="1"/>
  <c r="K764" i="1"/>
  <c r="J764" i="1"/>
  <c r="I764" i="1"/>
  <c r="H764" i="1"/>
  <c r="G764" i="1"/>
  <c r="F764" i="1"/>
  <c r="E764" i="1"/>
  <c r="D764" i="1"/>
  <c r="C764" i="1"/>
  <c r="AU757" i="1"/>
  <c r="AT757" i="1"/>
  <c r="AS757" i="1"/>
  <c r="AR757" i="1"/>
  <c r="AQ757" i="1"/>
  <c r="AP757" i="1"/>
  <c r="AO757" i="1"/>
  <c r="AN757" i="1"/>
  <c r="AM757" i="1"/>
  <c r="AL757" i="1"/>
  <c r="AK757" i="1"/>
  <c r="AJ757" i="1"/>
  <c r="AI757" i="1"/>
  <c r="AH757" i="1"/>
  <c r="AG757" i="1"/>
  <c r="AF757" i="1"/>
  <c r="AE757" i="1"/>
  <c r="AD757" i="1"/>
  <c r="AC757" i="1"/>
  <c r="AB757" i="1"/>
  <c r="AA757" i="1"/>
  <c r="Z757" i="1"/>
  <c r="Y757" i="1"/>
  <c r="X757" i="1"/>
  <c r="W757" i="1"/>
  <c r="V757" i="1"/>
  <c r="U757" i="1"/>
  <c r="T757" i="1"/>
  <c r="S757" i="1"/>
  <c r="R757" i="1"/>
  <c r="Q757" i="1"/>
  <c r="P757" i="1"/>
  <c r="O757" i="1"/>
  <c r="N757" i="1"/>
  <c r="M757" i="1"/>
  <c r="L757" i="1"/>
  <c r="K757" i="1"/>
  <c r="J757" i="1"/>
  <c r="I757" i="1"/>
  <c r="H757" i="1"/>
  <c r="G757" i="1"/>
  <c r="F757" i="1"/>
  <c r="E757" i="1"/>
  <c r="D757" i="1"/>
  <c r="C757" i="1"/>
  <c r="AU755" i="1"/>
  <c r="AT755" i="1"/>
  <c r="AS755" i="1"/>
  <c r="AR755" i="1"/>
  <c r="AQ755" i="1"/>
  <c r="AP755" i="1"/>
  <c r="AO755" i="1"/>
  <c r="AN755" i="1"/>
  <c r="AM755" i="1"/>
  <c r="AL755" i="1"/>
  <c r="AK755" i="1"/>
  <c r="AJ755" i="1"/>
  <c r="AI755" i="1"/>
  <c r="AH755" i="1"/>
  <c r="AG755" i="1"/>
  <c r="AF755" i="1"/>
  <c r="AE755" i="1"/>
  <c r="AD755" i="1"/>
  <c r="AC755" i="1"/>
  <c r="AB755" i="1"/>
  <c r="AA755" i="1"/>
  <c r="Z755" i="1"/>
  <c r="Y755" i="1"/>
  <c r="X755" i="1"/>
  <c r="W755" i="1"/>
  <c r="V755" i="1"/>
  <c r="U755" i="1"/>
  <c r="T755" i="1"/>
  <c r="S755" i="1"/>
  <c r="R755" i="1"/>
  <c r="Q755" i="1"/>
  <c r="P755" i="1"/>
  <c r="O755" i="1"/>
  <c r="N755" i="1"/>
  <c r="M755" i="1"/>
  <c r="L755" i="1"/>
  <c r="K755" i="1"/>
  <c r="J755" i="1"/>
  <c r="I755" i="1"/>
  <c r="H755" i="1"/>
  <c r="G755" i="1"/>
  <c r="F755" i="1"/>
  <c r="E755" i="1"/>
  <c r="D755" i="1"/>
  <c r="C755" i="1"/>
  <c r="AU748" i="1"/>
  <c r="AT748" i="1"/>
  <c r="AS748" i="1"/>
  <c r="AR748" i="1"/>
  <c r="AQ748" i="1"/>
  <c r="AP748" i="1"/>
  <c r="AO748" i="1"/>
  <c r="AN748" i="1"/>
  <c r="AM748" i="1"/>
  <c r="AL748" i="1"/>
  <c r="AK748" i="1"/>
  <c r="AJ748" i="1"/>
  <c r="AI748" i="1"/>
  <c r="AH748" i="1"/>
  <c r="AG748" i="1"/>
  <c r="AF748" i="1"/>
  <c r="AE748" i="1"/>
  <c r="AD748" i="1"/>
  <c r="AC748" i="1"/>
  <c r="AB748" i="1"/>
  <c r="AA748" i="1"/>
  <c r="Z748" i="1"/>
  <c r="Y748" i="1"/>
  <c r="X748" i="1"/>
  <c r="W748" i="1"/>
  <c r="V748" i="1"/>
  <c r="U748" i="1"/>
  <c r="T748" i="1"/>
  <c r="S748" i="1"/>
  <c r="R748" i="1"/>
  <c r="Q748" i="1"/>
  <c r="P748" i="1"/>
  <c r="O748" i="1"/>
  <c r="N748" i="1"/>
  <c r="M748" i="1"/>
  <c r="L748" i="1"/>
  <c r="K748" i="1"/>
  <c r="J748" i="1"/>
  <c r="I748" i="1"/>
  <c r="H748" i="1"/>
  <c r="G748" i="1"/>
  <c r="F748" i="1"/>
  <c r="E748" i="1"/>
  <c r="D748" i="1"/>
  <c r="C748" i="1"/>
  <c r="BG745" i="1"/>
  <c r="BF745" i="1"/>
  <c r="BE745" i="1"/>
  <c r="BD745" i="1"/>
  <c r="BC745" i="1"/>
  <c r="BB745" i="1"/>
  <c r="BA745" i="1"/>
  <c r="AZ745" i="1"/>
  <c r="AY745" i="1"/>
  <c r="AX745" i="1"/>
  <c r="AW745" i="1"/>
  <c r="AV745" i="1"/>
  <c r="AU745" i="1"/>
  <c r="AT745" i="1"/>
  <c r="AS745" i="1"/>
  <c r="AR745" i="1"/>
  <c r="AQ745" i="1"/>
  <c r="AP745" i="1"/>
  <c r="AO745" i="1"/>
  <c r="AN745" i="1"/>
  <c r="AM745" i="1"/>
  <c r="AL745" i="1"/>
  <c r="AK745" i="1"/>
  <c r="AJ745" i="1"/>
  <c r="AI745" i="1"/>
  <c r="AH745" i="1"/>
  <c r="AG745" i="1"/>
  <c r="AF745" i="1"/>
  <c r="AE745" i="1"/>
  <c r="AD745" i="1"/>
  <c r="AC745" i="1"/>
  <c r="AB745" i="1"/>
  <c r="AA745" i="1"/>
  <c r="Z745" i="1"/>
  <c r="Y745" i="1"/>
  <c r="X745" i="1"/>
  <c r="W745" i="1"/>
  <c r="V745" i="1"/>
  <c r="U745" i="1"/>
  <c r="T745" i="1"/>
  <c r="S745" i="1"/>
  <c r="R745" i="1"/>
  <c r="Q745" i="1"/>
  <c r="P745" i="1"/>
  <c r="O745" i="1"/>
  <c r="N745" i="1"/>
  <c r="M745" i="1"/>
  <c r="L745" i="1"/>
  <c r="K745" i="1"/>
  <c r="J745" i="1"/>
  <c r="I745" i="1"/>
  <c r="H745" i="1"/>
  <c r="G745" i="1"/>
  <c r="F745" i="1"/>
  <c r="E745" i="1"/>
  <c r="D745" i="1"/>
  <c r="C745" i="1"/>
  <c r="BG743" i="1"/>
  <c r="BF743" i="1"/>
  <c r="BE743" i="1"/>
  <c r="BD743" i="1"/>
  <c r="BC743" i="1"/>
  <c r="BB743" i="1"/>
  <c r="BA743" i="1"/>
  <c r="AZ743" i="1"/>
  <c r="AY743" i="1"/>
  <c r="AX743" i="1"/>
  <c r="AW743" i="1"/>
  <c r="AV743" i="1"/>
  <c r="AU743" i="1"/>
  <c r="AT743" i="1"/>
  <c r="AS743" i="1"/>
  <c r="AR743" i="1"/>
  <c r="AQ743" i="1"/>
  <c r="AP743" i="1"/>
  <c r="AO743" i="1"/>
  <c r="AN743" i="1"/>
  <c r="AM743" i="1"/>
  <c r="AL743" i="1"/>
  <c r="AK743" i="1"/>
  <c r="AJ743" i="1"/>
  <c r="AI743" i="1"/>
  <c r="AH743" i="1"/>
  <c r="AG743" i="1"/>
  <c r="AF743" i="1"/>
  <c r="AE743" i="1"/>
  <c r="AD743" i="1"/>
  <c r="AC743" i="1"/>
  <c r="AB743" i="1"/>
  <c r="AA743" i="1"/>
  <c r="Z743" i="1"/>
  <c r="Y743" i="1"/>
  <c r="X743" i="1"/>
  <c r="W743" i="1"/>
  <c r="V743" i="1"/>
  <c r="U743" i="1"/>
  <c r="T743" i="1"/>
  <c r="S743" i="1"/>
  <c r="R743" i="1"/>
  <c r="Q743" i="1"/>
  <c r="P743" i="1"/>
  <c r="O743" i="1"/>
  <c r="N743" i="1"/>
  <c r="M743" i="1"/>
  <c r="L743" i="1"/>
  <c r="K743" i="1"/>
  <c r="J743" i="1"/>
  <c r="I743" i="1"/>
  <c r="H743" i="1"/>
  <c r="G743" i="1"/>
  <c r="F743" i="1"/>
  <c r="E743" i="1"/>
  <c r="D743" i="1"/>
  <c r="C743" i="1"/>
  <c r="AS742" i="1"/>
  <c r="AN742" i="1"/>
  <c r="AI742" i="1"/>
  <c r="AD742" i="1"/>
  <c r="Y742" i="1"/>
  <c r="T742" i="1"/>
  <c r="O742" i="1"/>
  <c r="J742" i="1"/>
  <c r="BG741" i="1"/>
  <c r="BF741" i="1"/>
  <c r="BE741" i="1"/>
  <c r="BD741" i="1"/>
  <c r="BC741" i="1"/>
  <c r="BB741" i="1"/>
  <c r="BA741" i="1"/>
  <c r="AZ741" i="1"/>
  <c r="AY741" i="1"/>
  <c r="AX741" i="1"/>
  <c r="AW741" i="1"/>
  <c r="AV741" i="1"/>
  <c r="AU741" i="1"/>
  <c r="AT741" i="1"/>
  <c r="AS741" i="1"/>
  <c r="AR741" i="1"/>
  <c r="AQ741" i="1"/>
  <c r="AP741" i="1"/>
  <c r="AO741" i="1"/>
  <c r="AN741" i="1"/>
  <c r="AM741" i="1"/>
  <c r="AL741" i="1"/>
  <c r="AK741" i="1"/>
  <c r="AJ741" i="1"/>
  <c r="AI741" i="1"/>
  <c r="AH741" i="1"/>
  <c r="AG741" i="1"/>
  <c r="AF741" i="1"/>
  <c r="AE741" i="1"/>
  <c r="AD741" i="1"/>
  <c r="AC741" i="1"/>
  <c r="AB741" i="1"/>
  <c r="AA741" i="1"/>
  <c r="Z741" i="1"/>
  <c r="Y741" i="1"/>
  <c r="X741" i="1"/>
  <c r="W741" i="1"/>
  <c r="V741" i="1"/>
  <c r="U741" i="1"/>
  <c r="T741" i="1"/>
  <c r="S741" i="1"/>
  <c r="R741" i="1"/>
  <c r="Q741" i="1"/>
  <c r="P741" i="1"/>
  <c r="O741" i="1"/>
  <c r="N741" i="1"/>
  <c r="M741" i="1"/>
  <c r="L741" i="1"/>
  <c r="K741" i="1"/>
  <c r="J741" i="1"/>
  <c r="I741" i="1"/>
  <c r="H741" i="1"/>
  <c r="G741" i="1"/>
  <c r="F741" i="1"/>
  <c r="E741" i="1"/>
  <c r="D741" i="1"/>
  <c r="C741" i="1"/>
  <c r="AS740" i="1"/>
  <c r="AS739" i="1"/>
  <c r="AN739" i="1"/>
  <c r="AI739" i="1"/>
  <c r="AD739" i="1"/>
  <c r="Y739" i="1"/>
  <c r="T739" i="1"/>
  <c r="O739" i="1"/>
  <c r="J739" i="1"/>
  <c r="BG738" i="1"/>
  <c r="BF738" i="1"/>
  <c r="BE738" i="1"/>
  <c r="BD738" i="1"/>
  <c r="BC738" i="1"/>
  <c r="BB738" i="1"/>
  <c r="BA738" i="1"/>
  <c r="AZ738" i="1"/>
  <c r="AY738" i="1"/>
  <c r="AX738" i="1"/>
  <c r="AW738" i="1"/>
  <c r="AV738" i="1"/>
  <c r="AU738" i="1"/>
  <c r="AT738" i="1"/>
  <c r="AS738" i="1"/>
  <c r="AR738" i="1"/>
  <c r="AQ738" i="1"/>
  <c r="AP738" i="1"/>
  <c r="AO738" i="1"/>
  <c r="AN738" i="1"/>
  <c r="AM738" i="1"/>
  <c r="AL738" i="1"/>
  <c r="AK738" i="1"/>
  <c r="AJ738" i="1"/>
  <c r="AI738" i="1"/>
  <c r="AH738" i="1"/>
  <c r="AG738" i="1"/>
  <c r="AF738" i="1"/>
  <c r="AE738" i="1"/>
  <c r="AD738" i="1"/>
  <c r="AC738" i="1"/>
  <c r="AB738" i="1"/>
  <c r="AA738" i="1"/>
  <c r="Z738" i="1"/>
  <c r="Y738" i="1"/>
  <c r="X738" i="1"/>
  <c r="W738" i="1"/>
  <c r="V738" i="1"/>
  <c r="U738" i="1"/>
  <c r="T738" i="1"/>
  <c r="S738" i="1"/>
  <c r="R738" i="1"/>
  <c r="Q738" i="1"/>
  <c r="P738" i="1"/>
  <c r="O738" i="1"/>
  <c r="N738" i="1"/>
  <c r="M738" i="1"/>
  <c r="L738" i="1"/>
  <c r="K738" i="1"/>
  <c r="J738" i="1"/>
  <c r="I738" i="1"/>
  <c r="H738" i="1"/>
  <c r="G738" i="1"/>
  <c r="F738" i="1"/>
  <c r="E738" i="1"/>
  <c r="D738" i="1"/>
  <c r="C738" i="1"/>
  <c r="AS737" i="1"/>
  <c r="AN737" i="1"/>
  <c r="AS736" i="1"/>
  <c r="AN736" i="1"/>
  <c r="AI736" i="1"/>
  <c r="AD736" i="1"/>
  <c r="BG735" i="1"/>
  <c r="BF735" i="1"/>
  <c r="BE735" i="1"/>
  <c r="BD735" i="1"/>
  <c r="BC735" i="1"/>
  <c r="BB735" i="1"/>
  <c r="BA735" i="1"/>
  <c r="AZ735" i="1"/>
  <c r="AY735" i="1"/>
  <c r="AX735" i="1"/>
  <c r="AW735" i="1"/>
  <c r="AV735" i="1"/>
  <c r="AU735" i="1"/>
  <c r="AT735" i="1"/>
  <c r="AS735" i="1"/>
  <c r="AR735" i="1"/>
  <c r="AQ735" i="1"/>
  <c r="AP735" i="1"/>
  <c r="AO735" i="1"/>
  <c r="AN735" i="1"/>
  <c r="AM735" i="1"/>
  <c r="AL735" i="1"/>
  <c r="AK735" i="1"/>
  <c r="AJ735" i="1"/>
  <c r="AI735" i="1"/>
  <c r="AH735" i="1"/>
  <c r="AG735" i="1"/>
  <c r="AF735" i="1"/>
  <c r="AE735" i="1"/>
  <c r="AD735" i="1"/>
  <c r="AC735" i="1"/>
  <c r="AB735" i="1"/>
  <c r="AA735" i="1"/>
  <c r="Z735" i="1"/>
  <c r="Y735" i="1"/>
  <c r="X735" i="1"/>
  <c r="W735" i="1"/>
  <c r="V735" i="1"/>
  <c r="U735" i="1"/>
  <c r="T735" i="1"/>
  <c r="S735" i="1"/>
  <c r="R735" i="1"/>
  <c r="Q735" i="1"/>
  <c r="P735" i="1"/>
  <c r="O735" i="1"/>
  <c r="N735" i="1"/>
  <c r="M735" i="1"/>
  <c r="L735" i="1"/>
  <c r="K735" i="1"/>
  <c r="J735" i="1"/>
  <c r="I735" i="1"/>
  <c r="H735" i="1"/>
  <c r="G735" i="1"/>
  <c r="F735" i="1"/>
  <c r="E735" i="1"/>
  <c r="D735" i="1"/>
  <c r="C735" i="1"/>
  <c r="AS734" i="1"/>
  <c r="AN734" i="1"/>
  <c r="AI734" i="1"/>
  <c r="AD734" i="1"/>
  <c r="Y734" i="1"/>
  <c r="T734" i="1"/>
  <c r="O734" i="1"/>
  <c r="J734" i="1"/>
  <c r="AS733" i="1"/>
  <c r="AN733" i="1"/>
  <c r="AI733" i="1"/>
  <c r="AD733" i="1"/>
  <c r="Y733" i="1"/>
  <c r="T733" i="1"/>
  <c r="O733" i="1"/>
  <c r="J733" i="1"/>
  <c r="BG732" i="1"/>
  <c r="BF732" i="1"/>
  <c r="BE732" i="1"/>
  <c r="BD732" i="1"/>
  <c r="BC732" i="1"/>
  <c r="BB732" i="1"/>
  <c r="BA732" i="1"/>
  <c r="AZ732" i="1"/>
  <c r="AY732" i="1"/>
  <c r="AX732" i="1"/>
  <c r="AW732" i="1"/>
  <c r="AV732" i="1"/>
  <c r="AU732" i="1"/>
  <c r="AT732" i="1"/>
  <c r="AS732" i="1"/>
  <c r="AR732" i="1"/>
  <c r="AQ732" i="1"/>
  <c r="AP732" i="1"/>
  <c r="AO732" i="1"/>
  <c r="AN732" i="1"/>
  <c r="AM732" i="1"/>
  <c r="AL732" i="1"/>
  <c r="AK732" i="1"/>
  <c r="AJ732" i="1"/>
  <c r="AI732" i="1"/>
  <c r="AH732" i="1"/>
  <c r="AG732" i="1"/>
  <c r="AF732" i="1"/>
  <c r="AE732" i="1"/>
  <c r="AD732" i="1"/>
  <c r="AC732" i="1"/>
  <c r="AB732" i="1"/>
  <c r="AA732" i="1"/>
  <c r="Z732" i="1"/>
  <c r="Y732" i="1"/>
  <c r="X732" i="1"/>
  <c r="W732" i="1"/>
  <c r="V732" i="1"/>
  <c r="U732" i="1"/>
  <c r="T732" i="1"/>
  <c r="S732" i="1"/>
  <c r="R732" i="1"/>
  <c r="Q732" i="1"/>
  <c r="P732" i="1"/>
  <c r="O732" i="1"/>
  <c r="N732" i="1"/>
  <c r="M732" i="1"/>
  <c r="L732" i="1"/>
  <c r="K732" i="1"/>
  <c r="J732" i="1"/>
  <c r="I732" i="1"/>
  <c r="H732" i="1"/>
  <c r="G732" i="1"/>
  <c r="F732" i="1"/>
  <c r="E732" i="1"/>
  <c r="D732" i="1"/>
  <c r="C732" i="1"/>
  <c r="BG731" i="1"/>
  <c r="BF731" i="1"/>
  <c r="BE731" i="1"/>
  <c r="BD731" i="1"/>
  <c r="BC731" i="1"/>
  <c r="BB731" i="1"/>
  <c r="BA731" i="1"/>
  <c r="AZ731" i="1"/>
  <c r="AY731" i="1"/>
  <c r="AX731" i="1"/>
  <c r="AW731" i="1"/>
  <c r="AV731" i="1"/>
  <c r="AU731" i="1"/>
  <c r="AT731" i="1"/>
  <c r="AS731" i="1"/>
  <c r="AR731" i="1"/>
  <c r="AQ731" i="1"/>
  <c r="AP731" i="1"/>
  <c r="AO731" i="1"/>
  <c r="AN731" i="1"/>
  <c r="AM731" i="1"/>
  <c r="AL731" i="1"/>
  <c r="AK731" i="1"/>
  <c r="AJ731" i="1"/>
  <c r="AI731" i="1"/>
  <c r="AH731" i="1"/>
  <c r="AG731" i="1"/>
  <c r="AF731" i="1"/>
  <c r="AE731" i="1"/>
  <c r="AD731" i="1"/>
  <c r="AC731" i="1"/>
  <c r="AB731" i="1"/>
  <c r="AA731" i="1"/>
  <c r="Z731" i="1"/>
  <c r="Y731" i="1"/>
  <c r="X731" i="1"/>
  <c r="W731" i="1"/>
  <c r="V731" i="1"/>
  <c r="U731" i="1"/>
  <c r="T731" i="1"/>
  <c r="S731" i="1"/>
  <c r="R731" i="1"/>
  <c r="Q731" i="1"/>
  <c r="P731" i="1"/>
  <c r="O731" i="1"/>
  <c r="N731" i="1"/>
  <c r="M731" i="1"/>
  <c r="L731" i="1"/>
  <c r="K731" i="1"/>
  <c r="J731" i="1"/>
  <c r="I731" i="1"/>
  <c r="H731" i="1"/>
  <c r="G731" i="1"/>
  <c r="F731" i="1"/>
  <c r="E731" i="1"/>
  <c r="D731" i="1"/>
  <c r="C731" i="1"/>
  <c r="AS730" i="1"/>
  <c r="AN730" i="1"/>
  <c r="AI730" i="1"/>
  <c r="AD730" i="1"/>
  <c r="AA730" i="1"/>
  <c r="Y730" i="1"/>
  <c r="T730" i="1"/>
  <c r="O730" i="1"/>
  <c r="J730" i="1"/>
  <c r="AS729" i="1"/>
  <c r="AN729" i="1"/>
  <c r="AI729" i="1"/>
  <c r="AD729" i="1"/>
  <c r="Y729" i="1"/>
  <c r="T729" i="1"/>
  <c r="O729" i="1"/>
  <c r="J729" i="1"/>
  <c r="AS728" i="1"/>
  <c r="AN728" i="1"/>
  <c r="AI728" i="1"/>
  <c r="AD728" i="1"/>
  <c r="Y728" i="1"/>
  <c r="T728" i="1"/>
  <c r="O728" i="1"/>
  <c r="J728" i="1"/>
  <c r="AS727" i="1"/>
  <c r="AN727" i="1"/>
  <c r="AI727" i="1"/>
  <c r="AD727" i="1"/>
  <c r="Y727" i="1"/>
  <c r="T727" i="1"/>
  <c r="O727" i="1"/>
  <c r="J727" i="1"/>
  <c r="AS726" i="1"/>
  <c r="AN726" i="1"/>
  <c r="AI726" i="1"/>
  <c r="AD726" i="1"/>
  <c r="Y726" i="1"/>
  <c r="T726" i="1"/>
  <c r="O726" i="1"/>
  <c r="J726" i="1"/>
  <c r="BG722" i="1"/>
  <c r="BF722" i="1"/>
  <c r="BE722" i="1"/>
  <c r="BD722" i="1"/>
  <c r="BC722" i="1"/>
  <c r="BB722" i="1"/>
  <c r="BA722" i="1"/>
  <c r="AZ722" i="1"/>
  <c r="AY722" i="1"/>
  <c r="AX722" i="1"/>
  <c r="AW722" i="1"/>
  <c r="AV722" i="1"/>
  <c r="AU722" i="1"/>
  <c r="AT722" i="1"/>
  <c r="AS722" i="1"/>
  <c r="AR722" i="1"/>
  <c r="AQ722" i="1"/>
  <c r="AP722" i="1"/>
  <c r="AO722" i="1"/>
  <c r="AN722" i="1"/>
  <c r="AM722" i="1"/>
  <c r="AL722" i="1"/>
  <c r="AK722" i="1"/>
  <c r="AJ722" i="1"/>
  <c r="AI722" i="1"/>
  <c r="AH722" i="1"/>
  <c r="AG722" i="1"/>
  <c r="AF722" i="1"/>
  <c r="AE722" i="1"/>
  <c r="AD722" i="1"/>
  <c r="AC722" i="1"/>
  <c r="AB722" i="1"/>
  <c r="AA722" i="1"/>
  <c r="Z722" i="1"/>
  <c r="Y722" i="1"/>
  <c r="X722" i="1"/>
  <c r="W722" i="1"/>
  <c r="V722" i="1"/>
  <c r="U722" i="1"/>
  <c r="T722" i="1"/>
  <c r="S722" i="1"/>
  <c r="R722" i="1"/>
  <c r="Q722" i="1"/>
  <c r="P722" i="1"/>
  <c r="O722" i="1"/>
  <c r="N722" i="1"/>
  <c r="M722" i="1"/>
  <c r="L722" i="1"/>
  <c r="K722" i="1"/>
  <c r="J722" i="1"/>
  <c r="I722" i="1"/>
  <c r="H722" i="1"/>
  <c r="G722" i="1"/>
  <c r="F722" i="1"/>
  <c r="E722" i="1"/>
  <c r="D722" i="1"/>
  <c r="C722" i="1"/>
  <c r="A722" i="1"/>
  <c r="BG721" i="1"/>
  <c r="BF721" i="1"/>
  <c r="BE721" i="1"/>
  <c r="BD721" i="1"/>
  <c r="BC721" i="1"/>
  <c r="BB721" i="1"/>
  <c r="BA721" i="1"/>
  <c r="AZ721" i="1"/>
  <c r="AY721" i="1"/>
  <c r="AX721" i="1"/>
  <c r="AW721" i="1"/>
  <c r="AV721" i="1"/>
  <c r="AU721" i="1"/>
  <c r="AT721" i="1"/>
  <c r="AS721" i="1"/>
  <c r="AR721" i="1"/>
  <c r="AQ721" i="1"/>
  <c r="AP721" i="1"/>
  <c r="AO721" i="1"/>
  <c r="AN721" i="1"/>
  <c r="AM721" i="1"/>
  <c r="AL721" i="1"/>
  <c r="AK721" i="1"/>
  <c r="AJ721" i="1"/>
  <c r="AI721" i="1"/>
  <c r="AH721" i="1"/>
  <c r="AG721" i="1"/>
  <c r="AF721" i="1"/>
  <c r="AE721" i="1"/>
  <c r="AD721" i="1"/>
  <c r="AC721" i="1"/>
  <c r="AB721" i="1"/>
  <c r="AA721" i="1"/>
  <c r="Z721" i="1"/>
  <c r="Y721" i="1"/>
  <c r="X721" i="1"/>
  <c r="W721" i="1"/>
  <c r="V721" i="1"/>
  <c r="U721" i="1"/>
  <c r="T721" i="1"/>
  <c r="S721" i="1"/>
  <c r="R721" i="1"/>
  <c r="Q721" i="1"/>
  <c r="P721" i="1"/>
  <c r="O721" i="1"/>
  <c r="N721" i="1"/>
  <c r="M721" i="1"/>
  <c r="L721" i="1"/>
  <c r="K721" i="1"/>
  <c r="J721" i="1"/>
  <c r="I721" i="1"/>
  <c r="H721" i="1"/>
  <c r="G721" i="1"/>
  <c r="F721" i="1"/>
  <c r="E721" i="1"/>
  <c r="D721" i="1"/>
  <c r="C721" i="1"/>
  <c r="BG720" i="1"/>
  <c r="BF720" i="1"/>
  <c r="BE720" i="1"/>
  <c r="BD720" i="1"/>
  <c r="BC720" i="1"/>
  <c r="BB720" i="1"/>
  <c r="BA720" i="1"/>
  <c r="AZ720" i="1"/>
  <c r="AY720" i="1"/>
  <c r="AX720" i="1"/>
  <c r="AW720" i="1"/>
  <c r="AV720" i="1"/>
  <c r="AU720" i="1"/>
  <c r="AT720" i="1"/>
  <c r="AS720" i="1"/>
  <c r="AR720" i="1"/>
  <c r="AQ720" i="1"/>
  <c r="AP720" i="1"/>
  <c r="AO720" i="1"/>
  <c r="AN720" i="1"/>
  <c r="AM720" i="1"/>
  <c r="AL720" i="1"/>
  <c r="AK720" i="1"/>
  <c r="AJ720" i="1"/>
  <c r="AI720" i="1"/>
  <c r="AH720" i="1"/>
  <c r="AG720" i="1"/>
  <c r="AF720" i="1"/>
  <c r="AE720" i="1"/>
  <c r="AD720" i="1"/>
  <c r="AC720" i="1"/>
  <c r="AB720" i="1"/>
  <c r="AA720" i="1"/>
  <c r="Z720" i="1"/>
  <c r="Y720" i="1"/>
  <c r="X720" i="1"/>
  <c r="W720" i="1"/>
  <c r="V720" i="1"/>
  <c r="BG719" i="1"/>
  <c r="BF719" i="1"/>
  <c r="BE719" i="1"/>
  <c r="BD719" i="1"/>
  <c r="BC719" i="1"/>
  <c r="BB719" i="1"/>
  <c r="BA719" i="1"/>
  <c r="AZ719" i="1"/>
  <c r="AY719" i="1"/>
  <c r="AX719" i="1"/>
  <c r="AW719" i="1"/>
  <c r="AV719" i="1"/>
  <c r="AU719" i="1"/>
  <c r="AT719" i="1"/>
  <c r="AS719" i="1"/>
  <c r="AR719" i="1"/>
  <c r="AQ719" i="1"/>
  <c r="AP719" i="1"/>
  <c r="AO719" i="1"/>
  <c r="AN719" i="1"/>
  <c r="AM719" i="1"/>
  <c r="AL719" i="1"/>
  <c r="AK719" i="1"/>
  <c r="AJ719" i="1"/>
  <c r="AI719" i="1"/>
  <c r="AH719" i="1"/>
  <c r="AG719" i="1"/>
  <c r="AF719" i="1"/>
  <c r="AE719" i="1"/>
  <c r="AD719" i="1"/>
  <c r="AC719" i="1"/>
  <c r="AB719" i="1"/>
  <c r="AA719" i="1"/>
  <c r="Z719" i="1"/>
  <c r="Y719" i="1"/>
  <c r="X719" i="1"/>
  <c r="W719" i="1"/>
  <c r="V719" i="1"/>
  <c r="BG718" i="1"/>
  <c r="BF718" i="1"/>
  <c r="BE718" i="1"/>
  <c r="BD718" i="1"/>
  <c r="BC718" i="1"/>
  <c r="BB718" i="1"/>
  <c r="BA718" i="1"/>
  <c r="AZ718" i="1"/>
  <c r="AY718" i="1"/>
  <c r="AX718" i="1"/>
  <c r="AW718" i="1"/>
  <c r="AV718" i="1"/>
  <c r="AU718" i="1"/>
  <c r="AT718" i="1"/>
  <c r="AS718" i="1"/>
  <c r="AR718" i="1"/>
  <c r="AQ718" i="1"/>
  <c r="AP718" i="1"/>
  <c r="AO718" i="1"/>
  <c r="AN718" i="1"/>
  <c r="AM718" i="1"/>
  <c r="AL718" i="1"/>
  <c r="AK718" i="1"/>
  <c r="AJ718" i="1"/>
  <c r="AI718" i="1"/>
  <c r="AH718" i="1"/>
  <c r="AG718" i="1"/>
  <c r="AF718" i="1"/>
  <c r="AE718" i="1"/>
  <c r="AD718" i="1"/>
  <c r="AC718" i="1"/>
  <c r="AB718" i="1"/>
  <c r="AA718" i="1"/>
  <c r="Z718" i="1"/>
  <c r="Y718" i="1"/>
  <c r="X718" i="1"/>
  <c r="W718" i="1"/>
  <c r="V718" i="1"/>
  <c r="BG717" i="1"/>
  <c r="BF717" i="1"/>
  <c r="BE717" i="1"/>
  <c r="BD717" i="1"/>
  <c r="BC717" i="1"/>
  <c r="BB717" i="1"/>
  <c r="BA717" i="1"/>
  <c r="AZ717" i="1"/>
  <c r="AY717" i="1"/>
  <c r="AX717" i="1"/>
  <c r="AW717" i="1"/>
  <c r="AV717" i="1"/>
  <c r="AU717" i="1"/>
  <c r="AT717" i="1"/>
  <c r="AS717" i="1"/>
  <c r="AR717" i="1"/>
  <c r="AQ717" i="1"/>
  <c r="AP717" i="1"/>
  <c r="AO717" i="1"/>
  <c r="AN717" i="1"/>
  <c r="AM717" i="1"/>
  <c r="AL717" i="1"/>
  <c r="AK717" i="1"/>
  <c r="AJ717" i="1"/>
  <c r="AI717" i="1"/>
  <c r="AH717" i="1"/>
  <c r="AG717" i="1"/>
  <c r="AF717" i="1"/>
  <c r="AE717" i="1"/>
  <c r="AD717" i="1"/>
  <c r="AC717" i="1"/>
  <c r="AB717" i="1"/>
  <c r="AA717" i="1"/>
  <c r="Z717" i="1"/>
  <c r="Y717" i="1"/>
  <c r="X717" i="1"/>
  <c r="W717" i="1"/>
  <c r="V717" i="1"/>
  <c r="BG714" i="1"/>
  <c r="BF714" i="1"/>
  <c r="BE714" i="1"/>
  <c r="BD714" i="1"/>
  <c r="BC714" i="1"/>
  <c r="BB714" i="1"/>
  <c r="BA714" i="1"/>
  <c r="AZ714" i="1"/>
  <c r="AY714" i="1"/>
  <c r="AX714" i="1"/>
  <c r="AW714" i="1"/>
  <c r="AV714" i="1"/>
  <c r="AU714" i="1"/>
  <c r="AT714" i="1"/>
  <c r="AS714" i="1"/>
  <c r="AR714" i="1"/>
  <c r="AQ714" i="1"/>
  <c r="AP714" i="1"/>
  <c r="AO714" i="1"/>
  <c r="AN714" i="1"/>
  <c r="AM714" i="1"/>
  <c r="AL714" i="1"/>
  <c r="AK714" i="1"/>
  <c r="AJ714" i="1"/>
  <c r="AI714" i="1"/>
  <c r="AH714" i="1"/>
  <c r="AG714" i="1"/>
  <c r="AF714" i="1"/>
  <c r="AE714" i="1"/>
  <c r="AD714" i="1"/>
  <c r="AC714" i="1"/>
  <c r="AB714" i="1"/>
  <c r="AA714" i="1"/>
  <c r="Z714" i="1"/>
  <c r="Y714" i="1"/>
  <c r="X714" i="1"/>
  <c r="W714" i="1"/>
  <c r="V714" i="1"/>
  <c r="U714" i="1"/>
  <c r="T714" i="1"/>
  <c r="S714" i="1"/>
  <c r="R714" i="1"/>
  <c r="Q714" i="1"/>
  <c r="P714" i="1"/>
  <c r="O714" i="1"/>
  <c r="N714" i="1"/>
  <c r="M714" i="1"/>
  <c r="L714" i="1"/>
  <c r="K714" i="1"/>
  <c r="J714" i="1"/>
  <c r="I714" i="1"/>
  <c r="H714" i="1"/>
  <c r="G714" i="1"/>
  <c r="F714" i="1"/>
  <c r="E714" i="1"/>
  <c r="D714" i="1"/>
  <c r="C714" i="1"/>
  <c r="AZ713" i="1"/>
  <c r="AY713" i="1"/>
  <c r="AX713" i="1"/>
  <c r="AW713" i="1"/>
  <c r="AV713" i="1"/>
  <c r="AU713" i="1"/>
  <c r="AT713" i="1"/>
  <c r="AS713" i="1"/>
  <c r="AR713" i="1"/>
  <c r="AQ713" i="1"/>
  <c r="AP713" i="1"/>
  <c r="AO713" i="1"/>
  <c r="AN713" i="1"/>
  <c r="AM713" i="1"/>
  <c r="AL713" i="1"/>
  <c r="AK713" i="1"/>
  <c r="AJ713" i="1"/>
  <c r="AI713" i="1"/>
  <c r="AH713" i="1"/>
  <c r="AG713" i="1"/>
  <c r="AF713" i="1"/>
  <c r="AE713" i="1"/>
  <c r="AD713" i="1"/>
  <c r="AC713" i="1"/>
  <c r="AB713" i="1"/>
  <c r="AA713" i="1"/>
  <c r="Z713" i="1"/>
  <c r="Y713" i="1"/>
  <c r="X713" i="1"/>
  <c r="W713" i="1"/>
  <c r="V713" i="1"/>
  <c r="U713" i="1"/>
  <c r="T713" i="1"/>
  <c r="S713" i="1"/>
  <c r="R713" i="1"/>
  <c r="Q713" i="1"/>
  <c r="P713" i="1"/>
  <c r="O713" i="1"/>
  <c r="N713" i="1"/>
  <c r="M713" i="1"/>
  <c r="L713" i="1"/>
  <c r="K713" i="1"/>
  <c r="J713" i="1"/>
  <c r="I713" i="1"/>
  <c r="H713" i="1"/>
  <c r="G713" i="1"/>
  <c r="F713" i="1"/>
  <c r="E713" i="1"/>
  <c r="D713" i="1"/>
  <c r="C713" i="1"/>
  <c r="BG712" i="1"/>
  <c r="BF712" i="1"/>
  <c r="BE712" i="1"/>
  <c r="BD712" i="1"/>
  <c r="BC712" i="1"/>
  <c r="BB712" i="1"/>
  <c r="BA712" i="1"/>
  <c r="AZ712" i="1"/>
  <c r="AY712" i="1"/>
  <c r="AX712" i="1"/>
  <c r="AW712" i="1"/>
  <c r="AV712" i="1"/>
  <c r="AU712" i="1"/>
  <c r="AT712" i="1"/>
  <c r="AS712" i="1"/>
  <c r="AR712" i="1"/>
  <c r="AQ712" i="1"/>
  <c r="AP712" i="1"/>
  <c r="AO712" i="1"/>
  <c r="AN712" i="1"/>
  <c r="AM712" i="1"/>
  <c r="AL712" i="1"/>
  <c r="AK712" i="1"/>
  <c r="AJ712" i="1"/>
  <c r="AI712" i="1"/>
  <c r="AH712" i="1"/>
  <c r="AG712" i="1"/>
  <c r="AF712" i="1"/>
  <c r="AE712" i="1"/>
  <c r="AD712" i="1"/>
  <c r="AC712" i="1"/>
  <c r="AB712" i="1"/>
  <c r="AA712" i="1"/>
  <c r="Z712" i="1"/>
  <c r="Y712" i="1"/>
  <c r="X712" i="1"/>
  <c r="W712" i="1"/>
  <c r="V712" i="1"/>
  <c r="U712" i="1"/>
  <c r="T712" i="1"/>
  <c r="S712" i="1"/>
  <c r="R712" i="1"/>
  <c r="Q712" i="1"/>
  <c r="P712" i="1"/>
  <c r="O712" i="1"/>
  <c r="N712" i="1"/>
  <c r="M712" i="1"/>
  <c r="L712" i="1"/>
  <c r="K712" i="1"/>
  <c r="J712" i="1"/>
  <c r="I712" i="1"/>
  <c r="H712" i="1"/>
  <c r="G712" i="1"/>
  <c r="F712" i="1"/>
  <c r="E712" i="1"/>
  <c r="D712" i="1"/>
  <c r="C712" i="1"/>
  <c r="BG711" i="1"/>
  <c r="BF711" i="1"/>
  <c r="BE711" i="1"/>
  <c r="BD711" i="1"/>
  <c r="BC711" i="1"/>
  <c r="BB711" i="1"/>
  <c r="BA711" i="1"/>
  <c r="AZ711" i="1"/>
  <c r="AY711" i="1"/>
  <c r="AX711" i="1"/>
  <c r="AW711" i="1"/>
  <c r="AV711" i="1"/>
  <c r="AU711" i="1"/>
  <c r="AT711" i="1"/>
  <c r="AS711" i="1"/>
  <c r="AR711" i="1"/>
  <c r="AQ711" i="1"/>
  <c r="AP711" i="1"/>
  <c r="AO711" i="1"/>
  <c r="AN711" i="1"/>
  <c r="AM711" i="1"/>
  <c r="AL711" i="1"/>
  <c r="AK711" i="1"/>
  <c r="AJ711" i="1"/>
  <c r="AI711" i="1"/>
  <c r="AH711" i="1"/>
  <c r="AG711" i="1"/>
  <c r="AF711" i="1"/>
  <c r="AE711" i="1"/>
  <c r="AD711" i="1"/>
  <c r="AC711" i="1"/>
  <c r="AB711" i="1"/>
  <c r="AA711" i="1"/>
  <c r="Z711" i="1"/>
  <c r="Y711" i="1"/>
  <c r="X711" i="1"/>
  <c r="W711" i="1"/>
  <c r="V711" i="1"/>
  <c r="U711" i="1"/>
  <c r="T711" i="1"/>
  <c r="S711" i="1"/>
  <c r="R711" i="1"/>
  <c r="Q711" i="1"/>
  <c r="P711" i="1"/>
  <c r="O711" i="1"/>
  <c r="N711" i="1"/>
  <c r="M711" i="1"/>
  <c r="L711" i="1"/>
  <c r="K711" i="1"/>
  <c r="J711" i="1"/>
  <c r="I711" i="1"/>
  <c r="H711" i="1"/>
  <c r="G711" i="1"/>
  <c r="F711" i="1"/>
  <c r="E711" i="1"/>
  <c r="D711" i="1"/>
  <c r="C711" i="1"/>
  <c r="AZ708" i="1"/>
  <c r="AY708" i="1"/>
  <c r="AX708" i="1"/>
  <c r="AW708" i="1"/>
  <c r="AV708" i="1"/>
  <c r="AU708" i="1"/>
  <c r="AT708" i="1"/>
  <c r="AS708" i="1"/>
  <c r="AR708" i="1"/>
  <c r="AQ708" i="1"/>
  <c r="AP708" i="1"/>
  <c r="AO708" i="1"/>
  <c r="AN708" i="1"/>
  <c r="AM708" i="1"/>
  <c r="AL708" i="1"/>
  <c r="AK708" i="1"/>
  <c r="AJ708" i="1"/>
  <c r="AI708" i="1"/>
  <c r="AH708" i="1"/>
  <c r="AG708" i="1"/>
  <c r="AF708" i="1"/>
  <c r="AE708" i="1"/>
  <c r="AD708" i="1"/>
  <c r="AC708" i="1"/>
  <c r="AB708" i="1"/>
  <c r="AA708" i="1"/>
  <c r="Z708" i="1"/>
  <c r="Y708" i="1"/>
  <c r="X708" i="1"/>
  <c r="W708" i="1"/>
  <c r="V708" i="1"/>
  <c r="U708" i="1"/>
  <c r="T708" i="1"/>
  <c r="S708" i="1"/>
  <c r="R708" i="1"/>
  <c r="Q708" i="1"/>
  <c r="P708" i="1"/>
  <c r="O708" i="1"/>
  <c r="N708" i="1"/>
  <c r="M708" i="1"/>
  <c r="L708" i="1"/>
  <c r="K708" i="1"/>
  <c r="J708" i="1"/>
  <c r="I708" i="1"/>
  <c r="H708" i="1"/>
  <c r="G708" i="1"/>
  <c r="F708" i="1"/>
  <c r="E708" i="1"/>
  <c r="D708" i="1"/>
  <c r="C708" i="1"/>
  <c r="AZ707" i="1"/>
  <c r="AY707" i="1"/>
  <c r="AX707" i="1"/>
  <c r="AW707" i="1"/>
  <c r="AV707" i="1"/>
  <c r="AU707" i="1"/>
  <c r="AT707" i="1"/>
  <c r="AS707" i="1"/>
  <c r="AR707" i="1"/>
  <c r="AQ707" i="1"/>
  <c r="AP707" i="1"/>
  <c r="AO707" i="1"/>
  <c r="AN707" i="1"/>
  <c r="AM707" i="1"/>
  <c r="AL707" i="1"/>
  <c r="AK707" i="1"/>
  <c r="AJ707" i="1"/>
  <c r="AI707" i="1"/>
  <c r="AH707" i="1"/>
  <c r="AG707" i="1"/>
  <c r="AF707" i="1"/>
  <c r="AE707" i="1"/>
  <c r="AD707" i="1"/>
  <c r="AC707" i="1"/>
  <c r="AB707" i="1"/>
  <c r="AA707" i="1"/>
  <c r="Z707" i="1"/>
  <c r="Y707" i="1"/>
  <c r="X707" i="1"/>
  <c r="W707" i="1"/>
  <c r="V707" i="1"/>
  <c r="U707" i="1"/>
  <c r="T707" i="1"/>
  <c r="S707" i="1"/>
  <c r="R707" i="1"/>
  <c r="Q707" i="1"/>
  <c r="P707" i="1"/>
  <c r="O707" i="1"/>
  <c r="N707" i="1"/>
  <c r="M707" i="1"/>
  <c r="L707" i="1"/>
  <c r="K707" i="1"/>
  <c r="J707" i="1"/>
  <c r="I707" i="1"/>
  <c r="H707" i="1"/>
  <c r="G707" i="1"/>
  <c r="F707" i="1"/>
  <c r="E707" i="1"/>
  <c r="D707" i="1"/>
  <c r="C707" i="1"/>
  <c r="AZ706" i="1"/>
  <c r="AY706" i="1"/>
  <c r="AX706" i="1"/>
  <c r="AW706" i="1"/>
  <c r="AV706" i="1"/>
  <c r="AU706" i="1"/>
  <c r="AT706" i="1"/>
  <c r="AS706" i="1"/>
  <c r="AR706" i="1"/>
  <c r="AQ706" i="1"/>
  <c r="AP706" i="1"/>
  <c r="AO706" i="1"/>
  <c r="AN706" i="1"/>
  <c r="AM706" i="1"/>
  <c r="AL706" i="1"/>
  <c r="AK706" i="1"/>
  <c r="AJ706" i="1"/>
  <c r="AI706" i="1"/>
  <c r="AH706" i="1"/>
  <c r="AG706" i="1"/>
  <c r="AF706" i="1"/>
  <c r="AE706" i="1"/>
  <c r="AD706" i="1"/>
  <c r="AC706" i="1"/>
  <c r="AB706" i="1"/>
  <c r="AA706" i="1"/>
  <c r="Z706" i="1"/>
  <c r="Y706" i="1"/>
  <c r="X706" i="1"/>
  <c r="W706" i="1"/>
  <c r="V706" i="1"/>
  <c r="U706" i="1"/>
  <c r="T706" i="1"/>
  <c r="S706" i="1"/>
  <c r="R706" i="1"/>
  <c r="Q706" i="1"/>
  <c r="P706" i="1"/>
  <c r="O706" i="1"/>
  <c r="N706" i="1"/>
  <c r="M706" i="1"/>
  <c r="L706" i="1"/>
  <c r="K706" i="1"/>
  <c r="J706" i="1"/>
  <c r="I706" i="1"/>
  <c r="H706" i="1"/>
  <c r="G706" i="1"/>
  <c r="F706" i="1"/>
  <c r="E706" i="1"/>
  <c r="D706" i="1"/>
  <c r="C706" i="1"/>
  <c r="AZ705" i="1"/>
  <c r="AY705" i="1"/>
  <c r="AX705" i="1"/>
  <c r="AW705" i="1"/>
  <c r="AV705" i="1"/>
  <c r="AU705" i="1"/>
  <c r="AT705" i="1"/>
  <c r="AS705" i="1"/>
  <c r="AR705" i="1"/>
  <c r="AQ705" i="1"/>
  <c r="AP705" i="1"/>
  <c r="AO705" i="1"/>
  <c r="AN705" i="1"/>
  <c r="AM705" i="1"/>
  <c r="AL705" i="1"/>
  <c r="AK705" i="1"/>
  <c r="AJ705" i="1"/>
  <c r="AI705" i="1"/>
  <c r="AH705" i="1"/>
  <c r="AG705" i="1"/>
  <c r="AF705" i="1"/>
  <c r="AE705" i="1"/>
  <c r="AD705" i="1"/>
  <c r="AC705" i="1"/>
  <c r="AB705" i="1"/>
  <c r="AA705" i="1"/>
  <c r="Z705" i="1"/>
  <c r="Y705" i="1"/>
  <c r="X705" i="1"/>
  <c r="W705" i="1"/>
  <c r="V705" i="1"/>
  <c r="U705" i="1"/>
  <c r="T705" i="1"/>
  <c r="S705" i="1"/>
  <c r="R705" i="1"/>
  <c r="Q705" i="1"/>
  <c r="P705" i="1"/>
  <c r="O705" i="1"/>
  <c r="N705" i="1"/>
  <c r="M705" i="1"/>
  <c r="L705" i="1"/>
  <c r="K705" i="1"/>
  <c r="J705" i="1"/>
  <c r="I705" i="1"/>
  <c r="H705" i="1"/>
  <c r="G705" i="1"/>
  <c r="F705" i="1"/>
  <c r="E705" i="1"/>
  <c r="D705" i="1"/>
  <c r="C705" i="1"/>
  <c r="Z702" i="1"/>
  <c r="Y702" i="1"/>
  <c r="X702" i="1"/>
  <c r="W702" i="1"/>
  <c r="V702" i="1"/>
  <c r="U702" i="1"/>
  <c r="T702" i="1"/>
  <c r="S702" i="1"/>
  <c r="R702" i="1"/>
  <c r="Q702" i="1"/>
  <c r="P702" i="1"/>
  <c r="O702" i="1"/>
  <c r="N702" i="1"/>
  <c r="M702" i="1"/>
  <c r="L702" i="1"/>
  <c r="K702" i="1"/>
  <c r="J702" i="1"/>
  <c r="I702" i="1"/>
  <c r="H702" i="1"/>
  <c r="G702" i="1"/>
  <c r="F702" i="1"/>
  <c r="E702" i="1"/>
  <c r="D702" i="1"/>
  <c r="C702" i="1"/>
  <c r="Y698" i="1"/>
  <c r="T698" i="1"/>
  <c r="O698" i="1"/>
  <c r="J698" i="1"/>
  <c r="Y697" i="1"/>
  <c r="T697" i="1"/>
  <c r="O697" i="1"/>
  <c r="J697" i="1"/>
  <c r="Y696" i="1"/>
  <c r="T696" i="1"/>
  <c r="O696" i="1"/>
  <c r="J696" i="1"/>
  <c r="Y695" i="1"/>
  <c r="T695" i="1"/>
  <c r="O695" i="1"/>
  <c r="J695" i="1"/>
  <c r="Y694" i="1"/>
  <c r="T694" i="1"/>
  <c r="O694" i="1"/>
  <c r="J694" i="1"/>
  <c r="Y693" i="1"/>
  <c r="T693" i="1"/>
  <c r="O693" i="1"/>
  <c r="J693" i="1"/>
  <c r="Y692" i="1"/>
  <c r="T692" i="1"/>
  <c r="O692" i="1"/>
  <c r="J692" i="1"/>
  <c r="AK684" i="1"/>
  <c r="AJ684" i="1"/>
  <c r="AI684" i="1"/>
  <c r="AH684" i="1"/>
  <c r="AG684" i="1"/>
  <c r="AF684" i="1"/>
  <c r="AE684" i="1"/>
  <c r="AD684" i="1"/>
  <c r="AC684" i="1"/>
  <c r="AB684" i="1"/>
  <c r="AA684" i="1"/>
  <c r="Z684" i="1"/>
  <c r="Y684" i="1"/>
  <c r="X684" i="1"/>
  <c r="W684" i="1"/>
  <c r="V684" i="1"/>
  <c r="U684" i="1"/>
  <c r="T684" i="1"/>
  <c r="S684" i="1"/>
  <c r="R684" i="1"/>
  <c r="Q684" i="1"/>
  <c r="P684" i="1"/>
  <c r="O684" i="1"/>
  <c r="N684" i="1"/>
  <c r="M684" i="1"/>
  <c r="L684" i="1"/>
  <c r="AI683" i="1"/>
  <c r="AD683" i="1"/>
  <c r="Y683" i="1"/>
  <c r="T683" i="1"/>
  <c r="O683" i="1"/>
  <c r="AI682" i="1"/>
  <c r="AD682" i="1"/>
  <c r="Y682" i="1"/>
  <c r="T682" i="1"/>
  <c r="O682" i="1"/>
  <c r="AI681" i="1"/>
  <c r="AD681" i="1"/>
  <c r="Y681" i="1"/>
  <c r="T681" i="1"/>
  <c r="O681" i="1"/>
  <c r="AI680" i="1"/>
  <c r="AD680" i="1"/>
  <c r="Y680" i="1"/>
  <c r="T680" i="1"/>
  <c r="O680" i="1"/>
  <c r="AI679" i="1"/>
  <c r="AD679" i="1"/>
  <c r="Y679" i="1"/>
  <c r="T679" i="1"/>
  <c r="O679" i="1"/>
  <c r="AI678" i="1"/>
  <c r="AD678" i="1"/>
  <c r="Y678" i="1"/>
  <c r="T678" i="1"/>
  <c r="O678" i="1"/>
  <c r="AI677" i="1"/>
  <c r="AD677" i="1"/>
  <c r="Y677" i="1"/>
  <c r="T677" i="1"/>
  <c r="O677" i="1"/>
  <c r="AK675" i="1"/>
  <c r="AJ675" i="1"/>
  <c r="AI675" i="1"/>
  <c r="AH675" i="1"/>
  <c r="AG675" i="1"/>
  <c r="AF675" i="1"/>
  <c r="AE675" i="1"/>
  <c r="AD675" i="1"/>
  <c r="AC675" i="1"/>
  <c r="AB675" i="1"/>
  <c r="AA675" i="1"/>
  <c r="Z675" i="1"/>
  <c r="Y675" i="1"/>
  <c r="X675" i="1"/>
  <c r="W675" i="1"/>
  <c r="V675" i="1"/>
  <c r="U675" i="1"/>
  <c r="T675" i="1"/>
  <c r="S675" i="1"/>
  <c r="R675" i="1"/>
  <c r="Q675" i="1"/>
  <c r="P675" i="1"/>
  <c r="O675" i="1"/>
  <c r="N675" i="1"/>
  <c r="M675" i="1"/>
  <c r="L675" i="1"/>
  <c r="AI674" i="1"/>
  <c r="AD674" i="1"/>
  <c r="Y674" i="1"/>
  <c r="T674" i="1"/>
  <c r="O674" i="1"/>
  <c r="AI673" i="1"/>
  <c r="AD673" i="1"/>
  <c r="Y673" i="1"/>
  <c r="T673" i="1"/>
  <c r="O673" i="1"/>
  <c r="AI672" i="1"/>
  <c r="AD672" i="1"/>
  <c r="Y672" i="1"/>
  <c r="T672" i="1"/>
  <c r="O672" i="1"/>
  <c r="AI671" i="1"/>
  <c r="AD671" i="1"/>
  <c r="Y671" i="1"/>
  <c r="T671" i="1"/>
  <c r="O671" i="1"/>
  <c r="AI670" i="1"/>
  <c r="AD670" i="1"/>
  <c r="Y670" i="1"/>
  <c r="T670" i="1"/>
  <c r="O670" i="1"/>
  <c r="AI669" i="1"/>
  <c r="AD669" i="1"/>
  <c r="Y669" i="1"/>
  <c r="T669" i="1"/>
  <c r="O669" i="1"/>
  <c r="AI668" i="1"/>
  <c r="AD668" i="1"/>
  <c r="Y668" i="1"/>
  <c r="T668" i="1"/>
  <c r="O668" i="1"/>
  <c r="AT659" i="1"/>
  <c r="AO659" i="1"/>
  <c r="AJ659" i="1"/>
  <c r="AE659" i="1"/>
  <c r="Z659" i="1"/>
  <c r="U659" i="1"/>
  <c r="P659" i="1"/>
  <c r="K659" i="1"/>
  <c r="F659" i="1"/>
  <c r="E659" i="1"/>
  <c r="D659" i="1"/>
  <c r="C659" i="1"/>
  <c r="AO656" i="1"/>
  <c r="AJ656" i="1"/>
  <c r="AE656" i="1"/>
  <c r="Z656" i="1"/>
  <c r="U656" i="1"/>
  <c r="P656" i="1"/>
  <c r="K656" i="1"/>
  <c r="F656" i="1"/>
  <c r="E656" i="1"/>
  <c r="D656" i="1"/>
  <c r="C656" i="1"/>
  <c r="AO651" i="1"/>
  <c r="AJ651" i="1"/>
  <c r="AE651" i="1"/>
  <c r="Z651" i="1"/>
  <c r="U651" i="1"/>
  <c r="P651" i="1"/>
  <c r="K651" i="1"/>
  <c r="F651" i="1"/>
  <c r="E651" i="1"/>
  <c r="D651" i="1"/>
  <c r="AO650" i="1"/>
  <c r="AJ650" i="1"/>
  <c r="AE650" i="1"/>
  <c r="Z650" i="1"/>
  <c r="U650" i="1"/>
  <c r="P650" i="1"/>
  <c r="K650" i="1"/>
  <c r="F650" i="1"/>
  <c r="E650" i="1"/>
  <c r="D650" i="1"/>
  <c r="AT649" i="1"/>
  <c r="AO649" i="1"/>
  <c r="AJ649" i="1"/>
  <c r="AE649" i="1"/>
  <c r="Z649" i="1"/>
  <c r="U649" i="1"/>
  <c r="P649" i="1"/>
  <c r="K649" i="1"/>
  <c r="F649" i="1"/>
  <c r="E649" i="1"/>
  <c r="D649" i="1"/>
  <c r="AO648" i="1"/>
  <c r="AJ648" i="1"/>
  <c r="AE648" i="1"/>
  <c r="U648" i="1"/>
  <c r="P648" i="1"/>
  <c r="K648" i="1"/>
  <c r="F648" i="1"/>
  <c r="E648" i="1"/>
  <c r="D648" i="1"/>
  <c r="AT646" i="1"/>
  <c r="AO646" i="1"/>
  <c r="AJ646" i="1"/>
  <c r="AE646" i="1"/>
  <c r="Z646" i="1"/>
  <c r="U646" i="1"/>
  <c r="P646" i="1"/>
  <c r="K646" i="1"/>
  <c r="F646" i="1"/>
  <c r="E646" i="1"/>
  <c r="D646" i="1"/>
  <c r="C646" i="1"/>
  <c r="AT645" i="1"/>
  <c r="AO645" i="1"/>
  <c r="AJ645" i="1"/>
  <c r="AE645" i="1"/>
  <c r="Z645" i="1"/>
  <c r="U645" i="1"/>
  <c r="P645" i="1"/>
  <c r="K645" i="1"/>
  <c r="F645" i="1"/>
  <c r="E645" i="1"/>
  <c r="D645" i="1"/>
  <c r="C645" i="1"/>
  <c r="AT644" i="1"/>
  <c r="AO644" i="1"/>
  <c r="AJ644" i="1"/>
  <c r="AE644" i="1"/>
  <c r="Z644" i="1"/>
  <c r="U644" i="1"/>
  <c r="P644" i="1"/>
  <c r="K644" i="1"/>
  <c r="F644" i="1"/>
  <c r="E644" i="1"/>
  <c r="D644" i="1"/>
  <c r="C644" i="1"/>
  <c r="AU641" i="1"/>
  <c r="AT641" i="1"/>
  <c r="AS641" i="1"/>
  <c r="AR641" i="1"/>
  <c r="AQ641" i="1"/>
  <c r="AP641" i="1"/>
  <c r="AO641" i="1"/>
  <c r="AN641" i="1"/>
  <c r="AM641" i="1"/>
  <c r="AL641" i="1"/>
  <c r="AK641" i="1"/>
  <c r="AU640" i="1"/>
  <c r="AT640" i="1"/>
  <c r="AS640" i="1"/>
  <c r="AR640" i="1"/>
  <c r="AQ640" i="1"/>
  <c r="AP640" i="1"/>
  <c r="AO640" i="1"/>
  <c r="AN640" i="1"/>
  <c r="AM640" i="1"/>
  <c r="AL640" i="1"/>
  <c r="AK640" i="1"/>
  <c r="AY638" i="1"/>
  <c r="AX638" i="1"/>
  <c r="AW638" i="1"/>
  <c r="AV638" i="1"/>
  <c r="AU638" i="1"/>
  <c r="AT638" i="1"/>
  <c r="AS638" i="1"/>
  <c r="AR638" i="1"/>
  <c r="AQ638" i="1"/>
  <c r="AP638" i="1"/>
  <c r="AO638" i="1"/>
  <c r="AN638" i="1"/>
  <c r="AM638" i="1"/>
  <c r="AL638" i="1"/>
  <c r="AK638" i="1"/>
  <c r="AJ638" i="1"/>
  <c r="AI638" i="1"/>
  <c r="AH638" i="1"/>
  <c r="AG638" i="1"/>
  <c r="AF638" i="1"/>
  <c r="AE638" i="1"/>
  <c r="AD638" i="1"/>
  <c r="AC638" i="1"/>
  <c r="AB638" i="1"/>
  <c r="AA638" i="1"/>
  <c r="Z638" i="1"/>
  <c r="Y638" i="1"/>
  <c r="X638" i="1"/>
  <c r="W638" i="1"/>
  <c r="V638" i="1"/>
  <c r="U638" i="1"/>
  <c r="T638" i="1"/>
  <c r="S638" i="1"/>
  <c r="R638" i="1"/>
  <c r="Q638" i="1"/>
  <c r="P638" i="1"/>
  <c r="O638" i="1"/>
  <c r="N638" i="1"/>
  <c r="M638" i="1"/>
  <c r="L638" i="1"/>
  <c r="K638" i="1"/>
  <c r="J638" i="1"/>
  <c r="I638" i="1"/>
  <c r="H638" i="1"/>
  <c r="G638" i="1"/>
  <c r="F638" i="1"/>
  <c r="E638" i="1"/>
  <c r="D638" i="1"/>
  <c r="C638" i="1"/>
  <c r="BG637" i="1"/>
  <c r="BF637" i="1"/>
  <c r="BE637" i="1"/>
  <c r="BD637" i="1"/>
  <c r="BC637" i="1"/>
  <c r="BB637" i="1"/>
  <c r="BA637" i="1"/>
  <c r="AZ637" i="1"/>
  <c r="AY637" i="1"/>
  <c r="AX637" i="1"/>
  <c r="AW637" i="1"/>
  <c r="AV637" i="1"/>
  <c r="AU637" i="1"/>
  <c r="AT637" i="1"/>
  <c r="AS637" i="1"/>
  <c r="AR637" i="1"/>
  <c r="AQ637" i="1"/>
  <c r="AP637" i="1"/>
  <c r="AO637" i="1"/>
  <c r="AN637" i="1"/>
  <c r="AM637" i="1"/>
  <c r="AL637" i="1"/>
  <c r="AK637" i="1"/>
  <c r="AJ637" i="1"/>
  <c r="AI637" i="1"/>
  <c r="AH637" i="1"/>
  <c r="AG637" i="1"/>
  <c r="AF637" i="1"/>
  <c r="AE637" i="1"/>
  <c r="AD637" i="1"/>
  <c r="AC637" i="1"/>
  <c r="AB637" i="1"/>
  <c r="AA637" i="1"/>
  <c r="Z637" i="1"/>
  <c r="Y637" i="1"/>
  <c r="X637" i="1"/>
  <c r="W637" i="1"/>
  <c r="V637" i="1"/>
  <c r="U637" i="1"/>
  <c r="T637" i="1"/>
  <c r="S637" i="1"/>
  <c r="R637" i="1"/>
  <c r="Q637" i="1"/>
  <c r="P637" i="1"/>
  <c r="O637" i="1"/>
  <c r="N637" i="1"/>
  <c r="M637" i="1"/>
  <c r="L637" i="1"/>
  <c r="K637" i="1"/>
  <c r="J637" i="1"/>
  <c r="I637" i="1"/>
  <c r="H637" i="1"/>
  <c r="G637" i="1"/>
  <c r="F637" i="1"/>
  <c r="E637" i="1"/>
  <c r="D637" i="1"/>
  <c r="C637" i="1"/>
  <c r="AU635" i="1"/>
  <c r="AT635" i="1"/>
  <c r="AS635" i="1"/>
  <c r="AR635" i="1"/>
  <c r="AQ635" i="1"/>
  <c r="AP635" i="1"/>
  <c r="AO635" i="1"/>
  <c r="AN635" i="1"/>
  <c r="AM635" i="1"/>
  <c r="AL635" i="1"/>
  <c r="AK635" i="1"/>
  <c r="AS634" i="1"/>
  <c r="AN634" i="1"/>
  <c r="AS633" i="1"/>
  <c r="AN633" i="1"/>
  <c r="AS632" i="1"/>
  <c r="AN632" i="1"/>
  <c r="AY631" i="1"/>
  <c r="AX631" i="1"/>
  <c r="AW631" i="1"/>
  <c r="AV631" i="1"/>
  <c r="AU631" i="1"/>
  <c r="AT631" i="1"/>
  <c r="AS631" i="1"/>
  <c r="AR631" i="1"/>
  <c r="AQ631" i="1"/>
  <c r="AP631" i="1"/>
  <c r="AO631" i="1"/>
  <c r="AN631" i="1"/>
  <c r="AM631" i="1"/>
  <c r="AL631" i="1"/>
  <c r="AK631" i="1"/>
  <c r="AJ631" i="1"/>
  <c r="AI631" i="1"/>
  <c r="AH631" i="1"/>
  <c r="AG631" i="1"/>
  <c r="AF631" i="1"/>
  <c r="AE631" i="1"/>
  <c r="AD631" i="1"/>
  <c r="AC631" i="1"/>
  <c r="AB631" i="1"/>
  <c r="AA631" i="1"/>
  <c r="Z631" i="1"/>
  <c r="Y631" i="1"/>
  <c r="X631" i="1"/>
  <c r="W631" i="1"/>
  <c r="V631" i="1"/>
  <c r="U631" i="1"/>
  <c r="T631" i="1"/>
  <c r="S631" i="1"/>
  <c r="R631" i="1"/>
  <c r="Q631" i="1"/>
  <c r="P631" i="1"/>
  <c r="O631" i="1"/>
  <c r="N631" i="1"/>
  <c r="M631" i="1"/>
  <c r="L631" i="1"/>
  <c r="K631" i="1"/>
  <c r="J631" i="1"/>
  <c r="I631" i="1"/>
  <c r="H631" i="1"/>
  <c r="G631" i="1"/>
  <c r="F631" i="1"/>
  <c r="E631" i="1"/>
  <c r="D631" i="1"/>
  <c r="C631" i="1"/>
  <c r="BE630" i="1"/>
  <c r="BE631" i="1" s="1"/>
  <c r="BE638" i="1" s="1"/>
  <c r="BB630" i="1"/>
  <c r="BB631" i="1" s="1"/>
  <c r="BB638" i="1" s="1"/>
  <c r="BA630" i="1"/>
  <c r="BA631" i="1" s="1"/>
  <c r="BA638" i="1" s="1"/>
  <c r="AY630" i="1"/>
  <c r="AX630" i="1"/>
  <c r="AW630" i="1"/>
  <c r="AV630" i="1"/>
  <c r="AU630" i="1"/>
  <c r="AT630" i="1"/>
  <c r="AS630" i="1"/>
  <c r="AR630" i="1"/>
  <c r="AQ630" i="1"/>
  <c r="AP630" i="1"/>
  <c r="AO630" i="1"/>
  <c r="AN630" i="1"/>
  <c r="AM630" i="1"/>
  <c r="AL630" i="1"/>
  <c r="AK630" i="1"/>
  <c r="AJ630" i="1"/>
  <c r="AI630" i="1"/>
  <c r="AH630" i="1"/>
  <c r="AG630" i="1"/>
  <c r="AF630" i="1"/>
  <c r="AE630" i="1"/>
  <c r="AD630" i="1"/>
  <c r="AC630" i="1"/>
  <c r="AB630" i="1"/>
  <c r="AA630" i="1"/>
  <c r="Z630" i="1"/>
  <c r="Y630" i="1"/>
  <c r="X630" i="1"/>
  <c r="W630" i="1"/>
  <c r="V630" i="1"/>
  <c r="U630" i="1"/>
  <c r="T630" i="1"/>
  <c r="S630" i="1"/>
  <c r="R630" i="1"/>
  <c r="Q630" i="1"/>
  <c r="P630" i="1"/>
  <c r="O630" i="1"/>
  <c r="N630" i="1"/>
  <c r="M630" i="1"/>
  <c r="L630" i="1"/>
  <c r="K630" i="1"/>
  <c r="J630" i="1"/>
  <c r="I630" i="1"/>
  <c r="H630" i="1"/>
  <c r="G630" i="1"/>
  <c r="F630" i="1"/>
  <c r="E630" i="1"/>
  <c r="D630" i="1"/>
  <c r="C630" i="1"/>
  <c r="BG629" i="1"/>
  <c r="BF629" i="1"/>
  <c r="BE629" i="1"/>
  <c r="BD629" i="1"/>
  <c r="BC629" i="1"/>
  <c r="BB629" i="1"/>
  <c r="BA629" i="1"/>
  <c r="AZ629" i="1"/>
  <c r="AY629" i="1"/>
  <c r="AX629" i="1"/>
  <c r="AW629" i="1"/>
  <c r="AV629" i="1"/>
  <c r="AU629" i="1"/>
  <c r="AT629" i="1"/>
  <c r="AS629" i="1"/>
  <c r="AR629" i="1"/>
  <c r="AQ629" i="1"/>
  <c r="AP629" i="1"/>
  <c r="AO629" i="1"/>
  <c r="AN629" i="1"/>
  <c r="AM629" i="1"/>
  <c r="AL629" i="1"/>
  <c r="AK629" i="1"/>
  <c r="AJ629" i="1"/>
  <c r="AI629" i="1"/>
  <c r="AH629" i="1"/>
  <c r="AG629" i="1"/>
  <c r="AF629" i="1"/>
  <c r="AE629" i="1"/>
  <c r="AD629" i="1"/>
  <c r="AC629" i="1"/>
  <c r="AB629" i="1"/>
  <c r="AA629" i="1"/>
  <c r="Z629" i="1"/>
  <c r="Y629" i="1"/>
  <c r="X629" i="1"/>
  <c r="W629" i="1"/>
  <c r="V629" i="1"/>
  <c r="U629" i="1"/>
  <c r="T629" i="1"/>
  <c r="S629" i="1"/>
  <c r="R629" i="1"/>
  <c r="Q629" i="1"/>
  <c r="P629" i="1"/>
  <c r="O629" i="1"/>
  <c r="N629" i="1"/>
  <c r="M629" i="1"/>
  <c r="L629" i="1"/>
  <c r="K629" i="1"/>
  <c r="J629" i="1"/>
  <c r="I629" i="1"/>
  <c r="H629" i="1"/>
  <c r="G629" i="1"/>
  <c r="F629" i="1"/>
  <c r="E629" i="1"/>
  <c r="D629" i="1"/>
  <c r="C629" i="1"/>
  <c r="AU626" i="1"/>
  <c r="AT626" i="1"/>
  <c r="AS626" i="1"/>
  <c r="AR626" i="1"/>
  <c r="AQ626" i="1"/>
  <c r="AP626" i="1"/>
  <c r="AO626" i="1"/>
  <c r="AN626" i="1"/>
  <c r="AM626" i="1"/>
  <c r="AL626" i="1"/>
  <c r="AK626" i="1"/>
  <c r="AJ626" i="1"/>
  <c r="AI626" i="1"/>
  <c r="AH626" i="1"/>
  <c r="AG626" i="1"/>
  <c r="AF626" i="1"/>
  <c r="AE626" i="1"/>
  <c r="AD626" i="1"/>
  <c r="AC626" i="1"/>
  <c r="AB626" i="1"/>
  <c r="AA626" i="1"/>
  <c r="Z626" i="1"/>
  <c r="Y626" i="1"/>
  <c r="X626" i="1"/>
  <c r="W626" i="1"/>
  <c r="V626" i="1"/>
  <c r="U626" i="1"/>
  <c r="P626" i="1"/>
  <c r="AU618" i="1"/>
  <c r="AT618" i="1"/>
  <c r="AS618" i="1"/>
  <c r="AR618" i="1"/>
  <c r="AQ618" i="1"/>
  <c r="AP618" i="1"/>
  <c r="AO618" i="1"/>
  <c r="AN618" i="1"/>
  <c r="AM618" i="1"/>
  <c r="AL618" i="1"/>
  <c r="AK618" i="1"/>
  <c r="AJ618" i="1"/>
  <c r="AI618" i="1"/>
  <c r="AH618" i="1"/>
  <c r="AG618" i="1"/>
  <c r="AF618" i="1"/>
  <c r="AE618" i="1"/>
  <c r="AD618" i="1"/>
  <c r="AC618" i="1"/>
  <c r="AB618" i="1"/>
  <c r="AA618" i="1"/>
  <c r="Z618" i="1"/>
  <c r="Y618" i="1"/>
  <c r="X618" i="1"/>
  <c r="W618" i="1"/>
  <c r="V618" i="1"/>
  <c r="U618" i="1"/>
  <c r="P618" i="1"/>
  <c r="AU617" i="1"/>
  <c r="AT617" i="1"/>
  <c r="AS617" i="1"/>
  <c r="AR617" i="1"/>
  <c r="AQ617" i="1"/>
  <c r="AP617" i="1"/>
  <c r="AO617" i="1"/>
  <c r="AN617" i="1"/>
  <c r="AM617" i="1"/>
  <c r="AL617" i="1"/>
  <c r="AK617" i="1"/>
  <c r="AJ617" i="1"/>
  <c r="AI617" i="1"/>
  <c r="AH617" i="1"/>
  <c r="AG617" i="1"/>
  <c r="AF617" i="1"/>
  <c r="AE617" i="1"/>
  <c r="AD617" i="1"/>
  <c r="AC617" i="1"/>
  <c r="AB617" i="1"/>
  <c r="AA617" i="1"/>
  <c r="Z617" i="1"/>
  <c r="Y617" i="1"/>
  <c r="X617" i="1"/>
  <c r="W617" i="1"/>
  <c r="V617" i="1"/>
  <c r="U617" i="1"/>
  <c r="P617" i="1"/>
  <c r="AT611" i="1"/>
  <c r="AS611" i="1"/>
  <c r="AR611" i="1"/>
  <c r="AQ611" i="1"/>
  <c r="AP611" i="1"/>
  <c r="AO611" i="1"/>
  <c r="AN611" i="1"/>
  <c r="AM611" i="1"/>
  <c r="AL611" i="1"/>
  <c r="AK611" i="1"/>
  <c r="AJ611" i="1"/>
  <c r="AI611" i="1"/>
  <c r="AH611" i="1"/>
  <c r="AG611" i="1"/>
  <c r="AF611" i="1"/>
  <c r="AE611" i="1"/>
  <c r="AD611" i="1"/>
  <c r="AC611" i="1"/>
  <c r="AB611" i="1"/>
  <c r="AA611" i="1"/>
  <c r="Z611" i="1"/>
  <c r="Y611" i="1"/>
  <c r="X611" i="1"/>
  <c r="W611" i="1"/>
  <c r="V611" i="1"/>
  <c r="U611" i="1"/>
  <c r="P611" i="1"/>
  <c r="AU604" i="1"/>
  <c r="AT604" i="1"/>
  <c r="AS604" i="1"/>
  <c r="AR604" i="1"/>
  <c r="AQ604" i="1"/>
  <c r="AP604" i="1"/>
  <c r="AO604" i="1"/>
  <c r="AN604" i="1"/>
  <c r="AM604" i="1"/>
  <c r="AL604" i="1"/>
  <c r="AK604" i="1"/>
  <c r="AJ604" i="1"/>
  <c r="AI604" i="1"/>
  <c r="AH604" i="1"/>
  <c r="AG604" i="1"/>
  <c r="AF604" i="1"/>
  <c r="AE604" i="1"/>
  <c r="AD604" i="1"/>
  <c r="AC604" i="1"/>
  <c r="AB604" i="1"/>
  <c r="AA604" i="1"/>
  <c r="Z604" i="1"/>
  <c r="Y604" i="1"/>
  <c r="X604" i="1"/>
  <c r="W604" i="1"/>
  <c r="V604" i="1"/>
  <c r="U604" i="1"/>
  <c r="P604" i="1"/>
  <c r="AD600" i="1"/>
  <c r="AB600" i="1"/>
  <c r="AU599" i="1"/>
  <c r="AU598" i="1"/>
  <c r="AT598" i="1"/>
  <c r="AS598" i="1"/>
  <c r="AR598" i="1"/>
  <c r="AQ598" i="1"/>
  <c r="AP598" i="1"/>
  <c r="AO598" i="1"/>
  <c r="AN598" i="1"/>
  <c r="AM598" i="1"/>
  <c r="AL598" i="1"/>
  <c r="AK598" i="1"/>
  <c r="AJ598" i="1"/>
  <c r="AI598" i="1"/>
  <c r="AH598" i="1"/>
  <c r="AG598" i="1"/>
  <c r="AF598" i="1"/>
  <c r="AE598" i="1"/>
  <c r="AD598" i="1"/>
  <c r="AC598" i="1"/>
  <c r="AB598" i="1"/>
  <c r="AA598" i="1"/>
  <c r="Z598" i="1"/>
  <c r="Y598" i="1"/>
  <c r="X598" i="1"/>
  <c r="W598" i="1"/>
  <c r="V598" i="1"/>
  <c r="U598" i="1"/>
  <c r="P598" i="1"/>
  <c r="AT593" i="1"/>
  <c r="AS593" i="1"/>
  <c r="AR593" i="1"/>
  <c r="AQ593" i="1"/>
  <c r="AP593" i="1"/>
  <c r="AO593" i="1"/>
  <c r="AN593" i="1"/>
  <c r="AM593" i="1"/>
  <c r="AL593" i="1"/>
  <c r="AK593" i="1"/>
  <c r="AJ593" i="1"/>
  <c r="AI593" i="1"/>
  <c r="AH593" i="1"/>
  <c r="AG593" i="1"/>
  <c r="AF593" i="1"/>
  <c r="AE593" i="1"/>
  <c r="AD593" i="1"/>
  <c r="AC593" i="1"/>
  <c r="AB593" i="1"/>
  <c r="AA593" i="1"/>
  <c r="Z593" i="1"/>
  <c r="Y593" i="1"/>
  <c r="X593" i="1"/>
  <c r="W593" i="1"/>
  <c r="V593" i="1"/>
  <c r="U593" i="1"/>
  <c r="P593" i="1"/>
  <c r="AU591" i="1"/>
  <c r="AT591" i="1"/>
  <c r="AS591" i="1"/>
  <c r="AR591" i="1"/>
  <c r="AQ591" i="1"/>
  <c r="AP591" i="1"/>
  <c r="AO591" i="1"/>
  <c r="AN591" i="1"/>
  <c r="AM591" i="1"/>
  <c r="AL591" i="1"/>
  <c r="AK591" i="1"/>
  <c r="AJ591" i="1"/>
  <c r="AI591" i="1"/>
  <c r="AH591" i="1"/>
  <c r="AG591" i="1"/>
  <c r="AF591" i="1"/>
  <c r="AE591" i="1"/>
  <c r="AD591" i="1"/>
  <c r="AC591" i="1"/>
  <c r="AB591" i="1"/>
  <c r="AA591" i="1"/>
  <c r="Z591" i="1"/>
  <c r="Y591" i="1"/>
  <c r="X591" i="1"/>
  <c r="W591" i="1"/>
  <c r="V591" i="1"/>
  <c r="U591" i="1"/>
  <c r="P591" i="1"/>
  <c r="AU586" i="1"/>
  <c r="AT586" i="1"/>
  <c r="AS586" i="1"/>
  <c r="AR586" i="1"/>
  <c r="AQ586" i="1"/>
  <c r="AP586" i="1"/>
  <c r="AO586" i="1"/>
  <c r="AN586" i="1"/>
  <c r="AM586" i="1"/>
  <c r="AL586" i="1"/>
  <c r="AK586" i="1"/>
  <c r="AJ586" i="1"/>
  <c r="AI586" i="1"/>
  <c r="AH586" i="1"/>
  <c r="AG586" i="1"/>
  <c r="AF586" i="1"/>
  <c r="AE586" i="1"/>
  <c r="AD586" i="1"/>
  <c r="AC586" i="1"/>
  <c r="AB586" i="1"/>
  <c r="AA586" i="1"/>
  <c r="Z586" i="1"/>
  <c r="Y586" i="1"/>
  <c r="X586" i="1"/>
  <c r="W586" i="1"/>
  <c r="V586" i="1"/>
  <c r="U586" i="1"/>
  <c r="P586" i="1"/>
  <c r="AU585" i="1"/>
  <c r="AT585" i="1"/>
  <c r="AS585" i="1"/>
  <c r="AR585" i="1"/>
  <c r="AQ585" i="1"/>
  <c r="AP585" i="1"/>
  <c r="AO585" i="1"/>
  <c r="AN585" i="1"/>
  <c r="AM585" i="1"/>
  <c r="AL585" i="1"/>
  <c r="AK585" i="1"/>
  <c r="AJ585" i="1"/>
  <c r="AI585" i="1"/>
  <c r="AH585" i="1"/>
  <c r="AG585" i="1"/>
  <c r="AF585" i="1"/>
  <c r="AE585" i="1"/>
  <c r="AD585" i="1"/>
  <c r="AC585" i="1"/>
  <c r="AB585" i="1"/>
  <c r="AA585" i="1"/>
  <c r="Z585" i="1"/>
  <c r="Y585" i="1"/>
  <c r="X585" i="1"/>
  <c r="W585" i="1"/>
  <c r="V585" i="1"/>
  <c r="U585" i="1"/>
  <c r="P585" i="1"/>
  <c r="AU584" i="1"/>
  <c r="AT584" i="1"/>
  <c r="AS584" i="1"/>
  <c r="AR584" i="1"/>
  <c r="AQ584" i="1"/>
  <c r="AP584" i="1"/>
  <c r="AO584" i="1"/>
  <c r="AN584" i="1"/>
  <c r="AM584" i="1"/>
  <c r="AL584" i="1"/>
  <c r="AK584" i="1"/>
  <c r="AJ584" i="1"/>
  <c r="AI584" i="1"/>
  <c r="AH584" i="1"/>
  <c r="AG584" i="1"/>
  <c r="AF584" i="1"/>
  <c r="AE584" i="1"/>
  <c r="AD584" i="1"/>
  <c r="AC584" i="1"/>
  <c r="AB584" i="1"/>
  <c r="AA584" i="1"/>
  <c r="Z584" i="1"/>
  <c r="Y584" i="1"/>
  <c r="X584" i="1"/>
  <c r="W584" i="1"/>
  <c r="V584" i="1"/>
  <c r="U584" i="1"/>
  <c r="P584" i="1"/>
  <c r="AU581" i="1"/>
  <c r="AT581" i="1"/>
  <c r="AS581" i="1"/>
  <c r="AR581" i="1"/>
  <c r="AQ581" i="1"/>
  <c r="AP581" i="1"/>
  <c r="AO581" i="1"/>
  <c r="AN581" i="1"/>
  <c r="AM581" i="1"/>
  <c r="AL581" i="1"/>
  <c r="AK581" i="1"/>
  <c r="AJ581" i="1"/>
  <c r="AI581" i="1"/>
  <c r="AH581" i="1"/>
  <c r="AG581" i="1"/>
  <c r="AF581" i="1"/>
  <c r="AE581" i="1"/>
  <c r="AD581" i="1"/>
  <c r="AC581" i="1"/>
  <c r="AB581" i="1"/>
  <c r="AA581" i="1"/>
  <c r="Z581" i="1"/>
  <c r="Y581" i="1"/>
  <c r="X581" i="1"/>
  <c r="W581" i="1"/>
  <c r="V581" i="1"/>
  <c r="U581" i="1"/>
  <c r="P581" i="1"/>
  <c r="AT573" i="1"/>
  <c r="AS573" i="1"/>
  <c r="AR573" i="1"/>
  <c r="AQ573" i="1"/>
  <c r="AP573" i="1"/>
  <c r="AO573" i="1"/>
  <c r="AN573" i="1"/>
  <c r="AM573" i="1"/>
  <c r="AL573" i="1"/>
  <c r="AK573" i="1"/>
  <c r="AJ573" i="1"/>
  <c r="AI573" i="1"/>
  <c r="AH573" i="1"/>
  <c r="AG573" i="1"/>
  <c r="AF573" i="1"/>
  <c r="AE573" i="1"/>
  <c r="AD573" i="1"/>
  <c r="AC573" i="1"/>
  <c r="AB573" i="1"/>
  <c r="AA573" i="1"/>
  <c r="Z573" i="1"/>
  <c r="Y573" i="1"/>
  <c r="X573" i="1"/>
  <c r="W573" i="1"/>
  <c r="V573" i="1"/>
  <c r="U573" i="1"/>
  <c r="P573" i="1"/>
  <c r="AU568" i="1"/>
  <c r="AT568" i="1"/>
  <c r="AS568" i="1"/>
  <c r="AR568" i="1"/>
  <c r="AQ568" i="1"/>
  <c r="AP568" i="1"/>
  <c r="AO568" i="1"/>
  <c r="AN568" i="1"/>
  <c r="AM568" i="1"/>
  <c r="AL568" i="1"/>
  <c r="AK568" i="1"/>
  <c r="AJ568" i="1"/>
  <c r="AI568" i="1"/>
  <c r="AH568" i="1"/>
  <c r="AG568" i="1"/>
  <c r="AF568" i="1"/>
  <c r="AE568" i="1"/>
  <c r="AD568" i="1"/>
  <c r="AC568" i="1"/>
  <c r="AB568" i="1"/>
  <c r="AA568" i="1"/>
  <c r="Z568" i="1"/>
  <c r="Y568" i="1"/>
  <c r="X568" i="1"/>
  <c r="W568" i="1"/>
  <c r="V568" i="1"/>
  <c r="U568" i="1"/>
  <c r="P568" i="1"/>
  <c r="V566" i="1"/>
  <c r="AU565" i="1"/>
  <c r="AT565" i="1"/>
  <c r="AS565" i="1"/>
  <c r="AR565" i="1"/>
  <c r="AQ565" i="1"/>
  <c r="AP565" i="1"/>
  <c r="AO565" i="1"/>
  <c r="AN565" i="1"/>
  <c r="AM565" i="1"/>
  <c r="AL565" i="1"/>
  <c r="AK565" i="1"/>
  <c r="AJ565" i="1"/>
  <c r="AI565" i="1"/>
  <c r="AH565" i="1"/>
  <c r="AG565" i="1"/>
  <c r="AF565" i="1"/>
  <c r="AE565" i="1"/>
  <c r="AD565" i="1"/>
  <c r="AC565" i="1"/>
  <c r="AB565" i="1"/>
  <c r="AA565" i="1"/>
  <c r="Z565" i="1"/>
  <c r="Y565" i="1"/>
  <c r="X565" i="1"/>
  <c r="W565" i="1"/>
  <c r="V565" i="1"/>
  <c r="U565" i="1"/>
  <c r="P565" i="1"/>
  <c r="AT562" i="1"/>
  <c r="AS562" i="1"/>
  <c r="AR562" i="1"/>
  <c r="AQ562" i="1"/>
  <c r="AP562" i="1"/>
  <c r="AO562" i="1"/>
  <c r="AN562" i="1"/>
  <c r="AM562" i="1"/>
  <c r="AL562" i="1"/>
  <c r="AK562" i="1"/>
  <c r="AJ562" i="1"/>
  <c r="AI562" i="1"/>
  <c r="AH562" i="1"/>
  <c r="AG562" i="1"/>
  <c r="AF562" i="1"/>
  <c r="AE562" i="1"/>
  <c r="AD562" i="1"/>
  <c r="AC562" i="1"/>
  <c r="AB562" i="1"/>
  <c r="AA562" i="1"/>
  <c r="Z562" i="1"/>
  <c r="Y562" i="1"/>
  <c r="X562" i="1"/>
  <c r="W562" i="1"/>
  <c r="V562" i="1"/>
  <c r="U562" i="1"/>
  <c r="P562" i="1"/>
  <c r="AU559" i="1"/>
  <c r="AT559" i="1"/>
  <c r="AS559" i="1"/>
  <c r="AR559" i="1"/>
  <c r="AQ559" i="1"/>
  <c r="AP559" i="1"/>
  <c r="AO559" i="1"/>
  <c r="AN559" i="1"/>
  <c r="AM559" i="1"/>
  <c r="AL559" i="1"/>
  <c r="AK559" i="1"/>
  <c r="AJ559" i="1"/>
  <c r="AI559" i="1"/>
  <c r="AH559" i="1"/>
  <c r="AG559" i="1"/>
  <c r="AF559" i="1"/>
  <c r="AE559" i="1"/>
  <c r="AD559" i="1"/>
  <c r="AC559" i="1"/>
  <c r="AB559" i="1"/>
  <c r="AA559" i="1"/>
  <c r="Z559" i="1"/>
  <c r="Y559" i="1"/>
  <c r="X559" i="1"/>
  <c r="W559" i="1"/>
  <c r="V559" i="1"/>
  <c r="U559" i="1"/>
  <c r="P559" i="1"/>
  <c r="AU558" i="1"/>
  <c r="AT558" i="1"/>
  <c r="AS558" i="1"/>
  <c r="AR558" i="1"/>
  <c r="AQ558" i="1"/>
  <c r="AP558" i="1"/>
  <c r="AO558" i="1"/>
  <c r="AN558" i="1"/>
  <c r="AM558" i="1"/>
  <c r="AL558" i="1"/>
  <c r="AK558" i="1"/>
  <c r="AJ558" i="1"/>
  <c r="AI558" i="1"/>
  <c r="AH558" i="1"/>
  <c r="AG558" i="1"/>
  <c r="AF558" i="1"/>
  <c r="AE558" i="1"/>
  <c r="AD558" i="1"/>
  <c r="AC558" i="1"/>
  <c r="AB558" i="1"/>
  <c r="AA558" i="1"/>
  <c r="Z558" i="1"/>
  <c r="Y558" i="1"/>
  <c r="X558" i="1"/>
  <c r="W558" i="1"/>
  <c r="V558" i="1"/>
  <c r="U558" i="1"/>
  <c r="P558" i="1"/>
  <c r="AU557" i="1"/>
  <c r="AT557" i="1"/>
  <c r="AS557" i="1"/>
  <c r="AR557" i="1"/>
  <c r="AQ557" i="1"/>
  <c r="AP557" i="1"/>
  <c r="AO557" i="1"/>
  <c r="AN557" i="1"/>
  <c r="AM557" i="1"/>
  <c r="AL557" i="1"/>
  <c r="AK557" i="1"/>
  <c r="AJ557" i="1"/>
  <c r="AI557" i="1"/>
  <c r="AH557" i="1"/>
  <c r="AG557" i="1"/>
  <c r="AF557" i="1"/>
  <c r="AE557" i="1"/>
  <c r="AD557" i="1"/>
  <c r="AC557" i="1"/>
  <c r="AB557" i="1"/>
  <c r="AA557" i="1"/>
  <c r="Z557" i="1"/>
  <c r="Y557" i="1"/>
  <c r="X557" i="1"/>
  <c r="W557" i="1"/>
  <c r="V557" i="1"/>
  <c r="U557" i="1"/>
  <c r="P557" i="1"/>
  <c r="AU556" i="1"/>
  <c r="AT556" i="1"/>
  <c r="AS556" i="1"/>
  <c r="AR556" i="1"/>
  <c r="AQ556" i="1"/>
  <c r="AP556" i="1"/>
  <c r="AO556" i="1"/>
  <c r="AN556" i="1"/>
  <c r="AM556" i="1"/>
  <c r="AL556" i="1"/>
  <c r="AK556" i="1"/>
  <c r="AJ556" i="1"/>
  <c r="AI556" i="1"/>
  <c r="AH556" i="1"/>
  <c r="AG556" i="1"/>
  <c r="AF556" i="1"/>
  <c r="AE556" i="1"/>
  <c r="AD556" i="1"/>
  <c r="AC556" i="1"/>
  <c r="AB556" i="1"/>
  <c r="AA556" i="1"/>
  <c r="Z556" i="1"/>
  <c r="Y556" i="1"/>
  <c r="X556" i="1"/>
  <c r="W556" i="1"/>
  <c r="V556" i="1"/>
  <c r="U556" i="1"/>
  <c r="P556" i="1"/>
  <c r="AU555" i="1"/>
  <c r="AT555" i="1"/>
  <c r="AS555" i="1"/>
  <c r="AR555" i="1"/>
  <c r="AQ555" i="1"/>
  <c r="AP555" i="1"/>
  <c r="AO555" i="1"/>
  <c r="AN555" i="1"/>
  <c r="AM555" i="1"/>
  <c r="AL555" i="1"/>
  <c r="AK555" i="1"/>
  <c r="AJ555" i="1"/>
  <c r="AI555" i="1"/>
  <c r="AH555" i="1"/>
  <c r="AG555" i="1"/>
  <c r="AF555" i="1"/>
  <c r="AE555" i="1"/>
  <c r="AD555" i="1"/>
  <c r="AC555" i="1"/>
  <c r="AB555" i="1"/>
  <c r="AA555" i="1"/>
  <c r="Z555" i="1"/>
  <c r="Y555" i="1"/>
  <c r="X555" i="1"/>
  <c r="W555" i="1"/>
  <c r="V555" i="1"/>
  <c r="U555" i="1"/>
  <c r="P555" i="1"/>
  <c r="AU554" i="1"/>
  <c r="AT554" i="1"/>
  <c r="AS554" i="1"/>
  <c r="AR554" i="1"/>
  <c r="AQ554" i="1"/>
  <c r="AP554" i="1"/>
  <c r="AO554" i="1"/>
  <c r="AN554" i="1"/>
  <c r="AM554" i="1"/>
  <c r="AL554" i="1"/>
  <c r="AK554" i="1"/>
  <c r="AJ554" i="1"/>
  <c r="AI554" i="1"/>
  <c r="AH554" i="1"/>
  <c r="AG554" i="1"/>
  <c r="AF554" i="1"/>
  <c r="AE554" i="1"/>
  <c r="AD554" i="1"/>
  <c r="AC554" i="1"/>
  <c r="AB554" i="1"/>
  <c r="AA554" i="1"/>
  <c r="Z554" i="1"/>
  <c r="Y554" i="1"/>
  <c r="X554" i="1"/>
  <c r="W554" i="1"/>
  <c r="V554" i="1"/>
  <c r="U554" i="1"/>
  <c r="P554" i="1"/>
  <c r="AU552" i="1"/>
  <c r="AT552" i="1"/>
  <c r="AS552" i="1"/>
  <c r="AR552" i="1"/>
  <c r="AQ552" i="1"/>
  <c r="AP552" i="1"/>
  <c r="AO552" i="1"/>
  <c r="AN552" i="1"/>
  <c r="AM552" i="1"/>
  <c r="AL552" i="1"/>
  <c r="AK552" i="1"/>
  <c r="AJ552" i="1"/>
  <c r="AI552" i="1"/>
  <c r="AH552" i="1"/>
  <c r="AG552" i="1"/>
  <c r="AF552" i="1"/>
  <c r="AE552" i="1"/>
  <c r="AD552" i="1"/>
  <c r="AC552" i="1"/>
  <c r="AB552" i="1"/>
  <c r="AA552" i="1"/>
  <c r="Z552" i="1"/>
  <c r="Y552" i="1"/>
  <c r="X552" i="1"/>
  <c r="W552" i="1"/>
  <c r="V552" i="1"/>
  <c r="U552" i="1"/>
  <c r="P552" i="1"/>
  <c r="AU551" i="1"/>
  <c r="AT551" i="1"/>
  <c r="AS551" i="1"/>
  <c r="AR551" i="1"/>
  <c r="AQ551" i="1"/>
  <c r="AP551" i="1"/>
  <c r="AO551" i="1"/>
  <c r="AN551" i="1"/>
  <c r="AM551" i="1"/>
  <c r="AL551" i="1"/>
  <c r="AK551" i="1"/>
  <c r="AJ551" i="1"/>
  <c r="AI551" i="1"/>
  <c r="AH551" i="1"/>
  <c r="AG551" i="1"/>
  <c r="AF551" i="1"/>
  <c r="AE551" i="1"/>
  <c r="AD551" i="1"/>
  <c r="AC551" i="1"/>
  <c r="AB551" i="1"/>
  <c r="AA551" i="1"/>
  <c r="Z551" i="1"/>
  <c r="Y551" i="1"/>
  <c r="X551" i="1"/>
  <c r="W551" i="1"/>
  <c r="V551" i="1"/>
  <c r="U551" i="1"/>
  <c r="P551" i="1"/>
  <c r="AU550" i="1"/>
  <c r="AT550" i="1"/>
  <c r="AS550" i="1"/>
  <c r="AR550" i="1"/>
  <c r="AQ550" i="1"/>
  <c r="AP550" i="1"/>
  <c r="AO550" i="1"/>
  <c r="AN550" i="1"/>
  <c r="AM550" i="1"/>
  <c r="AL550" i="1"/>
  <c r="AK550" i="1"/>
  <c r="AJ550" i="1"/>
  <c r="AI550" i="1"/>
  <c r="AH550" i="1"/>
  <c r="AG550" i="1"/>
  <c r="AF550" i="1"/>
  <c r="AE550" i="1"/>
  <c r="AD550" i="1"/>
  <c r="AC550" i="1"/>
  <c r="AB550" i="1"/>
  <c r="AA550" i="1"/>
  <c r="Z550" i="1"/>
  <c r="Y550" i="1"/>
  <c r="X550" i="1"/>
  <c r="W550" i="1"/>
  <c r="V550" i="1"/>
  <c r="U550" i="1"/>
  <c r="P550" i="1"/>
  <c r="AU549" i="1"/>
  <c r="AT549" i="1"/>
  <c r="AS549" i="1"/>
  <c r="AR549" i="1"/>
  <c r="AQ549" i="1"/>
  <c r="AP549" i="1"/>
  <c r="AO549" i="1"/>
  <c r="AN549" i="1"/>
  <c r="AM549" i="1"/>
  <c r="AL549" i="1"/>
  <c r="AK549" i="1"/>
  <c r="AJ549" i="1"/>
  <c r="AI549" i="1"/>
  <c r="AH549" i="1"/>
  <c r="AG549" i="1"/>
  <c r="AF549" i="1"/>
  <c r="AE549" i="1"/>
  <c r="AD549" i="1"/>
  <c r="AC549" i="1"/>
  <c r="AB549" i="1"/>
  <c r="AA549" i="1"/>
  <c r="Z549" i="1"/>
  <c r="Y549" i="1"/>
  <c r="X549" i="1"/>
  <c r="W549" i="1"/>
  <c r="V549" i="1"/>
  <c r="U549" i="1"/>
  <c r="P549" i="1"/>
  <c r="AU548" i="1"/>
  <c r="AT548" i="1"/>
  <c r="AS548" i="1"/>
  <c r="AR548" i="1"/>
  <c r="AQ548" i="1"/>
  <c r="AP548" i="1"/>
  <c r="AO548" i="1"/>
  <c r="AN548" i="1"/>
  <c r="AM548" i="1"/>
  <c r="AL548" i="1"/>
  <c r="AK548" i="1"/>
  <c r="AJ548" i="1"/>
  <c r="AI548" i="1"/>
  <c r="AH548" i="1"/>
  <c r="AG548" i="1"/>
  <c r="AF548" i="1"/>
  <c r="AE548" i="1"/>
  <c r="AD548" i="1"/>
  <c r="AC548" i="1"/>
  <c r="AB548" i="1"/>
  <c r="AA548" i="1"/>
  <c r="Z548" i="1"/>
  <c r="Y548" i="1"/>
  <c r="X548" i="1"/>
  <c r="W548" i="1"/>
  <c r="V548" i="1"/>
  <c r="U548" i="1"/>
  <c r="P548" i="1"/>
  <c r="AU547" i="1"/>
  <c r="AT547" i="1"/>
  <c r="AS547" i="1"/>
  <c r="AR547" i="1"/>
  <c r="AQ547" i="1"/>
  <c r="AP547" i="1"/>
  <c r="AO547" i="1"/>
  <c r="AN547" i="1"/>
  <c r="AM547" i="1"/>
  <c r="AL547" i="1"/>
  <c r="AK547" i="1"/>
  <c r="AJ547" i="1"/>
  <c r="AI547" i="1"/>
  <c r="AH547" i="1"/>
  <c r="AG547" i="1"/>
  <c r="AF547" i="1"/>
  <c r="AE547" i="1"/>
  <c r="AD547" i="1"/>
  <c r="AC547" i="1"/>
  <c r="AB547" i="1"/>
  <c r="AA547" i="1"/>
  <c r="Z547" i="1"/>
  <c r="Y547" i="1"/>
  <c r="X547" i="1"/>
  <c r="W547" i="1"/>
  <c r="V547" i="1"/>
  <c r="U547" i="1"/>
  <c r="P547" i="1"/>
  <c r="AU546" i="1"/>
  <c r="AT546" i="1"/>
  <c r="AS546" i="1"/>
  <c r="AR546" i="1"/>
  <c r="AQ546" i="1"/>
  <c r="AP546" i="1"/>
  <c r="AO546" i="1"/>
  <c r="AN546" i="1"/>
  <c r="AM546" i="1"/>
  <c r="AL546" i="1"/>
  <c r="AK546" i="1"/>
  <c r="AJ546" i="1"/>
  <c r="AI546" i="1"/>
  <c r="AH546" i="1"/>
  <c r="AG546" i="1"/>
  <c r="AF546" i="1"/>
  <c r="AE546" i="1"/>
  <c r="AD546" i="1"/>
  <c r="AC546" i="1"/>
  <c r="AB546" i="1"/>
  <c r="AA546" i="1"/>
  <c r="Z546" i="1"/>
  <c r="Y546" i="1"/>
  <c r="X546" i="1"/>
  <c r="W546" i="1"/>
  <c r="V546" i="1"/>
  <c r="U546" i="1"/>
  <c r="P546" i="1"/>
  <c r="AU545" i="1"/>
  <c r="AT545" i="1"/>
  <c r="AS545" i="1"/>
  <c r="AR545" i="1"/>
  <c r="AQ545" i="1"/>
  <c r="AP545" i="1"/>
  <c r="AO545" i="1"/>
  <c r="AN545" i="1"/>
  <c r="AM545" i="1"/>
  <c r="AL545" i="1"/>
  <c r="AK545" i="1"/>
  <c r="AJ545" i="1"/>
  <c r="AI545" i="1"/>
  <c r="AH545" i="1"/>
  <c r="AG545" i="1"/>
  <c r="AF545" i="1"/>
  <c r="AE545" i="1"/>
  <c r="AD545" i="1"/>
  <c r="AC545" i="1"/>
  <c r="AB545" i="1"/>
  <c r="AA545" i="1"/>
  <c r="Z545" i="1"/>
  <c r="Y545" i="1"/>
  <c r="X545" i="1"/>
  <c r="W545" i="1"/>
  <c r="V545" i="1"/>
  <c r="U545" i="1"/>
  <c r="P545" i="1"/>
  <c r="AU544" i="1"/>
  <c r="AT544" i="1"/>
  <c r="AS544" i="1"/>
  <c r="AR544" i="1"/>
  <c r="AQ544" i="1"/>
  <c r="AP544" i="1"/>
  <c r="AO544" i="1"/>
  <c r="AN544" i="1"/>
  <c r="AM544" i="1"/>
  <c r="AL544" i="1"/>
  <c r="AK544" i="1"/>
  <c r="AJ544" i="1"/>
  <c r="AI544" i="1"/>
  <c r="AH544" i="1"/>
  <c r="AG544" i="1"/>
  <c r="AF544" i="1"/>
  <c r="AE544" i="1"/>
  <c r="AD544" i="1"/>
  <c r="AC544" i="1"/>
  <c r="AB544" i="1"/>
  <c r="AA544" i="1"/>
  <c r="Z544" i="1"/>
  <c r="Y544" i="1"/>
  <c r="X544" i="1"/>
  <c r="W544" i="1"/>
  <c r="V544" i="1"/>
  <c r="U544" i="1"/>
  <c r="P544" i="1"/>
  <c r="AU542" i="1"/>
  <c r="AT542" i="1"/>
  <c r="AS542" i="1"/>
  <c r="AR542" i="1"/>
  <c r="AQ542" i="1"/>
  <c r="AP542" i="1"/>
  <c r="AO542" i="1"/>
  <c r="AN542" i="1"/>
  <c r="AM542" i="1"/>
  <c r="AL542" i="1"/>
  <c r="AK542" i="1"/>
  <c r="AJ542" i="1"/>
  <c r="AI542" i="1"/>
  <c r="AH542" i="1"/>
  <c r="AG542" i="1"/>
  <c r="AF542" i="1"/>
  <c r="AE542" i="1"/>
  <c r="AD542" i="1"/>
  <c r="AC542" i="1"/>
  <c r="AB542" i="1"/>
  <c r="AA542" i="1"/>
  <c r="Z542" i="1"/>
  <c r="Y542" i="1"/>
  <c r="X542" i="1"/>
  <c r="W542" i="1"/>
  <c r="V542" i="1"/>
  <c r="U542" i="1"/>
  <c r="P542" i="1"/>
  <c r="AU541" i="1"/>
  <c r="AT541" i="1"/>
  <c r="AS541" i="1"/>
  <c r="AR541" i="1"/>
  <c r="AQ541" i="1"/>
  <c r="AP541" i="1"/>
  <c r="AO541" i="1"/>
  <c r="AN541" i="1"/>
  <c r="AM541" i="1"/>
  <c r="AL541" i="1"/>
  <c r="AK541" i="1"/>
  <c r="AJ541" i="1"/>
  <c r="AI541" i="1"/>
  <c r="AH541" i="1"/>
  <c r="AG541" i="1"/>
  <c r="AF541" i="1"/>
  <c r="AE541" i="1"/>
  <c r="AD541" i="1"/>
  <c r="AC541" i="1"/>
  <c r="AB541" i="1"/>
  <c r="AA541" i="1"/>
  <c r="Z541" i="1"/>
  <c r="Y541" i="1"/>
  <c r="X541" i="1"/>
  <c r="W541" i="1"/>
  <c r="V541" i="1"/>
  <c r="U541" i="1"/>
  <c r="P541" i="1"/>
  <c r="AU540" i="1"/>
  <c r="AT540" i="1"/>
  <c r="AS540" i="1"/>
  <c r="AR540" i="1"/>
  <c r="AQ540" i="1"/>
  <c r="AP540" i="1"/>
  <c r="AO540" i="1"/>
  <c r="AN540" i="1"/>
  <c r="AM540" i="1"/>
  <c r="AL540" i="1"/>
  <c r="AK540" i="1"/>
  <c r="AJ540" i="1"/>
  <c r="AI540" i="1"/>
  <c r="AH540" i="1"/>
  <c r="AG540" i="1"/>
  <c r="AF540" i="1"/>
  <c r="AE540" i="1"/>
  <c r="AD540" i="1"/>
  <c r="AC540" i="1"/>
  <c r="AB540" i="1"/>
  <c r="AA540" i="1"/>
  <c r="Z540" i="1"/>
  <c r="Y540" i="1"/>
  <c r="X540" i="1"/>
  <c r="W540" i="1"/>
  <c r="V540" i="1"/>
  <c r="U540" i="1"/>
  <c r="P540" i="1"/>
  <c r="AU539" i="1"/>
  <c r="AT539" i="1"/>
  <c r="AS539" i="1"/>
  <c r="AR539" i="1"/>
  <c r="AQ539" i="1"/>
  <c r="AP539" i="1"/>
  <c r="AO539" i="1"/>
  <c r="AN539" i="1"/>
  <c r="AM539" i="1"/>
  <c r="AL539" i="1"/>
  <c r="AK539" i="1"/>
  <c r="AJ539" i="1"/>
  <c r="AI539" i="1"/>
  <c r="AH539" i="1"/>
  <c r="AG539" i="1"/>
  <c r="AF539" i="1"/>
  <c r="AE539" i="1"/>
  <c r="AD539" i="1"/>
  <c r="AC539" i="1"/>
  <c r="AB539" i="1"/>
  <c r="AA539" i="1"/>
  <c r="Z539" i="1"/>
  <c r="Y539" i="1"/>
  <c r="X539" i="1"/>
  <c r="W539" i="1"/>
  <c r="V539" i="1"/>
  <c r="U539" i="1"/>
  <c r="P539" i="1"/>
  <c r="AU538" i="1"/>
  <c r="AT538" i="1"/>
  <c r="AS538" i="1"/>
  <c r="AR538" i="1"/>
  <c r="AQ538" i="1"/>
  <c r="AP538" i="1"/>
  <c r="AO538" i="1"/>
  <c r="AN538" i="1"/>
  <c r="AM538" i="1"/>
  <c r="AL538" i="1"/>
  <c r="AK538" i="1"/>
  <c r="AJ538" i="1"/>
  <c r="AI538" i="1"/>
  <c r="AH538" i="1"/>
  <c r="AG538" i="1"/>
  <c r="AF538" i="1"/>
  <c r="AE538" i="1"/>
  <c r="AD538" i="1"/>
  <c r="AC538" i="1"/>
  <c r="AB538" i="1"/>
  <c r="AA538" i="1"/>
  <c r="Z538" i="1"/>
  <c r="Y538" i="1"/>
  <c r="X538" i="1"/>
  <c r="W538" i="1"/>
  <c r="V538" i="1"/>
  <c r="U538" i="1"/>
  <c r="P538" i="1"/>
  <c r="AU537" i="1"/>
  <c r="AT537" i="1"/>
  <c r="AS537" i="1"/>
  <c r="AR537" i="1"/>
  <c r="AQ537" i="1"/>
  <c r="AP537" i="1"/>
  <c r="AO537" i="1"/>
  <c r="AN537" i="1"/>
  <c r="AM537" i="1"/>
  <c r="AL537" i="1"/>
  <c r="AK537" i="1"/>
  <c r="AJ537" i="1"/>
  <c r="AI537" i="1"/>
  <c r="AH537" i="1"/>
  <c r="AG537" i="1"/>
  <c r="AF537" i="1"/>
  <c r="AE537" i="1"/>
  <c r="AD537" i="1"/>
  <c r="AC537" i="1"/>
  <c r="AB537" i="1"/>
  <c r="AA537" i="1"/>
  <c r="Z537" i="1"/>
  <c r="Y537" i="1"/>
  <c r="X537" i="1"/>
  <c r="W537" i="1"/>
  <c r="V537" i="1"/>
  <c r="U537" i="1"/>
  <c r="P537" i="1"/>
  <c r="AU536" i="1"/>
  <c r="AT536" i="1"/>
  <c r="AS536" i="1"/>
  <c r="AR536" i="1"/>
  <c r="AQ536" i="1"/>
  <c r="AP536" i="1"/>
  <c r="AO536" i="1"/>
  <c r="AN536" i="1"/>
  <c r="AM536" i="1"/>
  <c r="AL536" i="1"/>
  <c r="AK536" i="1"/>
  <c r="AJ536" i="1"/>
  <c r="AI536" i="1"/>
  <c r="AH536" i="1"/>
  <c r="AG536" i="1"/>
  <c r="AF536" i="1"/>
  <c r="AE536" i="1"/>
  <c r="AD536" i="1"/>
  <c r="AC536" i="1"/>
  <c r="AB536" i="1"/>
  <c r="AA536" i="1"/>
  <c r="Z536" i="1"/>
  <c r="Y536" i="1"/>
  <c r="X536" i="1"/>
  <c r="W536" i="1"/>
  <c r="V536" i="1"/>
  <c r="U536" i="1"/>
  <c r="P536" i="1"/>
  <c r="AU535" i="1"/>
  <c r="AT535" i="1"/>
  <c r="AS535" i="1"/>
  <c r="AR535" i="1"/>
  <c r="AQ535" i="1"/>
  <c r="AP535" i="1"/>
  <c r="AO535" i="1"/>
  <c r="AN535" i="1"/>
  <c r="AM535" i="1"/>
  <c r="AL535" i="1"/>
  <c r="AK535" i="1"/>
  <c r="AJ535" i="1"/>
  <c r="AI535" i="1"/>
  <c r="AH535" i="1"/>
  <c r="AG535" i="1"/>
  <c r="AF535" i="1"/>
  <c r="AE535" i="1"/>
  <c r="AD535" i="1"/>
  <c r="AC535" i="1"/>
  <c r="AB535" i="1"/>
  <c r="AA535" i="1"/>
  <c r="Z535" i="1"/>
  <c r="Y535" i="1"/>
  <c r="X535" i="1"/>
  <c r="W535" i="1"/>
  <c r="V535" i="1"/>
  <c r="U535" i="1"/>
  <c r="P535" i="1"/>
  <c r="AT532" i="1"/>
  <c r="AO532" i="1"/>
  <c r="AJ532" i="1"/>
  <c r="AE532" i="1"/>
  <c r="Z532" i="1"/>
  <c r="U532" i="1"/>
  <c r="P532" i="1"/>
  <c r="K532" i="1"/>
  <c r="F532" i="1"/>
  <c r="E532" i="1"/>
  <c r="D532" i="1"/>
  <c r="C532" i="1"/>
  <c r="AO529" i="1"/>
  <c r="AJ529" i="1"/>
  <c r="AE529" i="1"/>
  <c r="Z529" i="1"/>
  <c r="U529" i="1"/>
  <c r="P529" i="1"/>
  <c r="K529" i="1"/>
  <c r="F529" i="1"/>
  <c r="E529" i="1"/>
  <c r="D529" i="1"/>
  <c r="C529" i="1"/>
  <c r="AT525" i="1"/>
  <c r="AO525" i="1"/>
  <c r="AJ525" i="1"/>
  <c r="AE525" i="1"/>
  <c r="Z525" i="1"/>
  <c r="U525" i="1"/>
  <c r="P525" i="1"/>
  <c r="K525" i="1"/>
  <c r="F525" i="1"/>
  <c r="E525" i="1"/>
  <c r="D525" i="1"/>
  <c r="C525" i="1"/>
  <c r="AO522" i="1"/>
  <c r="AJ522" i="1"/>
  <c r="AE522" i="1"/>
  <c r="Z522" i="1"/>
  <c r="U522" i="1"/>
  <c r="P522" i="1"/>
  <c r="K522" i="1"/>
  <c r="F522" i="1"/>
  <c r="E522" i="1"/>
  <c r="D522" i="1"/>
  <c r="C522" i="1"/>
  <c r="AU505" i="1"/>
  <c r="AT505" i="1"/>
  <c r="AS505" i="1"/>
  <c r="AR505" i="1"/>
  <c r="AQ505" i="1"/>
  <c r="AP505" i="1"/>
  <c r="AO505" i="1"/>
  <c r="AN505" i="1"/>
  <c r="AM505" i="1"/>
  <c r="AL505" i="1"/>
  <c r="AK505" i="1"/>
  <c r="AJ505" i="1"/>
  <c r="AI505" i="1"/>
  <c r="AH505" i="1"/>
  <c r="AG505" i="1"/>
  <c r="AF505" i="1"/>
  <c r="AE505" i="1"/>
  <c r="AD505" i="1"/>
  <c r="AC505" i="1"/>
  <c r="AB505" i="1"/>
  <c r="AA505" i="1"/>
  <c r="Z505" i="1"/>
  <c r="Y505" i="1"/>
  <c r="X505" i="1"/>
  <c r="W505" i="1"/>
  <c r="V505" i="1"/>
  <c r="U505" i="1"/>
  <c r="T505" i="1"/>
  <c r="S505" i="1"/>
  <c r="R505" i="1"/>
  <c r="Q505" i="1"/>
  <c r="P505" i="1"/>
  <c r="O505" i="1"/>
  <c r="N505" i="1"/>
  <c r="M505" i="1"/>
  <c r="L505" i="1"/>
  <c r="K505" i="1"/>
  <c r="J505" i="1"/>
  <c r="I505" i="1"/>
  <c r="H505" i="1"/>
  <c r="G505" i="1"/>
  <c r="F505" i="1"/>
  <c r="E505" i="1"/>
  <c r="D505" i="1"/>
  <c r="C505" i="1"/>
  <c r="AU504" i="1"/>
  <c r="AT504" i="1"/>
  <c r="AS504" i="1"/>
  <c r="AR504" i="1"/>
  <c r="AQ504" i="1"/>
  <c r="AP504" i="1"/>
  <c r="AO504" i="1"/>
  <c r="AN504" i="1"/>
  <c r="AM504" i="1"/>
  <c r="AL504" i="1"/>
  <c r="AK504" i="1"/>
  <c r="AJ504" i="1"/>
  <c r="AI504" i="1"/>
  <c r="AH504" i="1"/>
  <c r="AG504" i="1"/>
  <c r="AF504" i="1"/>
  <c r="AE504" i="1"/>
  <c r="AD504" i="1"/>
  <c r="AC504" i="1"/>
  <c r="AB504" i="1"/>
  <c r="AA504" i="1"/>
  <c r="Z504" i="1"/>
  <c r="Y504" i="1"/>
  <c r="X504" i="1"/>
  <c r="W504" i="1"/>
  <c r="V504" i="1"/>
  <c r="U504" i="1"/>
  <c r="T504" i="1"/>
  <c r="S504" i="1"/>
  <c r="R504" i="1"/>
  <c r="Q504" i="1"/>
  <c r="P504" i="1"/>
  <c r="O504" i="1"/>
  <c r="N504" i="1"/>
  <c r="M504" i="1"/>
  <c r="L504" i="1"/>
  <c r="K504" i="1"/>
  <c r="J504" i="1"/>
  <c r="I504" i="1"/>
  <c r="H504" i="1"/>
  <c r="G504" i="1"/>
  <c r="F504" i="1"/>
  <c r="E504" i="1"/>
  <c r="D504" i="1"/>
  <c r="C504" i="1"/>
  <c r="AU503" i="1"/>
  <c r="AT503" i="1"/>
  <c r="AS503" i="1"/>
  <c r="AR503" i="1"/>
  <c r="AQ503" i="1"/>
  <c r="AP503" i="1"/>
  <c r="AO503" i="1"/>
  <c r="AN503" i="1"/>
  <c r="AM503" i="1"/>
  <c r="AL503" i="1"/>
  <c r="AK503" i="1"/>
  <c r="AJ503" i="1"/>
  <c r="AI503" i="1"/>
  <c r="AH503" i="1"/>
  <c r="AG503" i="1"/>
  <c r="AF503" i="1"/>
  <c r="AE503" i="1"/>
  <c r="AD503" i="1"/>
  <c r="AC503" i="1"/>
  <c r="AB503" i="1"/>
  <c r="AA503" i="1"/>
  <c r="Z503" i="1"/>
  <c r="Y503" i="1"/>
  <c r="X503" i="1"/>
  <c r="W503" i="1"/>
  <c r="V503" i="1"/>
  <c r="U503" i="1"/>
  <c r="T503" i="1"/>
  <c r="S503" i="1"/>
  <c r="R503" i="1"/>
  <c r="Q503" i="1"/>
  <c r="P503" i="1"/>
  <c r="O503" i="1"/>
  <c r="N503" i="1"/>
  <c r="M503" i="1"/>
  <c r="L503" i="1"/>
  <c r="K503" i="1"/>
  <c r="J503" i="1"/>
  <c r="I503" i="1"/>
  <c r="H503" i="1"/>
  <c r="G503" i="1"/>
  <c r="F503" i="1"/>
  <c r="E503" i="1"/>
  <c r="D503" i="1"/>
  <c r="C503" i="1"/>
  <c r="AU502" i="1"/>
  <c r="AT502" i="1"/>
  <c r="AS502" i="1"/>
  <c r="AR502" i="1"/>
  <c r="AQ502" i="1"/>
  <c r="AP502" i="1"/>
  <c r="AO502" i="1"/>
  <c r="AN502" i="1"/>
  <c r="AM502" i="1"/>
  <c r="AL502" i="1"/>
  <c r="AK502" i="1"/>
  <c r="AJ502" i="1"/>
  <c r="AI502" i="1"/>
  <c r="AH502" i="1"/>
  <c r="AG502" i="1"/>
  <c r="AF502" i="1"/>
  <c r="AE502" i="1"/>
  <c r="AD502" i="1"/>
  <c r="AC502" i="1"/>
  <c r="AB502" i="1"/>
  <c r="AA502" i="1"/>
  <c r="Z502" i="1"/>
  <c r="Y502" i="1"/>
  <c r="X502" i="1"/>
  <c r="W502" i="1"/>
  <c r="V502" i="1"/>
  <c r="U502" i="1"/>
  <c r="T502" i="1"/>
  <c r="S502" i="1"/>
  <c r="R502" i="1"/>
  <c r="Q502" i="1"/>
  <c r="P502" i="1"/>
  <c r="O502" i="1"/>
  <c r="N502" i="1"/>
  <c r="M502" i="1"/>
  <c r="L502" i="1"/>
  <c r="K502" i="1"/>
  <c r="J502" i="1"/>
  <c r="I502" i="1"/>
  <c r="H502" i="1"/>
  <c r="G502" i="1"/>
  <c r="F502" i="1"/>
  <c r="E502" i="1"/>
  <c r="D502" i="1"/>
  <c r="C502" i="1"/>
  <c r="AU501" i="1"/>
  <c r="AT501" i="1"/>
  <c r="AS501" i="1"/>
  <c r="AR501" i="1"/>
  <c r="AQ501" i="1"/>
  <c r="AP501" i="1"/>
  <c r="AO501" i="1"/>
  <c r="AN501" i="1"/>
  <c r="AM501" i="1"/>
  <c r="AL501" i="1"/>
  <c r="AK501" i="1"/>
  <c r="AJ501" i="1"/>
  <c r="AI501" i="1"/>
  <c r="AH501" i="1"/>
  <c r="AG501" i="1"/>
  <c r="AF501" i="1"/>
  <c r="AE501" i="1"/>
  <c r="AD501" i="1"/>
  <c r="AC501" i="1"/>
  <c r="AB501" i="1"/>
  <c r="AA501" i="1"/>
  <c r="Z501" i="1"/>
  <c r="Y501" i="1"/>
  <c r="X501" i="1"/>
  <c r="W501" i="1"/>
  <c r="V501" i="1"/>
  <c r="U501" i="1"/>
  <c r="T501" i="1"/>
  <c r="S501" i="1"/>
  <c r="R501" i="1"/>
  <c r="Q501" i="1"/>
  <c r="P501" i="1"/>
  <c r="O501" i="1"/>
  <c r="N501" i="1"/>
  <c r="M501" i="1"/>
  <c r="L501" i="1"/>
  <c r="K501" i="1"/>
  <c r="J501" i="1"/>
  <c r="I501" i="1"/>
  <c r="H501" i="1"/>
  <c r="G501" i="1"/>
  <c r="F501" i="1"/>
  <c r="E501" i="1"/>
  <c r="D501" i="1"/>
  <c r="C501" i="1"/>
  <c r="AJ500" i="1"/>
  <c r="AI500" i="1"/>
  <c r="AH500" i="1"/>
  <c r="AG500" i="1"/>
  <c r="AF500" i="1"/>
  <c r="AE500" i="1"/>
  <c r="AD500" i="1"/>
  <c r="AC500" i="1"/>
  <c r="AB500" i="1"/>
  <c r="AA500" i="1"/>
  <c r="Z500" i="1"/>
  <c r="Y500" i="1"/>
  <c r="X500" i="1"/>
  <c r="W500" i="1"/>
  <c r="V500" i="1"/>
  <c r="U500" i="1"/>
  <c r="T500" i="1"/>
  <c r="S500" i="1"/>
  <c r="R500" i="1"/>
  <c r="Q500" i="1"/>
  <c r="P500" i="1"/>
  <c r="O500" i="1"/>
  <c r="N500" i="1"/>
  <c r="M500" i="1"/>
  <c r="L500" i="1"/>
  <c r="K500" i="1"/>
  <c r="J500" i="1"/>
  <c r="I500" i="1"/>
  <c r="H500" i="1"/>
  <c r="G500" i="1"/>
  <c r="F500" i="1"/>
  <c r="E500" i="1"/>
  <c r="D500" i="1"/>
  <c r="C500" i="1"/>
  <c r="AJ499" i="1"/>
  <c r="AI499" i="1"/>
  <c r="AH499" i="1"/>
  <c r="AG499" i="1"/>
  <c r="AF499" i="1"/>
  <c r="AE499" i="1"/>
  <c r="AD499" i="1"/>
  <c r="AC499" i="1"/>
  <c r="AB499" i="1"/>
  <c r="AA499" i="1"/>
  <c r="Z499" i="1"/>
  <c r="Y499" i="1"/>
  <c r="X499" i="1"/>
  <c r="W499" i="1"/>
  <c r="V499" i="1"/>
  <c r="U499" i="1"/>
  <c r="T499" i="1"/>
  <c r="S499" i="1"/>
  <c r="R499" i="1"/>
  <c r="Q499" i="1"/>
  <c r="P499" i="1"/>
  <c r="O499" i="1"/>
  <c r="N499" i="1"/>
  <c r="M499" i="1"/>
  <c r="L499" i="1"/>
  <c r="K499" i="1"/>
  <c r="J499" i="1"/>
  <c r="I499" i="1"/>
  <c r="H499" i="1"/>
  <c r="G499" i="1"/>
  <c r="F499" i="1"/>
  <c r="E499" i="1"/>
  <c r="D499" i="1"/>
  <c r="C499" i="1"/>
  <c r="AU497" i="1"/>
  <c r="AT497" i="1"/>
  <c r="AS497" i="1"/>
  <c r="AR497" i="1"/>
  <c r="AQ497" i="1"/>
  <c r="AP497" i="1"/>
  <c r="AO497" i="1"/>
  <c r="AN497" i="1"/>
  <c r="AM497" i="1"/>
  <c r="AL497" i="1"/>
  <c r="AK497" i="1"/>
  <c r="AJ497" i="1"/>
  <c r="AI497" i="1"/>
  <c r="AH497" i="1"/>
  <c r="AG497" i="1"/>
  <c r="AF497" i="1"/>
  <c r="AE497" i="1"/>
  <c r="AD497" i="1"/>
  <c r="AC497" i="1"/>
  <c r="AB497" i="1"/>
  <c r="AA497" i="1"/>
  <c r="Z497" i="1"/>
  <c r="Y497" i="1"/>
  <c r="X497" i="1"/>
  <c r="W497" i="1"/>
  <c r="V497" i="1"/>
  <c r="U497" i="1"/>
  <c r="T497" i="1"/>
  <c r="S497" i="1"/>
  <c r="R497" i="1"/>
  <c r="Q497" i="1"/>
  <c r="P497" i="1"/>
  <c r="O497" i="1"/>
  <c r="N497" i="1"/>
  <c r="M497" i="1"/>
  <c r="L497" i="1"/>
  <c r="K497" i="1"/>
  <c r="J497" i="1"/>
  <c r="I497" i="1"/>
  <c r="H497" i="1"/>
  <c r="G497" i="1"/>
  <c r="F497" i="1"/>
  <c r="E497" i="1"/>
  <c r="D497" i="1"/>
  <c r="C497" i="1"/>
  <c r="AU496" i="1"/>
  <c r="AT496" i="1"/>
  <c r="AS496" i="1"/>
  <c r="AR496" i="1"/>
  <c r="AQ496" i="1"/>
  <c r="AP496" i="1"/>
  <c r="AO496" i="1"/>
  <c r="AN496" i="1"/>
  <c r="AM496" i="1"/>
  <c r="AL496" i="1"/>
  <c r="AK496" i="1"/>
  <c r="AJ496" i="1"/>
  <c r="AI496" i="1"/>
  <c r="AH496" i="1"/>
  <c r="AG496" i="1"/>
  <c r="AF496" i="1"/>
  <c r="AE496" i="1"/>
  <c r="AD496" i="1"/>
  <c r="Z496" i="1"/>
  <c r="Y496" i="1"/>
  <c r="T496" i="1"/>
  <c r="O496" i="1"/>
  <c r="J496" i="1"/>
  <c r="AU495" i="1"/>
  <c r="AT495" i="1"/>
  <c r="AS495" i="1"/>
  <c r="AR495" i="1"/>
  <c r="AQ495" i="1"/>
  <c r="AP495" i="1"/>
  <c r="AO495" i="1"/>
  <c r="AN495" i="1"/>
  <c r="AM495" i="1"/>
  <c r="AL495" i="1"/>
  <c r="AK495" i="1"/>
  <c r="AJ495" i="1"/>
  <c r="AI495" i="1"/>
  <c r="AH495" i="1"/>
  <c r="AG495" i="1"/>
  <c r="AF495" i="1"/>
  <c r="AE495" i="1"/>
  <c r="AD495" i="1"/>
  <c r="Z495" i="1"/>
  <c r="Y495" i="1"/>
  <c r="T495" i="1"/>
  <c r="O495" i="1"/>
  <c r="J495" i="1"/>
  <c r="AU494" i="1"/>
  <c r="AT494" i="1"/>
  <c r="AS494" i="1"/>
  <c r="AR494" i="1"/>
  <c r="AQ494" i="1"/>
  <c r="AP494" i="1"/>
  <c r="AO494" i="1"/>
  <c r="AN494" i="1"/>
  <c r="AM494" i="1"/>
  <c r="AL494" i="1"/>
  <c r="AK494" i="1"/>
  <c r="AJ494" i="1"/>
  <c r="AI494" i="1"/>
  <c r="AH494" i="1"/>
  <c r="AG494" i="1"/>
  <c r="AF494" i="1"/>
  <c r="AE494" i="1"/>
  <c r="AD494" i="1"/>
  <c r="Z494" i="1"/>
  <c r="Y494" i="1"/>
  <c r="T494" i="1"/>
  <c r="O494" i="1"/>
  <c r="J494" i="1"/>
  <c r="AU493" i="1"/>
  <c r="AT493" i="1"/>
  <c r="AS493" i="1"/>
  <c r="AR493" i="1"/>
  <c r="AQ493" i="1"/>
  <c r="AP493" i="1"/>
  <c r="AO493" i="1"/>
  <c r="AN493" i="1"/>
  <c r="AM493" i="1"/>
  <c r="AL493" i="1"/>
  <c r="AK493" i="1"/>
  <c r="AJ493" i="1"/>
  <c r="AI493" i="1"/>
  <c r="AH493" i="1"/>
  <c r="AG493" i="1"/>
  <c r="AF493" i="1"/>
  <c r="AE493" i="1"/>
  <c r="AD493" i="1"/>
  <c r="AC493" i="1"/>
  <c r="AB493" i="1"/>
  <c r="AA493" i="1"/>
  <c r="Z493" i="1"/>
  <c r="Y493" i="1"/>
  <c r="X493" i="1"/>
  <c r="W493" i="1"/>
  <c r="V493" i="1"/>
  <c r="U493" i="1"/>
  <c r="T493" i="1"/>
  <c r="S493" i="1"/>
  <c r="R493" i="1"/>
  <c r="Q493" i="1"/>
  <c r="P493" i="1"/>
  <c r="O493" i="1"/>
  <c r="N493" i="1"/>
  <c r="M493" i="1"/>
  <c r="L493" i="1"/>
  <c r="K493" i="1"/>
  <c r="J493" i="1"/>
  <c r="I493" i="1"/>
  <c r="H493" i="1"/>
  <c r="G493" i="1"/>
  <c r="F493" i="1"/>
  <c r="E493" i="1"/>
  <c r="D493" i="1"/>
  <c r="C493" i="1"/>
  <c r="AJ492" i="1"/>
  <c r="AI492" i="1"/>
  <c r="AH492" i="1"/>
  <c r="AG492" i="1"/>
  <c r="AF492" i="1"/>
  <c r="AE492" i="1"/>
  <c r="AD492" i="1"/>
  <c r="Z492" i="1"/>
  <c r="Y492" i="1"/>
  <c r="T492" i="1"/>
  <c r="O492" i="1"/>
  <c r="J492" i="1"/>
  <c r="AJ491" i="1"/>
  <c r="AI491" i="1"/>
  <c r="AH491" i="1"/>
  <c r="AG491" i="1"/>
  <c r="AF491" i="1"/>
  <c r="AE491" i="1"/>
  <c r="AD491" i="1"/>
  <c r="Z491" i="1"/>
  <c r="Y491" i="1"/>
  <c r="T491" i="1"/>
  <c r="O491" i="1"/>
  <c r="J491" i="1"/>
  <c r="AT489" i="1"/>
  <c r="AS489" i="1"/>
  <c r="AR489" i="1"/>
  <c r="AQ489" i="1"/>
  <c r="AP489" i="1"/>
  <c r="AO489" i="1"/>
  <c r="AN489" i="1"/>
  <c r="AM489" i="1"/>
  <c r="AL489" i="1"/>
  <c r="AK489" i="1"/>
  <c r="AJ489" i="1"/>
  <c r="AI489" i="1"/>
  <c r="AH489" i="1"/>
  <c r="AG489" i="1"/>
  <c r="AF489" i="1"/>
  <c r="AE489" i="1"/>
  <c r="AD489" i="1"/>
  <c r="AC489" i="1"/>
  <c r="AB489" i="1"/>
  <c r="AA489" i="1"/>
  <c r="Z489" i="1"/>
  <c r="Y489" i="1"/>
  <c r="X489" i="1"/>
  <c r="W489" i="1"/>
  <c r="V489" i="1"/>
  <c r="U489" i="1"/>
  <c r="T489" i="1"/>
  <c r="S489" i="1"/>
  <c r="R489" i="1"/>
  <c r="Q489" i="1"/>
  <c r="P489" i="1"/>
  <c r="O489" i="1"/>
  <c r="N489" i="1"/>
  <c r="M489" i="1"/>
  <c r="L489" i="1"/>
  <c r="K489" i="1"/>
  <c r="F489" i="1"/>
  <c r="E489" i="1"/>
  <c r="D489" i="1"/>
  <c r="C489" i="1"/>
  <c r="AU488" i="1"/>
  <c r="AT488" i="1"/>
  <c r="AS488" i="1"/>
  <c r="AR488" i="1"/>
  <c r="AQ488" i="1"/>
  <c r="AP488" i="1"/>
  <c r="AO488" i="1"/>
  <c r="AN488" i="1"/>
  <c r="AM488" i="1"/>
  <c r="AL488" i="1"/>
  <c r="AK488" i="1"/>
  <c r="AJ488" i="1"/>
  <c r="AI488" i="1"/>
  <c r="AH488" i="1"/>
  <c r="AG488" i="1"/>
  <c r="AF488" i="1"/>
  <c r="AE488" i="1"/>
  <c r="AD488" i="1"/>
  <c r="AC488" i="1"/>
  <c r="AB488" i="1"/>
  <c r="AA488" i="1"/>
  <c r="Z488" i="1"/>
  <c r="Y488" i="1"/>
  <c r="X488" i="1"/>
  <c r="W488" i="1"/>
  <c r="V488" i="1"/>
  <c r="U488" i="1"/>
  <c r="T488" i="1"/>
  <c r="S488" i="1"/>
  <c r="R488" i="1"/>
  <c r="Q488" i="1"/>
  <c r="P488" i="1"/>
  <c r="O488" i="1"/>
  <c r="N488" i="1"/>
  <c r="M488" i="1"/>
  <c r="L488" i="1"/>
  <c r="K488" i="1"/>
  <c r="F488" i="1"/>
  <c r="E488" i="1"/>
  <c r="D488" i="1"/>
  <c r="AU484" i="1"/>
  <c r="AT484" i="1"/>
  <c r="AS484" i="1"/>
  <c r="AR484" i="1"/>
  <c r="AQ484" i="1"/>
  <c r="AP484" i="1"/>
  <c r="AO484" i="1"/>
  <c r="AN484" i="1"/>
  <c r="AM484" i="1"/>
  <c r="AL484" i="1"/>
  <c r="AK484" i="1"/>
  <c r="AJ484" i="1"/>
  <c r="AI484" i="1"/>
  <c r="AH484" i="1"/>
  <c r="AG484" i="1"/>
  <c r="AF484" i="1"/>
  <c r="AE484" i="1"/>
  <c r="AD484" i="1"/>
  <c r="AC484" i="1"/>
  <c r="AB484" i="1"/>
  <c r="AA484" i="1"/>
  <c r="Z484" i="1"/>
  <c r="Y484" i="1"/>
  <c r="X484" i="1"/>
  <c r="W484" i="1"/>
  <c r="V484" i="1"/>
  <c r="U484" i="1"/>
  <c r="T484" i="1"/>
  <c r="S484" i="1"/>
  <c r="R484" i="1"/>
  <c r="Q484" i="1"/>
  <c r="P484" i="1"/>
  <c r="O484" i="1"/>
  <c r="N484" i="1"/>
  <c r="M484" i="1"/>
  <c r="L484" i="1"/>
  <c r="K484" i="1"/>
  <c r="F484" i="1"/>
  <c r="E484" i="1"/>
  <c r="D484" i="1"/>
  <c r="C484" i="1"/>
  <c r="AT480" i="1"/>
  <c r="AS480" i="1"/>
  <c r="AR480" i="1"/>
  <c r="AQ480" i="1"/>
  <c r="AP480" i="1"/>
  <c r="AO480" i="1"/>
  <c r="AN480" i="1"/>
  <c r="AM480" i="1"/>
  <c r="AL480" i="1"/>
  <c r="AK480" i="1"/>
  <c r="AJ480" i="1"/>
  <c r="AI480" i="1"/>
  <c r="AH480" i="1"/>
  <c r="AG480" i="1"/>
  <c r="AF480" i="1"/>
  <c r="AE480" i="1"/>
  <c r="AD480" i="1"/>
  <c r="AC480" i="1"/>
  <c r="AB480" i="1"/>
  <c r="AA480" i="1"/>
  <c r="Z480" i="1"/>
  <c r="Y480" i="1"/>
  <c r="X480" i="1"/>
  <c r="W480" i="1"/>
  <c r="V480" i="1"/>
  <c r="U480" i="1"/>
  <c r="T480" i="1"/>
  <c r="S480" i="1"/>
  <c r="R480" i="1"/>
  <c r="Q480" i="1"/>
  <c r="P480" i="1"/>
  <c r="O480" i="1"/>
  <c r="N480" i="1"/>
  <c r="M480" i="1"/>
  <c r="L480" i="1"/>
  <c r="K480" i="1"/>
  <c r="F480" i="1"/>
  <c r="E480" i="1"/>
  <c r="D480" i="1"/>
  <c r="C480" i="1"/>
  <c r="AU479" i="1"/>
  <c r="AT479" i="1"/>
  <c r="AS479" i="1"/>
  <c r="AR479" i="1"/>
  <c r="AQ479" i="1"/>
  <c r="AP479" i="1"/>
  <c r="AO479" i="1"/>
  <c r="AN479" i="1"/>
  <c r="AM479" i="1"/>
  <c r="AL479" i="1"/>
  <c r="AK479" i="1"/>
  <c r="AJ479" i="1"/>
  <c r="AI479" i="1"/>
  <c r="AH479" i="1"/>
  <c r="AG479" i="1"/>
  <c r="AF479" i="1"/>
  <c r="AE479" i="1"/>
  <c r="AD479" i="1"/>
  <c r="AC479" i="1"/>
  <c r="AB479" i="1"/>
  <c r="AA479" i="1"/>
  <c r="Z479" i="1"/>
  <c r="Y479" i="1"/>
  <c r="X479" i="1"/>
  <c r="W479" i="1"/>
  <c r="V479" i="1"/>
  <c r="U479" i="1"/>
  <c r="T479" i="1"/>
  <c r="S479" i="1"/>
  <c r="R479" i="1"/>
  <c r="Q479" i="1"/>
  <c r="P479" i="1"/>
  <c r="O479" i="1"/>
  <c r="N479" i="1"/>
  <c r="M479" i="1"/>
  <c r="L479" i="1"/>
  <c r="K479" i="1"/>
  <c r="F479" i="1"/>
  <c r="E479" i="1"/>
  <c r="D479" i="1"/>
  <c r="AU475" i="1"/>
  <c r="AT475" i="1"/>
  <c r="AS475" i="1"/>
  <c r="AR475" i="1"/>
  <c r="AQ475" i="1"/>
  <c r="AP475" i="1"/>
  <c r="AO475" i="1"/>
  <c r="AN475" i="1"/>
  <c r="AM475" i="1"/>
  <c r="AL475" i="1"/>
  <c r="AK475" i="1"/>
  <c r="AJ475" i="1"/>
  <c r="AI475" i="1"/>
  <c r="AH475" i="1"/>
  <c r="AG475" i="1"/>
  <c r="AF475" i="1"/>
  <c r="AE475" i="1"/>
  <c r="AD475" i="1"/>
  <c r="AC475" i="1"/>
  <c r="AB475" i="1"/>
  <c r="AA475" i="1"/>
  <c r="Z475" i="1"/>
  <c r="Y475" i="1"/>
  <c r="X475" i="1"/>
  <c r="W475" i="1"/>
  <c r="V475" i="1"/>
  <c r="U475" i="1"/>
  <c r="T475" i="1"/>
  <c r="S475" i="1"/>
  <c r="R475" i="1"/>
  <c r="Q475" i="1"/>
  <c r="P475" i="1"/>
  <c r="O475" i="1"/>
  <c r="N475" i="1"/>
  <c r="M475" i="1"/>
  <c r="L475" i="1"/>
  <c r="K475" i="1"/>
  <c r="F475" i="1"/>
  <c r="E475" i="1"/>
  <c r="D475" i="1"/>
  <c r="C475" i="1"/>
  <c r="AT471" i="1"/>
  <c r="AS471" i="1"/>
  <c r="AR471" i="1"/>
  <c r="AQ471" i="1"/>
  <c r="AP471" i="1"/>
  <c r="AO471" i="1"/>
  <c r="AN471" i="1"/>
  <c r="AM471" i="1"/>
  <c r="AL471" i="1"/>
  <c r="AK471" i="1"/>
  <c r="AJ471" i="1"/>
  <c r="AI471" i="1"/>
  <c r="AH471" i="1"/>
  <c r="AG471" i="1"/>
  <c r="AF471" i="1"/>
  <c r="AE471" i="1"/>
  <c r="AD471" i="1"/>
  <c r="AC471" i="1"/>
  <c r="AB471" i="1"/>
  <c r="AA471" i="1"/>
  <c r="Z471" i="1"/>
  <c r="Y471" i="1"/>
  <c r="X471" i="1"/>
  <c r="W471" i="1"/>
  <c r="V471" i="1"/>
  <c r="U471" i="1"/>
  <c r="T471" i="1"/>
  <c r="S471" i="1"/>
  <c r="R471" i="1"/>
  <c r="Q471" i="1"/>
  <c r="P471" i="1"/>
  <c r="O471" i="1"/>
  <c r="N471" i="1"/>
  <c r="M471" i="1"/>
  <c r="L471" i="1"/>
  <c r="K471" i="1"/>
  <c r="F471" i="1"/>
  <c r="E471" i="1"/>
  <c r="D471" i="1"/>
  <c r="AU470" i="1"/>
  <c r="AT470" i="1"/>
  <c r="AS470" i="1"/>
  <c r="AR470" i="1"/>
  <c r="AQ470" i="1"/>
  <c r="AP470" i="1"/>
  <c r="AU466" i="1"/>
  <c r="AT466" i="1"/>
  <c r="AS466" i="1"/>
  <c r="AR466" i="1"/>
  <c r="AQ466" i="1"/>
  <c r="AP466" i="1"/>
  <c r="AJ462" i="1"/>
  <c r="AI462" i="1"/>
  <c r="AH462" i="1"/>
  <c r="AG462" i="1"/>
  <c r="AF462" i="1"/>
  <c r="AE462" i="1"/>
  <c r="AD462" i="1"/>
  <c r="AC462" i="1"/>
  <c r="AB462" i="1"/>
  <c r="AA462" i="1"/>
  <c r="Z462" i="1"/>
  <c r="Y462" i="1"/>
  <c r="X462" i="1"/>
  <c r="W462" i="1"/>
  <c r="V462" i="1"/>
  <c r="U462" i="1"/>
  <c r="T462" i="1"/>
  <c r="S462" i="1"/>
  <c r="R462" i="1"/>
  <c r="Q462" i="1"/>
  <c r="P462" i="1"/>
  <c r="O462" i="1"/>
  <c r="N462" i="1"/>
  <c r="M462" i="1"/>
  <c r="L462" i="1"/>
  <c r="K462" i="1"/>
  <c r="E462" i="1"/>
  <c r="D462" i="1"/>
  <c r="C462" i="1"/>
  <c r="AJ461" i="1"/>
  <c r="AI461" i="1"/>
  <c r="AH461" i="1"/>
  <c r="AG461" i="1"/>
  <c r="AF461" i="1"/>
  <c r="AE461" i="1"/>
  <c r="AD461" i="1"/>
  <c r="AC461" i="1"/>
  <c r="AB461" i="1"/>
  <c r="AA461" i="1"/>
  <c r="Z461" i="1"/>
  <c r="Y461" i="1"/>
  <c r="X461" i="1"/>
  <c r="W461" i="1"/>
  <c r="V461" i="1"/>
  <c r="U461" i="1"/>
  <c r="T461" i="1"/>
  <c r="S461" i="1"/>
  <c r="R461" i="1"/>
  <c r="Q461" i="1"/>
  <c r="P461" i="1"/>
  <c r="O461" i="1"/>
  <c r="N461" i="1"/>
  <c r="M461" i="1"/>
  <c r="L461" i="1"/>
  <c r="K461" i="1"/>
  <c r="F461" i="1"/>
  <c r="E461" i="1"/>
  <c r="D461" i="1"/>
  <c r="AO457" i="1"/>
  <c r="AN457" i="1"/>
  <c r="AM457" i="1"/>
  <c r="AL457" i="1"/>
  <c r="AK457" i="1"/>
  <c r="AJ457" i="1"/>
  <c r="AI457" i="1"/>
  <c r="AH457" i="1"/>
  <c r="AG457" i="1"/>
  <c r="AF457" i="1"/>
  <c r="AE457" i="1"/>
  <c r="AD457" i="1"/>
  <c r="AC457" i="1"/>
  <c r="AB457" i="1"/>
  <c r="AA457" i="1"/>
  <c r="Z457" i="1"/>
  <c r="Y457" i="1"/>
  <c r="X457" i="1"/>
  <c r="W457" i="1"/>
  <c r="V457" i="1"/>
  <c r="U457" i="1"/>
  <c r="T457" i="1"/>
  <c r="S457" i="1"/>
  <c r="R457" i="1"/>
  <c r="Q457" i="1"/>
  <c r="P457" i="1"/>
  <c r="O457" i="1"/>
  <c r="N457" i="1"/>
  <c r="M457" i="1"/>
  <c r="L457" i="1"/>
  <c r="K457" i="1"/>
  <c r="F457" i="1"/>
  <c r="E457" i="1"/>
  <c r="D457" i="1"/>
  <c r="C457" i="1"/>
  <c r="AJ453" i="1"/>
  <c r="AI453" i="1"/>
  <c r="AH453" i="1"/>
  <c r="AG453" i="1"/>
  <c r="AF453" i="1"/>
  <c r="AE453" i="1"/>
  <c r="AD453" i="1"/>
  <c r="AC453" i="1"/>
  <c r="AB453" i="1"/>
  <c r="AA453" i="1"/>
  <c r="Z453" i="1"/>
  <c r="Y453" i="1"/>
  <c r="X453" i="1"/>
  <c r="W453" i="1"/>
  <c r="V453" i="1"/>
  <c r="U453" i="1"/>
  <c r="T453" i="1"/>
  <c r="S453" i="1"/>
  <c r="R453" i="1"/>
  <c r="Q453" i="1"/>
  <c r="P453" i="1"/>
  <c r="O453" i="1"/>
  <c r="N453" i="1"/>
  <c r="M453" i="1"/>
  <c r="L453" i="1"/>
  <c r="K453" i="1"/>
  <c r="E453" i="1"/>
  <c r="D453" i="1"/>
  <c r="C453" i="1"/>
  <c r="AJ452" i="1"/>
  <c r="AI452" i="1"/>
  <c r="AH452" i="1"/>
  <c r="AG452" i="1"/>
  <c r="AF452" i="1"/>
  <c r="AE452" i="1"/>
  <c r="AD452" i="1"/>
  <c r="AC452" i="1"/>
  <c r="AB452" i="1"/>
  <c r="AA452" i="1"/>
  <c r="Z452" i="1"/>
  <c r="Y452" i="1"/>
  <c r="X452" i="1"/>
  <c r="W452" i="1"/>
  <c r="V452" i="1"/>
  <c r="U452" i="1"/>
  <c r="T452" i="1"/>
  <c r="S452" i="1"/>
  <c r="R452" i="1"/>
  <c r="Q452" i="1"/>
  <c r="P452" i="1"/>
  <c r="O452" i="1"/>
  <c r="N452" i="1"/>
  <c r="M452" i="1"/>
  <c r="L452" i="1"/>
  <c r="K452" i="1"/>
  <c r="F452" i="1"/>
  <c r="E452" i="1"/>
  <c r="D452" i="1"/>
  <c r="AO448" i="1"/>
  <c r="AN448" i="1"/>
  <c r="AM448" i="1"/>
  <c r="AL448" i="1"/>
  <c r="AK448" i="1"/>
  <c r="AJ448" i="1"/>
  <c r="AI448" i="1"/>
  <c r="AH448" i="1"/>
  <c r="AG448" i="1"/>
  <c r="AF448" i="1"/>
  <c r="AE448" i="1"/>
  <c r="AD448" i="1"/>
  <c r="AC448" i="1"/>
  <c r="AB448" i="1"/>
  <c r="AA448" i="1"/>
  <c r="Z448" i="1"/>
  <c r="Y448" i="1"/>
  <c r="X448" i="1"/>
  <c r="W448" i="1"/>
  <c r="V448" i="1"/>
  <c r="U448" i="1"/>
  <c r="T448" i="1"/>
  <c r="S448" i="1"/>
  <c r="R448" i="1"/>
  <c r="Q448" i="1"/>
  <c r="P448" i="1"/>
  <c r="O448" i="1"/>
  <c r="N448" i="1"/>
  <c r="M448" i="1"/>
  <c r="L448" i="1"/>
  <c r="K448" i="1"/>
  <c r="F448" i="1"/>
  <c r="E448" i="1"/>
  <c r="D448" i="1"/>
  <c r="C448" i="1"/>
  <c r="BG443" i="1"/>
  <c r="BF443" i="1"/>
  <c r="BE443" i="1"/>
  <c r="BD443" i="1"/>
  <c r="BC443" i="1"/>
  <c r="BB443" i="1"/>
  <c r="BA443" i="1"/>
  <c r="AZ443" i="1"/>
  <c r="AY443" i="1"/>
  <c r="AX443" i="1"/>
  <c r="AW443" i="1"/>
  <c r="AV443" i="1"/>
  <c r="AU443" i="1"/>
  <c r="AT443" i="1"/>
  <c r="AS443" i="1"/>
  <c r="AR443" i="1"/>
  <c r="AQ443" i="1"/>
  <c r="AP443" i="1"/>
  <c r="AO443" i="1"/>
  <c r="AN443" i="1"/>
  <c r="AM443" i="1"/>
  <c r="AL443" i="1"/>
  <c r="AK443" i="1"/>
  <c r="AJ443" i="1"/>
  <c r="AI443" i="1"/>
  <c r="AH443" i="1"/>
  <c r="AG443" i="1"/>
  <c r="AF443" i="1"/>
  <c r="AE443" i="1"/>
  <c r="AD443" i="1"/>
  <c r="AC443" i="1"/>
  <c r="AB443" i="1"/>
  <c r="AA443" i="1"/>
  <c r="Z443" i="1"/>
  <c r="Y443" i="1"/>
  <c r="X443" i="1"/>
  <c r="W443" i="1"/>
  <c r="V443" i="1"/>
  <c r="BG442" i="1"/>
  <c r="BF442" i="1"/>
  <c r="BE442" i="1"/>
  <c r="BD442" i="1"/>
  <c r="BC442" i="1"/>
  <c r="BB442" i="1"/>
  <c r="BA442" i="1"/>
  <c r="AZ442" i="1"/>
  <c r="AY442" i="1"/>
  <c r="AX442" i="1"/>
  <c r="AW442" i="1"/>
  <c r="AV442" i="1"/>
  <c r="AU442" i="1"/>
  <c r="AT442" i="1"/>
  <c r="AS442" i="1"/>
  <c r="AR442" i="1"/>
  <c r="AQ442" i="1"/>
  <c r="AP442" i="1"/>
  <c r="AO442" i="1"/>
  <c r="AN442" i="1"/>
  <c r="AM442" i="1"/>
  <c r="AL442" i="1"/>
  <c r="AK442" i="1"/>
  <c r="AJ442" i="1"/>
  <c r="AI442" i="1"/>
  <c r="AH442" i="1"/>
  <c r="AG442" i="1"/>
  <c r="AF442" i="1"/>
  <c r="AE442" i="1"/>
  <c r="AD442" i="1"/>
  <c r="AC442" i="1"/>
  <c r="AB442" i="1"/>
  <c r="AA442" i="1"/>
  <c r="Z442" i="1"/>
  <c r="Y442" i="1"/>
  <c r="X442" i="1"/>
  <c r="W442" i="1"/>
  <c r="V442" i="1"/>
  <c r="BG440" i="1"/>
  <c r="BF440" i="1"/>
  <c r="BE440" i="1"/>
  <c r="BD440" i="1"/>
  <c r="BC440" i="1"/>
  <c r="BB440" i="1"/>
  <c r="BA440" i="1"/>
  <c r="AZ440" i="1"/>
  <c r="AY440" i="1"/>
  <c r="AX440" i="1"/>
  <c r="AW440" i="1"/>
  <c r="AV440" i="1"/>
  <c r="AU440" i="1"/>
  <c r="AT440" i="1"/>
  <c r="AS440" i="1"/>
  <c r="AR440" i="1"/>
  <c r="AQ440" i="1"/>
  <c r="AP440" i="1"/>
  <c r="AO440" i="1"/>
  <c r="AN440" i="1"/>
  <c r="AM440" i="1"/>
  <c r="AL440" i="1"/>
  <c r="AK440" i="1"/>
  <c r="AJ440" i="1"/>
  <c r="AI440" i="1"/>
  <c r="AH440" i="1"/>
  <c r="AG440" i="1"/>
  <c r="AF440" i="1"/>
  <c r="AE440" i="1"/>
  <c r="AD440" i="1"/>
  <c r="AC440" i="1"/>
  <c r="AB440" i="1"/>
  <c r="AA440" i="1"/>
  <c r="Z440" i="1"/>
  <c r="Y440" i="1"/>
  <c r="X440" i="1"/>
  <c r="W440" i="1"/>
  <c r="V440" i="1"/>
  <c r="BG439" i="1"/>
  <c r="BF439" i="1"/>
  <c r="BE439" i="1"/>
  <c r="BD439" i="1"/>
  <c r="BC439" i="1"/>
  <c r="BB439" i="1"/>
  <c r="BA439" i="1"/>
  <c r="AZ439" i="1"/>
  <c r="AY439" i="1"/>
  <c r="AX439" i="1"/>
  <c r="AW439" i="1"/>
  <c r="AV439" i="1"/>
  <c r="AU439" i="1"/>
  <c r="AT439" i="1"/>
  <c r="AS439" i="1"/>
  <c r="AR439" i="1"/>
  <c r="AQ439" i="1"/>
  <c r="AP439" i="1"/>
  <c r="AO439" i="1"/>
  <c r="AN439" i="1"/>
  <c r="AM439" i="1"/>
  <c r="AL439" i="1"/>
  <c r="AK439" i="1"/>
  <c r="AJ439" i="1"/>
  <c r="AI439" i="1"/>
  <c r="AH439" i="1"/>
  <c r="AG439" i="1"/>
  <c r="AF439" i="1"/>
  <c r="AE439" i="1"/>
  <c r="AD439" i="1"/>
  <c r="AC439" i="1"/>
  <c r="AB439" i="1"/>
  <c r="AA439" i="1"/>
  <c r="Z439" i="1"/>
  <c r="Y439" i="1"/>
  <c r="X439" i="1"/>
  <c r="W439" i="1"/>
  <c r="V439" i="1"/>
  <c r="AS438" i="1"/>
  <c r="AN438" i="1"/>
  <c r="AI438" i="1"/>
  <c r="AS437" i="1"/>
  <c r="AN437" i="1"/>
  <c r="AI437" i="1"/>
  <c r="AS436" i="1"/>
  <c r="AN436" i="1"/>
  <c r="AI436" i="1"/>
  <c r="AS435" i="1"/>
  <c r="AN435" i="1"/>
  <c r="AJ435" i="1"/>
  <c r="AI435" i="1"/>
  <c r="AH435" i="1"/>
  <c r="AG435" i="1"/>
  <c r="AF435" i="1"/>
  <c r="AE435" i="1"/>
  <c r="Z435" i="1"/>
  <c r="AI434" i="1"/>
  <c r="AI433" i="1"/>
  <c r="BG426" i="1"/>
  <c r="BF426" i="1"/>
  <c r="BE426" i="1"/>
  <c r="BD426" i="1"/>
  <c r="BC426" i="1"/>
  <c r="BB426" i="1"/>
  <c r="BA426" i="1"/>
  <c r="AZ426" i="1"/>
  <c r="AY426" i="1"/>
  <c r="AX426" i="1"/>
  <c r="AW426" i="1"/>
  <c r="AV426" i="1"/>
  <c r="AU426" i="1"/>
  <c r="AT426" i="1"/>
  <c r="AS426" i="1"/>
  <c r="AR426" i="1"/>
  <c r="AQ426" i="1"/>
  <c r="AP426" i="1"/>
  <c r="AO426" i="1"/>
  <c r="AN426" i="1"/>
  <c r="AM426" i="1"/>
  <c r="AL426" i="1"/>
  <c r="AK426" i="1"/>
  <c r="AJ426" i="1"/>
  <c r="AI426" i="1"/>
  <c r="AH426" i="1"/>
  <c r="AG426" i="1"/>
  <c r="AF426" i="1"/>
  <c r="AE426" i="1"/>
  <c r="AD426" i="1"/>
  <c r="AC426" i="1"/>
  <c r="AB426" i="1"/>
  <c r="AA426" i="1"/>
  <c r="Z426" i="1"/>
  <c r="Y426" i="1"/>
  <c r="X426" i="1"/>
  <c r="W426" i="1"/>
  <c r="V426" i="1"/>
  <c r="BG425" i="1"/>
  <c r="BF425" i="1"/>
  <c r="BE425" i="1"/>
  <c r="BD425" i="1"/>
  <c r="BC425" i="1"/>
  <c r="BB425" i="1"/>
  <c r="BA425" i="1"/>
  <c r="AZ425" i="1"/>
  <c r="AY425" i="1"/>
  <c r="AX425" i="1"/>
  <c r="AW425" i="1"/>
  <c r="AV425" i="1"/>
  <c r="AU425" i="1"/>
  <c r="AT425" i="1"/>
  <c r="AS425" i="1"/>
  <c r="AR425" i="1"/>
  <c r="AQ425" i="1"/>
  <c r="AP425" i="1"/>
  <c r="AO425" i="1"/>
  <c r="AN425" i="1"/>
  <c r="AM425" i="1"/>
  <c r="AL425" i="1"/>
  <c r="AK425" i="1"/>
  <c r="BG424" i="1"/>
  <c r="BF424" i="1"/>
  <c r="BE424" i="1"/>
  <c r="BD424" i="1"/>
  <c r="BC424" i="1"/>
  <c r="BB424" i="1"/>
  <c r="BA424" i="1"/>
  <c r="AZ424" i="1"/>
  <c r="AY424" i="1"/>
  <c r="AX424" i="1"/>
  <c r="AW424" i="1"/>
  <c r="AV424" i="1"/>
  <c r="BG423" i="1"/>
  <c r="BF423" i="1"/>
  <c r="BE423" i="1"/>
  <c r="BD423" i="1"/>
  <c r="BC423" i="1"/>
  <c r="BB423" i="1"/>
  <c r="BA423" i="1"/>
  <c r="AZ423" i="1"/>
  <c r="AY423" i="1"/>
  <c r="AX423" i="1"/>
  <c r="AW423" i="1"/>
  <c r="AV423" i="1"/>
  <c r="AU423" i="1"/>
  <c r="AT423" i="1"/>
  <c r="AS423" i="1"/>
  <c r="AR423" i="1"/>
  <c r="AQ423" i="1"/>
  <c r="AP423" i="1"/>
  <c r="AO423" i="1"/>
  <c r="AN423" i="1"/>
  <c r="AM423" i="1"/>
  <c r="AL423" i="1"/>
  <c r="AK423" i="1"/>
  <c r="BD422" i="1"/>
  <c r="AY422" i="1"/>
  <c r="AT422" i="1"/>
  <c r="AQ422" i="1"/>
  <c r="AO422" i="1"/>
  <c r="BG421" i="1"/>
  <c r="BF421" i="1"/>
  <c r="BE421" i="1"/>
  <c r="BD421" i="1"/>
  <c r="BC421" i="1"/>
  <c r="BB421" i="1"/>
  <c r="BA421" i="1"/>
  <c r="AZ421" i="1"/>
  <c r="AY421" i="1"/>
  <c r="AX421" i="1"/>
  <c r="AW421" i="1"/>
  <c r="AV421" i="1"/>
  <c r="AU421" i="1"/>
  <c r="AT421" i="1"/>
  <c r="AS421" i="1"/>
  <c r="AR421" i="1"/>
  <c r="AQ421" i="1"/>
  <c r="AP421" i="1"/>
  <c r="AO421" i="1"/>
  <c r="AN421" i="1"/>
  <c r="AM421" i="1"/>
  <c r="AL421" i="1"/>
  <c r="AK421" i="1"/>
  <c r="AJ421" i="1"/>
  <c r="AI421" i="1"/>
  <c r="AH421" i="1"/>
  <c r="AG421" i="1"/>
  <c r="AF421" i="1"/>
  <c r="AE421" i="1"/>
  <c r="AD421" i="1"/>
  <c r="AC421" i="1"/>
  <c r="AB421" i="1"/>
  <c r="AA421" i="1"/>
  <c r="Z421" i="1"/>
  <c r="Y421" i="1"/>
  <c r="X421" i="1"/>
  <c r="W421" i="1"/>
  <c r="V421" i="1"/>
  <c r="BG419" i="1"/>
  <c r="BF419" i="1"/>
  <c r="BE419" i="1"/>
  <c r="BD419" i="1"/>
  <c r="BC419" i="1"/>
  <c r="BB419" i="1"/>
  <c r="BA419" i="1"/>
  <c r="AZ419" i="1"/>
  <c r="AY419" i="1"/>
  <c r="AX419" i="1"/>
  <c r="AW419" i="1"/>
  <c r="AV419" i="1"/>
  <c r="AU419" i="1"/>
  <c r="AT419" i="1"/>
  <c r="AS419" i="1"/>
  <c r="AR419" i="1"/>
  <c r="AQ419" i="1"/>
  <c r="AP419" i="1"/>
  <c r="AO419" i="1"/>
  <c r="AN419" i="1"/>
  <c r="AM419" i="1"/>
  <c r="AL419" i="1"/>
  <c r="AK419" i="1"/>
  <c r="AJ419" i="1"/>
  <c r="AI419" i="1"/>
  <c r="AH419" i="1"/>
  <c r="AG419" i="1"/>
  <c r="AF419" i="1"/>
  <c r="AE419" i="1"/>
  <c r="AD419" i="1"/>
  <c r="AC419" i="1"/>
  <c r="AB419" i="1"/>
  <c r="AA419" i="1"/>
  <c r="Z419" i="1"/>
  <c r="Y419" i="1"/>
  <c r="X419" i="1"/>
  <c r="W419" i="1"/>
  <c r="V419" i="1"/>
  <c r="AS418" i="1"/>
  <c r="AN418" i="1"/>
  <c r="AI418" i="1"/>
  <c r="AS417" i="1"/>
  <c r="AN417" i="1"/>
  <c r="AI417" i="1"/>
  <c r="AS416" i="1"/>
  <c r="AN416" i="1"/>
  <c r="AI416" i="1"/>
  <c r="AS415" i="1"/>
  <c r="AN415" i="1"/>
  <c r="AJ415" i="1"/>
  <c r="AI415" i="1"/>
  <c r="AH415" i="1"/>
  <c r="AG415" i="1"/>
  <c r="AF415" i="1"/>
  <c r="AE415" i="1"/>
  <c r="Z415" i="1"/>
  <c r="AI414" i="1"/>
  <c r="AI413" i="1"/>
  <c r="AT410" i="1"/>
  <c r="AO410" i="1"/>
  <c r="AJ410" i="1"/>
  <c r="AT409" i="1"/>
  <c r="AO409" i="1"/>
  <c r="AJ409" i="1"/>
  <c r="AT408" i="1"/>
  <c r="AO408" i="1"/>
  <c r="AJ408" i="1"/>
  <c r="AU402" i="1"/>
  <c r="AT402" i="1"/>
  <c r="AS402" i="1"/>
  <c r="AR402" i="1"/>
  <c r="AQ402" i="1"/>
  <c r="AP402" i="1"/>
  <c r="AO402" i="1"/>
  <c r="AN402" i="1"/>
  <c r="AM402" i="1"/>
  <c r="AL402" i="1"/>
  <c r="AK402" i="1"/>
  <c r="AJ402" i="1"/>
  <c r="AI402" i="1"/>
  <c r="AH402" i="1"/>
  <c r="AG402" i="1"/>
  <c r="AF402" i="1"/>
  <c r="AE402" i="1"/>
  <c r="Z402" i="1"/>
  <c r="AT401" i="1"/>
  <c r="AN401" i="1"/>
  <c r="AI401" i="1"/>
  <c r="AT400" i="1"/>
  <c r="AN400" i="1"/>
  <c r="AI400" i="1"/>
  <c r="AT399" i="1"/>
  <c r="AN399" i="1"/>
  <c r="AI399" i="1"/>
  <c r="AT398" i="1"/>
  <c r="AN398" i="1"/>
  <c r="AI398" i="1"/>
  <c r="AT397" i="1"/>
  <c r="AN397" i="1"/>
  <c r="AI397" i="1"/>
  <c r="AU395" i="1"/>
  <c r="AT395" i="1"/>
  <c r="AS395" i="1"/>
  <c r="AR395" i="1"/>
  <c r="AQ395" i="1"/>
  <c r="AP395" i="1"/>
  <c r="AO395" i="1"/>
  <c r="AN395" i="1"/>
  <c r="AM395" i="1"/>
  <c r="AL395" i="1"/>
  <c r="AK395" i="1"/>
  <c r="AJ395" i="1"/>
  <c r="AI395" i="1"/>
  <c r="AH395" i="1"/>
  <c r="AG395" i="1"/>
  <c r="AF395" i="1"/>
  <c r="AE395" i="1"/>
  <c r="Z395" i="1"/>
  <c r="AU394" i="1"/>
  <c r="AT394" i="1"/>
  <c r="AS394" i="1"/>
  <c r="AR394" i="1"/>
  <c r="AQ394" i="1"/>
  <c r="AP394" i="1"/>
  <c r="AO394" i="1"/>
  <c r="AN394" i="1"/>
  <c r="AM394" i="1"/>
  <c r="AL394" i="1"/>
  <c r="AK394" i="1"/>
  <c r="AJ394" i="1"/>
  <c r="AI394" i="1"/>
  <c r="AH394" i="1"/>
  <c r="AG394" i="1"/>
  <c r="AF394" i="1"/>
  <c r="AE394" i="1"/>
  <c r="Z394" i="1"/>
  <c r="AU393" i="1"/>
  <c r="AT393" i="1"/>
  <c r="AS393" i="1"/>
  <c r="AR393" i="1"/>
  <c r="AQ393" i="1"/>
  <c r="AP393" i="1"/>
  <c r="AO393" i="1"/>
  <c r="AN393" i="1"/>
  <c r="AM393" i="1"/>
  <c r="AL393" i="1"/>
  <c r="AK393" i="1"/>
  <c r="AJ393" i="1"/>
  <c r="AI393" i="1"/>
  <c r="AH393" i="1"/>
  <c r="AG393" i="1"/>
  <c r="AF393" i="1"/>
  <c r="AE393" i="1"/>
  <c r="Z393" i="1"/>
  <c r="AU392" i="1"/>
  <c r="AT392" i="1"/>
  <c r="AS392" i="1"/>
  <c r="AR392" i="1"/>
  <c r="AQ392" i="1"/>
  <c r="AP392" i="1"/>
  <c r="AO392" i="1"/>
  <c r="AN392" i="1"/>
  <c r="AM392" i="1"/>
  <c r="AL392" i="1"/>
  <c r="AK392" i="1"/>
  <c r="AJ392" i="1"/>
  <c r="AI392" i="1"/>
  <c r="AH392" i="1"/>
  <c r="AG392" i="1"/>
  <c r="AF392" i="1"/>
  <c r="AE392" i="1"/>
  <c r="Z392" i="1"/>
  <c r="AU391" i="1"/>
  <c r="AT391" i="1"/>
  <c r="AS391" i="1"/>
  <c r="AR391" i="1"/>
  <c r="AQ391" i="1"/>
  <c r="AP391" i="1"/>
  <c r="AO391" i="1"/>
  <c r="AN391" i="1"/>
  <c r="AM391" i="1"/>
  <c r="AL391" i="1"/>
  <c r="AK391" i="1"/>
  <c r="AJ391" i="1"/>
  <c r="AI391" i="1"/>
  <c r="AH391" i="1"/>
  <c r="AG391" i="1"/>
  <c r="AF391" i="1"/>
  <c r="AE391" i="1"/>
  <c r="Z391" i="1"/>
  <c r="AJ390" i="1"/>
  <c r="AI390" i="1"/>
  <c r="AH390" i="1"/>
  <c r="AG390" i="1"/>
  <c r="AF390" i="1"/>
  <c r="AE390" i="1"/>
  <c r="Z390" i="1"/>
  <c r="AJ389" i="1"/>
  <c r="AI389" i="1"/>
  <c r="AH389" i="1"/>
  <c r="AG389" i="1"/>
  <c r="AF389" i="1"/>
  <c r="AE389" i="1"/>
  <c r="Z389" i="1"/>
  <c r="BG387" i="1"/>
  <c r="BF387" i="1"/>
  <c r="BE387" i="1"/>
  <c r="BD387" i="1"/>
  <c r="BC387" i="1"/>
  <c r="BB387" i="1"/>
  <c r="BA387" i="1"/>
  <c r="AZ387" i="1"/>
  <c r="AU387" i="1"/>
  <c r="AT387" i="1"/>
  <c r="AS387" i="1"/>
  <c r="AR387" i="1"/>
  <c r="AQ387" i="1"/>
  <c r="AP387" i="1"/>
  <c r="AO387" i="1"/>
  <c r="AN387" i="1"/>
  <c r="AM387" i="1"/>
  <c r="AL387" i="1"/>
  <c r="AK387" i="1"/>
  <c r="AJ387" i="1"/>
  <c r="AI387" i="1"/>
  <c r="AH387" i="1"/>
  <c r="AG387" i="1"/>
  <c r="AF387" i="1"/>
  <c r="AE387" i="1"/>
  <c r="AD387" i="1"/>
  <c r="AC387" i="1"/>
  <c r="AB387" i="1"/>
  <c r="AA387" i="1"/>
  <c r="BG386" i="1"/>
  <c r="BF386" i="1"/>
  <c r="BE386" i="1"/>
  <c r="BD386" i="1"/>
  <c r="BC386" i="1"/>
  <c r="BB386" i="1"/>
  <c r="BA386" i="1"/>
  <c r="AZ386" i="1"/>
  <c r="AU386" i="1"/>
  <c r="AT386" i="1"/>
  <c r="AS386" i="1"/>
  <c r="AR386" i="1"/>
  <c r="AQ386" i="1"/>
  <c r="AP386" i="1"/>
  <c r="AO386" i="1"/>
  <c r="AN386" i="1"/>
  <c r="AM386" i="1"/>
  <c r="AL386" i="1"/>
  <c r="AK386" i="1"/>
  <c r="AJ386" i="1"/>
  <c r="AI386" i="1"/>
  <c r="AH386" i="1"/>
  <c r="AG386" i="1"/>
  <c r="AF386" i="1"/>
  <c r="AE386" i="1"/>
  <c r="AD386" i="1"/>
  <c r="AC386" i="1"/>
  <c r="AB386" i="1"/>
  <c r="AA386" i="1"/>
  <c r="BG385" i="1"/>
  <c r="BF385" i="1"/>
  <c r="BE385" i="1"/>
  <c r="BD385" i="1"/>
  <c r="BC385" i="1"/>
  <c r="BB385" i="1"/>
  <c r="BA385" i="1"/>
  <c r="AZ385" i="1"/>
  <c r="AY385" i="1"/>
  <c r="AX385" i="1"/>
  <c r="AW385" i="1"/>
  <c r="AV385"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BG384" i="1"/>
  <c r="BF384" i="1"/>
  <c r="BE384" i="1"/>
  <c r="BD384" i="1"/>
  <c r="BC384" i="1"/>
  <c r="BB384" i="1"/>
  <c r="BA384" i="1"/>
  <c r="AZ384" i="1"/>
  <c r="AY384" i="1"/>
  <c r="AX384" i="1"/>
  <c r="AW384" i="1"/>
  <c r="AV384" i="1"/>
  <c r="AU384" i="1"/>
  <c r="AT384" i="1"/>
  <c r="AS384" i="1"/>
  <c r="AR384" i="1"/>
  <c r="AQ384" i="1"/>
  <c r="AP384" i="1"/>
  <c r="AO384" i="1"/>
  <c r="AN384" i="1"/>
  <c r="AM384" i="1"/>
  <c r="AL384" i="1"/>
  <c r="AK384" i="1"/>
  <c r="BG383" i="1"/>
  <c r="BF383" i="1"/>
  <c r="BE383" i="1"/>
  <c r="BD383" i="1"/>
  <c r="BC383" i="1"/>
  <c r="BB383" i="1"/>
  <c r="BA383" i="1"/>
  <c r="AZ383" i="1"/>
  <c r="AY383" i="1"/>
  <c r="AX383" i="1"/>
  <c r="AW383" i="1"/>
  <c r="AV383" i="1"/>
  <c r="AU383" i="1"/>
  <c r="AT383" i="1"/>
  <c r="AS383" i="1"/>
  <c r="AR383" i="1"/>
  <c r="AQ383" i="1"/>
  <c r="AP383" i="1"/>
  <c r="AO383" i="1"/>
  <c r="AN383" i="1"/>
  <c r="AM383" i="1"/>
  <c r="AL383" i="1"/>
  <c r="AK383" i="1"/>
  <c r="BG381" i="1"/>
  <c r="BF381" i="1"/>
  <c r="BE381" i="1"/>
  <c r="BD381" i="1"/>
  <c r="BC381" i="1"/>
  <c r="BB381" i="1"/>
  <c r="BA381" i="1"/>
  <c r="AZ381" i="1"/>
  <c r="AY381" i="1"/>
  <c r="AX381" i="1"/>
  <c r="AW381" i="1"/>
  <c r="AV381" i="1"/>
  <c r="AU381" i="1"/>
  <c r="AT381" i="1"/>
  <c r="AS381" i="1"/>
  <c r="AR381" i="1"/>
  <c r="AQ381" i="1"/>
  <c r="AP381" i="1"/>
  <c r="AO381" i="1"/>
  <c r="AN381" i="1"/>
  <c r="AM381" i="1"/>
  <c r="AL381" i="1"/>
  <c r="AK381" i="1"/>
  <c r="BG380" i="1"/>
  <c r="BF380" i="1"/>
  <c r="BE380" i="1"/>
  <c r="BD380" i="1"/>
  <c r="BC380" i="1"/>
  <c r="BB380" i="1"/>
  <c r="BA380" i="1"/>
  <c r="AZ380" i="1"/>
  <c r="AY380" i="1"/>
  <c r="AX380" i="1"/>
  <c r="AW380" i="1"/>
  <c r="AV380" i="1"/>
  <c r="BG379" i="1"/>
  <c r="BF379" i="1"/>
  <c r="BE379" i="1"/>
  <c r="BD379" i="1"/>
  <c r="BC379" i="1"/>
  <c r="BB379" i="1"/>
  <c r="BA379" i="1"/>
  <c r="AZ379" i="1"/>
  <c r="AY379" i="1"/>
  <c r="AX379" i="1"/>
  <c r="AW379" i="1"/>
  <c r="AV379" i="1"/>
  <c r="AU379" i="1"/>
  <c r="AT379" i="1"/>
  <c r="AS379" i="1"/>
  <c r="AR379" i="1"/>
  <c r="AQ379" i="1"/>
  <c r="AP379" i="1"/>
  <c r="AO379" i="1"/>
  <c r="AN379" i="1"/>
  <c r="AM379" i="1"/>
  <c r="AL379" i="1"/>
  <c r="AK379" i="1"/>
  <c r="BD378" i="1"/>
  <c r="AY378" i="1"/>
  <c r="BG377" i="1"/>
  <c r="BF377" i="1"/>
  <c r="BE377" i="1"/>
  <c r="BD377" i="1"/>
  <c r="BC377" i="1"/>
  <c r="BB377" i="1"/>
  <c r="BA377" i="1"/>
  <c r="AZ377" i="1"/>
  <c r="AY377" i="1"/>
  <c r="AX377" i="1"/>
  <c r="AW377" i="1"/>
  <c r="AV377" i="1"/>
  <c r="AU377" i="1"/>
  <c r="AT377" i="1"/>
  <c r="AS377" i="1"/>
  <c r="AR377" i="1"/>
  <c r="AQ377" i="1"/>
  <c r="AP377" i="1"/>
  <c r="AO377" i="1"/>
  <c r="AN377" i="1"/>
  <c r="AM377" i="1"/>
  <c r="AL377" i="1"/>
  <c r="AK377" i="1"/>
  <c r="AJ377" i="1"/>
  <c r="AI377" i="1"/>
  <c r="AH377" i="1"/>
  <c r="AG377" i="1"/>
  <c r="AF377" i="1"/>
  <c r="AE377" i="1"/>
  <c r="AD377" i="1"/>
  <c r="AC377" i="1"/>
  <c r="AB377" i="1"/>
  <c r="AA377" i="1"/>
  <c r="Z377" i="1"/>
  <c r="Y377" i="1"/>
  <c r="X377" i="1"/>
  <c r="W377" i="1"/>
  <c r="V377" i="1"/>
  <c r="BG375" i="1"/>
  <c r="BF375" i="1"/>
  <c r="BE375" i="1"/>
  <c r="BD375" i="1"/>
  <c r="BC375" i="1"/>
  <c r="BB375" i="1"/>
  <c r="BA375" i="1"/>
  <c r="AZ375" i="1"/>
  <c r="AY375" i="1"/>
  <c r="AX375" i="1"/>
  <c r="AW375" i="1"/>
  <c r="AV375" i="1"/>
  <c r="AU375" i="1"/>
  <c r="AT375" i="1"/>
  <c r="AS375" i="1"/>
  <c r="AR375" i="1"/>
  <c r="AQ375" i="1"/>
  <c r="AP375" i="1"/>
  <c r="AO375" i="1"/>
  <c r="AN375" i="1"/>
  <c r="AM375" i="1"/>
  <c r="AL375" i="1"/>
  <c r="AK375" i="1"/>
  <c r="AJ375" i="1"/>
  <c r="AI375" i="1"/>
  <c r="AH375" i="1"/>
  <c r="AG375" i="1"/>
  <c r="AF375" i="1"/>
  <c r="AE375" i="1"/>
  <c r="AD375" i="1"/>
  <c r="AC375" i="1"/>
  <c r="AB375" i="1"/>
  <c r="AA375" i="1"/>
  <c r="Z375" i="1"/>
  <c r="Y375" i="1"/>
  <c r="X375" i="1"/>
  <c r="W375" i="1"/>
  <c r="V375" i="1"/>
  <c r="AS374" i="1"/>
  <c r="AN374" i="1"/>
  <c r="AI374" i="1"/>
  <c r="AS373" i="1"/>
  <c r="AN373" i="1"/>
  <c r="AI373" i="1"/>
  <c r="AS372" i="1"/>
  <c r="AN372" i="1"/>
  <c r="AI372" i="1"/>
  <c r="AS371" i="1"/>
  <c r="AN371" i="1"/>
  <c r="AJ371" i="1"/>
  <c r="AI371" i="1"/>
  <c r="AH371" i="1"/>
  <c r="AG371" i="1"/>
  <c r="AF371" i="1"/>
  <c r="AE371" i="1"/>
  <c r="Z371" i="1"/>
  <c r="AI370" i="1"/>
  <c r="AI369" i="1"/>
  <c r="BG367" i="1"/>
  <c r="BF367" i="1"/>
  <c r="BE367" i="1"/>
  <c r="BD367" i="1"/>
  <c r="BC367" i="1"/>
  <c r="BB367" i="1"/>
  <c r="BA367" i="1"/>
  <c r="AZ367" i="1"/>
  <c r="AY367" i="1"/>
  <c r="AX367" i="1"/>
  <c r="AW367" i="1"/>
  <c r="AV367"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BG366" i="1"/>
  <c r="BF366" i="1"/>
  <c r="BE366" i="1"/>
  <c r="BD366" i="1"/>
  <c r="BC366" i="1"/>
  <c r="BB366" i="1"/>
  <c r="BA366" i="1"/>
  <c r="AZ366" i="1"/>
  <c r="AU366" i="1"/>
  <c r="AT366" i="1"/>
  <c r="AS366" i="1"/>
  <c r="AR366" i="1"/>
  <c r="AQ366" i="1"/>
  <c r="AP366" i="1"/>
  <c r="AJ366" i="1"/>
  <c r="AI366" i="1"/>
  <c r="AH366" i="1"/>
  <c r="AG366" i="1"/>
  <c r="AF366" i="1"/>
  <c r="AE366" i="1"/>
  <c r="AD366" i="1"/>
  <c r="AC366" i="1"/>
  <c r="AB366" i="1"/>
  <c r="AA366" i="1"/>
  <c r="BG365" i="1"/>
  <c r="BF365" i="1"/>
  <c r="BE365" i="1"/>
  <c r="BD365" i="1"/>
  <c r="BC365" i="1"/>
  <c r="BB365" i="1"/>
  <c r="BA365" i="1"/>
  <c r="AZ365" i="1"/>
  <c r="AU365" i="1"/>
  <c r="AT365" i="1"/>
  <c r="AS365" i="1"/>
  <c r="AR365" i="1"/>
  <c r="AQ365" i="1"/>
  <c r="AP365" i="1"/>
  <c r="AO365" i="1"/>
  <c r="AN365" i="1"/>
  <c r="AM365" i="1"/>
  <c r="AL365" i="1"/>
  <c r="AK365" i="1"/>
  <c r="AJ365" i="1"/>
  <c r="AI365" i="1"/>
  <c r="AH365" i="1"/>
  <c r="AG365" i="1"/>
  <c r="AF365" i="1"/>
  <c r="AE365" i="1"/>
  <c r="AD365" i="1"/>
  <c r="AC365" i="1"/>
  <c r="AB365" i="1"/>
  <c r="AA365" i="1"/>
  <c r="BG364" i="1"/>
  <c r="BF364" i="1"/>
  <c r="BE364" i="1"/>
  <c r="BD364" i="1"/>
  <c r="BC364" i="1"/>
  <c r="BB364" i="1"/>
  <c r="BA364" i="1"/>
  <c r="AZ364" i="1"/>
  <c r="AU364" i="1"/>
  <c r="AT364" i="1"/>
  <c r="AS364" i="1"/>
  <c r="AR364" i="1"/>
  <c r="AQ364" i="1"/>
  <c r="AP364" i="1"/>
  <c r="AO364" i="1"/>
  <c r="AN364" i="1"/>
  <c r="AM364" i="1"/>
  <c r="AL364" i="1"/>
  <c r="AK364" i="1"/>
  <c r="AJ364" i="1"/>
  <c r="AI364" i="1"/>
  <c r="AH364" i="1"/>
  <c r="AG364" i="1"/>
  <c r="AF364" i="1"/>
  <c r="AE364" i="1"/>
  <c r="AD364" i="1"/>
  <c r="AC364" i="1"/>
  <c r="AB364" i="1"/>
  <c r="AA364" i="1"/>
  <c r="BG363" i="1"/>
  <c r="BF363" i="1"/>
  <c r="BE363" i="1"/>
  <c r="BD363" i="1"/>
  <c r="BC363" i="1"/>
  <c r="BB363" i="1"/>
  <c r="BA363" i="1"/>
  <c r="AZ363" i="1"/>
  <c r="AU363" i="1"/>
  <c r="AT363" i="1"/>
  <c r="AS363" i="1"/>
  <c r="AR363" i="1"/>
  <c r="AQ363" i="1"/>
  <c r="AP363" i="1"/>
  <c r="AO363" i="1"/>
  <c r="AN363" i="1"/>
  <c r="AM363" i="1"/>
  <c r="AL363" i="1"/>
  <c r="AK363" i="1"/>
  <c r="AJ363" i="1"/>
  <c r="AI363" i="1"/>
  <c r="AH363" i="1"/>
  <c r="AG363" i="1"/>
  <c r="AF363" i="1"/>
  <c r="AE363" i="1"/>
  <c r="AD363" i="1"/>
  <c r="AC363" i="1"/>
  <c r="AB363" i="1"/>
  <c r="AA363" i="1"/>
  <c r="BG362" i="1"/>
  <c r="BF362" i="1"/>
  <c r="BE362" i="1"/>
  <c r="BD362" i="1"/>
  <c r="BC362" i="1"/>
  <c r="BB362" i="1"/>
  <c r="BA362" i="1"/>
  <c r="AZ362" i="1"/>
  <c r="AU362" i="1"/>
  <c r="AT362" i="1"/>
  <c r="AS362" i="1"/>
  <c r="AR362" i="1"/>
  <c r="AQ362" i="1"/>
  <c r="AP362" i="1"/>
  <c r="AO362" i="1"/>
  <c r="AN362" i="1"/>
  <c r="AM362" i="1"/>
  <c r="AL362" i="1"/>
  <c r="AK362" i="1"/>
  <c r="AJ362" i="1"/>
  <c r="AI362" i="1"/>
  <c r="AH362" i="1"/>
  <c r="AG362" i="1"/>
  <c r="AF362" i="1"/>
  <c r="AE362" i="1"/>
  <c r="AD362" i="1"/>
  <c r="AC362" i="1"/>
  <c r="AB362" i="1"/>
  <c r="AA362" i="1"/>
  <c r="BG361" i="1"/>
  <c r="BF361" i="1"/>
  <c r="BE361" i="1"/>
  <c r="BD361" i="1"/>
  <c r="BC361" i="1"/>
  <c r="BB361" i="1"/>
  <c r="BA361" i="1"/>
  <c r="AZ361" i="1"/>
  <c r="AT361" i="1"/>
  <c r="AS361" i="1"/>
  <c r="AR361" i="1"/>
  <c r="AQ361" i="1"/>
  <c r="AP361" i="1"/>
  <c r="AO361" i="1"/>
  <c r="AN361" i="1"/>
  <c r="AM361" i="1"/>
  <c r="AL361" i="1"/>
  <c r="AK361" i="1"/>
  <c r="AJ361" i="1"/>
  <c r="AI361" i="1"/>
  <c r="AH361" i="1"/>
  <c r="AG361" i="1"/>
  <c r="AF361" i="1"/>
  <c r="AE361" i="1"/>
  <c r="AD361" i="1"/>
  <c r="AC361" i="1"/>
  <c r="AB361" i="1"/>
  <c r="AA361" i="1"/>
  <c r="BG359" i="1"/>
  <c r="BF359" i="1"/>
  <c r="BE359" i="1"/>
  <c r="BD359" i="1"/>
  <c r="BC359" i="1"/>
  <c r="BB359" i="1"/>
  <c r="BA359" i="1"/>
  <c r="AZ359" i="1"/>
  <c r="AU359" i="1"/>
  <c r="AT359" i="1"/>
  <c r="AS359" i="1"/>
  <c r="AR359" i="1"/>
  <c r="AQ359" i="1"/>
  <c r="AP359" i="1"/>
  <c r="AO359" i="1"/>
  <c r="AN359" i="1"/>
  <c r="AM359" i="1"/>
  <c r="AL359" i="1"/>
  <c r="AK359" i="1"/>
  <c r="AJ359" i="1"/>
  <c r="AI359" i="1"/>
  <c r="AH359" i="1"/>
  <c r="AG359" i="1"/>
  <c r="AF359" i="1"/>
  <c r="AE359" i="1"/>
  <c r="AD359" i="1"/>
  <c r="AC359" i="1"/>
  <c r="AB359" i="1"/>
  <c r="AA359" i="1"/>
  <c r="BG358" i="1"/>
  <c r="BF358" i="1"/>
  <c r="BE358" i="1"/>
  <c r="BD358" i="1"/>
  <c r="BC358" i="1"/>
  <c r="BB358" i="1"/>
  <c r="BA358" i="1"/>
  <c r="AZ358" i="1"/>
  <c r="AU358" i="1"/>
  <c r="AT358" i="1"/>
  <c r="AS358" i="1"/>
  <c r="AR358" i="1"/>
  <c r="AQ358" i="1"/>
  <c r="AP358" i="1"/>
  <c r="AJ358" i="1"/>
  <c r="AI358" i="1"/>
  <c r="AH358" i="1"/>
  <c r="AG358" i="1"/>
  <c r="AF358" i="1"/>
  <c r="AE358" i="1"/>
  <c r="AD358" i="1"/>
  <c r="AC358" i="1"/>
  <c r="AB358" i="1"/>
  <c r="AA358" i="1"/>
  <c r="BG357" i="1"/>
  <c r="BF357" i="1"/>
  <c r="BE357" i="1"/>
  <c r="BD357" i="1"/>
  <c r="BC357" i="1"/>
  <c r="BB357" i="1"/>
  <c r="BA357" i="1"/>
  <c r="AZ357" i="1"/>
  <c r="AT357" i="1"/>
  <c r="AO357" i="1"/>
  <c r="AJ357" i="1"/>
  <c r="AE357" i="1"/>
  <c r="BG356" i="1"/>
  <c r="BF356" i="1"/>
  <c r="BE356" i="1"/>
  <c r="BD356" i="1"/>
  <c r="BC356" i="1"/>
  <c r="BB356" i="1"/>
  <c r="BA356" i="1"/>
  <c r="AZ356" i="1"/>
  <c r="AT356" i="1"/>
  <c r="AO356" i="1"/>
  <c r="AJ356" i="1"/>
  <c r="AE356" i="1"/>
  <c r="BG355" i="1"/>
  <c r="BF355" i="1"/>
  <c r="BE355" i="1"/>
  <c r="BD355" i="1"/>
  <c r="BC355" i="1"/>
  <c r="BB355" i="1"/>
  <c r="BA355" i="1"/>
  <c r="AZ355" i="1"/>
  <c r="AT355" i="1"/>
  <c r="AO355" i="1"/>
  <c r="AJ355" i="1"/>
  <c r="AE355" i="1"/>
  <c r="BG354" i="1"/>
  <c r="BF354" i="1"/>
  <c r="BE354" i="1"/>
  <c r="BD354" i="1"/>
  <c r="BC354" i="1"/>
  <c r="BB354" i="1"/>
  <c r="BA354" i="1"/>
  <c r="AZ354" i="1"/>
  <c r="AT354" i="1"/>
  <c r="AO354" i="1"/>
  <c r="AJ354" i="1"/>
  <c r="AE354" i="1"/>
  <c r="BG352" i="1"/>
  <c r="BF352" i="1"/>
  <c r="BE352" i="1"/>
  <c r="BD352" i="1"/>
  <c r="BC352" i="1"/>
  <c r="BB352" i="1"/>
  <c r="BA352" i="1"/>
  <c r="AZ352" i="1"/>
  <c r="AU352" i="1"/>
  <c r="AT352" i="1"/>
  <c r="AS352" i="1"/>
  <c r="AR352" i="1"/>
  <c r="AQ352" i="1"/>
  <c r="AP352" i="1"/>
  <c r="AO352" i="1"/>
  <c r="AN352" i="1"/>
  <c r="AM352" i="1"/>
  <c r="AL352" i="1"/>
  <c r="AK352" i="1"/>
  <c r="AJ352" i="1"/>
  <c r="AI352" i="1"/>
  <c r="AH352" i="1"/>
  <c r="AG352" i="1"/>
  <c r="AF352" i="1"/>
  <c r="AE352" i="1"/>
  <c r="AD352" i="1"/>
  <c r="AC352" i="1"/>
  <c r="AB352" i="1"/>
  <c r="AA352" i="1"/>
  <c r="AU351" i="1"/>
  <c r="AT351" i="1"/>
  <c r="AS351" i="1"/>
  <c r="AR351" i="1"/>
  <c r="AQ351" i="1"/>
  <c r="AP351" i="1"/>
  <c r="AO351" i="1"/>
  <c r="AN351" i="1"/>
  <c r="AM351" i="1"/>
  <c r="AL351" i="1"/>
  <c r="AK351" i="1"/>
  <c r="AJ351" i="1"/>
  <c r="AE351" i="1"/>
  <c r="AU350" i="1"/>
  <c r="AT350" i="1"/>
  <c r="AS350" i="1"/>
  <c r="AR350" i="1"/>
  <c r="AQ350" i="1"/>
  <c r="AP350" i="1"/>
  <c r="AO350" i="1"/>
  <c r="AN350" i="1"/>
  <c r="AM350" i="1"/>
  <c r="AL350" i="1"/>
  <c r="AU348" i="1"/>
  <c r="AT348" i="1"/>
  <c r="AS348" i="1"/>
  <c r="AR348" i="1"/>
  <c r="AQ348" i="1"/>
  <c r="AP348" i="1"/>
  <c r="AO348" i="1"/>
  <c r="AN348" i="1"/>
  <c r="AM348" i="1"/>
  <c r="AL348" i="1"/>
  <c r="AK348" i="1"/>
  <c r="AJ348" i="1"/>
  <c r="AE348" i="1"/>
  <c r="AU347" i="1"/>
  <c r="AT347" i="1"/>
  <c r="AS347" i="1"/>
  <c r="AR347" i="1"/>
  <c r="AQ347" i="1"/>
  <c r="AP347" i="1"/>
  <c r="AO347" i="1"/>
  <c r="AN347" i="1"/>
  <c r="AM347" i="1"/>
  <c r="AL347" i="1"/>
  <c r="AU345" i="1"/>
  <c r="AT345" i="1"/>
  <c r="AS345" i="1"/>
  <c r="AR345" i="1"/>
  <c r="AQ345" i="1"/>
  <c r="AP345" i="1"/>
  <c r="AO345" i="1"/>
  <c r="AN345" i="1"/>
  <c r="AM345" i="1"/>
  <c r="AL345" i="1"/>
  <c r="AK345" i="1"/>
  <c r="AJ345" i="1"/>
  <c r="AE345" i="1"/>
  <c r="AU344" i="1"/>
  <c r="AT344" i="1"/>
  <c r="AS344" i="1"/>
  <c r="AR344" i="1"/>
  <c r="AQ344" i="1"/>
  <c r="AP344" i="1"/>
  <c r="AJ342" i="1"/>
  <c r="AE342" i="1"/>
  <c r="AJ339" i="1"/>
  <c r="AE339" i="1"/>
  <c r="AT334" i="1"/>
  <c r="AO334" i="1"/>
  <c r="AJ334" i="1"/>
  <c r="AT333" i="1"/>
  <c r="AO333" i="1"/>
  <c r="AJ333" i="1"/>
  <c r="AT332" i="1"/>
  <c r="AO332" i="1"/>
  <c r="AJ332" i="1"/>
  <c r="AU326" i="1"/>
  <c r="AT326" i="1"/>
  <c r="AS326" i="1"/>
  <c r="AR326" i="1"/>
  <c r="AQ326" i="1"/>
  <c r="AP326" i="1"/>
  <c r="AO326" i="1"/>
  <c r="AN326" i="1"/>
  <c r="AM326" i="1"/>
  <c r="AL326" i="1"/>
  <c r="AK326" i="1"/>
  <c r="AJ326" i="1"/>
  <c r="AI326" i="1"/>
  <c r="AH326" i="1"/>
  <c r="AG326" i="1"/>
  <c r="AF326" i="1"/>
  <c r="AE326" i="1"/>
  <c r="Z326" i="1"/>
  <c r="AT325" i="1"/>
  <c r="AN325" i="1"/>
  <c r="AI325" i="1"/>
  <c r="AT324" i="1"/>
  <c r="AN324" i="1"/>
  <c r="AI324" i="1"/>
  <c r="AT323" i="1"/>
  <c r="AN323" i="1"/>
  <c r="AI323" i="1"/>
  <c r="AT322" i="1"/>
  <c r="AN322" i="1"/>
  <c r="AI322" i="1"/>
  <c r="AT321" i="1"/>
  <c r="AN321" i="1"/>
  <c r="AI321" i="1"/>
  <c r="AT320" i="1"/>
  <c r="AN320" i="1"/>
  <c r="AI320" i="1"/>
  <c r="AT319" i="1"/>
  <c r="AN319" i="1"/>
  <c r="AI319" i="1"/>
  <c r="AU317" i="1"/>
  <c r="AT317" i="1"/>
  <c r="AS317" i="1"/>
  <c r="AR317" i="1"/>
  <c r="AQ317" i="1"/>
  <c r="AP317" i="1"/>
  <c r="AO317" i="1"/>
  <c r="AN317" i="1"/>
  <c r="AM317" i="1"/>
  <c r="AL317" i="1"/>
  <c r="AK317" i="1"/>
  <c r="AJ317" i="1"/>
  <c r="AI317" i="1"/>
  <c r="AH317" i="1"/>
  <c r="AG317" i="1"/>
  <c r="AF317" i="1"/>
  <c r="AE317" i="1"/>
  <c r="Z317" i="1"/>
  <c r="AU316" i="1"/>
  <c r="AT316" i="1"/>
  <c r="AS316" i="1"/>
  <c r="AR316" i="1"/>
  <c r="AQ316" i="1"/>
  <c r="AP316" i="1"/>
  <c r="AO316" i="1"/>
  <c r="AN316" i="1"/>
  <c r="AM316" i="1"/>
  <c r="AL316" i="1"/>
  <c r="AK316" i="1"/>
  <c r="AJ316" i="1"/>
  <c r="AI316" i="1"/>
  <c r="AH316" i="1"/>
  <c r="AG316" i="1"/>
  <c r="AF316" i="1"/>
  <c r="AE316" i="1"/>
  <c r="Z316" i="1"/>
  <c r="AU315" i="1"/>
  <c r="AT315" i="1"/>
  <c r="AS315" i="1"/>
  <c r="AR315" i="1"/>
  <c r="AQ315" i="1"/>
  <c r="AP315" i="1"/>
  <c r="AO315" i="1"/>
  <c r="AN315" i="1"/>
  <c r="AM315" i="1"/>
  <c r="AL315" i="1"/>
  <c r="AK315" i="1"/>
  <c r="AJ315" i="1"/>
  <c r="AI315" i="1"/>
  <c r="AH315" i="1"/>
  <c r="AG315" i="1"/>
  <c r="AF315" i="1"/>
  <c r="AE315" i="1"/>
  <c r="Z315" i="1"/>
  <c r="AU314" i="1"/>
  <c r="AT314" i="1"/>
  <c r="AS314" i="1"/>
  <c r="AR314" i="1"/>
  <c r="AQ314" i="1"/>
  <c r="AP314" i="1"/>
  <c r="AO314" i="1"/>
  <c r="AN314" i="1"/>
  <c r="AM314" i="1"/>
  <c r="AL314" i="1"/>
  <c r="AK314" i="1"/>
  <c r="AJ314" i="1"/>
  <c r="AI314" i="1"/>
  <c r="AH314" i="1"/>
  <c r="AG314" i="1"/>
  <c r="AF314" i="1"/>
  <c r="AE314" i="1"/>
  <c r="Z314" i="1"/>
  <c r="AU313" i="1"/>
  <c r="AT313" i="1"/>
  <c r="AS313" i="1"/>
  <c r="AR313" i="1"/>
  <c r="AQ313" i="1"/>
  <c r="AP313" i="1"/>
  <c r="AO313" i="1"/>
  <c r="AN313" i="1"/>
  <c r="AM313" i="1"/>
  <c r="AL313" i="1"/>
  <c r="AK313" i="1"/>
  <c r="AJ313" i="1"/>
  <c r="AI313" i="1"/>
  <c r="AH313" i="1"/>
  <c r="AG313" i="1"/>
  <c r="AF313" i="1"/>
  <c r="AE313" i="1"/>
  <c r="Z313" i="1"/>
  <c r="AJ312" i="1"/>
  <c r="AI312" i="1"/>
  <c r="AH312" i="1"/>
  <c r="AG312" i="1"/>
  <c r="AF312" i="1"/>
  <c r="AE312" i="1"/>
  <c r="Z312" i="1"/>
  <c r="AJ311" i="1"/>
  <c r="AI311" i="1"/>
  <c r="AH311" i="1"/>
  <c r="AG311" i="1"/>
  <c r="AF311" i="1"/>
  <c r="AE311" i="1"/>
  <c r="Z311" i="1"/>
  <c r="BG309" i="1"/>
  <c r="BF309" i="1"/>
  <c r="BE309" i="1"/>
  <c r="BD309" i="1"/>
  <c r="BC309" i="1"/>
  <c r="BB309" i="1"/>
  <c r="BA309" i="1"/>
  <c r="AZ309" i="1"/>
  <c r="AU309" i="1"/>
  <c r="AT309" i="1"/>
  <c r="AS309" i="1"/>
  <c r="AR309" i="1"/>
  <c r="AQ309" i="1"/>
  <c r="AP309" i="1"/>
  <c r="AO309" i="1"/>
  <c r="AN309" i="1"/>
  <c r="AM309" i="1"/>
  <c r="AL309" i="1"/>
  <c r="AK309" i="1"/>
  <c r="AJ309" i="1"/>
  <c r="AI309" i="1"/>
  <c r="AH309" i="1"/>
  <c r="AG309" i="1"/>
  <c r="AF309" i="1"/>
  <c r="AE309" i="1"/>
  <c r="AD309" i="1"/>
  <c r="AC309" i="1"/>
  <c r="AB309" i="1"/>
  <c r="AA309" i="1"/>
  <c r="BG308" i="1"/>
  <c r="BF308" i="1"/>
  <c r="BE308" i="1"/>
  <c r="BD308" i="1"/>
  <c r="BC308" i="1"/>
  <c r="BB308" i="1"/>
  <c r="BA308" i="1"/>
  <c r="AZ308" i="1"/>
  <c r="AU308" i="1"/>
  <c r="AT308" i="1"/>
  <c r="AS308" i="1"/>
  <c r="AR308" i="1"/>
  <c r="AQ308" i="1"/>
  <c r="AP308" i="1"/>
  <c r="AO308" i="1"/>
  <c r="AN308" i="1"/>
  <c r="AM308" i="1"/>
  <c r="AL308" i="1"/>
  <c r="AK308" i="1"/>
  <c r="AJ308" i="1"/>
  <c r="AI308" i="1"/>
  <c r="AH308" i="1"/>
  <c r="AG308" i="1"/>
  <c r="AF308" i="1"/>
  <c r="AE308" i="1"/>
  <c r="AD308" i="1"/>
  <c r="AC308" i="1"/>
  <c r="AB308" i="1"/>
  <c r="AA308" i="1"/>
  <c r="BG307" i="1"/>
  <c r="BF307" i="1"/>
  <c r="BE307" i="1"/>
  <c r="BD307" i="1"/>
  <c r="BC307" i="1"/>
  <c r="BB307" i="1"/>
  <c r="BA307" i="1"/>
  <c r="AZ307" i="1"/>
  <c r="AY307" i="1"/>
  <c r="AX307" i="1"/>
  <c r="AW307" i="1"/>
  <c r="AV307" i="1"/>
  <c r="AU307" i="1"/>
  <c r="AT307" i="1"/>
  <c r="AS307" i="1"/>
  <c r="AR307" i="1"/>
  <c r="AQ307" i="1"/>
  <c r="AP307" i="1"/>
  <c r="AO307" i="1"/>
  <c r="AN307" i="1"/>
  <c r="AM307" i="1"/>
  <c r="AL307" i="1"/>
  <c r="AK307" i="1"/>
  <c r="AJ307" i="1"/>
  <c r="AI307" i="1"/>
  <c r="AH307" i="1"/>
  <c r="AG307" i="1"/>
  <c r="AF307" i="1"/>
  <c r="AE307" i="1"/>
  <c r="AD307" i="1"/>
  <c r="AC307" i="1"/>
  <c r="AB307" i="1"/>
  <c r="AA307" i="1"/>
  <c r="Z307" i="1"/>
  <c r="Y307" i="1"/>
  <c r="X307" i="1"/>
  <c r="W307" i="1"/>
  <c r="V307" i="1"/>
  <c r="BG306" i="1"/>
  <c r="BF306" i="1"/>
  <c r="BE306" i="1"/>
  <c r="BD306" i="1"/>
  <c r="BC306" i="1"/>
  <c r="BB306" i="1"/>
  <c r="BA306" i="1"/>
  <c r="AZ306" i="1"/>
  <c r="AY306" i="1"/>
  <c r="AX306" i="1"/>
  <c r="AW306" i="1"/>
  <c r="AV306" i="1"/>
  <c r="AU306" i="1"/>
  <c r="AT306" i="1"/>
  <c r="AS306" i="1"/>
  <c r="AR306" i="1"/>
  <c r="AQ306" i="1"/>
  <c r="AP306" i="1"/>
  <c r="AO306" i="1"/>
  <c r="AN306" i="1"/>
  <c r="AM306" i="1"/>
  <c r="AL306" i="1"/>
  <c r="AK306" i="1"/>
  <c r="BG305" i="1"/>
  <c r="BF305" i="1"/>
  <c r="BE305" i="1"/>
  <c r="BD305" i="1"/>
  <c r="BC305" i="1"/>
  <c r="BB305" i="1"/>
  <c r="BA305" i="1"/>
  <c r="AZ305" i="1"/>
  <c r="AY305" i="1"/>
  <c r="AX305" i="1"/>
  <c r="AW305" i="1"/>
  <c r="AV305" i="1"/>
  <c r="AU305" i="1"/>
  <c r="AT305" i="1"/>
  <c r="AS305" i="1"/>
  <c r="AR305" i="1"/>
  <c r="AQ305" i="1"/>
  <c r="AP305" i="1"/>
  <c r="AO305" i="1"/>
  <c r="AN305" i="1"/>
  <c r="AM305" i="1"/>
  <c r="AL305" i="1"/>
  <c r="AK305" i="1"/>
  <c r="BG303" i="1"/>
  <c r="BF303" i="1"/>
  <c r="BE303" i="1"/>
  <c r="BD303" i="1"/>
  <c r="BC303" i="1"/>
  <c r="BB303" i="1"/>
  <c r="BA303" i="1"/>
  <c r="AZ303" i="1"/>
  <c r="AY303" i="1"/>
  <c r="AX303" i="1"/>
  <c r="AW303" i="1"/>
  <c r="AV303" i="1"/>
  <c r="AU303" i="1"/>
  <c r="AT303" i="1"/>
  <c r="AS303" i="1"/>
  <c r="AR303" i="1"/>
  <c r="AQ303" i="1"/>
  <c r="AP303" i="1"/>
  <c r="AO303" i="1"/>
  <c r="AN303" i="1"/>
  <c r="AM303" i="1"/>
  <c r="AL303" i="1"/>
  <c r="AK303" i="1"/>
  <c r="BG302" i="1"/>
  <c r="BF302" i="1"/>
  <c r="BE302" i="1"/>
  <c r="BD302" i="1"/>
  <c r="BC302" i="1"/>
  <c r="BB302" i="1"/>
  <c r="BA302" i="1"/>
  <c r="AZ302" i="1"/>
  <c r="AY302" i="1"/>
  <c r="AX302" i="1"/>
  <c r="AW302" i="1"/>
  <c r="AV302" i="1"/>
  <c r="BG301" i="1"/>
  <c r="BF301" i="1"/>
  <c r="BE301" i="1"/>
  <c r="BD301" i="1"/>
  <c r="BC301" i="1"/>
  <c r="BB301" i="1"/>
  <c r="BA301" i="1"/>
  <c r="AZ301" i="1"/>
  <c r="AY301" i="1"/>
  <c r="AX301" i="1"/>
  <c r="AW301" i="1"/>
  <c r="AV301" i="1"/>
  <c r="AU301" i="1"/>
  <c r="AT301" i="1"/>
  <c r="AS301" i="1"/>
  <c r="AR301" i="1"/>
  <c r="AQ301" i="1"/>
  <c r="AP301" i="1"/>
  <c r="AO301" i="1"/>
  <c r="AN301" i="1"/>
  <c r="AM301" i="1"/>
  <c r="AL301" i="1"/>
  <c r="AK301" i="1"/>
  <c r="BD300" i="1"/>
  <c r="AY300" i="1"/>
  <c r="BG299" i="1"/>
  <c r="BF299" i="1"/>
  <c r="BE299" i="1"/>
  <c r="BD299" i="1"/>
  <c r="BC299" i="1"/>
  <c r="BB299" i="1"/>
  <c r="BA299" i="1"/>
  <c r="AZ299" i="1"/>
  <c r="AY299" i="1"/>
  <c r="AX299" i="1"/>
  <c r="AW299" i="1"/>
  <c r="AV299" i="1"/>
  <c r="AU299" i="1"/>
  <c r="AT299" i="1"/>
  <c r="AS299" i="1"/>
  <c r="AR299" i="1"/>
  <c r="AQ299" i="1"/>
  <c r="AP299" i="1"/>
  <c r="AO299" i="1"/>
  <c r="AN299" i="1"/>
  <c r="AM299" i="1"/>
  <c r="AL299" i="1"/>
  <c r="AK299" i="1"/>
  <c r="AJ299" i="1"/>
  <c r="AI299" i="1"/>
  <c r="AH299" i="1"/>
  <c r="AG299" i="1"/>
  <c r="AF299" i="1"/>
  <c r="AE299" i="1"/>
  <c r="AD299" i="1"/>
  <c r="AC299" i="1"/>
  <c r="AB299" i="1"/>
  <c r="AA299" i="1"/>
  <c r="Z299" i="1"/>
  <c r="Y299" i="1"/>
  <c r="X299" i="1"/>
  <c r="W299" i="1"/>
  <c r="V299" i="1"/>
  <c r="BG297" i="1"/>
  <c r="BF297" i="1"/>
  <c r="BE297" i="1"/>
  <c r="BD297" i="1"/>
  <c r="BC297" i="1"/>
  <c r="BB297" i="1"/>
  <c r="BA297" i="1"/>
  <c r="AZ297" i="1"/>
  <c r="AY297" i="1"/>
  <c r="AX297" i="1"/>
  <c r="AW297" i="1"/>
  <c r="AV297" i="1"/>
  <c r="AU297" i="1"/>
  <c r="AT297" i="1"/>
  <c r="AS297" i="1"/>
  <c r="AR297" i="1"/>
  <c r="AQ297" i="1"/>
  <c r="AP297" i="1"/>
  <c r="AO297" i="1"/>
  <c r="AN297" i="1"/>
  <c r="AM297" i="1"/>
  <c r="AL297" i="1"/>
  <c r="AK297" i="1"/>
  <c r="AJ297" i="1"/>
  <c r="AI297" i="1"/>
  <c r="AH297" i="1"/>
  <c r="AG297" i="1"/>
  <c r="AF297" i="1"/>
  <c r="AE297" i="1"/>
  <c r="AD297" i="1"/>
  <c r="AC297" i="1"/>
  <c r="AB297" i="1"/>
  <c r="AA297" i="1"/>
  <c r="Z297" i="1"/>
  <c r="Y297" i="1"/>
  <c r="X297" i="1"/>
  <c r="W297" i="1"/>
  <c r="V297" i="1"/>
  <c r="AS296" i="1"/>
  <c r="AN296" i="1"/>
  <c r="AI296" i="1"/>
  <c r="AS295" i="1"/>
  <c r="AN295" i="1"/>
  <c r="AI295" i="1"/>
  <c r="AS294" i="1"/>
  <c r="AN294" i="1"/>
  <c r="AI294" i="1"/>
  <c r="AS293" i="1"/>
  <c r="AN293" i="1"/>
  <c r="AJ293" i="1"/>
  <c r="AI293" i="1"/>
  <c r="AH293" i="1"/>
  <c r="AG293" i="1"/>
  <c r="AF293" i="1"/>
  <c r="AE293" i="1"/>
  <c r="Z293" i="1"/>
  <c r="AI292" i="1"/>
  <c r="AI291" i="1"/>
  <c r="BG289" i="1"/>
  <c r="BF289" i="1"/>
  <c r="BE289" i="1"/>
  <c r="BD289" i="1"/>
  <c r="BC289" i="1"/>
  <c r="BB289" i="1"/>
  <c r="BA289" i="1"/>
  <c r="AZ289" i="1"/>
  <c r="AY289" i="1"/>
  <c r="AX289" i="1"/>
  <c r="AW289" i="1"/>
  <c r="AV289" i="1"/>
  <c r="AU289" i="1"/>
  <c r="AT289" i="1"/>
  <c r="AS289" i="1"/>
  <c r="AR289" i="1"/>
  <c r="AQ289" i="1"/>
  <c r="AP289" i="1"/>
  <c r="AO289" i="1"/>
  <c r="AN289" i="1"/>
  <c r="AM289" i="1"/>
  <c r="AL289" i="1"/>
  <c r="AK289" i="1"/>
  <c r="AJ289" i="1"/>
  <c r="AI289" i="1"/>
  <c r="AH289" i="1"/>
  <c r="AG289" i="1"/>
  <c r="AF289" i="1"/>
  <c r="AE289" i="1"/>
  <c r="AD289" i="1"/>
  <c r="AC289" i="1"/>
  <c r="AB289" i="1"/>
  <c r="AA289" i="1"/>
  <c r="Z289" i="1"/>
  <c r="Y289" i="1"/>
  <c r="X289" i="1"/>
  <c r="W289" i="1"/>
  <c r="V289" i="1"/>
  <c r="BG288" i="1"/>
  <c r="BF288" i="1"/>
  <c r="BE288" i="1"/>
  <c r="BD288" i="1"/>
  <c r="BC288" i="1"/>
  <c r="BB288" i="1"/>
  <c r="BA288" i="1"/>
  <c r="AZ288" i="1"/>
  <c r="AU288" i="1"/>
  <c r="AT288" i="1"/>
  <c r="AS288" i="1"/>
  <c r="AR288" i="1"/>
  <c r="AQ288" i="1"/>
  <c r="AP288" i="1"/>
  <c r="AJ288" i="1"/>
  <c r="AI288" i="1"/>
  <c r="AH288" i="1"/>
  <c r="AG288" i="1"/>
  <c r="AF288" i="1"/>
  <c r="AE288" i="1"/>
  <c r="AD288" i="1"/>
  <c r="AC288" i="1"/>
  <c r="AB288" i="1"/>
  <c r="AA288" i="1"/>
  <c r="BG287" i="1"/>
  <c r="BF287" i="1"/>
  <c r="BE287" i="1"/>
  <c r="BD287" i="1"/>
  <c r="BC287" i="1"/>
  <c r="BB287" i="1"/>
  <c r="BA287" i="1"/>
  <c r="AZ287" i="1"/>
  <c r="AU287" i="1"/>
  <c r="AT287" i="1"/>
  <c r="AS287" i="1"/>
  <c r="AR287" i="1"/>
  <c r="AQ287" i="1"/>
  <c r="AP287" i="1"/>
  <c r="AO287" i="1"/>
  <c r="AN287" i="1"/>
  <c r="AM287" i="1"/>
  <c r="AL287" i="1"/>
  <c r="AK287" i="1"/>
  <c r="AJ287" i="1"/>
  <c r="AI287" i="1"/>
  <c r="AH287" i="1"/>
  <c r="AG287" i="1"/>
  <c r="AF287" i="1"/>
  <c r="AE287" i="1"/>
  <c r="AD287" i="1"/>
  <c r="AC287" i="1"/>
  <c r="AB287" i="1"/>
  <c r="AA287" i="1"/>
  <c r="BG286" i="1"/>
  <c r="BF286" i="1"/>
  <c r="BE286" i="1"/>
  <c r="BD286" i="1"/>
  <c r="BC286" i="1"/>
  <c r="BB286" i="1"/>
  <c r="BA286" i="1"/>
  <c r="AZ286" i="1"/>
  <c r="AU286" i="1"/>
  <c r="AT286" i="1"/>
  <c r="AS286" i="1"/>
  <c r="AR286" i="1"/>
  <c r="AQ286" i="1"/>
  <c r="AP286" i="1"/>
  <c r="AO286" i="1"/>
  <c r="AN286" i="1"/>
  <c r="AM286" i="1"/>
  <c r="AL286" i="1"/>
  <c r="AK286" i="1"/>
  <c r="AJ286" i="1"/>
  <c r="AI286" i="1"/>
  <c r="AH286" i="1"/>
  <c r="AG286" i="1"/>
  <c r="AF286" i="1"/>
  <c r="AE286" i="1"/>
  <c r="AD286" i="1"/>
  <c r="AC286" i="1"/>
  <c r="AB286" i="1"/>
  <c r="AA286" i="1"/>
  <c r="BG285" i="1"/>
  <c r="BF285" i="1"/>
  <c r="BE285" i="1"/>
  <c r="BD285" i="1"/>
  <c r="BC285" i="1"/>
  <c r="BB285" i="1"/>
  <c r="BA285" i="1"/>
  <c r="AZ285" i="1"/>
  <c r="AU285" i="1"/>
  <c r="AT285" i="1"/>
  <c r="AS285" i="1"/>
  <c r="AR285" i="1"/>
  <c r="AQ285" i="1"/>
  <c r="AP285" i="1"/>
  <c r="AO285" i="1"/>
  <c r="AN285" i="1"/>
  <c r="AM285" i="1"/>
  <c r="AL285" i="1"/>
  <c r="AK285" i="1"/>
  <c r="AJ285" i="1"/>
  <c r="AI285" i="1"/>
  <c r="AH285" i="1"/>
  <c r="AG285" i="1"/>
  <c r="AF285" i="1"/>
  <c r="AE285" i="1"/>
  <c r="AD285" i="1"/>
  <c r="AC285" i="1"/>
  <c r="AB285" i="1"/>
  <c r="AA285" i="1"/>
  <c r="BG284" i="1"/>
  <c r="BF284" i="1"/>
  <c r="BE284" i="1"/>
  <c r="BD284" i="1"/>
  <c r="BC284" i="1"/>
  <c r="BB284" i="1"/>
  <c r="BA284" i="1"/>
  <c r="AZ284" i="1"/>
  <c r="AU284" i="1"/>
  <c r="AT284" i="1"/>
  <c r="AS284" i="1"/>
  <c r="AR284" i="1"/>
  <c r="AQ284" i="1"/>
  <c r="AP284" i="1"/>
  <c r="AO284" i="1"/>
  <c r="AN284" i="1"/>
  <c r="AM284" i="1"/>
  <c r="AL284" i="1"/>
  <c r="AK284" i="1"/>
  <c r="AJ284" i="1"/>
  <c r="AI284" i="1"/>
  <c r="AH284" i="1"/>
  <c r="AG284" i="1"/>
  <c r="AF284" i="1"/>
  <c r="AE284" i="1"/>
  <c r="AD284" i="1"/>
  <c r="AC284" i="1"/>
  <c r="AB284" i="1"/>
  <c r="AA284" i="1"/>
  <c r="BG283" i="1"/>
  <c r="BF283" i="1"/>
  <c r="BE283" i="1"/>
  <c r="BD283" i="1"/>
  <c r="BC283" i="1"/>
  <c r="BB283" i="1"/>
  <c r="BA283" i="1"/>
  <c r="AZ283" i="1"/>
  <c r="AT283" i="1"/>
  <c r="AS283" i="1"/>
  <c r="AR283" i="1"/>
  <c r="AQ283" i="1"/>
  <c r="AP283" i="1"/>
  <c r="AO283" i="1"/>
  <c r="AN283" i="1"/>
  <c r="AM283" i="1"/>
  <c r="AL283" i="1"/>
  <c r="AK283" i="1"/>
  <c r="AJ283" i="1"/>
  <c r="AI283" i="1"/>
  <c r="AH283" i="1"/>
  <c r="AG283" i="1"/>
  <c r="AF283" i="1"/>
  <c r="AE283" i="1"/>
  <c r="AD283" i="1"/>
  <c r="AC283" i="1"/>
  <c r="AB283" i="1"/>
  <c r="AA283" i="1"/>
  <c r="BG281" i="1"/>
  <c r="BF281" i="1"/>
  <c r="BE281" i="1"/>
  <c r="BD281" i="1"/>
  <c r="BC281" i="1"/>
  <c r="BB281" i="1"/>
  <c r="BA281" i="1"/>
  <c r="AZ281" i="1"/>
  <c r="AU281" i="1"/>
  <c r="AT281" i="1"/>
  <c r="AS281" i="1"/>
  <c r="AR281" i="1"/>
  <c r="AQ281" i="1"/>
  <c r="AP281" i="1"/>
  <c r="AO281" i="1"/>
  <c r="AN281" i="1"/>
  <c r="AM281" i="1"/>
  <c r="AL281" i="1"/>
  <c r="AK281" i="1"/>
  <c r="AJ281" i="1"/>
  <c r="AI281" i="1"/>
  <c r="AH281" i="1"/>
  <c r="AG281" i="1"/>
  <c r="AF281" i="1"/>
  <c r="AE281" i="1"/>
  <c r="AD281" i="1"/>
  <c r="AC281" i="1"/>
  <c r="AB281" i="1"/>
  <c r="AA281" i="1"/>
  <c r="BG280" i="1"/>
  <c r="BF280" i="1"/>
  <c r="BE280" i="1"/>
  <c r="BD280" i="1"/>
  <c r="BC280" i="1"/>
  <c r="BB280" i="1"/>
  <c r="BA280" i="1"/>
  <c r="AZ280" i="1"/>
  <c r="AU280" i="1"/>
  <c r="AT280" i="1"/>
  <c r="AS280" i="1"/>
  <c r="AR280" i="1"/>
  <c r="AQ280" i="1"/>
  <c r="AP280" i="1"/>
  <c r="AJ280" i="1"/>
  <c r="AI280" i="1"/>
  <c r="AH280" i="1"/>
  <c r="AG280" i="1"/>
  <c r="AF280" i="1"/>
  <c r="AE280" i="1"/>
  <c r="AD280" i="1"/>
  <c r="AC280" i="1"/>
  <c r="AB280" i="1"/>
  <c r="AA280" i="1"/>
  <c r="BG279" i="1"/>
  <c r="BF279" i="1"/>
  <c r="BE279" i="1"/>
  <c r="BD279" i="1"/>
  <c r="BC279" i="1"/>
  <c r="BB279" i="1"/>
  <c r="BA279" i="1"/>
  <c r="AZ279" i="1"/>
  <c r="AT279" i="1"/>
  <c r="AO279" i="1"/>
  <c r="AJ279" i="1"/>
  <c r="AE279" i="1"/>
  <c r="BG278" i="1"/>
  <c r="BF278" i="1"/>
  <c r="BE278" i="1"/>
  <c r="BD278" i="1"/>
  <c r="BC278" i="1"/>
  <c r="BB278" i="1"/>
  <c r="BA278" i="1"/>
  <c r="AZ278" i="1"/>
  <c r="AT278" i="1"/>
  <c r="AO278" i="1"/>
  <c r="AJ278" i="1"/>
  <c r="AE278" i="1"/>
  <c r="BG277" i="1"/>
  <c r="BF277" i="1"/>
  <c r="BE277" i="1"/>
  <c r="BD277" i="1"/>
  <c r="BC277" i="1"/>
  <c r="BB277" i="1"/>
  <c r="BA277" i="1"/>
  <c r="AZ277" i="1"/>
  <c r="AT277" i="1"/>
  <c r="AO277" i="1"/>
  <c r="AJ277" i="1"/>
  <c r="AE277" i="1"/>
  <c r="BG276" i="1"/>
  <c r="BF276" i="1"/>
  <c r="BE276" i="1"/>
  <c r="BD276" i="1"/>
  <c r="BC276" i="1"/>
  <c r="BB276" i="1"/>
  <c r="BA276" i="1"/>
  <c r="AZ276" i="1"/>
  <c r="AT276" i="1"/>
  <c r="AO276" i="1"/>
  <c r="AJ276" i="1"/>
  <c r="AE276" i="1"/>
  <c r="BG274" i="1"/>
  <c r="BF274" i="1"/>
  <c r="BE274" i="1"/>
  <c r="BD274" i="1"/>
  <c r="BC274" i="1"/>
  <c r="BB274" i="1"/>
  <c r="BA274" i="1"/>
  <c r="AZ274" i="1"/>
  <c r="AU274" i="1"/>
  <c r="AT274" i="1"/>
  <c r="AS274" i="1"/>
  <c r="AR274" i="1"/>
  <c r="AQ274" i="1"/>
  <c r="AP274" i="1"/>
  <c r="AO274" i="1"/>
  <c r="AN274" i="1"/>
  <c r="AM274" i="1"/>
  <c r="AL274" i="1"/>
  <c r="AK274" i="1"/>
  <c r="AJ274" i="1"/>
  <c r="AI274" i="1"/>
  <c r="AH274" i="1"/>
  <c r="AG274" i="1"/>
  <c r="AF274" i="1"/>
  <c r="AE274" i="1"/>
  <c r="AD274" i="1"/>
  <c r="AC274" i="1"/>
  <c r="AB274" i="1"/>
  <c r="AA274" i="1"/>
  <c r="AU273" i="1"/>
  <c r="AT273" i="1"/>
  <c r="AS273" i="1"/>
  <c r="AR273" i="1"/>
  <c r="AQ273" i="1"/>
  <c r="AP273" i="1"/>
  <c r="AO273" i="1"/>
  <c r="AN273" i="1"/>
  <c r="AM273" i="1"/>
  <c r="AL273" i="1"/>
  <c r="AK273" i="1"/>
  <c r="AJ273" i="1"/>
  <c r="AE273" i="1"/>
  <c r="AU272" i="1"/>
  <c r="AT272" i="1"/>
  <c r="AS272" i="1"/>
  <c r="AR272" i="1"/>
  <c r="AQ272" i="1"/>
  <c r="AP272" i="1"/>
  <c r="AO272" i="1"/>
  <c r="AN272" i="1"/>
  <c r="AM272" i="1"/>
  <c r="AL272" i="1"/>
  <c r="AU270" i="1"/>
  <c r="AT270" i="1"/>
  <c r="AS270" i="1"/>
  <c r="AR270" i="1"/>
  <c r="AQ270" i="1"/>
  <c r="AP270" i="1"/>
  <c r="AO270" i="1"/>
  <c r="AN270" i="1"/>
  <c r="AM270" i="1"/>
  <c r="AL270" i="1"/>
  <c r="AK270" i="1"/>
  <c r="AJ270" i="1"/>
  <c r="AE270" i="1"/>
  <c r="AU269" i="1"/>
  <c r="AT269" i="1"/>
  <c r="AS269" i="1"/>
  <c r="AR269" i="1"/>
  <c r="AQ269" i="1"/>
  <c r="AP269" i="1"/>
  <c r="AO269" i="1"/>
  <c r="AN269" i="1"/>
  <c r="AM269" i="1"/>
  <c r="AL269" i="1"/>
  <c r="AU267" i="1"/>
  <c r="AT267" i="1"/>
  <c r="AS267" i="1"/>
  <c r="AR267" i="1"/>
  <c r="AQ267" i="1"/>
  <c r="AP267" i="1"/>
  <c r="AO267" i="1"/>
  <c r="AN267" i="1"/>
  <c r="AM267" i="1"/>
  <c r="AL267" i="1"/>
  <c r="AK267" i="1"/>
  <c r="AJ267" i="1"/>
  <c r="AE267" i="1"/>
  <c r="AU266" i="1"/>
  <c r="AT266" i="1"/>
  <c r="AS266" i="1"/>
  <c r="AR266" i="1"/>
  <c r="AQ266" i="1"/>
  <c r="AP266" i="1"/>
  <c r="AJ264" i="1"/>
  <c r="AE264" i="1"/>
  <c r="AJ261" i="1"/>
  <c r="AE261" i="1"/>
  <c r="AT256" i="1"/>
  <c r="AO256" i="1"/>
  <c r="AJ256" i="1"/>
  <c r="AT255" i="1"/>
  <c r="AO255" i="1"/>
  <c r="AJ255" i="1"/>
  <c r="AT254" i="1"/>
  <c r="AO254" i="1"/>
  <c r="AJ254" i="1"/>
  <c r="AU248" i="1"/>
  <c r="AT248" i="1"/>
  <c r="AS248" i="1"/>
  <c r="AR248" i="1"/>
  <c r="AQ248" i="1"/>
  <c r="AP248" i="1"/>
  <c r="AO248" i="1"/>
  <c r="AN248" i="1"/>
  <c r="AM248" i="1"/>
  <c r="AL248" i="1"/>
  <c r="AK248" i="1"/>
  <c r="AJ248" i="1"/>
  <c r="AI248" i="1"/>
  <c r="AH248" i="1"/>
  <c r="AG248" i="1"/>
  <c r="AF248" i="1"/>
  <c r="AE248" i="1"/>
  <c r="Z248" i="1"/>
  <c r="AT247" i="1"/>
  <c r="AN247" i="1"/>
  <c r="AI247" i="1"/>
  <c r="AT246" i="1"/>
  <c r="AN246" i="1"/>
  <c r="AI246" i="1"/>
  <c r="AT245" i="1"/>
  <c r="AN245" i="1"/>
  <c r="AI245" i="1"/>
  <c r="AT244" i="1"/>
  <c r="AN244" i="1"/>
  <c r="AI244" i="1"/>
  <c r="AT243" i="1"/>
  <c r="AN243" i="1"/>
  <c r="AI243" i="1"/>
  <c r="AT242" i="1"/>
  <c r="AN242" i="1"/>
  <c r="AI242" i="1"/>
  <c r="AU240" i="1"/>
  <c r="AT240" i="1"/>
  <c r="AS240" i="1"/>
  <c r="AR240" i="1"/>
  <c r="AQ240" i="1"/>
  <c r="AP240" i="1"/>
  <c r="AO240" i="1"/>
  <c r="AN240" i="1"/>
  <c r="AM240" i="1"/>
  <c r="AL240" i="1"/>
  <c r="AK240" i="1"/>
  <c r="AJ240" i="1"/>
  <c r="AI240" i="1"/>
  <c r="AH240" i="1"/>
  <c r="AG240" i="1"/>
  <c r="AF240" i="1"/>
  <c r="AE240" i="1"/>
  <c r="Z240" i="1"/>
  <c r="AU239" i="1"/>
  <c r="AT239" i="1"/>
  <c r="AS239" i="1"/>
  <c r="AR239" i="1"/>
  <c r="AQ239" i="1"/>
  <c r="AP239" i="1"/>
  <c r="AO239" i="1"/>
  <c r="AN239" i="1"/>
  <c r="AM239" i="1"/>
  <c r="AL239" i="1"/>
  <c r="AK239" i="1"/>
  <c r="AJ239" i="1"/>
  <c r="AI239" i="1"/>
  <c r="AH239" i="1"/>
  <c r="AG239" i="1"/>
  <c r="AF239" i="1"/>
  <c r="AE239" i="1"/>
  <c r="Z239" i="1"/>
  <c r="AU238" i="1"/>
  <c r="AT238" i="1"/>
  <c r="AS238" i="1"/>
  <c r="AR238" i="1"/>
  <c r="AQ238" i="1"/>
  <c r="AP238" i="1"/>
  <c r="AO238" i="1"/>
  <c r="AN238" i="1"/>
  <c r="AM238" i="1"/>
  <c r="AL238" i="1"/>
  <c r="AK238" i="1"/>
  <c r="AJ238" i="1"/>
  <c r="AI238" i="1"/>
  <c r="AH238" i="1"/>
  <c r="AG238" i="1"/>
  <c r="AF238" i="1"/>
  <c r="AE238" i="1"/>
  <c r="Z238" i="1"/>
  <c r="AU237" i="1"/>
  <c r="AT237" i="1"/>
  <c r="AS237" i="1"/>
  <c r="AR237" i="1"/>
  <c r="AQ237" i="1"/>
  <c r="AP237" i="1"/>
  <c r="AO237" i="1"/>
  <c r="AN237" i="1"/>
  <c r="AM237" i="1"/>
  <c r="AL237" i="1"/>
  <c r="AK237" i="1"/>
  <c r="AJ237" i="1"/>
  <c r="AI237" i="1"/>
  <c r="AH237" i="1"/>
  <c r="AG237" i="1"/>
  <c r="AF237" i="1"/>
  <c r="AE237" i="1"/>
  <c r="Z237" i="1"/>
  <c r="AU236" i="1"/>
  <c r="AT236" i="1"/>
  <c r="AS236" i="1"/>
  <c r="AR236" i="1"/>
  <c r="AQ236" i="1"/>
  <c r="AP236" i="1"/>
  <c r="AO236" i="1"/>
  <c r="AN236" i="1"/>
  <c r="AM236" i="1"/>
  <c r="AL236" i="1"/>
  <c r="AK236" i="1"/>
  <c r="AJ236" i="1"/>
  <c r="AI236" i="1"/>
  <c r="AH236" i="1"/>
  <c r="AG236" i="1"/>
  <c r="AF236" i="1"/>
  <c r="AE236" i="1"/>
  <c r="Z236" i="1"/>
  <c r="AJ235" i="1"/>
  <c r="AI235" i="1"/>
  <c r="AH235" i="1"/>
  <c r="AG235" i="1"/>
  <c r="AF235" i="1"/>
  <c r="AE235" i="1"/>
  <c r="Z235" i="1"/>
  <c r="AJ234" i="1"/>
  <c r="AI234" i="1"/>
  <c r="AH234" i="1"/>
  <c r="AG234" i="1"/>
  <c r="AF234" i="1"/>
  <c r="AE234" i="1"/>
  <c r="Z234" i="1"/>
  <c r="BG232" i="1"/>
  <c r="BF232" i="1"/>
  <c r="BE232" i="1"/>
  <c r="BD232" i="1"/>
  <c r="BC232" i="1"/>
  <c r="BB232" i="1"/>
  <c r="BA232" i="1"/>
  <c r="AZ232" i="1"/>
  <c r="AU232" i="1"/>
  <c r="AT232" i="1"/>
  <c r="AS232" i="1"/>
  <c r="AR232" i="1"/>
  <c r="AQ232" i="1"/>
  <c r="AP232" i="1"/>
  <c r="AO232" i="1"/>
  <c r="AN232" i="1"/>
  <c r="AM232" i="1"/>
  <c r="AL232" i="1"/>
  <c r="AK232" i="1"/>
  <c r="AJ232" i="1"/>
  <c r="AI232" i="1"/>
  <c r="AH232" i="1"/>
  <c r="AG232" i="1"/>
  <c r="AF232" i="1"/>
  <c r="AE232" i="1"/>
  <c r="AD232" i="1"/>
  <c r="AC232" i="1"/>
  <c r="AB232" i="1"/>
  <c r="AA232" i="1"/>
  <c r="BG231" i="1"/>
  <c r="BF231" i="1"/>
  <c r="BE231" i="1"/>
  <c r="BD231" i="1"/>
  <c r="BC231" i="1"/>
  <c r="BB231" i="1"/>
  <c r="BA231" i="1"/>
  <c r="AZ231" i="1"/>
  <c r="AU231" i="1"/>
  <c r="AT231" i="1"/>
  <c r="AS231" i="1"/>
  <c r="AR231" i="1"/>
  <c r="AQ231" i="1"/>
  <c r="AP231" i="1"/>
  <c r="AO231" i="1"/>
  <c r="AN231" i="1"/>
  <c r="AM231" i="1"/>
  <c r="AL231" i="1"/>
  <c r="AK231" i="1"/>
  <c r="AJ231" i="1"/>
  <c r="AI231" i="1"/>
  <c r="AH231" i="1"/>
  <c r="AG231" i="1"/>
  <c r="AF231" i="1"/>
  <c r="AE231" i="1"/>
  <c r="AD231" i="1"/>
  <c r="AC231" i="1"/>
  <c r="AB231" i="1"/>
  <c r="AA231" i="1"/>
  <c r="BG230" i="1"/>
  <c r="BF230" i="1"/>
  <c r="BE230" i="1"/>
  <c r="BD230" i="1"/>
  <c r="BC230" i="1"/>
  <c r="BB230" i="1"/>
  <c r="BA230" i="1"/>
  <c r="AZ230" i="1"/>
  <c r="AY230" i="1"/>
  <c r="AX230" i="1"/>
  <c r="AW230" i="1"/>
  <c r="AV230" i="1"/>
  <c r="AU230" i="1"/>
  <c r="AT230" i="1"/>
  <c r="AS230" i="1"/>
  <c r="AR230" i="1"/>
  <c r="AQ230" i="1"/>
  <c r="AP230" i="1"/>
  <c r="AO230" i="1"/>
  <c r="AN230" i="1"/>
  <c r="AM230" i="1"/>
  <c r="AL230" i="1"/>
  <c r="AK230" i="1"/>
  <c r="AJ230" i="1"/>
  <c r="AI230" i="1"/>
  <c r="AH230" i="1"/>
  <c r="AG230" i="1"/>
  <c r="AF230" i="1"/>
  <c r="AE230" i="1"/>
  <c r="AD230" i="1"/>
  <c r="AC230" i="1"/>
  <c r="AB230" i="1"/>
  <c r="AA230" i="1"/>
  <c r="Z230" i="1"/>
  <c r="Y230" i="1"/>
  <c r="X230" i="1"/>
  <c r="W230" i="1"/>
  <c r="V230" i="1"/>
  <c r="BG229" i="1"/>
  <c r="BF229" i="1"/>
  <c r="BE229" i="1"/>
  <c r="BD229" i="1"/>
  <c r="BC229" i="1"/>
  <c r="BB229" i="1"/>
  <c r="BA229" i="1"/>
  <c r="AZ229" i="1"/>
  <c r="AY229" i="1"/>
  <c r="AX229" i="1"/>
  <c r="AW229" i="1"/>
  <c r="AV229" i="1"/>
  <c r="AU229" i="1"/>
  <c r="AT229" i="1"/>
  <c r="AS229" i="1"/>
  <c r="AR229" i="1"/>
  <c r="AQ229" i="1"/>
  <c r="AP229" i="1"/>
  <c r="AO229" i="1"/>
  <c r="AN229" i="1"/>
  <c r="AM229" i="1"/>
  <c r="AL229" i="1"/>
  <c r="AK229" i="1"/>
  <c r="BG228" i="1"/>
  <c r="BF228" i="1"/>
  <c r="BE228" i="1"/>
  <c r="BD228" i="1"/>
  <c r="BC228" i="1"/>
  <c r="BB228" i="1"/>
  <c r="BA228" i="1"/>
  <c r="AZ228" i="1"/>
  <c r="AY228" i="1"/>
  <c r="AX228" i="1"/>
  <c r="AW228" i="1"/>
  <c r="AV228" i="1"/>
  <c r="AU228" i="1"/>
  <c r="AT228" i="1"/>
  <c r="AS228" i="1"/>
  <c r="AR228" i="1"/>
  <c r="AQ228" i="1"/>
  <c r="AP228" i="1"/>
  <c r="AO228" i="1"/>
  <c r="AN228" i="1"/>
  <c r="AM228" i="1"/>
  <c r="AL228" i="1"/>
  <c r="AK228" i="1"/>
  <c r="BG226" i="1"/>
  <c r="BF226" i="1"/>
  <c r="BE226" i="1"/>
  <c r="BD226" i="1"/>
  <c r="BC226" i="1"/>
  <c r="BB226" i="1"/>
  <c r="BA226" i="1"/>
  <c r="AZ226" i="1"/>
  <c r="AY226" i="1"/>
  <c r="AX226" i="1"/>
  <c r="AW226" i="1"/>
  <c r="AV226" i="1"/>
  <c r="AU226" i="1"/>
  <c r="AT226" i="1"/>
  <c r="AS226" i="1"/>
  <c r="AR226" i="1"/>
  <c r="AQ226" i="1"/>
  <c r="AP226" i="1"/>
  <c r="AO226" i="1"/>
  <c r="AN226" i="1"/>
  <c r="AM226" i="1"/>
  <c r="AL226" i="1"/>
  <c r="AK226" i="1"/>
  <c r="BG225" i="1"/>
  <c r="BF225" i="1"/>
  <c r="BE225" i="1"/>
  <c r="BD225" i="1"/>
  <c r="BC225" i="1"/>
  <c r="BB225" i="1"/>
  <c r="BA225" i="1"/>
  <c r="AZ225" i="1"/>
  <c r="AY225" i="1"/>
  <c r="AX225" i="1"/>
  <c r="AW225" i="1"/>
  <c r="AV225" i="1"/>
  <c r="BG224" i="1"/>
  <c r="BF224" i="1"/>
  <c r="BE224" i="1"/>
  <c r="BD224" i="1"/>
  <c r="BC224" i="1"/>
  <c r="BB224" i="1"/>
  <c r="BA224" i="1"/>
  <c r="AZ224" i="1"/>
  <c r="AY224" i="1"/>
  <c r="AX224" i="1"/>
  <c r="AW224" i="1"/>
  <c r="AV224" i="1"/>
  <c r="AU224" i="1"/>
  <c r="AT224" i="1"/>
  <c r="AS224" i="1"/>
  <c r="AR224" i="1"/>
  <c r="AQ224" i="1"/>
  <c r="AP224" i="1"/>
  <c r="AO224" i="1"/>
  <c r="AN224" i="1"/>
  <c r="AM224" i="1"/>
  <c r="AL224" i="1"/>
  <c r="AK224" i="1"/>
  <c r="BD223" i="1"/>
  <c r="AY223" i="1"/>
  <c r="BG222" i="1"/>
  <c r="BF222" i="1"/>
  <c r="BE222" i="1"/>
  <c r="BD222" i="1"/>
  <c r="BC222" i="1"/>
  <c r="BB222" i="1"/>
  <c r="BA222" i="1"/>
  <c r="AZ222" i="1"/>
  <c r="AY222" i="1"/>
  <c r="AX222" i="1"/>
  <c r="AW222" i="1"/>
  <c r="AV222" i="1"/>
  <c r="AU222" i="1"/>
  <c r="AT222" i="1"/>
  <c r="AS222" i="1"/>
  <c r="AR222" i="1"/>
  <c r="AQ222" i="1"/>
  <c r="AP222" i="1"/>
  <c r="AO222" i="1"/>
  <c r="AN222" i="1"/>
  <c r="AM222" i="1"/>
  <c r="AL222" i="1"/>
  <c r="AK222" i="1"/>
  <c r="AJ222" i="1"/>
  <c r="AI222" i="1"/>
  <c r="AH222" i="1"/>
  <c r="AG222" i="1"/>
  <c r="AF222" i="1"/>
  <c r="AE222" i="1"/>
  <c r="AD222" i="1"/>
  <c r="AC222" i="1"/>
  <c r="AB222" i="1"/>
  <c r="AA222" i="1"/>
  <c r="Z222" i="1"/>
  <c r="Y222" i="1"/>
  <c r="X222" i="1"/>
  <c r="W222" i="1"/>
  <c r="V222" i="1"/>
  <c r="BG220" i="1"/>
  <c r="BF220" i="1"/>
  <c r="BE220" i="1"/>
  <c r="BD220" i="1"/>
  <c r="BC220" i="1"/>
  <c r="BB220" i="1"/>
  <c r="BA220" i="1"/>
  <c r="AZ220" i="1"/>
  <c r="AY220" i="1"/>
  <c r="AX220" i="1"/>
  <c r="AW220" i="1"/>
  <c r="AV220" i="1"/>
  <c r="AU220" i="1"/>
  <c r="AT220" i="1"/>
  <c r="AS220" i="1"/>
  <c r="AR220" i="1"/>
  <c r="AQ220" i="1"/>
  <c r="AP220" i="1"/>
  <c r="AO220" i="1"/>
  <c r="AN220" i="1"/>
  <c r="AM220" i="1"/>
  <c r="AL220" i="1"/>
  <c r="AK220" i="1"/>
  <c r="AJ220" i="1"/>
  <c r="AI220" i="1"/>
  <c r="AH220" i="1"/>
  <c r="AG220" i="1"/>
  <c r="AF220" i="1"/>
  <c r="AE220" i="1"/>
  <c r="AD220" i="1"/>
  <c r="AC220" i="1"/>
  <c r="AB220" i="1"/>
  <c r="AA220" i="1"/>
  <c r="Z220" i="1"/>
  <c r="Y220" i="1"/>
  <c r="X220" i="1"/>
  <c r="W220" i="1"/>
  <c r="V220" i="1"/>
  <c r="AS219" i="1"/>
  <c r="AN219" i="1"/>
  <c r="AI219" i="1"/>
  <c r="AS218" i="1"/>
  <c r="AN218" i="1"/>
  <c r="AI218" i="1"/>
  <c r="AS217" i="1"/>
  <c r="AN217" i="1"/>
  <c r="AI217" i="1"/>
  <c r="AS216" i="1"/>
  <c r="AN216" i="1"/>
  <c r="AJ216" i="1"/>
  <c r="AI216" i="1"/>
  <c r="AH216" i="1"/>
  <c r="AG216" i="1"/>
  <c r="AF216" i="1"/>
  <c r="AE216" i="1"/>
  <c r="Z216" i="1"/>
  <c r="AI215" i="1"/>
  <c r="AI214" i="1"/>
  <c r="BG212" i="1"/>
  <c r="BF212" i="1"/>
  <c r="BE212" i="1"/>
  <c r="BD212" i="1"/>
  <c r="BC212" i="1"/>
  <c r="BB212" i="1"/>
  <c r="BA212" i="1"/>
  <c r="AZ212" i="1"/>
  <c r="AY212" i="1"/>
  <c r="AX212" i="1"/>
  <c r="AW212" i="1"/>
  <c r="AV212" i="1"/>
  <c r="AU212" i="1"/>
  <c r="AT212" i="1"/>
  <c r="AS212" i="1"/>
  <c r="AR212" i="1"/>
  <c r="AQ212" i="1"/>
  <c r="AP212" i="1"/>
  <c r="AO212" i="1"/>
  <c r="AN212" i="1"/>
  <c r="AM212" i="1"/>
  <c r="AL212" i="1"/>
  <c r="AK212" i="1"/>
  <c r="AJ212" i="1"/>
  <c r="AI212" i="1"/>
  <c r="AH212" i="1"/>
  <c r="AG212" i="1"/>
  <c r="AF212" i="1"/>
  <c r="AE212" i="1"/>
  <c r="AD212" i="1"/>
  <c r="AC212" i="1"/>
  <c r="AB212" i="1"/>
  <c r="AA212" i="1"/>
  <c r="Z212" i="1"/>
  <c r="Y212" i="1"/>
  <c r="X212" i="1"/>
  <c r="W212" i="1"/>
  <c r="V212" i="1"/>
  <c r="BG211" i="1"/>
  <c r="BF211" i="1"/>
  <c r="BE211" i="1"/>
  <c r="BD211" i="1"/>
  <c r="BC211" i="1"/>
  <c r="BB211" i="1"/>
  <c r="BA211" i="1"/>
  <c r="AZ211" i="1"/>
  <c r="AU211" i="1"/>
  <c r="AT211" i="1"/>
  <c r="AS211" i="1"/>
  <c r="AR211" i="1"/>
  <c r="AQ211" i="1"/>
  <c r="AP211" i="1"/>
  <c r="AJ211" i="1"/>
  <c r="AI211" i="1"/>
  <c r="AH211" i="1"/>
  <c r="AG211" i="1"/>
  <c r="AF211" i="1"/>
  <c r="AE211" i="1"/>
  <c r="AD211" i="1"/>
  <c r="AC211" i="1"/>
  <c r="AB211" i="1"/>
  <c r="AA211" i="1"/>
  <c r="BG210" i="1"/>
  <c r="BF210" i="1"/>
  <c r="BE210" i="1"/>
  <c r="BD210" i="1"/>
  <c r="BC210" i="1"/>
  <c r="BB210" i="1"/>
  <c r="BA210" i="1"/>
  <c r="AZ210" i="1"/>
  <c r="AU210" i="1"/>
  <c r="AT210" i="1"/>
  <c r="AS210" i="1"/>
  <c r="AR210" i="1"/>
  <c r="AQ210" i="1"/>
  <c r="AP210" i="1"/>
  <c r="AO210" i="1"/>
  <c r="AN210" i="1"/>
  <c r="AM210" i="1"/>
  <c r="AL210" i="1"/>
  <c r="AK210" i="1"/>
  <c r="AJ210" i="1"/>
  <c r="AI210" i="1"/>
  <c r="AH210" i="1"/>
  <c r="AG210" i="1"/>
  <c r="AF210" i="1"/>
  <c r="AE210" i="1"/>
  <c r="AD210" i="1"/>
  <c r="AC210" i="1"/>
  <c r="AB210" i="1"/>
  <c r="AA210" i="1"/>
  <c r="BG209" i="1"/>
  <c r="BF209" i="1"/>
  <c r="BE209" i="1"/>
  <c r="BD209" i="1"/>
  <c r="BC209" i="1"/>
  <c r="BB209" i="1"/>
  <c r="BA209" i="1"/>
  <c r="AZ209" i="1"/>
  <c r="AU209" i="1"/>
  <c r="AT209" i="1"/>
  <c r="AS209" i="1"/>
  <c r="AR209" i="1"/>
  <c r="AQ209" i="1"/>
  <c r="AP209" i="1"/>
  <c r="AO209" i="1"/>
  <c r="AN209" i="1"/>
  <c r="AM209" i="1"/>
  <c r="AL209" i="1"/>
  <c r="AK209" i="1"/>
  <c r="AJ209" i="1"/>
  <c r="AI209" i="1"/>
  <c r="AH209" i="1"/>
  <c r="AG209" i="1"/>
  <c r="AF209" i="1"/>
  <c r="AE209" i="1"/>
  <c r="AD209" i="1"/>
  <c r="AC209" i="1"/>
  <c r="AB209" i="1"/>
  <c r="AA209" i="1"/>
  <c r="BG208" i="1"/>
  <c r="BF208" i="1"/>
  <c r="BE208" i="1"/>
  <c r="BD208" i="1"/>
  <c r="BC208" i="1"/>
  <c r="BB208" i="1"/>
  <c r="BA208" i="1"/>
  <c r="AZ208" i="1"/>
  <c r="AU208" i="1"/>
  <c r="AT208" i="1"/>
  <c r="AS208" i="1"/>
  <c r="AR208" i="1"/>
  <c r="AQ208" i="1"/>
  <c r="AP208" i="1"/>
  <c r="AO208" i="1"/>
  <c r="AN208" i="1"/>
  <c r="AM208" i="1"/>
  <c r="AL208" i="1"/>
  <c r="AK208" i="1"/>
  <c r="AJ208" i="1"/>
  <c r="AI208" i="1"/>
  <c r="AH208" i="1"/>
  <c r="AG208" i="1"/>
  <c r="AF208" i="1"/>
  <c r="AE208" i="1"/>
  <c r="AD208" i="1"/>
  <c r="AC208" i="1"/>
  <c r="AB208" i="1"/>
  <c r="AA208" i="1"/>
  <c r="BG207" i="1"/>
  <c r="BF207" i="1"/>
  <c r="BE207" i="1"/>
  <c r="BD207" i="1"/>
  <c r="BC207" i="1"/>
  <c r="BB207" i="1"/>
  <c r="BA207" i="1"/>
  <c r="AZ207" i="1"/>
  <c r="AU207" i="1"/>
  <c r="AT207" i="1"/>
  <c r="AS207" i="1"/>
  <c r="AR207" i="1"/>
  <c r="AQ207" i="1"/>
  <c r="AP207" i="1"/>
  <c r="AO207" i="1"/>
  <c r="AN207" i="1"/>
  <c r="AM207" i="1"/>
  <c r="AL207" i="1"/>
  <c r="AK207" i="1"/>
  <c r="AJ207" i="1"/>
  <c r="AI207" i="1"/>
  <c r="AH207" i="1"/>
  <c r="AG207" i="1"/>
  <c r="AF207" i="1"/>
  <c r="AE207" i="1"/>
  <c r="AD207" i="1"/>
  <c r="AC207" i="1"/>
  <c r="AB207" i="1"/>
  <c r="AA207" i="1"/>
  <c r="BG206" i="1"/>
  <c r="BF206" i="1"/>
  <c r="BE206" i="1"/>
  <c r="BD206" i="1"/>
  <c r="BC206" i="1"/>
  <c r="BB206" i="1"/>
  <c r="BA206" i="1"/>
  <c r="AZ206" i="1"/>
  <c r="AT206" i="1"/>
  <c r="AS206" i="1"/>
  <c r="AR206" i="1"/>
  <c r="AQ206" i="1"/>
  <c r="AP206" i="1"/>
  <c r="AO206" i="1"/>
  <c r="AN206" i="1"/>
  <c r="AM206" i="1"/>
  <c r="AL206" i="1"/>
  <c r="AK206" i="1"/>
  <c r="AJ206" i="1"/>
  <c r="AI206" i="1"/>
  <c r="AH206" i="1"/>
  <c r="AG206" i="1"/>
  <c r="AF206" i="1"/>
  <c r="AE206" i="1"/>
  <c r="AD206" i="1"/>
  <c r="AC206" i="1"/>
  <c r="AB206" i="1"/>
  <c r="AA206" i="1"/>
  <c r="BG204" i="1"/>
  <c r="BF204" i="1"/>
  <c r="BE204" i="1"/>
  <c r="BD204" i="1"/>
  <c r="BC204" i="1"/>
  <c r="BB204" i="1"/>
  <c r="BA204" i="1"/>
  <c r="AZ204" i="1"/>
  <c r="AU204" i="1"/>
  <c r="AT204" i="1"/>
  <c r="AS204" i="1"/>
  <c r="AR204" i="1"/>
  <c r="AQ204" i="1"/>
  <c r="AP204" i="1"/>
  <c r="AO204" i="1"/>
  <c r="AN204" i="1"/>
  <c r="AM204" i="1"/>
  <c r="AL204" i="1"/>
  <c r="AK204" i="1"/>
  <c r="AJ204" i="1"/>
  <c r="AI204" i="1"/>
  <c r="AH204" i="1"/>
  <c r="AG204" i="1"/>
  <c r="AF204" i="1"/>
  <c r="AE204" i="1"/>
  <c r="AD204" i="1"/>
  <c r="AC204" i="1"/>
  <c r="AB204" i="1"/>
  <c r="AA204" i="1"/>
  <c r="BG203" i="1"/>
  <c r="BF203" i="1"/>
  <c r="BE203" i="1"/>
  <c r="BD203" i="1"/>
  <c r="BC203" i="1"/>
  <c r="BB203" i="1"/>
  <c r="BA203" i="1"/>
  <c r="AZ203" i="1"/>
  <c r="AU203" i="1"/>
  <c r="AT203" i="1"/>
  <c r="AS203" i="1"/>
  <c r="AR203" i="1"/>
  <c r="AQ203" i="1"/>
  <c r="AP203" i="1"/>
  <c r="AJ203" i="1"/>
  <c r="AI203" i="1"/>
  <c r="AH203" i="1"/>
  <c r="AG203" i="1"/>
  <c r="AF203" i="1"/>
  <c r="AE203" i="1"/>
  <c r="AD203" i="1"/>
  <c r="AC203" i="1"/>
  <c r="AB203" i="1"/>
  <c r="AA203" i="1"/>
  <c r="BG202" i="1"/>
  <c r="BF202" i="1"/>
  <c r="BE202" i="1"/>
  <c r="BD202" i="1"/>
  <c r="BC202" i="1"/>
  <c r="BB202" i="1"/>
  <c r="BA202" i="1"/>
  <c r="AZ202" i="1"/>
  <c r="AT202" i="1"/>
  <c r="AO202" i="1"/>
  <c r="AJ202" i="1"/>
  <c r="AE202" i="1"/>
  <c r="BG201" i="1"/>
  <c r="BF201" i="1"/>
  <c r="BE201" i="1"/>
  <c r="BD201" i="1"/>
  <c r="BC201" i="1"/>
  <c r="BB201" i="1"/>
  <c r="BA201" i="1"/>
  <c r="AZ201" i="1"/>
  <c r="AT201" i="1"/>
  <c r="AO201" i="1"/>
  <c r="AJ201" i="1"/>
  <c r="AE201" i="1"/>
  <c r="BG200" i="1"/>
  <c r="BF200" i="1"/>
  <c r="BE200" i="1"/>
  <c r="BD200" i="1"/>
  <c r="BC200" i="1"/>
  <c r="BB200" i="1"/>
  <c r="BA200" i="1"/>
  <c r="AZ200" i="1"/>
  <c r="AT200" i="1"/>
  <c r="AO200" i="1"/>
  <c r="AJ200" i="1"/>
  <c r="AE200" i="1"/>
  <c r="BG199" i="1"/>
  <c r="BF199" i="1"/>
  <c r="BE199" i="1"/>
  <c r="BD199" i="1"/>
  <c r="BC199" i="1"/>
  <c r="BB199" i="1"/>
  <c r="BA199" i="1"/>
  <c r="AZ199" i="1"/>
  <c r="AT199" i="1"/>
  <c r="AO199" i="1"/>
  <c r="AJ199" i="1"/>
  <c r="AE199" i="1"/>
  <c r="BG197" i="1"/>
  <c r="BF197" i="1"/>
  <c r="BE197" i="1"/>
  <c r="BD197" i="1"/>
  <c r="BC197" i="1"/>
  <c r="BB197" i="1"/>
  <c r="BA197" i="1"/>
  <c r="AZ197" i="1"/>
  <c r="AU197" i="1"/>
  <c r="AT197" i="1"/>
  <c r="AS197" i="1"/>
  <c r="AR197" i="1"/>
  <c r="AQ197" i="1"/>
  <c r="AP197" i="1"/>
  <c r="AO197" i="1"/>
  <c r="AN197" i="1"/>
  <c r="AM197" i="1"/>
  <c r="AL197" i="1"/>
  <c r="AK197" i="1"/>
  <c r="AJ197" i="1"/>
  <c r="AI197" i="1"/>
  <c r="AH197" i="1"/>
  <c r="AG197" i="1"/>
  <c r="AF197" i="1"/>
  <c r="AE197" i="1"/>
  <c r="AD197" i="1"/>
  <c r="AC197" i="1"/>
  <c r="AB197" i="1"/>
  <c r="AA197" i="1"/>
  <c r="AU196" i="1"/>
  <c r="AT196" i="1"/>
  <c r="AS196" i="1"/>
  <c r="AR196" i="1"/>
  <c r="AQ196" i="1"/>
  <c r="AP196" i="1"/>
  <c r="AO196" i="1"/>
  <c r="AN196" i="1"/>
  <c r="AM196" i="1"/>
  <c r="AL196" i="1"/>
  <c r="AK196" i="1"/>
  <c r="AJ196" i="1"/>
  <c r="AE196" i="1"/>
  <c r="AU195" i="1"/>
  <c r="AT195" i="1"/>
  <c r="AS195" i="1"/>
  <c r="AR195" i="1"/>
  <c r="AQ195" i="1"/>
  <c r="AP195" i="1"/>
  <c r="AO195" i="1"/>
  <c r="AN195" i="1"/>
  <c r="AM195" i="1"/>
  <c r="AL195" i="1"/>
  <c r="AU193" i="1"/>
  <c r="AT193" i="1"/>
  <c r="AS193" i="1"/>
  <c r="AR193" i="1"/>
  <c r="AQ193" i="1"/>
  <c r="AP193" i="1"/>
  <c r="AO193" i="1"/>
  <c r="AN193" i="1"/>
  <c r="AM193" i="1"/>
  <c r="AL193" i="1"/>
  <c r="AK193" i="1"/>
  <c r="AJ193" i="1"/>
  <c r="AE193" i="1"/>
  <c r="AU192" i="1"/>
  <c r="AT192" i="1"/>
  <c r="AS192" i="1"/>
  <c r="AR192" i="1"/>
  <c r="AQ192" i="1"/>
  <c r="AP192" i="1"/>
  <c r="AO192" i="1"/>
  <c r="AN192" i="1"/>
  <c r="AM192" i="1"/>
  <c r="AL192" i="1"/>
  <c r="AU190" i="1"/>
  <c r="AT190" i="1"/>
  <c r="AS190" i="1"/>
  <c r="AR190" i="1"/>
  <c r="AQ190" i="1"/>
  <c r="AP190" i="1"/>
  <c r="AO190" i="1"/>
  <c r="AN190" i="1"/>
  <c r="AM190" i="1"/>
  <c r="AL190" i="1"/>
  <c r="AK190" i="1"/>
  <c r="AJ190" i="1"/>
  <c r="AE190" i="1"/>
  <c r="AU189" i="1"/>
  <c r="AT189" i="1"/>
  <c r="AS189" i="1"/>
  <c r="AR189" i="1"/>
  <c r="AQ189" i="1"/>
  <c r="AP189" i="1"/>
  <c r="AJ187" i="1"/>
  <c r="AE187" i="1"/>
  <c r="AJ184" i="1"/>
  <c r="AE184" i="1"/>
  <c r="AT179" i="1"/>
  <c r="AO179" i="1"/>
  <c r="AJ179" i="1"/>
  <c r="AT178" i="1"/>
  <c r="AO178" i="1"/>
  <c r="AJ178" i="1"/>
  <c r="AT177" i="1"/>
  <c r="AO177" i="1"/>
  <c r="AJ177" i="1"/>
  <c r="AU171" i="1"/>
  <c r="AT171" i="1"/>
  <c r="AS171" i="1"/>
  <c r="AR171" i="1"/>
  <c r="AQ171" i="1"/>
  <c r="AP171" i="1"/>
  <c r="AO171" i="1"/>
  <c r="AN171" i="1"/>
  <c r="AM171" i="1"/>
  <c r="AL171" i="1"/>
  <c r="AK171" i="1"/>
  <c r="AJ171" i="1"/>
  <c r="AI171" i="1"/>
  <c r="AH171" i="1"/>
  <c r="AG171" i="1"/>
  <c r="AF171" i="1"/>
  <c r="AE171" i="1"/>
  <c r="Z171" i="1"/>
  <c r="AT170" i="1"/>
  <c r="AN170" i="1"/>
  <c r="AI170" i="1"/>
  <c r="AT169" i="1"/>
  <c r="AN169" i="1"/>
  <c r="AI169" i="1"/>
  <c r="AT168" i="1"/>
  <c r="AN168" i="1"/>
  <c r="AI168" i="1"/>
  <c r="AT167" i="1"/>
  <c r="AN167" i="1"/>
  <c r="AI167" i="1"/>
  <c r="AT166" i="1"/>
  <c r="AN166" i="1"/>
  <c r="AI166" i="1"/>
  <c r="AT165" i="1"/>
  <c r="AN165" i="1"/>
  <c r="AI165" i="1"/>
  <c r="AT164" i="1"/>
  <c r="AN164" i="1"/>
  <c r="AI164" i="1"/>
  <c r="AT163" i="1"/>
  <c r="AN163" i="1"/>
  <c r="AI163" i="1"/>
  <c r="AT162" i="1"/>
  <c r="AN162" i="1"/>
  <c r="AI162" i="1"/>
  <c r="AU160" i="1"/>
  <c r="AT160" i="1"/>
  <c r="AS160" i="1"/>
  <c r="AR160" i="1"/>
  <c r="AQ160" i="1"/>
  <c r="AP160" i="1"/>
  <c r="AO160" i="1"/>
  <c r="AN160" i="1"/>
  <c r="AM160" i="1"/>
  <c r="AL160" i="1"/>
  <c r="AK160" i="1"/>
  <c r="AJ160" i="1"/>
  <c r="AI160" i="1"/>
  <c r="AH160" i="1"/>
  <c r="AG160" i="1"/>
  <c r="AF160" i="1"/>
  <c r="AE160" i="1"/>
  <c r="Z160" i="1"/>
  <c r="AU159" i="1"/>
  <c r="AT159" i="1"/>
  <c r="AS159" i="1"/>
  <c r="AR159" i="1"/>
  <c r="AQ159" i="1"/>
  <c r="AP159" i="1"/>
  <c r="AO159" i="1"/>
  <c r="AN159" i="1"/>
  <c r="AM159" i="1"/>
  <c r="AL159" i="1"/>
  <c r="AK159" i="1"/>
  <c r="AJ159" i="1"/>
  <c r="AI159" i="1"/>
  <c r="AH159" i="1"/>
  <c r="AG159" i="1"/>
  <c r="AF159" i="1"/>
  <c r="AE159" i="1"/>
  <c r="Z159" i="1"/>
  <c r="AU158" i="1"/>
  <c r="AT158" i="1"/>
  <c r="AS158" i="1"/>
  <c r="AR158" i="1"/>
  <c r="AQ158" i="1"/>
  <c r="AP158" i="1"/>
  <c r="AO158" i="1"/>
  <c r="AN158" i="1"/>
  <c r="AM158" i="1"/>
  <c r="AL158" i="1"/>
  <c r="AK158" i="1"/>
  <c r="AJ158" i="1"/>
  <c r="AI158" i="1"/>
  <c r="AH158" i="1"/>
  <c r="AG158" i="1"/>
  <c r="AF158" i="1"/>
  <c r="AE158" i="1"/>
  <c r="Z158" i="1"/>
  <c r="AU157" i="1"/>
  <c r="AT157" i="1"/>
  <c r="AS157" i="1"/>
  <c r="AR157" i="1"/>
  <c r="AQ157" i="1"/>
  <c r="AP157" i="1"/>
  <c r="AO157" i="1"/>
  <c r="AN157" i="1"/>
  <c r="AM157" i="1"/>
  <c r="AL157" i="1"/>
  <c r="AK157" i="1"/>
  <c r="AJ157" i="1"/>
  <c r="AI157" i="1"/>
  <c r="AH157" i="1"/>
  <c r="AG157" i="1"/>
  <c r="AF157" i="1"/>
  <c r="AE157" i="1"/>
  <c r="Z157" i="1"/>
  <c r="AU156" i="1"/>
  <c r="AT156" i="1"/>
  <c r="AS156" i="1"/>
  <c r="AR156" i="1"/>
  <c r="AQ156" i="1"/>
  <c r="AP156" i="1"/>
  <c r="AO156" i="1"/>
  <c r="AN156" i="1"/>
  <c r="AM156" i="1"/>
  <c r="AL156" i="1"/>
  <c r="AK156" i="1"/>
  <c r="AJ156" i="1"/>
  <c r="AI156" i="1"/>
  <c r="AH156" i="1"/>
  <c r="AG156" i="1"/>
  <c r="AF156" i="1"/>
  <c r="AE156" i="1"/>
  <c r="Z156" i="1"/>
  <c r="AJ155" i="1"/>
  <c r="AI155" i="1"/>
  <c r="AH155" i="1"/>
  <c r="AG155" i="1"/>
  <c r="AF155" i="1"/>
  <c r="AE155" i="1"/>
  <c r="Z155" i="1"/>
  <c r="AJ154" i="1"/>
  <c r="AI154" i="1"/>
  <c r="AH154" i="1"/>
  <c r="AG154" i="1"/>
  <c r="AF154" i="1"/>
  <c r="AE154" i="1"/>
  <c r="Z154" i="1"/>
  <c r="BG152" i="1"/>
  <c r="BF152" i="1"/>
  <c r="BE152" i="1"/>
  <c r="BD152" i="1"/>
  <c r="BC152" i="1"/>
  <c r="BB152" i="1"/>
  <c r="BA152" i="1"/>
  <c r="AZ152" i="1"/>
  <c r="AU152" i="1"/>
  <c r="AT152" i="1"/>
  <c r="AS152" i="1"/>
  <c r="AR152" i="1"/>
  <c r="AQ152" i="1"/>
  <c r="AP152" i="1"/>
  <c r="AO152" i="1"/>
  <c r="AN152" i="1"/>
  <c r="AM152" i="1"/>
  <c r="AL152" i="1"/>
  <c r="AK152" i="1"/>
  <c r="AJ152" i="1"/>
  <c r="AI152" i="1"/>
  <c r="AH152" i="1"/>
  <c r="AG152" i="1"/>
  <c r="AF152" i="1"/>
  <c r="AE152" i="1"/>
  <c r="AD152" i="1"/>
  <c r="AC152" i="1"/>
  <c r="AB152" i="1"/>
  <c r="AA152" i="1"/>
  <c r="BG151" i="1"/>
  <c r="BF151" i="1"/>
  <c r="BE151" i="1"/>
  <c r="BD151" i="1"/>
  <c r="BC151" i="1"/>
  <c r="BB151" i="1"/>
  <c r="BA151" i="1"/>
  <c r="AZ151" i="1"/>
  <c r="AU151" i="1"/>
  <c r="AT151" i="1"/>
  <c r="AS151" i="1"/>
  <c r="AR151" i="1"/>
  <c r="AQ151" i="1"/>
  <c r="AP151" i="1"/>
  <c r="AO151" i="1"/>
  <c r="AN151" i="1"/>
  <c r="AM151" i="1"/>
  <c r="AL151" i="1"/>
  <c r="AK151" i="1"/>
  <c r="AJ151" i="1"/>
  <c r="AI151" i="1"/>
  <c r="AH151" i="1"/>
  <c r="AG151" i="1"/>
  <c r="AF151" i="1"/>
  <c r="AE151" i="1"/>
  <c r="AD151" i="1"/>
  <c r="AC151" i="1"/>
  <c r="AB151" i="1"/>
  <c r="AA151" i="1"/>
  <c r="BG150" i="1"/>
  <c r="BF150" i="1"/>
  <c r="BE150" i="1"/>
  <c r="BD150" i="1"/>
  <c r="BC150" i="1"/>
  <c r="BB150" i="1"/>
  <c r="BA150" i="1"/>
  <c r="AZ150" i="1"/>
  <c r="AY150" i="1"/>
  <c r="AX150" i="1"/>
  <c r="AW150" i="1"/>
  <c r="AV150" i="1"/>
  <c r="AU150" i="1"/>
  <c r="AT150" i="1"/>
  <c r="AS150" i="1"/>
  <c r="AR150" i="1"/>
  <c r="AQ150" i="1"/>
  <c r="AP150" i="1"/>
  <c r="AO150" i="1"/>
  <c r="AN150" i="1"/>
  <c r="AM150" i="1"/>
  <c r="AL150" i="1"/>
  <c r="AK150" i="1"/>
  <c r="AJ150" i="1"/>
  <c r="AI150" i="1"/>
  <c r="AH150" i="1"/>
  <c r="AG150" i="1"/>
  <c r="AF150" i="1"/>
  <c r="AE150" i="1"/>
  <c r="AD150" i="1"/>
  <c r="AC150" i="1"/>
  <c r="AB150" i="1"/>
  <c r="AA150" i="1"/>
  <c r="Z150" i="1"/>
  <c r="Y150" i="1"/>
  <c r="X150" i="1"/>
  <c r="W150" i="1"/>
  <c r="V150" i="1"/>
  <c r="BG149" i="1"/>
  <c r="BF149" i="1"/>
  <c r="BE149" i="1"/>
  <c r="BD149" i="1"/>
  <c r="BC149" i="1"/>
  <c r="BB149" i="1"/>
  <c r="BA149" i="1"/>
  <c r="AZ149" i="1"/>
  <c r="AY149" i="1"/>
  <c r="AX149" i="1"/>
  <c r="AW149" i="1"/>
  <c r="AV149" i="1"/>
  <c r="AU149" i="1"/>
  <c r="AT149" i="1"/>
  <c r="AS149" i="1"/>
  <c r="AR149" i="1"/>
  <c r="AQ149" i="1"/>
  <c r="AP149" i="1"/>
  <c r="AO149" i="1"/>
  <c r="AN149" i="1"/>
  <c r="AM149" i="1"/>
  <c r="AL149" i="1"/>
  <c r="AK149" i="1"/>
  <c r="BG148" i="1"/>
  <c r="BF148" i="1"/>
  <c r="BE148" i="1"/>
  <c r="BD148" i="1"/>
  <c r="BC148" i="1"/>
  <c r="BB148" i="1"/>
  <c r="BA148" i="1"/>
  <c r="AZ148" i="1"/>
  <c r="AY148" i="1"/>
  <c r="AX148" i="1"/>
  <c r="AW148" i="1"/>
  <c r="AV148" i="1"/>
  <c r="AU148" i="1"/>
  <c r="AT148" i="1"/>
  <c r="AS148" i="1"/>
  <c r="AR148" i="1"/>
  <c r="AQ148" i="1"/>
  <c r="AP148" i="1"/>
  <c r="AO148" i="1"/>
  <c r="AN148" i="1"/>
  <c r="AM148" i="1"/>
  <c r="AL148" i="1"/>
  <c r="AK148" i="1"/>
  <c r="BG146" i="1"/>
  <c r="BF146" i="1"/>
  <c r="BE146" i="1"/>
  <c r="BD146" i="1"/>
  <c r="BC146" i="1"/>
  <c r="BB146" i="1"/>
  <c r="BA146" i="1"/>
  <c r="AZ146" i="1"/>
  <c r="AY146" i="1"/>
  <c r="AX146" i="1"/>
  <c r="AW146" i="1"/>
  <c r="AV146" i="1"/>
  <c r="AU146" i="1"/>
  <c r="AT146" i="1"/>
  <c r="AS146" i="1"/>
  <c r="AR146" i="1"/>
  <c r="AQ146" i="1"/>
  <c r="AP146" i="1"/>
  <c r="AO146" i="1"/>
  <c r="AN146" i="1"/>
  <c r="AM146" i="1"/>
  <c r="AL146" i="1"/>
  <c r="AK146" i="1"/>
  <c r="BG145" i="1"/>
  <c r="BF145" i="1"/>
  <c r="BE145" i="1"/>
  <c r="BD145" i="1"/>
  <c r="BC145" i="1"/>
  <c r="BB145" i="1"/>
  <c r="BA145" i="1"/>
  <c r="AZ145" i="1"/>
  <c r="AY145" i="1"/>
  <c r="AX145" i="1"/>
  <c r="AW145" i="1"/>
  <c r="AV145" i="1"/>
  <c r="BG144" i="1"/>
  <c r="BF144" i="1"/>
  <c r="BE144" i="1"/>
  <c r="BD144" i="1"/>
  <c r="BC144" i="1"/>
  <c r="BB144" i="1"/>
  <c r="BA144" i="1"/>
  <c r="AZ144" i="1"/>
  <c r="AY144" i="1"/>
  <c r="AX144" i="1"/>
  <c r="AW144" i="1"/>
  <c r="AV144" i="1"/>
  <c r="AU144" i="1"/>
  <c r="AT144" i="1"/>
  <c r="AS144" i="1"/>
  <c r="AR144" i="1"/>
  <c r="AQ144" i="1"/>
  <c r="AP144" i="1"/>
  <c r="AO144" i="1"/>
  <c r="AN144" i="1"/>
  <c r="AM144" i="1"/>
  <c r="AL144" i="1"/>
  <c r="AK144" i="1"/>
  <c r="BD143" i="1"/>
  <c r="AY143" i="1"/>
  <c r="BG142" i="1"/>
  <c r="BF142" i="1"/>
  <c r="BE142" i="1"/>
  <c r="BD142" i="1"/>
  <c r="BC142" i="1"/>
  <c r="BB142" i="1"/>
  <c r="BA142" i="1"/>
  <c r="AZ142" i="1"/>
  <c r="AY142" i="1"/>
  <c r="AX142" i="1"/>
  <c r="AW142" i="1"/>
  <c r="AV142" i="1"/>
  <c r="AU142" i="1"/>
  <c r="AT142" i="1"/>
  <c r="AS142" i="1"/>
  <c r="AR142" i="1"/>
  <c r="AQ142" i="1"/>
  <c r="AP142" i="1"/>
  <c r="AO142" i="1"/>
  <c r="AN142" i="1"/>
  <c r="AM142" i="1"/>
  <c r="AL142" i="1"/>
  <c r="AK142" i="1"/>
  <c r="AJ142" i="1"/>
  <c r="AI142" i="1"/>
  <c r="AH142" i="1"/>
  <c r="AG142" i="1"/>
  <c r="AF142" i="1"/>
  <c r="AE142" i="1"/>
  <c r="AD142" i="1"/>
  <c r="AC142" i="1"/>
  <c r="AB142" i="1"/>
  <c r="AA142" i="1"/>
  <c r="Z142" i="1"/>
  <c r="Y142" i="1"/>
  <c r="X142" i="1"/>
  <c r="W142" i="1"/>
  <c r="V142" i="1"/>
  <c r="BG140" i="1"/>
  <c r="BF140" i="1"/>
  <c r="BE140" i="1"/>
  <c r="BD140" i="1"/>
  <c r="BC140" i="1"/>
  <c r="BB140" i="1"/>
  <c r="BA140" i="1"/>
  <c r="AZ140" i="1"/>
  <c r="AY140" i="1"/>
  <c r="AX140" i="1"/>
  <c r="AW140" i="1"/>
  <c r="AV140" i="1"/>
  <c r="AU140" i="1"/>
  <c r="AT140" i="1"/>
  <c r="AS140" i="1"/>
  <c r="AR140" i="1"/>
  <c r="AQ140" i="1"/>
  <c r="AP140" i="1"/>
  <c r="AO140" i="1"/>
  <c r="AN140" i="1"/>
  <c r="AM140" i="1"/>
  <c r="AL140" i="1"/>
  <c r="AK140" i="1"/>
  <c r="AJ140" i="1"/>
  <c r="AI140" i="1"/>
  <c r="AH140" i="1"/>
  <c r="AG140" i="1"/>
  <c r="AF140" i="1"/>
  <c r="AE140" i="1"/>
  <c r="AD140" i="1"/>
  <c r="AC140" i="1"/>
  <c r="AB140" i="1"/>
  <c r="AA140" i="1"/>
  <c r="Z140" i="1"/>
  <c r="Y140" i="1"/>
  <c r="X140" i="1"/>
  <c r="W140" i="1"/>
  <c r="V140" i="1"/>
  <c r="AS139" i="1"/>
  <c r="AN139" i="1"/>
  <c r="AI139" i="1"/>
  <c r="AS138" i="1"/>
  <c r="AN138" i="1"/>
  <c r="AI138" i="1"/>
  <c r="AS137" i="1"/>
  <c r="AN137" i="1"/>
  <c r="AI137" i="1"/>
  <c r="AS136" i="1"/>
  <c r="AN136" i="1"/>
  <c r="AJ136" i="1"/>
  <c r="AI136" i="1"/>
  <c r="AH136" i="1"/>
  <c r="AG136" i="1"/>
  <c r="AF136" i="1"/>
  <c r="AE136" i="1"/>
  <c r="Z136" i="1"/>
  <c r="AI135" i="1"/>
  <c r="AI134" i="1"/>
  <c r="BG132" i="1"/>
  <c r="BF132" i="1"/>
  <c r="BE132" i="1"/>
  <c r="BD132" i="1"/>
  <c r="BC132" i="1"/>
  <c r="BB132" i="1"/>
  <c r="BA132" i="1"/>
  <c r="AZ132" i="1"/>
  <c r="AY132" i="1"/>
  <c r="AX132" i="1"/>
  <c r="AW132" i="1"/>
  <c r="AV132" i="1"/>
  <c r="AU132" i="1"/>
  <c r="AT132" i="1"/>
  <c r="AS132" i="1"/>
  <c r="AR132" i="1"/>
  <c r="AQ132" i="1"/>
  <c r="AP132" i="1"/>
  <c r="AO132" i="1"/>
  <c r="AN132" i="1"/>
  <c r="AM132" i="1"/>
  <c r="AL132" i="1"/>
  <c r="AK132" i="1"/>
  <c r="AJ132" i="1"/>
  <c r="AI132" i="1"/>
  <c r="AH132" i="1"/>
  <c r="AG132" i="1"/>
  <c r="AF132" i="1"/>
  <c r="AE132" i="1"/>
  <c r="AD132" i="1"/>
  <c r="AC132" i="1"/>
  <c r="AB132" i="1"/>
  <c r="AA132" i="1"/>
  <c r="Z132" i="1"/>
  <c r="Y132" i="1"/>
  <c r="X132" i="1"/>
  <c r="W132" i="1"/>
  <c r="V132" i="1"/>
  <c r="BG131" i="1"/>
  <c r="BF131" i="1"/>
  <c r="BE131" i="1"/>
  <c r="BD131" i="1"/>
  <c r="BC131" i="1"/>
  <c r="BB131" i="1"/>
  <c r="BA131" i="1"/>
  <c r="AZ131" i="1"/>
  <c r="AU131" i="1"/>
  <c r="AT131" i="1"/>
  <c r="AS131" i="1"/>
  <c r="AR131" i="1"/>
  <c r="AQ131" i="1"/>
  <c r="AP131" i="1"/>
  <c r="AJ131" i="1"/>
  <c r="AI131" i="1"/>
  <c r="AH131" i="1"/>
  <c r="AG131" i="1"/>
  <c r="AF131" i="1"/>
  <c r="AE131" i="1"/>
  <c r="AD131" i="1"/>
  <c r="AC131" i="1"/>
  <c r="AB131" i="1"/>
  <c r="AA131" i="1"/>
  <c r="BG130" i="1"/>
  <c r="BF130" i="1"/>
  <c r="BE130" i="1"/>
  <c r="BD130" i="1"/>
  <c r="BC130" i="1"/>
  <c r="BB130" i="1"/>
  <c r="BA130" i="1"/>
  <c r="AZ130" i="1"/>
  <c r="AU130" i="1"/>
  <c r="AT130" i="1"/>
  <c r="AS130" i="1"/>
  <c r="AR130" i="1"/>
  <c r="AQ130" i="1"/>
  <c r="AP130" i="1"/>
  <c r="AO130" i="1"/>
  <c r="AN130" i="1"/>
  <c r="AM130" i="1"/>
  <c r="AL130" i="1"/>
  <c r="AK130" i="1"/>
  <c r="AJ130" i="1"/>
  <c r="AI130" i="1"/>
  <c r="AH130" i="1"/>
  <c r="AG130" i="1"/>
  <c r="AF130" i="1"/>
  <c r="AE130" i="1"/>
  <c r="AD130" i="1"/>
  <c r="AC130" i="1"/>
  <c r="AB130" i="1"/>
  <c r="AA130" i="1"/>
  <c r="BG129" i="1"/>
  <c r="BF129" i="1"/>
  <c r="BE129" i="1"/>
  <c r="BD129" i="1"/>
  <c r="BC129" i="1"/>
  <c r="BB129" i="1"/>
  <c r="BA129" i="1"/>
  <c r="AZ129" i="1"/>
  <c r="AU129" i="1"/>
  <c r="AT129" i="1"/>
  <c r="AS129" i="1"/>
  <c r="AR129" i="1"/>
  <c r="AQ129" i="1"/>
  <c r="AP129" i="1"/>
  <c r="AO129" i="1"/>
  <c r="AN129" i="1"/>
  <c r="AM129" i="1"/>
  <c r="AL129" i="1"/>
  <c r="AK129" i="1"/>
  <c r="AJ129" i="1"/>
  <c r="AI129" i="1"/>
  <c r="AH129" i="1"/>
  <c r="AG129" i="1"/>
  <c r="AF129" i="1"/>
  <c r="AE129" i="1"/>
  <c r="AD129" i="1"/>
  <c r="AC129" i="1"/>
  <c r="AB129" i="1"/>
  <c r="AA129" i="1"/>
  <c r="BG128" i="1"/>
  <c r="BF128" i="1"/>
  <c r="BE128" i="1"/>
  <c r="BD128" i="1"/>
  <c r="BC128" i="1"/>
  <c r="BB128" i="1"/>
  <c r="BA128" i="1"/>
  <c r="AZ128" i="1"/>
  <c r="AU128" i="1"/>
  <c r="AT128" i="1"/>
  <c r="AS128" i="1"/>
  <c r="AR128" i="1"/>
  <c r="AQ128" i="1"/>
  <c r="AP128" i="1"/>
  <c r="AO128" i="1"/>
  <c r="AN128" i="1"/>
  <c r="AM128" i="1"/>
  <c r="AL128" i="1"/>
  <c r="AK128" i="1"/>
  <c r="AJ128" i="1"/>
  <c r="AI128" i="1"/>
  <c r="AH128" i="1"/>
  <c r="AG128" i="1"/>
  <c r="AF128" i="1"/>
  <c r="AE128" i="1"/>
  <c r="AD128" i="1"/>
  <c r="AC128" i="1"/>
  <c r="AB128" i="1"/>
  <c r="AA128" i="1"/>
  <c r="BG127" i="1"/>
  <c r="BF127" i="1"/>
  <c r="BE127" i="1"/>
  <c r="BD127" i="1"/>
  <c r="BC127" i="1"/>
  <c r="BB127" i="1"/>
  <c r="BA127" i="1"/>
  <c r="AZ127" i="1"/>
  <c r="AU127" i="1"/>
  <c r="AT127" i="1"/>
  <c r="AS127" i="1"/>
  <c r="AR127" i="1"/>
  <c r="AQ127" i="1"/>
  <c r="AP127" i="1"/>
  <c r="AO127" i="1"/>
  <c r="AN127" i="1"/>
  <c r="AM127" i="1"/>
  <c r="AL127" i="1"/>
  <c r="AK127" i="1"/>
  <c r="AJ127" i="1"/>
  <c r="AI127" i="1"/>
  <c r="AH127" i="1"/>
  <c r="AG127" i="1"/>
  <c r="AF127" i="1"/>
  <c r="AE127" i="1"/>
  <c r="AD127" i="1"/>
  <c r="AC127" i="1"/>
  <c r="AB127" i="1"/>
  <c r="AA127" i="1"/>
  <c r="BG126" i="1"/>
  <c r="BF126" i="1"/>
  <c r="BE126" i="1"/>
  <c r="BD126" i="1"/>
  <c r="BC126" i="1"/>
  <c r="BB126" i="1"/>
  <c r="BA126" i="1"/>
  <c r="AZ126" i="1"/>
  <c r="AT126" i="1"/>
  <c r="AS126" i="1"/>
  <c r="AR126" i="1"/>
  <c r="AQ126" i="1"/>
  <c r="AP126" i="1"/>
  <c r="AO126" i="1"/>
  <c r="AN126" i="1"/>
  <c r="AM126" i="1"/>
  <c r="AL126" i="1"/>
  <c r="AK126" i="1"/>
  <c r="AJ126" i="1"/>
  <c r="AI126" i="1"/>
  <c r="AH126" i="1"/>
  <c r="AG126" i="1"/>
  <c r="AF126" i="1"/>
  <c r="AE126" i="1"/>
  <c r="AD126" i="1"/>
  <c r="AC126" i="1"/>
  <c r="AB126" i="1"/>
  <c r="AA126" i="1"/>
  <c r="BG124" i="1"/>
  <c r="BF124" i="1"/>
  <c r="BE124" i="1"/>
  <c r="BD124" i="1"/>
  <c r="BC124" i="1"/>
  <c r="BB124" i="1"/>
  <c r="BA124" i="1"/>
  <c r="AZ124" i="1"/>
  <c r="AU124" i="1"/>
  <c r="AT124" i="1"/>
  <c r="AS124" i="1"/>
  <c r="AR124" i="1"/>
  <c r="AQ124" i="1"/>
  <c r="AP124" i="1"/>
  <c r="AO124" i="1"/>
  <c r="AN124" i="1"/>
  <c r="AM124" i="1"/>
  <c r="AL124" i="1"/>
  <c r="AK124" i="1"/>
  <c r="AJ124" i="1"/>
  <c r="AI124" i="1"/>
  <c r="AH124" i="1"/>
  <c r="AG124" i="1"/>
  <c r="AF124" i="1"/>
  <c r="AE124" i="1"/>
  <c r="AD124" i="1"/>
  <c r="AC124" i="1"/>
  <c r="AB124" i="1"/>
  <c r="AA124" i="1"/>
  <c r="BG123" i="1"/>
  <c r="BF123" i="1"/>
  <c r="BE123" i="1"/>
  <c r="BD123" i="1"/>
  <c r="BC123" i="1"/>
  <c r="BB123" i="1"/>
  <c r="BA123" i="1"/>
  <c r="AZ123" i="1"/>
  <c r="AU123" i="1"/>
  <c r="AT123" i="1"/>
  <c r="AS123" i="1"/>
  <c r="AR123" i="1"/>
  <c r="AQ123" i="1"/>
  <c r="AP123" i="1"/>
  <c r="AJ123" i="1"/>
  <c r="AI123" i="1"/>
  <c r="AH123" i="1"/>
  <c r="AG123" i="1"/>
  <c r="AF123" i="1"/>
  <c r="AE123" i="1"/>
  <c r="AD123" i="1"/>
  <c r="AC123" i="1"/>
  <c r="AB123" i="1"/>
  <c r="AA123" i="1"/>
  <c r="BG122" i="1"/>
  <c r="BF122" i="1"/>
  <c r="BE122" i="1"/>
  <c r="BD122" i="1"/>
  <c r="BC122" i="1"/>
  <c r="BB122" i="1"/>
  <c r="BA122" i="1"/>
  <c r="AZ122" i="1"/>
  <c r="AT122" i="1"/>
  <c r="AO122" i="1"/>
  <c r="AJ122" i="1"/>
  <c r="AE122" i="1"/>
  <c r="BG121" i="1"/>
  <c r="BF121" i="1"/>
  <c r="BE121" i="1"/>
  <c r="BD121" i="1"/>
  <c r="BC121" i="1"/>
  <c r="BB121" i="1"/>
  <c r="BA121" i="1"/>
  <c r="AZ121" i="1"/>
  <c r="AT121" i="1"/>
  <c r="AO121" i="1"/>
  <c r="AJ121" i="1"/>
  <c r="AE121" i="1"/>
  <c r="BG120" i="1"/>
  <c r="BF120" i="1"/>
  <c r="BE120" i="1"/>
  <c r="BD120" i="1"/>
  <c r="BC120" i="1"/>
  <c r="BB120" i="1"/>
  <c r="BA120" i="1"/>
  <c r="AZ120" i="1"/>
  <c r="AT120" i="1"/>
  <c r="AO120" i="1"/>
  <c r="AJ120" i="1"/>
  <c r="AE120" i="1"/>
  <c r="BG119" i="1"/>
  <c r="BF119" i="1"/>
  <c r="BE119" i="1"/>
  <c r="BD119" i="1"/>
  <c r="BC119" i="1"/>
  <c r="BB119" i="1"/>
  <c r="BA119" i="1"/>
  <c r="AZ119" i="1"/>
  <c r="AT119" i="1"/>
  <c r="AO119" i="1"/>
  <c r="AJ119" i="1"/>
  <c r="AE119" i="1"/>
  <c r="BG117" i="1"/>
  <c r="BF117" i="1"/>
  <c r="BE117" i="1"/>
  <c r="BD117" i="1"/>
  <c r="BC117" i="1"/>
  <c r="BB117" i="1"/>
  <c r="BA117" i="1"/>
  <c r="AZ117" i="1"/>
  <c r="AU117" i="1"/>
  <c r="AT117" i="1"/>
  <c r="AS117" i="1"/>
  <c r="AR117" i="1"/>
  <c r="AQ117" i="1"/>
  <c r="AP117" i="1"/>
  <c r="AO117" i="1"/>
  <c r="AN117" i="1"/>
  <c r="AM117" i="1"/>
  <c r="AL117" i="1"/>
  <c r="AK117" i="1"/>
  <c r="AJ117" i="1"/>
  <c r="AI117" i="1"/>
  <c r="AH117" i="1"/>
  <c r="AG117" i="1"/>
  <c r="AF117" i="1"/>
  <c r="AE117" i="1"/>
  <c r="AD117" i="1"/>
  <c r="AC117" i="1"/>
  <c r="AB117" i="1"/>
  <c r="AA117" i="1"/>
  <c r="AU116" i="1"/>
  <c r="AT116" i="1"/>
  <c r="AS116" i="1"/>
  <c r="AR116" i="1"/>
  <c r="AQ116" i="1"/>
  <c r="AP116" i="1"/>
  <c r="AO116" i="1"/>
  <c r="AN116" i="1"/>
  <c r="AM116" i="1"/>
  <c r="AL116" i="1"/>
  <c r="AK116" i="1"/>
  <c r="AJ116" i="1"/>
  <c r="AE116" i="1"/>
  <c r="AU115" i="1"/>
  <c r="AT115" i="1"/>
  <c r="AS115" i="1"/>
  <c r="AR115" i="1"/>
  <c r="AQ115" i="1"/>
  <c r="AP115" i="1"/>
  <c r="AO115" i="1"/>
  <c r="AN115" i="1"/>
  <c r="AM115" i="1"/>
  <c r="AL115" i="1"/>
  <c r="AU113" i="1"/>
  <c r="AT113" i="1"/>
  <c r="AS113" i="1"/>
  <c r="AR113" i="1"/>
  <c r="AQ113" i="1"/>
  <c r="AP113" i="1"/>
  <c r="AO113" i="1"/>
  <c r="AN113" i="1"/>
  <c r="AM113" i="1"/>
  <c r="AL113" i="1"/>
  <c r="AK113" i="1"/>
  <c r="AJ113" i="1"/>
  <c r="AE113" i="1"/>
  <c r="AU112" i="1"/>
  <c r="AT112" i="1"/>
  <c r="AS112" i="1"/>
  <c r="AR112" i="1"/>
  <c r="AQ112" i="1"/>
  <c r="AP112" i="1"/>
  <c r="AO112" i="1"/>
  <c r="AN112" i="1"/>
  <c r="AM112" i="1"/>
  <c r="AL112" i="1"/>
  <c r="AU110" i="1"/>
  <c r="AT110" i="1"/>
  <c r="AS110" i="1"/>
  <c r="AR110" i="1"/>
  <c r="AQ110" i="1"/>
  <c r="AP110" i="1"/>
  <c r="AO110" i="1"/>
  <c r="AN110" i="1"/>
  <c r="AM110" i="1"/>
  <c r="AL110" i="1"/>
  <c r="AK110" i="1"/>
  <c r="AJ110" i="1"/>
  <c r="AE110" i="1"/>
  <c r="AU109" i="1"/>
  <c r="AT109" i="1"/>
  <c r="AS109" i="1"/>
  <c r="AR109" i="1"/>
  <c r="AQ109" i="1"/>
  <c r="AP109" i="1"/>
  <c r="AJ107" i="1"/>
  <c r="AE107" i="1"/>
  <c r="AJ104" i="1"/>
  <c r="AE104" i="1"/>
  <c r="BG99" i="1"/>
  <c r="BF99" i="1"/>
  <c r="BE99" i="1"/>
  <c r="BD99" i="1"/>
  <c r="BC99" i="1"/>
  <c r="BB99" i="1"/>
  <c r="BA99" i="1"/>
  <c r="AZ99" i="1"/>
  <c r="AY99" i="1"/>
  <c r="AX99" i="1"/>
  <c r="AW99" i="1"/>
  <c r="AV99" i="1"/>
  <c r="AU99" i="1"/>
  <c r="AT99" i="1"/>
  <c r="AS99" i="1"/>
  <c r="AR99" i="1"/>
  <c r="AQ99" i="1"/>
  <c r="AP99" i="1"/>
  <c r="AO99" i="1"/>
  <c r="AN99" i="1"/>
  <c r="AM99" i="1"/>
  <c r="AL99" i="1"/>
  <c r="AK99" i="1"/>
  <c r="BG98" i="1"/>
  <c r="BF98" i="1"/>
  <c r="BE98" i="1"/>
  <c r="BD98" i="1"/>
  <c r="BC98" i="1"/>
  <c r="BB98" i="1"/>
  <c r="BA98" i="1"/>
  <c r="AZ98" i="1"/>
  <c r="AY98" i="1"/>
  <c r="AX98" i="1"/>
  <c r="AW98" i="1"/>
  <c r="AV98" i="1"/>
  <c r="AU98" i="1"/>
  <c r="AT98" i="1"/>
  <c r="AS98" i="1"/>
  <c r="AR98" i="1"/>
  <c r="AQ98" i="1"/>
  <c r="AP98" i="1"/>
  <c r="AO98" i="1"/>
  <c r="AN98" i="1"/>
  <c r="AM98" i="1"/>
  <c r="AL98" i="1"/>
  <c r="AK98" i="1"/>
  <c r="BG97" i="1"/>
  <c r="BF97" i="1"/>
  <c r="BE97" i="1"/>
  <c r="BD97" i="1"/>
  <c r="BC97" i="1"/>
  <c r="BB97" i="1"/>
  <c r="BA97" i="1"/>
  <c r="AZ97" i="1"/>
  <c r="AY97" i="1"/>
  <c r="AX97" i="1"/>
  <c r="AW97" i="1"/>
  <c r="AV97" i="1"/>
  <c r="AU97" i="1"/>
  <c r="AT97" i="1"/>
  <c r="AS97" i="1"/>
  <c r="AR97" i="1"/>
  <c r="AQ97" i="1"/>
  <c r="AP97" i="1"/>
  <c r="AO97" i="1"/>
  <c r="AN97" i="1"/>
  <c r="AM97" i="1"/>
  <c r="AL97" i="1"/>
  <c r="AK97" i="1"/>
  <c r="BG96" i="1"/>
  <c r="BF96" i="1"/>
  <c r="BE96" i="1"/>
  <c r="BD96" i="1"/>
  <c r="BC96" i="1"/>
  <c r="BB96" i="1"/>
  <c r="BA96" i="1"/>
  <c r="AZ96" i="1"/>
  <c r="AY96" i="1"/>
  <c r="AX96" i="1"/>
  <c r="AW96" i="1"/>
  <c r="AV96" i="1"/>
  <c r="AU96" i="1"/>
  <c r="AT96" i="1"/>
  <c r="AS96" i="1"/>
  <c r="AR96" i="1"/>
  <c r="AQ96" i="1"/>
  <c r="AP96" i="1"/>
  <c r="AO96" i="1"/>
  <c r="AN96" i="1"/>
  <c r="AM96" i="1"/>
  <c r="AL96" i="1"/>
  <c r="AK96" i="1"/>
  <c r="BG95" i="1"/>
  <c r="BF95" i="1"/>
  <c r="BE95" i="1"/>
  <c r="BD95" i="1"/>
  <c r="BC95" i="1"/>
  <c r="BB95" i="1"/>
  <c r="BA95" i="1"/>
  <c r="AZ95" i="1"/>
  <c r="AY95" i="1"/>
  <c r="AX95" i="1"/>
  <c r="AW95" i="1"/>
  <c r="AV95" i="1"/>
  <c r="AU95" i="1"/>
  <c r="AT95" i="1"/>
  <c r="AS95" i="1"/>
  <c r="AR95" i="1"/>
  <c r="AQ95" i="1"/>
  <c r="AP95" i="1"/>
  <c r="AO95" i="1"/>
  <c r="AN95" i="1"/>
  <c r="AM95" i="1"/>
  <c r="AL95" i="1"/>
  <c r="AK95" i="1"/>
  <c r="BG93" i="1"/>
  <c r="BF93" i="1"/>
  <c r="BE93" i="1"/>
  <c r="BD93" i="1"/>
  <c r="BC93" i="1"/>
  <c r="BB93" i="1"/>
  <c r="BA93" i="1"/>
  <c r="AZ93" i="1"/>
  <c r="AY93" i="1"/>
  <c r="AX93" i="1"/>
  <c r="AW93" i="1"/>
  <c r="AV93" i="1"/>
  <c r="AU93" i="1"/>
  <c r="AT93" i="1"/>
  <c r="AS93" i="1"/>
  <c r="AR93" i="1"/>
  <c r="AQ93" i="1"/>
  <c r="AP93" i="1"/>
  <c r="AO93" i="1"/>
  <c r="AN93" i="1"/>
  <c r="AM93" i="1"/>
  <c r="AL93" i="1"/>
  <c r="AK93" i="1"/>
  <c r="BG92" i="1"/>
  <c r="BF92" i="1"/>
  <c r="BE92" i="1"/>
  <c r="BD92" i="1"/>
  <c r="BC92" i="1"/>
  <c r="BB92" i="1"/>
  <c r="BA92" i="1"/>
  <c r="AZ92" i="1"/>
  <c r="AY92" i="1"/>
  <c r="AX92" i="1"/>
  <c r="AW92" i="1"/>
  <c r="AV92" i="1"/>
  <c r="AU92" i="1"/>
  <c r="AT92" i="1"/>
  <c r="AS92" i="1"/>
  <c r="AR92" i="1"/>
  <c r="AQ92" i="1"/>
  <c r="AP92" i="1"/>
  <c r="AO92" i="1"/>
  <c r="AN92" i="1"/>
  <c r="AM92" i="1"/>
  <c r="AL92" i="1"/>
  <c r="AK92" i="1"/>
  <c r="BG91" i="1"/>
  <c r="BF91" i="1"/>
  <c r="BE91" i="1"/>
  <c r="BD91" i="1"/>
  <c r="BC91" i="1"/>
  <c r="BB91" i="1"/>
  <c r="BA91" i="1"/>
  <c r="AZ91" i="1"/>
  <c r="AY91" i="1"/>
  <c r="AX91" i="1"/>
  <c r="AW91" i="1"/>
  <c r="AV91" i="1"/>
  <c r="AU91" i="1"/>
  <c r="BG90" i="1"/>
  <c r="BF90" i="1"/>
  <c r="BE90" i="1"/>
  <c r="BD90" i="1"/>
  <c r="BC90" i="1"/>
  <c r="BB90" i="1"/>
  <c r="BA90" i="1"/>
  <c r="AZ90" i="1"/>
  <c r="AY90" i="1"/>
  <c r="AX90" i="1"/>
  <c r="AW90" i="1"/>
  <c r="AV90" i="1"/>
  <c r="AU90" i="1"/>
  <c r="AT90" i="1"/>
  <c r="AS90" i="1"/>
  <c r="AR90" i="1"/>
  <c r="AQ90" i="1"/>
  <c r="AP90" i="1"/>
  <c r="AO90" i="1"/>
  <c r="AN90" i="1"/>
  <c r="AM90" i="1"/>
  <c r="AL90" i="1"/>
  <c r="AK90" i="1"/>
  <c r="BG89" i="1"/>
  <c r="BF89" i="1"/>
  <c r="BE89" i="1"/>
  <c r="BD89" i="1"/>
  <c r="BC89" i="1"/>
  <c r="BB89" i="1"/>
  <c r="BA89" i="1"/>
  <c r="AZ89" i="1"/>
  <c r="AY89" i="1"/>
  <c r="AX89" i="1"/>
  <c r="AW89" i="1"/>
  <c r="AV89" i="1"/>
  <c r="AU89" i="1"/>
  <c r="AT89" i="1"/>
  <c r="AS89" i="1"/>
  <c r="AR89" i="1"/>
  <c r="AQ89" i="1"/>
  <c r="AP89" i="1"/>
  <c r="AO89" i="1"/>
  <c r="AN89" i="1"/>
  <c r="AM89" i="1"/>
  <c r="AL89" i="1"/>
  <c r="AK89" i="1"/>
  <c r="BG88" i="1"/>
  <c r="BF88" i="1"/>
  <c r="BE88" i="1"/>
  <c r="BD88" i="1"/>
  <c r="BC88" i="1"/>
  <c r="BB88" i="1"/>
  <c r="BA88" i="1"/>
  <c r="AZ88" i="1"/>
  <c r="AY88" i="1"/>
  <c r="AX88" i="1"/>
  <c r="AW88" i="1"/>
  <c r="AV88" i="1"/>
  <c r="AU88" i="1"/>
  <c r="AT88" i="1"/>
  <c r="AS88" i="1"/>
  <c r="AR88" i="1"/>
  <c r="AQ88" i="1"/>
  <c r="AP88" i="1"/>
  <c r="AO88" i="1"/>
  <c r="AN88" i="1"/>
  <c r="AM88" i="1"/>
  <c r="AL88" i="1"/>
  <c r="AK88" i="1"/>
  <c r="BG87" i="1"/>
  <c r="BF87" i="1"/>
  <c r="BE87" i="1"/>
  <c r="BD87" i="1"/>
  <c r="BC87" i="1"/>
  <c r="BB87" i="1"/>
  <c r="BA87" i="1"/>
  <c r="AZ87" i="1"/>
  <c r="AY87" i="1"/>
  <c r="AX87" i="1"/>
  <c r="AW87" i="1"/>
  <c r="AV87" i="1"/>
  <c r="AU87" i="1"/>
  <c r="AT87" i="1"/>
  <c r="AS87" i="1"/>
  <c r="AR87" i="1"/>
  <c r="AQ87" i="1"/>
  <c r="AP87" i="1"/>
  <c r="AO87" i="1"/>
  <c r="AN87" i="1"/>
  <c r="AM87" i="1"/>
  <c r="AL87" i="1"/>
  <c r="AK87" i="1"/>
  <c r="BG84" i="1"/>
  <c r="BF84" i="1"/>
  <c r="BE84" i="1"/>
  <c r="BD84" i="1"/>
  <c r="BC84" i="1"/>
  <c r="BB84" i="1"/>
  <c r="BA84" i="1"/>
  <c r="AZ84" i="1"/>
  <c r="AY84" i="1"/>
  <c r="AX84" i="1"/>
  <c r="AW84" i="1"/>
  <c r="AV84" i="1"/>
  <c r="AU84" i="1"/>
  <c r="AT84" i="1"/>
  <c r="AS84" i="1"/>
  <c r="AR84" i="1"/>
  <c r="AQ84" i="1"/>
  <c r="AP84" i="1"/>
  <c r="AO84" i="1"/>
  <c r="AN84" i="1"/>
  <c r="AM84" i="1"/>
  <c r="AL84" i="1"/>
  <c r="AK84" i="1"/>
  <c r="AJ84" i="1"/>
  <c r="AI84" i="1"/>
  <c r="AH84" i="1"/>
  <c r="AG84" i="1"/>
  <c r="AF84" i="1"/>
  <c r="AE84" i="1"/>
  <c r="AD84" i="1"/>
  <c r="AC84" i="1"/>
  <c r="AB84" i="1"/>
  <c r="AA84" i="1"/>
  <c r="BG83" i="1"/>
  <c r="BF83" i="1"/>
  <c r="BE83" i="1"/>
  <c r="BD83" i="1"/>
  <c r="BC83" i="1"/>
  <c r="BB83" i="1"/>
  <c r="BA83" i="1"/>
  <c r="AZ83" i="1"/>
  <c r="AY83" i="1"/>
  <c r="AX83" i="1"/>
  <c r="AW83" i="1"/>
  <c r="AV83" i="1"/>
  <c r="AU83" i="1"/>
  <c r="AT83" i="1"/>
  <c r="AS83" i="1"/>
  <c r="AR83" i="1"/>
  <c r="AQ83" i="1"/>
  <c r="AP83" i="1"/>
  <c r="AO83" i="1"/>
  <c r="AN83" i="1"/>
  <c r="AM83" i="1"/>
  <c r="AL83" i="1"/>
  <c r="AK83" i="1"/>
  <c r="AJ83" i="1"/>
  <c r="AI83" i="1"/>
  <c r="AH83" i="1"/>
  <c r="AG83" i="1"/>
  <c r="AF83" i="1"/>
  <c r="AE83" i="1"/>
  <c r="AD83" i="1"/>
  <c r="AC83" i="1"/>
  <c r="AB83" i="1"/>
  <c r="AA83"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BG74" i="1"/>
  <c r="BF74" i="1"/>
  <c r="BE74" i="1"/>
  <c r="BD74" i="1"/>
  <c r="BC74" i="1"/>
  <c r="BB74" i="1"/>
  <c r="BA74" i="1"/>
  <c r="AZ74" i="1"/>
  <c r="AY74" i="1"/>
  <c r="AX74" i="1"/>
  <c r="AW74" i="1"/>
  <c r="AV74" i="1"/>
  <c r="AU74" i="1"/>
  <c r="AT74" i="1"/>
  <c r="AS74" i="1"/>
  <c r="AR74" i="1"/>
  <c r="AQ74" i="1"/>
  <c r="AP74" i="1"/>
  <c r="AO74" i="1"/>
  <c r="AN74" i="1"/>
  <c r="AM74" i="1"/>
  <c r="AL74" i="1"/>
  <c r="AK74" i="1"/>
  <c r="AJ74" i="1"/>
  <c r="AI74" i="1"/>
  <c r="AH74" i="1"/>
  <c r="AG74" i="1"/>
  <c r="AF74" i="1"/>
  <c r="AE74" i="1"/>
  <c r="AD74" i="1"/>
  <c r="AC74" i="1"/>
  <c r="AB74" i="1"/>
  <c r="AA74" i="1"/>
  <c r="Z74" i="1"/>
  <c r="Y74" i="1"/>
  <c r="X74" i="1"/>
  <c r="W74" i="1"/>
  <c r="V74"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AC72" i="1"/>
  <c r="AB72" i="1"/>
  <c r="AA72" i="1"/>
  <c r="Z72" i="1"/>
  <c r="Y72" i="1"/>
  <c r="X72" i="1"/>
  <c r="W72" i="1"/>
  <c r="V72" i="1"/>
  <c r="BG71" i="1"/>
  <c r="BF71" i="1"/>
  <c r="BE71" i="1"/>
  <c r="BD71" i="1"/>
  <c r="BC71" i="1"/>
  <c r="BB71" i="1"/>
  <c r="BA71" i="1"/>
  <c r="AZ71" i="1"/>
  <c r="AY71" i="1"/>
  <c r="AX71" i="1"/>
  <c r="AW71" i="1"/>
  <c r="AV71" i="1"/>
  <c r="AU71" i="1"/>
  <c r="AT71" i="1"/>
  <c r="AS71" i="1"/>
  <c r="AR71" i="1"/>
  <c r="AQ71" i="1"/>
  <c r="AP71" i="1"/>
  <c r="AO71" i="1"/>
  <c r="AN71" i="1"/>
  <c r="AM71" i="1"/>
  <c r="AL71" i="1"/>
  <c r="AK71" i="1"/>
  <c r="AJ71" i="1"/>
  <c r="AI71" i="1"/>
  <c r="AH71" i="1"/>
  <c r="AG71" i="1"/>
  <c r="AF71" i="1"/>
  <c r="AE71" i="1"/>
  <c r="AD71" i="1"/>
  <c r="AC71" i="1"/>
  <c r="AB71" i="1"/>
  <c r="AA71" i="1"/>
  <c r="Z71" i="1"/>
  <c r="Y71" i="1"/>
  <c r="X71" i="1"/>
  <c r="W71" i="1"/>
  <c r="V71" i="1"/>
  <c r="BG70" i="1"/>
  <c r="BF70" i="1"/>
  <c r="BE70" i="1"/>
  <c r="BD70" i="1"/>
  <c r="BC70" i="1"/>
  <c r="BB70" i="1"/>
  <c r="BA70" i="1"/>
  <c r="AZ70" i="1"/>
  <c r="AY70" i="1"/>
  <c r="AX70" i="1"/>
  <c r="AW70" i="1"/>
  <c r="AV70" i="1"/>
  <c r="AU70" i="1"/>
  <c r="AT70" i="1"/>
  <c r="AS70" i="1"/>
  <c r="AR70" i="1"/>
  <c r="AQ70" i="1"/>
  <c r="AP70" i="1"/>
  <c r="AO70" i="1"/>
  <c r="AN70" i="1"/>
  <c r="AM70" i="1"/>
  <c r="AL70" i="1"/>
  <c r="AK70" i="1"/>
  <c r="AJ70" i="1"/>
  <c r="AI70" i="1"/>
  <c r="AH70" i="1"/>
  <c r="AG70" i="1"/>
  <c r="AF70" i="1"/>
  <c r="AE70" i="1"/>
  <c r="AD70" i="1"/>
  <c r="AC70" i="1"/>
  <c r="AB70" i="1"/>
  <c r="AA70" i="1"/>
  <c r="Z70" i="1"/>
  <c r="Y70" i="1"/>
  <c r="X70" i="1"/>
  <c r="W70" i="1"/>
  <c r="V70" i="1"/>
  <c r="BG69" i="1"/>
  <c r="BF69" i="1"/>
  <c r="BE69" i="1"/>
  <c r="BD69" i="1"/>
  <c r="BC69" i="1"/>
  <c r="BB69" i="1"/>
  <c r="BA69" i="1"/>
  <c r="AZ69" i="1"/>
  <c r="AY69" i="1"/>
  <c r="AX69" i="1"/>
  <c r="AW69" i="1"/>
  <c r="AV69" i="1"/>
  <c r="AU69" i="1"/>
  <c r="AT69" i="1"/>
  <c r="AS69" i="1"/>
  <c r="AR69" i="1"/>
  <c r="AQ69" i="1"/>
  <c r="AP69" i="1"/>
  <c r="AO69" i="1"/>
  <c r="AN69" i="1"/>
  <c r="AM69" i="1"/>
  <c r="AL69" i="1"/>
  <c r="AK69" i="1"/>
  <c r="AJ69" i="1"/>
  <c r="AI69" i="1"/>
  <c r="AH69" i="1"/>
  <c r="AG69" i="1"/>
  <c r="AF69" i="1"/>
  <c r="AE69" i="1"/>
  <c r="AD69" i="1"/>
  <c r="AC69" i="1"/>
  <c r="AB69" i="1"/>
  <c r="AA69" i="1"/>
  <c r="Z69" i="1"/>
  <c r="Y69" i="1"/>
  <c r="X69" i="1"/>
  <c r="W69" i="1"/>
  <c r="V69" i="1"/>
  <c r="BG68" i="1"/>
  <c r="BF68" i="1"/>
  <c r="BE68" i="1"/>
  <c r="BD68" i="1"/>
  <c r="BC68" i="1"/>
  <c r="BB68" i="1"/>
  <c r="BA68" i="1"/>
  <c r="AZ68" i="1"/>
  <c r="AY68" i="1"/>
  <c r="AX68" i="1"/>
  <c r="AW68" i="1"/>
  <c r="AV68" i="1"/>
  <c r="AU68" i="1"/>
  <c r="AT68" i="1"/>
  <c r="AS68" i="1"/>
  <c r="AR68" i="1"/>
  <c r="AQ68" i="1"/>
  <c r="AP68" i="1"/>
  <c r="AO68" i="1"/>
  <c r="AN68" i="1"/>
  <c r="AM68" i="1"/>
  <c r="AL68" i="1"/>
  <c r="AK68" i="1"/>
  <c r="AJ68" i="1"/>
  <c r="AI68" i="1"/>
  <c r="AH68" i="1"/>
  <c r="AG68" i="1"/>
  <c r="AF68" i="1"/>
  <c r="AE68" i="1"/>
  <c r="AD68" i="1"/>
  <c r="AC68" i="1"/>
  <c r="AB68" i="1"/>
  <c r="AA68" i="1"/>
  <c r="Z68" i="1"/>
  <c r="Y68" i="1"/>
  <c r="X68" i="1"/>
  <c r="W68" i="1"/>
  <c r="V68"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BG63" i="1"/>
  <c r="BF63" i="1"/>
  <c r="BE63" i="1"/>
  <c r="BD63" i="1"/>
  <c r="BC63" i="1"/>
  <c r="BB63" i="1"/>
  <c r="BA63" i="1"/>
  <c r="AZ63" i="1"/>
  <c r="AY63" i="1"/>
  <c r="AX63" i="1"/>
  <c r="AW63" i="1"/>
  <c r="AV63" i="1"/>
  <c r="AI63" i="1"/>
  <c r="AD63" i="1"/>
  <c r="Y63"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BG61" i="1"/>
  <c r="BF61" i="1"/>
  <c r="BE61" i="1"/>
  <c r="BD61" i="1"/>
  <c r="BC61" i="1"/>
  <c r="BB61" i="1"/>
  <c r="BA61" i="1"/>
  <c r="AZ61" i="1"/>
  <c r="AY61" i="1"/>
  <c r="AX61" i="1"/>
  <c r="AW61" i="1"/>
  <c r="AV61" i="1"/>
  <c r="AI61" i="1"/>
  <c r="AD61" i="1"/>
  <c r="Y61" i="1"/>
  <c r="BG60" i="1"/>
  <c r="BF60" i="1"/>
  <c r="BE60" i="1"/>
  <c r="BD60" i="1"/>
  <c r="BC60" i="1"/>
  <c r="BB60" i="1"/>
  <c r="BA60" i="1"/>
  <c r="AZ60" i="1"/>
  <c r="AY60" i="1"/>
  <c r="AX60" i="1"/>
  <c r="AW60" i="1"/>
  <c r="AV60" i="1"/>
  <c r="AI60" i="1"/>
  <c r="AD60" i="1"/>
  <c r="Y60" i="1"/>
  <c r="BG59" i="1"/>
  <c r="BF59" i="1"/>
  <c r="BE59" i="1"/>
  <c r="BD59" i="1"/>
  <c r="BC59" i="1"/>
  <c r="BB59" i="1"/>
  <c r="BA59" i="1"/>
  <c r="AZ59" i="1"/>
  <c r="AY59" i="1"/>
  <c r="AX59" i="1"/>
  <c r="AW59" i="1"/>
  <c r="AV59" i="1"/>
  <c r="AI59" i="1"/>
  <c r="AD59" i="1"/>
  <c r="Y59" i="1"/>
  <c r="BG58" i="1"/>
  <c r="BF58" i="1"/>
  <c r="BE58" i="1"/>
  <c r="BD58" i="1"/>
  <c r="BC58" i="1"/>
  <c r="BB58" i="1"/>
  <c r="BA58" i="1"/>
  <c r="AZ58" i="1"/>
  <c r="AY58" i="1"/>
  <c r="AX58" i="1"/>
  <c r="AW58" i="1"/>
  <c r="AV58" i="1"/>
  <c r="AI58" i="1"/>
  <c r="AD58" i="1"/>
  <c r="Y58" i="1"/>
  <c r="BG57" i="1"/>
  <c r="BF57" i="1"/>
  <c r="BE57" i="1"/>
  <c r="BD57" i="1"/>
  <c r="BC57" i="1"/>
  <c r="BB57" i="1"/>
  <c r="BA57" i="1"/>
  <c r="AZ57" i="1"/>
  <c r="AY57" i="1"/>
  <c r="AX57" i="1"/>
  <c r="AW57" i="1"/>
  <c r="AV57" i="1"/>
  <c r="AI57" i="1"/>
  <c r="AD57" i="1"/>
  <c r="Y57" i="1"/>
  <c r="BG55" i="1"/>
  <c r="BF55" i="1"/>
  <c r="BE55" i="1"/>
  <c r="BD55" i="1"/>
  <c r="BC55" i="1"/>
  <c r="BB55" i="1"/>
  <c r="BA55" i="1"/>
  <c r="AZ55" i="1"/>
  <c r="AY55" i="1"/>
  <c r="AX55" i="1"/>
  <c r="AW55" i="1"/>
  <c r="AV55" i="1"/>
  <c r="AU55" i="1"/>
  <c r="AT55" i="1"/>
  <c r="AS55" i="1"/>
  <c r="AR55" i="1"/>
  <c r="AQ55" i="1"/>
  <c r="AP55" i="1"/>
  <c r="AO55" i="1"/>
  <c r="AN55" i="1"/>
  <c r="AM55" i="1"/>
  <c r="AL55" i="1"/>
  <c r="AK55" i="1"/>
  <c r="AJ55" i="1"/>
  <c r="AI55" i="1"/>
  <c r="AH55" i="1"/>
  <c r="AG55" i="1"/>
  <c r="AF55" i="1"/>
  <c r="AE55" i="1"/>
  <c r="AD55" i="1"/>
  <c r="AC55" i="1"/>
  <c r="AB55" i="1"/>
  <c r="AA55" i="1"/>
  <c r="BG54" i="1"/>
  <c r="BF54" i="1"/>
  <c r="BE54" i="1"/>
  <c r="BD54" i="1"/>
  <c r="BC54" i="1"/>
  <c r="BB54" i="1"/>
  <c r="BA54" i="1"/>
  <c r="AZ54" i="1"/>
  <c r="AY54" i="1"/>
  <c r="AX54" i="1"/>
  <c r="AW54" i="1"/>
  <c r="AV54" i="1"/>
  <c r="AU54" i="1"/>
  <c r="AT54" i="1"/>
  <c r="AS54" i="1"/>
  <c r="AR54" i="1"/>
  <c r="AQ54" i="1"/>
  <c r="AP54" i="1"/>
  <c r="AO54" i="1"/>
  <c r="AN54" i="1"/>
  <c r="AM54" i="1"/>
  <c r="AL54" i="1"/>
  <c r="AK54" i="1"/>
  <c r="AJ54" i="1"/>
  <c r="AI54" i="1"/>
  <c r="AH54" i="1"/>
  <c r="AG54" i="1"/>
  <c r="AF54" i="1"/>
  <c r="AE54" i="1"/>
  <c r="AD54" i="1"/>
  <c r="AC54" i="1"/>
  <c r="AB54" i="1"/>
  <c r="AA54" i="1"/>
  <c r="BG53" i="1"/>
  <c r="BF53" i="1"/>
  <c r="BE53" i="1"/>
  <c r="BD53" i="1"/>
  <c r="BC53" i="1"/>
  <c r="BB53" i="1"/>
  <c r="BA53" i="1"/>
  <c r="AZ53" i="1"/>
  <c r="AY53" i="1"/>
  <c r="AX53" i="1"/>
  <c r="AW53" i="1"/>
  <c r="AV53" i="1"/>
  <c r="AU53" i="1"/>
  <c r="AT53" i="1"/>
  <c r="AS53" i="1"/>
  <c r="AR53" i="1"/>
  <c r="AQ53" i="1"/>
  <c r="AP53" i="1"/>
  <c r="AO53" i="1"/>
  <c r="AN53" i="1"/>
  <c r="AM53" i="1"/>
  <c r="AL53" i="1"/>
  <c r="AK53" i="1"/>
  <c r="AJ53" i="1"/>
  <c r="AI53" i="1"/>
  <c r="AH53" i="1"/>
  <c r="AG53" i="1"/>
  <c r="AF53" i="1"/>
  <c r="AE53" i="1"/>
  <c r="AD53" i="1"/>
  <c r="AC53" i="1"/>
  <c r="AB53" i="1"/>
  <c r="AA53" i="1"/>
  <c r="BG52" i="1"/>
  <c r="BF52" i="1"/>
  <c r="BE52" i="1"/>
  <c r="BD52" i="1"/>
  <c r="BC52" i="1"/>
  <c r="BB52" i="1"/>
  <c r="BA52" i="1"/>
  <c r="AZ52" i="1"/>
  <c r="AY52" i="1"/>
  <c r="AX52" i="1"/>
  <c r="AW52" i="1"/>
  <c r="AV52" i="1"/>
  <c r="AU52" i="1"/>
  <c r="AT52" i="1"/>
  <c r="AS52" i="1"/>
  <c r="AR52" i="1"/>
  <c r="AQ52" i="1"/>
  <c r="AP52" i="1"/>
  <c r="AO52" i="1"/>
  <c r="AN52" i="1"/>
  <c r="AM52" i="1"/>
  <c r="AL52" i="1"/>
  <c r="AK52" i="1"/>
  <c r="AJ52" i="1"/>
  <c r="AI52" i="1"/>
  <c r="AH52" i="1"/>
  <c r="AG52" i="1"/>
  <c r="AF52" i="1"/>
  <c r="AE52" i="1"/>
  <c r="AD52" i="1"/>
  <c r="AC52" i="1"/>
  <c r="AB52" i="1"/>
  <c r="AA52"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BG42" i="1"/>
  <c r="BF42" i="1"/>
  <c r="BE42" i="1"/>
  <c r="BD42" i="1"/>
  <c r="BC42" i="1"/>
  <c r="BB42" i="1"/>
  <c r="BA42" i="1"/>
  <c r="AZ42" i="1"/>
  <c r="AY42" i="1"/>
  <c r="AX42" i="1"/>
  <c r="AW42" i="1"/>
  <c r="AV42" i="1"/>
  <c r="AU42" i="1"/>
  <c r="AT42" i="1"/>
  <c r="AS42" i="1"/>
  <c r="AR42" i="1"/>
  <c r="AQ42" i="1"/>
  <c r="AP42" i="1"/>
  <c r="AO42" i="1"/>
  <c r="AN42" i="1"/>
  <c r="AM42" i="1"/>
  <c r="AL42" i="1"/>
  <c r="AK42" i="1"/>
  <c r="AJ42" i="1"/>
  <c r="AI42" i="1"/>
  <c r="AH42" i="1"/>
  <c r="AG42" i="1"/>
  <c r="AF42" i="1"/>
  <c r="AE42" i="1"/>
  <c r="AD42" i="1"/>
  <c r="AC42" i="1"/>
  <c r="AB42" i="1"/>
  <c r="AA42" i="1"/>
  <c r="Z42" i="1"/>
  <c r="Y42" i="1"/>
  <c r="X42" i="1"/>
  <c r="W42" i="1"/>
  <c r="V42" i="1"/>
  <c r="BG41" i="1"/>
  <c r="BF41" i="1"/>
  <c r="BE41" i="1"/>
  <c r="BD41" i="1"/>
  <c r="BC41" i="1"/>
  <c r="BB41" i="1"/>
  <c r="BA41" i="1"/>
  <c r="AZ41" i="1"/>
  <c r="AY41" i="1"/>
  <c r="AX41" i="1"/>
  <c r="AW41" i="1"/>
  <c r="AV41" i="1"/>
  <c r="AS41" i="1"/>
  <c r="AN41" i="1"/>
  <c r="AI41" i="1"/>
  <c r="AD41" i="1"/>
  <c r="Y41" i="1"/>
  <c r="BG40" i="1"/>
  <c r="BF40" i="1"/>
  <c r="BE40" i="1"/>
  <c r="BD40" i="1"/>
  <c r="BC40" i="1"/>
  <c r="BB40" i="1"/>
  <c r="BA40" i="1"/>
  <c r="AZ40" i="1"/>
  <c r="AY40" i="1"/>
  <c r="AX40" i="1"/>
  <c r="AW40" i="1"/>
  <c r="AV40" i="1"/>
  <c r="AS40" i="1"/>
  <c r="AN40" i="1"/>
  <c r="AI40" i="1"/>
  <c r="AD40" i="1"/>
  <c r="Y40" i="1"/>
  <c r="BG39" i="1"/>
  <c r="BF39" i="1"/>
  <c r="BE39" i="1"/>
  <c r="BD39" i="1"/>
  <c r="BC39" i="1"/>
  <c r="BB39" i="1"/>
  <c r="BA39" i="1"/>
  <c r="AZ39" i="1"/>
  <c r="AY39" i="1"/>
  <c r="AX39" i="1"/>
  <c r="AW39" i="1"/>
  <c r="AV39" i="1"/>
  <c r="AS39" i="1"/>
  <c r="AN39" i="1"/>
  <c r="AI39" i="1"/>
  <c r="AD39" i="1"/>
  <c r="Y39" i="1"/>
  <c r="BG38" i="1"/>
  <c r="BF38" i="1"/>
  <c r="BE38" i="1"/>
  <c r="BD38" i="1"/>
  <c r="BC38" i="1"/>
  <c r="BB38" i="1"/>
  <c r="BA38" i="1"/>
  <c r="AZ38" i="1"/>
  <c r="AY38" i="1"/>
  <c r="AX38" i="1"/>
  <c r="AW38" i="1"/>
  <c r="AV38" i="1"/>
  <c r="AS38" i="1"/>
  <c r="AN38" i="1"/>
  <c r="AI38" i="1"/>
  <c r="AD38" i="1"/>
  <c r="Y38" i="1"/>
  <c r="BG37" i="1"/>
  <c r="BF37" i="1"/>
  <c r="BE37" i="1"/>
  <c r="BD37" i="1"/>
  <c r="BC37" i="1"/>
  <c r="BB37" i="1"/>
  <c r="BA37" i="1"/>
  <c r="AZ37" i="1"/>
  <c r="AY37" i="1"/>
  <c r="AX37" i="1"/>
  <c r="AW37" i="1"/>
  <c r="AV37" i="1"/>
  <c r="AS37" i="1"/>
  <c r="AN37" i="1"/>
  <c r="AI37" i="1"/>
  <c r="AD37" i="1"/>
  <c r="Y37" i="1"/>
  <c r="BG36" i="1"/>
  <c r="BF36" i="1"/>
  <c r="BE36" i="1"/>
  <c r="BD36" i="1"/>
  <c r="BC36" i="1"/>
  <c r="BB36" i="1"/>
  <c r="BA36" i="1"/>
  <c r="AZ36" i="1"/>
  <c r="AY36" i="1"/>
  <c r="AX36" i="1"/>
  <c r="AW36" i="1"/>
  <c r="AV36" i="1"/>
  <c r="AS36" i="1"/>
  <c r="AN36" i="1"/>
  <c r="AI36" i="1"/>
  <c r="AD36" i="1"/>
  <c r="Y36" i="1"/>
  <c r="BG34" i="1"/>
  <c r="BF34" i="1"/>
  <c r="BE34" i="1"/>
  <c r="BD34" i="1"/>
  <c r="BC34" i="1"/>
  <c r="BB34" i="1"/>
  <c r="BA34" i="1"/>
  <c r="AZ34" i="1"/>
  <c r="AU34" i="1"/>
  <c r="AT34" i="1"/>
  <c r="AS34" i="1"/>
  <c r="AR34" i="1"/>
  <c r="AQ34" i="1"/>
  <c r="AP34" i="1"/>
  <c r="AO34" i="1"/>
  <c r="AN34" i="1"/>
  <c r="AM34" i="1"/>
  <c r="AL34" i="1"/>
  <c r="AK34" i="1"/>
  <c r="AJ34" i="1"/>
  <c r="AI34" i="1"/>
  <c r="AH34" i="1"/>
  <c r="AG34" i="1"/>
  <c r="AF34" i="1"/>
  <c r="AE34" i="1"/>
  <c r="AD34" i="1"/>
  <c r="AC34" i="1"/>
  <c r="AB34" i="1"/>
  <c r="AA34" i="1"/>
  <c r="BG33" i="1"/>
  <c r="BF33" i="1"/>
  <c r="BE33" i="1"/>
  <c r="BD33" i="1"/>
  <c r="BC33" i="1"/>
  <c r="BB33" i="1"/>
  <c r="BA33" i="1"/>
  <c r="AZ33" i="1"/>
  <c r="AU33" i="1"/>
  <c r="AT33" i="1"/>
  <c r="AS33" i="1"/>
  <c r="AR33" i="1"/>
  <c r="AQ33" i="1"/>
  <c r="AP33" i="1"/>
  <c r="AO33" i="1"/>
  <c r="AN33" i="1"/>
  <c r="AM33" i="1"/>
  <c r="AL33" i="1"/>
  <c r="AK33" i="1"/>
  <c r="AJ33" i="1"/>
  <c r="AI33" i="1"/>
  <c r="AH33" i="1"/>
  <c r="AG33" i="1"/>
  <c r="AF33" i="1"/>
  <c r="AE33" i="1"/>
  <c r="AD33" i="1"/>
  <c r="AC33" i="1"/>
  <c r="AB33" i="1"/>
  <c r="AA33"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BG30" i="1"/>
  <c r="BF30" i="1"/>
  <c r="BE30" i="1"/>
  <c r="BD30" i="1"/>
  <c r="BC30" i="1"/>
  <c r="BB30" i="1"/>
  <c r="BA30" i="1"/>
  <c r="AZ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F30" i="1"/>
  <c r="E30" i="1"/>
  <c r="D30" i="1"/>
  <c r="BG29" i="1"/>
  <c r="BF29" i="1"/>
  <c r="BE29" i="1"/>
  <c r="BD29" i="1"/>
  <c r="BC29" i="1"/>
  <c r="BB29" i="1"/>
  <c r="BA29" i="1"/>
  <c r="AZ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F29" i="1"/>
  <c r="E29" i="1"/>
  <c r="D29" i="1"/>
  <c r="BG28" i="1"/>
  <c r="BF28" i="1"/>
  <c r="BE28" i="1"/>
  <c r="BD28" i="1"/>
  <c r="BC28" i="1"/>
  <c r="BB28" i="1"/>
  <c r="BA28" i="1"/>
  <c r="AZ28" i="1"/>
  <c r="AU28" i="1"/>
  <c r="AT28" i="1"/>
  <c r="AS28" i="1"/>
  <c r="AR28" i="1"/>
  <c r="AQ28" i="1"/>
  <c r="AP28" i="1"/>
  <c r="AO28" i="1"/>
  <c r="AN28" i="1"/>
  <c r="AM28" i="1"/>
  <c r="AL28" i="1"/>
  <c r="AK28" i="1"/>
  <c r="AJ28" i="1"/>
  <c r="AI28" i="1"/>
  <c r="AH28" i="1"/>
  <c r="AG28" i="1"/>
  <c r="AF28" i="1"/>
  <c r="AE28" i="1"/>
  <c r="AD28" i="1"/>
  <c r="AC28" i="1"/>
  <c r="AB28" i="1"/>
  <c r="AA28" i="1"/>
  <c r="Z28" i="1"/>
  <c r="Y28" i="1"/>
  <c r="X28" i="1"/>
  <c r="W28" i="1"/>
  <c r="V28" i="1"/>
  <c r="U28" i="1"/>
  <c r="T28" i="1"/>
  <c r="S28" i="1"/>
  <c r="R28" i="1"/>
  <c r="Q28" i="1"/>
  <c r="P28" i="1"/>
  <c r="O28" i="1"/>
  <c r="N28" i="1"/>
  <c r="M28" i="1"/>
  <c r="L28" i="1"/>
  <c r="K28" i="1"/>
  <c r="F28" i="1"/>
  <c r="E28" i="1"/>
  <c r="D28" i="1"/>
  <c r="BG27" i="1"/>
  <c r="BF27" i="1"/>
  <c r="BE27" i="1"/>
  <c r="BD27" i="1"/>
  <c r="BC27" i="1"/>
  <c r="BB27" i="1"/>
  <c r="BA27" i="1"/>
  <c r="AZ27" i="1"/>
  <c r="AU27" i="1"/>
  <c r="AT27" i="1"/>
  <c r="AS27" i="1"/>
  <c r="AR27" i="1"/>
  <c r="AQ27" i="1"/>
  <c r="AP27" i="1"/>
  <c r="AO27" i="1"/>
  <c r="AN27" i="1"/>
  <c r="AM27" i="1"/>
  <c r="AL27" i="1"/>
  <c r="AK27" i="1"/>
  <c r="AJ27" i="1"/>
  <c r="AI27" i="1"/>
  <c r="AH27" i="1"/>
  <c r="AG27" i="1"/>
  <c r="AF27" i="1"/>
  <c r="AE27" i="1"/>
  <c r="AD27" i="1"/>
  <c r="AC27" i="1"/>
  <c r="AB27" i="1"/>
  <c r="AA27" i="1"/>
  <c r="Z27" i="1"/>
  <c r="Y27" i="1"/>
  <c r="X27" i="1"/>
  <c r="W27" i="1"/>
  <c r="V27" i="1"/>
  <c r="U27" i="1"/>
  <c r="T27" i="1"/>
  <c r="S27" i="1"/>
  <c r="R27" i="1"/>
  <c r="Q27" i="1"/>
  <c r="P27" i="1"/>
  <c r="O27" i="1"/>
  <c r="N27" i="1"/>
  <c r="M27" i="1"/>
  <c r="L27" i="1"/>
  <c r="K27" i="1"/>
  <c r="F27" i="1"/>
  <c r="E27" i="1"/>
  <c r="D27" i="1"/>
  <c r="BG26" i="1"/>
  <c r="BF26" i="1"/>
  <c r="BE26" i="1"/>
  <c r="BD26" i="1"/>
  <c r="BC26" i="1"/>
  <c r="BB26" i="1"/>
  <c r="BA26" i="1"/>
  <c r="AZ26" i="1"/>
  <c r="AU26" i="1"/>
  <c r="AT26" i="1"/>
  <c r="AS26" i="1"/>
  <c r="AR26" i="1"/>
  <c r="AQ26" i="1"/>
  <c r="AP26" i="1"/>
  <c r="AO26" i="1"/>
  <c r="AN26" i="1"/>
  <c r="AM26" i="1"/>
  <c r="AL26" i="1"/>
  <c r="AK26" i="1"/>
  <c r="AJ26" i="1"/>
  <c r="AI26" i="1"/>
  <c r="AH26" i="1"/>
  <c r="AG26" i="1"/>
  <c r="AF26" i="1"/>
  <c r="AE26" i="1"/>
  <c r="AD26" i="1"/>
  <c r="AC26" i="1"/>
  <c r="AB26" i="1"/>
  <c r="AA26" i="1"/>
  <c r="Z26" i="1"/>
  <c r="Y26" i="1"/>
  <c r="X26" i="1"/>
  <c r="W26" i="1"/>
  <c r="V26" i="1"/>
  <c r="U26" i="1"/>
  <c r="T26" i="1"/>
  <c r="S26" i="1"/>
  <c r="R26" i="1"/>
  <c r="Q26" i="1"/>
  <c r="P26" i="1"/>
  <c r="O26" i="1"/>
  <c r="N26" i="1"/>
  <c r="M26" i="1"/>
  <c r="L26" i="1"/>
  <c r="K26" i="1"/>
  <c r="F26" i="1"/>
  <c r="E26" i="1"/>
  <c r="D26" i="1"/>
  <c r="AU25" i="1"/>
  <c r="AT25" i="1"/>
  <c r="AS25" i="1"/>
  <c r="AR25" i="1"/>
  <c r="AQ25" i="1"/>
  <c r="AP25" i="1"/>
  <c r="AO25" i="1"/>
  <c r="AN25" i="1"/>
  <c r="AM25" i="1"/>
  <c r="AL25" i="1"/>
  <c r="AK25" i="1"/>
  <c r="AJ25" i="1"/>
  <c r="AI25" i="1"/>
  <c r="AH25" i="1"/>
  <c r="AG25" i="1"/>
  <c r="AF25" i="1"/>
  <c r="AE25" i="1"/>
  <c r="AD25" i="1"/>
  <c r="AC25" i="1"/>
  <c r="AB25" i="1"/>
  <c r="AA25" i="1"/>
  <c r="Z25" i="1"/>
  <c r="Y25" i="1"/>
  <c r="X25" i="1"/>
  <c r="W25" i="1"/>
  <c r="V25" i="1"/>
  <c r="U25" i="1"/>
  <c r="T25" i="1"/>
  <c r="S25" i="1"/>
  <c r="R25" i="1"/>
  <c r="Q25" i="1"/>
  <c r="P25" i="1"/>
  <c r="O25" i="1"/>
  <c r="N25" i="1"/>
  <c r="M25" i="1"/>
  <c r="L25" i="1"/>
  <c r="K25" i="1"/>
  <c r="F25" i="1"/>
  <c r="E25" i="1"/>
  <c r="D25"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F24" i="1"/>
  <c r="E24" i="1"/>
  <c r="D24" i="1"/>
  <c r="BG23" i="1"/>
  <c r="BF23" i="1"/>
  <c r="BE23" i="1"/>
  <c r="BD23" i="1"/>
  <c r="BC23" i="1"/>
  <c r="BB23" i="1"/>
  <c r="BA23" i="1"/>
  <c r="AZ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F23" i="1"/>
  <c r="E23" i="1"/>
  <c r="D23" i="1"/>
  <c r="BG20" i="1"/>
  <c r="BF20" i="1"/>
  <c r="BE20" i="1"/>
  <c r="BD20" i="1"/>
  <c r="BC20" i="1"/>
  <c r="BB20" i="1"/>
  <c r="BA20" i="1"/>
  <c r="AZ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F20" i="1"/>
  <c r="E20" i="1"/>
  <c r="D20" i="1"/>
  <c r="C20" i="1"/>
  <c r="BG19" i="1"/>
  <c r="BF19" i="1"/>
  <c r="BE19" i="1"/>
  <c r="BD19" i="1"/>
  <c r="BC19" i="1"/>
  <c r="BB19" i="1"/>
  <c r="BA19" i="1"/>
  <c r="AZ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F19" i="1"/>
  <c r="E19" i="1"/>
  <c r="D19" i="1"/>
  <c r="BG18" i="1"/>
  <c r="BF18" i="1"/>
  <c r="BE18" i="1"/>
  <c r="BD18" i="1"/>
  <c r="BC18" i="1"/>
  <c r="BB18" i="1"/>
  <c r="BA18" i="1"/>
  <c r="AZ18" i="1"/>
  <c r="AT18" i="1"/>
  <c r="AO18" i="1"/>
  <c r="AJ18" i="1"/>
  <c r="AE18" i="1"/>
  <c r="Z18" i="1"/>
  <c r="U18" i="1"/>
  <c r="P18" i="1"/>
  <c r="BG17" i="1"/>
  <c r="BF17" i="1"/>
  <c r="BE17" i="1"/>
  <c r="BD17" i="1"/>
  <c r="BC17" i="1"/>
  <c r="BB17" i="1"/>
  <c r="BA17" i="1"/>
  <c r="AZ17" i="1"/>
  <c r="AT17" i="1"/>
  <c r="AO17" i="1"/>
  <c r="AJ17" i="1"/>
  <c r="AE17" i="1"/>
  <c r="Z17" i="1"/>
  <c r="U17" i="1"/>
  <c r="P17" i="1"/>
  <c r="BG16" i="1"/>
  <c r="BF16" i="1"/>
  <c r="BE16" i="1"/>
  <c r="BD16" i="1"/>
  <c r="BC16" i="1"/>
  <c r="BB16" i="1"/>
  <c r="BA16" i="1"/>
  <c r="AZ16" i="1"/>
  <c r="AT16" i="1"/>
  <c r="AO16" i="1"/>
  <c r="AJ16" i="1"/>
  <c r="AE16" i="1"/>
  <c r="Z16" i="1"/>
  <c r="U16" i="1"/>
  <c r="P16" i="1"/>
  <c r="BG15" i="1"/>
  <c r="BF15" i="1"/>
  <c r="BE15" i="1"/>
  <c r="BD15" i="1"/>
  <c r="BC15" i="1"/>
  <c r="BB15" i="1"/>
  <c r="BA15" i="1"/>
  <c r="AZ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F15" i="1"/>
  <c r="E15" i="1"/>
  <c r="D15" i="1"/>
  <c r="C15" i="1"/>
  <c r="AU14" i="1"/>
  <c r="AT14" i="1"/>
  <c r="AO14" i="1"/>
  <c r="AJ14" i="1"/>
  <c r="AE14" i="1"/>
  <c r="Z14" i="1"/>
  <c r="U14" i="1"/>
  <c r="P14" i="1"/>
  <c r="AT13" i="1"/>
  <c r="AO13" i="1"/>
  <c r="AJ13" i="1"/>
  <c r="AE13" i="1"/>
  <c r="Z13" i="1"/>
  <c r="U13" i="1"/>
  <c r="P13" i="1"/>
  <c r="BG11" i="1"/>
  <c r="BF11" i="1"/>
  <c r="BE11" i="1"/>
  <c r="BD11" i="1"/>
  <c r="BC11" i="1"/>
  <c r="BB11" i="1"/>
  <c r="BA11" i="1"/>
  <c r="AZ11" i="1"/>
  <c r="AY11" i="1"/>
  <c r="AX11" i="1"/>
  <c r="AW11" i="1"/>
  <c r="AV11" i="1"/>
  <c r="AU11" i="1"/>
  <c r="AT11" i="1"/>
  <c r="AS11" i="1"/>
  <c r="AR11" i="1"/>
  <c r="AQ11" i="1"/>
  <c r="AP11" i="1"/>
  <c r="AO11" i="1"/>
  <c r="AN11" i="1"/>
  <c r="AM11" i="1"/>
  <c r="AL11" i="1"/>
  <c r="AK11" i="1"/>
  <c r="AJ11" i="1"/>
  <c r="AI11" i="1"/>
  <c r="AH11" i="1"/>
  <c r="AG11" i="1"/>
  <c r="AF11" i="1"/>
  <c r="AE11" i="1"/>
  <c r="AD11" i="1"/>
  <c r="AC11" i="1"/>
  <c r="AB11" i="1"/>
  <c r="AA11" i="1"/>
  <c r="Z11" i="1"/>
  <c r="Y11" i="1"/>
  <c r="X11" i="1"/>
  <c r="W11" i="1"/>
  <c r="V11" i="1"/>
  <c r="U11" i="1"/>
  <c r="T11" i="1"/>
  <c r="S11" i="1"/>
  <c r="R11" i="1"/>
  <c r="Q11" i="1"/>
  <c r="P11" i="1"/>
  <c r="O11" i="1"/>
  <c r="N11" i="1"/>
  <c r="M11" i="1"/>
  <c r="L11" i="1"/>
  <c r="K11" i="1"/>
  <c r="F11" i="1"/>
  <c r="E11" i="1"/>
  <c r="D11" i="1"/>
  <c r="BG10" i="1"/>
  <c r="BF10" i="1"/>
  <c r="BE10" i="1"/>
  <c r="BD10" i="1"/>
  <c r="BC10" i="1"/>
  <c r="BB10" i="1"/>
  <c r="BA10" i="1"/>
  <c r="AZ10" i="1"/>
  <c r="AY10" i="1"/>
  <c r="AX10" i="1"/>
  <c r="AW10" i="1"/>
  <c r="AV10" i="1"/>
  <c r="AU10" i="1"/>
  <c r="AT10" i="1"/>
  <c r="AS10" i="1"/>
  <c r="AR10" i="1"/>
  <c r="AQ10" i="1"/>
  <c r="AP10" i="1"/>
  <c r="AO10" i="1"/>
  <c r="AN10" i="1"/>
  <c r="AM10" i="1"/>
  <c r="AL10" i="1"/>
  <c r="AK10" i="1"/>
  <c r="AJ10" i="1"/>
  <c r="AI10" i="1"/>
  <c r="AH10" i="1"/>
  <c r="AG10" i="1"/>
  <c r="AF10" i="1"/>
  <c r="AE10" i="1"/>
  <c r="AD10" i="1"/>
  <c r="AC10" i="1"/>
  <c r="AB10" i="1"/>
  <c r="AA10" i="1"/>
  <c r="BG9" i="1"/>
  <c r="BF9" i="1"/>
  <c r="BE9" i="1"/>
  <c r="BD9" i="1"/>
  <c r="BC9" i="1"/>
  <c r="BB9" i="1"/>
  <c r="BA9" i="1"/>
  <c r="AZ9" i="1"/>
  <c r="AY9" i="1"/>
  <c r="AX9" i="1"/>
  <c r="AW9" i="1"/>
  <c r="AV9" i="1"/>
  <c r="AU9" i="1"/>
  <c r="AT9" i="1"/>
  <c r="AS9" i="1"/>
  <c r="AR9" i="1"/>
  <c r="AQ9" i="1"/>
  <c r="AP9" i="1"/>
  <c r="AO9" i="1"/>
  <c r="AN9" i="1"/>
  <c r="AM9" i="1"/>
  <c r="AL9" i="1"/>
  <c r="AK9" i="1"/>
  <c r="AJ9" i="1"/>
  <c r="AI9" i="1"/>
  <c r="AH9" i="1"/>
  <c r="AG9" i="1"/>
  <c r="AF9" i="1"/>
  <c r="AE9" i="1"/>
  <c r="AD9" i="1"/>
  <c r="AC9" i="1"/>
  <c r="AB9" i="1"/>
  <c r="AA9" i="1"/>
  <c r="BG8" i="1"/>
  <c r="BF8" i="1"/>
  <c r="BE8" i="1"/>
  <c r="BD8" i="1"/>
  <c r="BC8" i="1"/>
  <c r="BB8" i="1"/>
  <c r="BA8" i="1"/>
  <c r="AZ8" i="1"/>
  <c r="AY8" i="1"/>
  <c r="AX8" i="1"/>
  <c r="AW8" i="1"/>
  <c r="AV8" i="1"/>
  <c r="AU8" i="1"/>
  <c r="AT8" i="1"/>
  <c r="AS8" i="1"/>
  <c r="AR8" i="1"/>
  <c r="AQ8" i="1"/>
  <c r="AP8" i="1"/>
  <c r="AO8" i="1"/>
  <c r="AN8" i="1"/>
  <c r="AM8" i="1"/>
  <c r="AL8" i="1"/>
  <c r="AK8" i="1"/>
  <c r="AJ8" i="1"/>
  <c r="AI8" i="1"/>
  <c r="AH8" i="1"/>
  <c r="AG8" i="1"/>
  <c r="AF8" i="1"/>
  <c r="AE8" i="1"/>
  <c r="AD8" i="1"/>
  <c r="AC8" i="1"/>
  <c r="AB8" i="1"/>
  <c r="AA8" i="1"/>
  <c r="BG7" i="1"/>
  <c r="BF7" i="1"/>
  <c r="BE7" i="1"/>
  <c r="BD7" i="1"/>
  <c r="BC7" i="1"/>
  <c r="BB7" i="1"/>
  <c r="BA7" i="1"/>
  <c r="AZ7" i="1"/>
  <c r="AY7" i="1"/>
  <c r="AX7" i="1"/>
  <c r="AW7" i="1"/>
  <c r="AV7" i="1"/>
  <c r="AU7" i="1"/>
  <c r="AT7" i="1"/>
  <c r="AS7" i="1"/>
  <c r="AR7" i="1"/>
  <c r="AQ7" i="1"/>
  <c r="AP7" i="1"/>
  <c r="AO7" i="1"/>
  <c r="AN7" i="1"/>
  <c r="AM7" i="1"/>
  <c r="AL7" i="1"/>
  <c r="AK7" i="1"/>
  <c r="AJ7" i="1"/>
  <c r="AI7" i="1"/>
  <c r="AH7" i="1"/>
  <c r="AG7" i="1"/>
  <c r="AF7" i="1"/>
  <c r="AE7" i="1"/>
  <c r="AD7" i="1"/>
  <c r="AC7" i="1"/>
  <c r="AB7" i="1"/>
  <c r="AA7" i="1"/>
  <c r="BG5" i="1"/>
  <c r="BF5" i="1"/>
  <c r="BE5" i="1"/>
  <c r="BD5" i="1"/>
  <c r="BC5" i="1"/>
  <c r="BB5" i="1"/>
  <c r="BA5" i="1"/>
  <c r="AZ5" i="1"/>
  <c r="AY5" i="1"/>
  <c r="AX5" i="1"/>
  <c r="AW5" i="1"/>
  <c r="AV5" i="1"/>
  <c r="AU5" i="1"/>
  <c r="AT5" i="1"/>
  <c r="AS5" i="1"/>
  <c r="AR5" i="1"/>
  <c r="AQ5" i="1"/>
  <c r="AP5" i="1"/>
  <c r="AO5" i="1"/>
  <c r="AN5" i="1"/>
  <c r="AM5" i="1"/>
  <c r="AL5" i="1"/>
  <c r="AK5" i="1"/>
  <c r="AJ5" i="1"/>
  <c r="AI5" i="1"/>
  <c r="AH5" i="1"/>
  <c r="AG5" i="1"/>
  <c r="AF5" i="1"/>
  <c r="AE5" i="1"/>
  <c r="AD5" i="1"/>
  <c r="AC5" i="1"/>
  <c r="AB5" i="1"/>
  <c r="AA5" i="1"/>
  <c r="Z5" i="1"/>
  <c r="Y5" i="1"/>
  <c r="X5" i="1"/>
  <c r="W5" i="1"/>
  <c r="V5" i="1"/>
  <c r="U5" i="1"/>
  <c r="T5" i="1"/>
  <c r="S5" i="1"/>
  <c r="R5" i="1"/>
  <c r="Q5" i="1"/>
  <c r="P5" i="1"/>
  <c r="O5" i="1"/>
  <c r="N5" i="1"/>
  <c r="M5" i="1"/>
  <c r="L5" i="1"/>
  <c r="K5" i="1"/>
  <c r="J5" i="1"/>
  <c r="I5" i="1"/>
  <c r="H5" i="1"/>
  <c r="G5" i="1"/>
  <c r="F5" i="1"/>
  <c r="E5" i="1"/>
  <c r="D5" i="1"/>
  <c r="A5" i="1"/>
  <c r="BG4" i="1"/>
  <c r="BF4" i="1"/>
  <c r="BE4" i="1"/>
  <c r="BD4" i="1"/>
  <c r="BC4" i="1"/>
  <c r="BB4" i="1"/>
  <c r="BA4" i="1"/>
  <c r="AZ4" i="1"/>
  <c r="AY4" i="1"/>
  <c r="AX4" i="1"/>
  <c r="AW4" i="1"/>
  <c r="AV4" i="1"/>
  <c r="AU4" i="1"/>
  <c r="AT4" i="1"/>
  <c r="AS4" i="1"/>
  <c r="AR4" i="1"/>
  <c r="AQ4" i="1"/>
  <c r="AP4" i="1"/>
  <c r="AO4" i="1"/>
  <c r="AN4" i="1"/>
  <c r="AM4" i="1"/>
  <c r="AL4" i="1"/>
  <c r="AK4" i="1"/>
  <c r="AJ4" i="1"/>
  <c r="AI4" i="1"/>
  <c r="AH4" i="1"/>
  <c r="AG4" i="1"/>
  <c r="AF4" i="1"/>
  <c r="AE4" i="1"/>
  <c r="AD4" i="1"/>
  <c r="AC4" i="1"/>
  <c r="AB4" i="1"/>
  <c r="AA4" i="1"/>
  <c r="Z4" i="1"/>
  <c r="Y4" i="1"/>
  <c r="X4" i="1"/>
  <c r="W4" i="1"/>
  <c r="V4" i="1"/>
  <c r="U4" i="1"/>
  <c r="T4" i="1"/>
  <c r="S4" i="1"/>
  <c r="R4" i="1"/>
  <c r="Q4" i="1"/>
  <c r="P4" i="1"/>
  <c r="O4" i="1"/>
  <c r="N4" i="1"/>
  <c r="M4" i="1"/>
  <c r="L4" i="1"/>
  <c r="K4" i="1"/>
  <c r="J4" i="1"/>
  <c r="I4" i="1"/>
  <c r="H4" i="1"/>
  <c r="G4" i="1"/>
  <c r="F4" i="1"/>
  <c r="E4" i="1"/>
  <c r="D4" i="1"/>
  <c r="A4" i="1"/>
  <c r="BG3" i="1"/>
  <c r="BF3" i="1"/>
  <c r="BE3" i="1"/>
  <c r="BD3" i="1"/>
  <c r="BC3" i="1"/>
  <c r="BB3" i="1"/>
  <c r="BA3" i="1"/>
  <c r="AZ3" i="1"/>
  <c r="AY3" i="1"/>
  <c r="AX3" i="1"/>
  <c r="AW3" i="1"/>
  <c r="AV3" i="1"/>
  <c r="AU3" i="1"/>
  <c r="AT3" i="1"/>
  <c r="AS3" i="1"/>
  <c r="AR3" i="1"/>
  <c r="AQ3" i="1"/>
  <c r="AP3" i="1"/>
  <c r="AO3" i="1"/>
  <c r="AN3" i="1"/>
  <c r="AM3" i="1"/>
  <c r="AL3" i="1"/>
  <c r="AK3" i="1"/>
  <c r="AJ3" i="1"/>
  <c r="AI3" i="1"/>
  <c r="AH3" i="1"/>
  <c r="AG3" i="1"/>
  <c r="AF3" i="1"/>
  <c r="AE3" i="1"/>
  <c r="AD3" i="1"/>
  <c r="AC3" i="1"/>
  <c r="AB3" i="1"/>
  <c r="AA3" i="1"/>
  <c r="Z3" i="1"/>
  <c r="Y3" i="1"/>
  <c r="X3" i="1"/>
  <c r="W3" i="1"/>
  <c r="V3" i="1"/>
  <c r="U3" i="1"/>
  <c r="T3" i="1"/>
  <c r="S3" i="1"/>
  <c r="R3" i="1"/>
  <c r="Q3" i="1"/>
  <c r="P3" i="1"/>
  <c r="O3" i="1"/>
  <c r="N3" i="1"/>
  <c r="M3" i="1"/>
  <c r="L3" i="1"/>
  <c r="K3" i="1"/>
  <c r="J3" i="1"/>
  <c r="I3" i="1"/>
  <c r="H3" i="1"/>
  <c r="G3" i="1"/>
  <c r="F3" i="1"/>
  <c r="E3" i="1"/>
  <c r="D3" i="1"/>
  <c r="C3" i="1"/>
  <c r="C2" i="1"/>
  <c r="BD129" i="11"/>
  <c r="AY129" i="11"/>
  <c r="A129" i="11"/>
  <c r="BD128" i="11"/>
  <c r="AY128" i="11"/>
  <c r="AU128" i="11"/>
  <c r="AT128" i="11"/>
  <c r="AS128" i="11"/>
  <c r="AR128" i="11"/>
  <c r="AQ128" i="11"/>
  <c r="AP128" i="11"/>
  <c r="AO128" i="11"/>
  <c r="AN128" i="11"/>
  <c r="AM128" i="11"/>
  <c r="AL128" i="11"/>
  <c r="AK128" i="11"/>
  <c r="AJ128" i="11"/>
  <c r="AI128" i="11"/>
  <c r="AH128" i="11"/>
  <c r="AG128" i="11"/>
  <c r="AF128" i="11"/>
  <c r="AE128" i="11"/>
  <c r="AD128" i="11"/>
  <c r="AC128" i="11"/>
  <c r="AB128" i="11"/>
  <c r="AA128" i="11"/>
  <c r="Z128" i="11"/>
  <c r="Y128" i="11"/>
  <c r="X128" i="11"/>
  <c r="W128" i="11"/>
  <c r="V128" i="11"/>
  <c r="U128" i="11"/>
  <c r="T128" i="11"/>
  <c r="S128" i="11"/>
  <c r="R128" i="11"/>
  <c r="Q128" i="11"/>
  <c r="P128" i="11"/>
  <c r="O128" i="11"/>
  <c r="N128" i="11"/>
  <c r="M128" i="11"/>
  <c r="L128" i="11"/>
  <c r="K128" i="11"/>
  <c r="J128" i="11"/>
  <c r="I128" i="11"/>
  <c r="H128" i="11"/>
  <c r="G128" i="11"/>
  <c r="F128" i="11"/>
  <c r="E128" i="11"/>
  <c r="D128" i="11"/>
  <c r="C128" i="11"/>
  <c r="A128" i="11"/>
  <c r="A127" i="11"/>
  <c r="BD125" i="11"/>
  <c r="AY125" i="11"/>
  <c r="AU125" i="11"/>
  <c r="AT125" i="11"/>
  <c r="AS125" i="11"/>
  <c r="AR125" i="11"/>
  <c r="AQ125" i="11"/>
  <c r="AP125" i="11"/>
  <c r="AO125" i="11"/>
  <c r="AN125" i="11"/>
  <c r="AM125" i="11"/>
  <c r="AL125" i="11"/>
  <c r="AK125" i="11"/>
  <c r="AJ125" i="11"/>
  <c r="AI125" i="11"/>
  <c r="AH125" i="11"/>
  <c r="AG125" i="11"/>
  <c r="AF125" i="11"/>
  <c r="AE125" i="11"/>
  <c r="AD125" i="11"/>
  <c r="AC125" i="11"/>
  <c r="AB125" i="11"/>
  <c r="AA125" i="11"/>
  <c r="Z125" i="11"/>
  <c r="Y125" i="11"/>
  <c r="X125" i="11"/>
  <c r="W125" i="11"/>
  <c r="V125" i="11"/>
  <c r="U125" i="11"/>
  <c r="T125" i="11"/>
  <c r="S125" i="11"/>
  <c r="R125" i="11"/>
  <c r="Q125" i="11"/>
  <c r="P125" i="11"/>
  <c r="K125" i="11"/>
  <c r="F125" i="11"/>
  <c r="E125" i="11"/>
  <c r="D125" i="11"/>
  <c r="A125" i="11"/>
  <c r="BD124" i="11"/>
  <c r="AY124" i="11"/>
  <c r="AU124" i="11"/>
  <c r="AT124" i="11"/>
  <c r="AS124" i="11"/>
  <c r="AR124" i="11"/>
  <c r="AQ124" i="11"/>
  <c r="AP124" i="11"/>
  <c r="AO124" i="11"/>
  <c r="AN124" i="11"/>
  <c r="AM124" i="11"/>
  <c r="AL124" i="11"/>
  <c r="AK124" i="11"/>
  <c r="AJ124" i="11"/>
  <c r="AI124" i="11"/>
  <c r="AH124" i="11"/>
  <c r="AG124" i="11"/>
  <c r="AF124" i="11"/>
  <c r="AE124" i="11"/>
  <c r="AD124" i="11"/>
  <c r="AC124" i="11"/>
  <c r="AB124" i="11"/>
  <c r="AA124" i="11"/>
  <c r="Z124" i="11"/>
  <c r="Y124" i="11"/>
  <c r="X124" i="11"/>
  <c r="W124" i="11"/>
  <c r="V124" i="11"/>
  <c r="U124" i="11"/>
  <c r="T124" i="11"/>
  <c r="S124" i="11"/>
  <c r="R124" i="11"/>
  <c r="Q124" i="11"/>
  <c r="P124" i="11"/>
  <c r="K124" i="11"/>
  <c r="F124" i="11"/>
  <c r="E124" i="11"/>
  <c r="D124" i="11"/>
  <c r="A124" i="11"/>
  <c r="BD123" i="11"/>
  <c r="AY123" i="11"/>
  <c r="AU123" i="11"/>
  <c r="AT123" i="11"/>
  <c r="AS123" i="11"/>
  <c r="AR123" i="11"/>
  <c r="AQ123" i="11"/>
  <c r="AP123" i="11"/>
  <c r="AO123" i="11"/>
  <c r="AN123" i="11"/>
  <c r="AM123" i="11"/>
  <c r="AL123" i="11"/>
  <c r="AK123" i="11"/>
  <c r="AJ123" i="11"/>
  <c r="AI123" i="11"/>
  <c r="AH123" i="11"/>
  <c r="AG123" i="11"/>
  <c r="AF123" i="11"/>
  <c r="AE123" i="11"/>
  <c r="AD123" i="11"/>
  <c r="AC123" i="11"/>
  <c r="AB123" i="11"/>
  <c r="AA123" i="11"/>
  <c r="Z123" i="11"/>
  <c r="Y123" i="11"/>
  <c r="X123" i="11"/>
  <c r="W123" i="11"/>
  <c r="V123" i="11"/>
  <c r="U123" i="11"/>
  <c r="T123" i="11"/>
  <c r="S123" i="11"/>
  <c r="R123" i="11"/>
  <c r="Q123" i="11"/>
  <c r="P123" i="11"/>
  <c r="K123" i="11"/>
  <c r="F123" i="11"/>
  <c r="E123" i="11"/>
  <c r="D123" i="11"/>
  <c r="A123" i="11"/>
  <c r="BD122" i="11"/>
  <c r="AY122" i="11"/>
  <c r="AU122" i="11"/>
  <c r="AT122" i="11"/>
  <c r="AS122" i="11"/>
  <c r="AR122" i="11"/>
  <c r="AQ122" i="11"/>
  <c r="AP122" i="11"/>
  <c r="AO122" i="11"/>
  <c r="AN122" i="11"/>
  <c r="AM122" i="11"/>
  <c r="AL122" i="11"/>
  <c r="AK122" i="11"/>
  <c r="AJ122" i="11"/>
  <c r="AI122" i="11"/>
  <c r="AH122" i="11"/>
  <c r="AG122" i="11"/>
  <c r="AF122" i="11"/>
  <c r="AE122" i="11"/>
  <c r="AD122" i="11"/>
  <c r="AC122" i="11"/>
  <c r="AB122" i="11"/>
  <c r="AA122" i="11"/>
  <c r="Z122" i="11"/>
  <c r="Y122" i="11"/>
  <c r="X122" i="11"/>
  <c r="W122" i="11"/>
  <c r="V122" i="11"/>
  <c r="U122" i="11"/>
  <c r="T122" i="11"/>
  <c r="S122" i="11"/>
  <c r="R122" i="11"/>
  <c r="Q122" i="11"/>
  <c r="P122" i="11"/>
  <c r="K122" i="11"/>
  <c r="F122" i="11"/>
  <c r="E122" i="11"/>
  <c r="D122" i="11"/>
  <c r="A122" i="11"/>
  <c r="A121" i="11"/>
  <c r="BD119" i="11"/>
  <c r="AY119" i="11"/>
  <c r="AU119" i="11"/>
  <c r="AT119" i="11"/>
  <c r="AS119" i="11"/>
  <c r="AR119" i="11"/>
  <c r="AQ119" i="11"/>
  <c r="AP119" i="11"/>
  <c r="AO119" i="11"/>
  <c r="AN119" i="11"/>
  <c r="AM119" i="11"/>
  <c r="AL119" i="11"/>
  <c r="AK119" i="11"/>
  <c r="AJ119" i="11"/>
  <c r="AI119" i="11"/>
  <c r="AH119" i="11"/>
  <c r="AG119" i="11"/>
  <c r="AF119" i="11"/>
  <c r="AE119" i="11"/>
  <c r="AD119" i="11"/>
  <c r="AC119" i="11"/>
  <c r="AB119" i="11"/>
  <c r="AA119" i="11"/>
  <c r="Z119" i="11"/>
  <c r="Y119" i="11"/>
  <c r="X119" i="11"/>
  <c r="W119" i="11"/>
  <c r="V119" i="11"/>
  <c r="U119" i="11"/>
  <c r="T119" i="11"/>
  <c r="S119" i="11"/>
  <c r="R119" i="11"/>
  <c r="Q119" i="11"/>
  <c r="P119" i="11"/>
  <c r="O119" i="11"/>
  <c r="N119" i="11"/>
  <c r="M119" i="11"/>
  <c r="L119" i="11"/>
  <c r="K119" i="11"/>
  <c r="J119" i="11"/>
  <c r="I119" i="11"/>
  <c r="H119" i="11"/>
  <c r="G119" i="11"/>
  <c r="F119" i="11"/>
  <c r="E119" i="11"/>
  <c r="D119" i="11"/>
  <c r="A119" i="11"/>
  <c r="BD118" i="11"/>
  <c r="AY118" i="11"/>
  <c r="AU118" i="11"/>
  <c r="AT118" i="11"/>
  <c r="AS118" i="11"/>
  <c r="AR118" i="11"/>
  <c r="AQ118" i="11"/>
  <c r="AP118" i="11"/>
  <c r="AO118" i="11"/>
  <c r="AN118" i="11"/>
  <c r="AM118" i="11"/>
  <c r="AL118" i="11"/>
  <c r="AK118" i="11"/>
  <c r="AJ118" i="11"/>
  <c r="AI118" i="11"/>
  <c r="AH118" i="11"/>
  <c r="AG118" i="11"/>
  <c r="AF118" i="11"/>
  <c r="AE118" i="11"/>
  <c r="AD118" i="11"/>
  <c r="AC118" i="11"/>
  <c r="AB118" i="11"/>
  <c r="AA118" i="11"/>
  <c r="Z118" i="11"/>
  <c r="Y118" i="11"/>
  <c r="X118" i="11"/>
  <c r="W118" i="11"/>
  <c r="V118" i="11"/>
  <c r="U118" i="11"/>
  <c r="T118" i="11"/>
  <c r="S118" i="11"/>
  <c r="R118" i="11"/>
  <c r="Q118" i="11"/>
  <c r="P118" i="11"/>
  <c r="O118" i="11"/>
  <c r="N118" i="11"/>
  <c r="M118" i="11"/>
  <c r="L118" i="11"/>
  <c r="K118" i="11"/>
  <c r="J118" i="11"/>
  <c r="I118" i="11"/>
  <c r="H118" i="11"/>
  <c r="G118" i="11"/>
  <c r="F118" i="11"/>
  <c r="E118" i="11"/>
  <c r="D118" i="11"/>
  <c r="A118" i="11"/>
  <c r="A117" i="11"/>
  <c r="BD115" i="11"/>
  <c r="AY115" i="11"/>
  <c r="A115" i="11"/>
  <c r="BD114" i="11"/>
  <c r="AY114" i="11"/>
  <c r="AU114" i="11"/>
  <c r="AT114" i="11"/>
  <c r="AS114" i="11"/>
  <c r="AR114" i="11"/>
  <c r="AQ114" i="11"/>
  <c r="AP114" i="11"/>
  <c r="AO114" i="11"/>
  <c r="AN114" i="11"/>
  <c r="AM114" i="11"/>
  <c r="AL114" i="11"/>
  <c r="AK114" i="11"/>
  <c r="AJ114" i="11"/>
  <c r="AI114" i="11"/>
  <c r="AH114" i="11"/>
  <c r="AG114" i="11"/>
  <c r="AF114" i="11"/>
  <c r="AE114" i="11"/>
  <c r="AD114" i="11"/>
  <c r="AC114" i="11"/>
  <c r="AB114" i="11"/>
  <c r="AA114" i="11"/>
  <c r="Z114" i="11"/>
  <c r="Y114" i="11"/>
  <c r="X114" i="11"/>
  <c r="W114" i="11"/>
  <c r="V114" i="11"/>
  <c r="U114" i="11"/>
  <c r="T114" i="11"/>
  <c r="S114" i="11"/>
  <c r="R114" i="11"/>
  <c r="Q114" i="11"/>
  <c r="P114" i="11"/>
  <c r="O114" i="11"/>
  <c r="N114" i="11"/>
  <c r="M114" i="11"/>
  <c r="L114" i="11"/>
  <c r="K114" i="11"/>
  <c r="J114" i="11"/>
  <c r="I114" i="11"/>
  <c r="H114" i="11"/>
  <c r="G114" i="11"/>
  <c r="F114" i="11"/>
  <c r="E114" i="11"/>
  <c r="D114" i="11"/>
  <c r="C114" i="11"/>
  <c r="A114" i="11"/>
  <c r="BD113" i="11"/>
  <c r="AY113" i="11"/>
  <c r="AU113" i="11"/>
  <c r="AT113" i="11"/>
  <c r="AS113" i="11"/>
  <c r="AR113" i="11"/>
  <c r="AQ113" i="11"/>
  <c r="AP113" i="11"/>
  <c r="AO113" i="11"/>
  <c r="AN113" i="11"/>
  <c r="AM113" i="11"/>
  <c r="AL113" i="11"/>
  <c r="AK113" i="11"/>
  <c r="AJ113" i="11"/>
  <c r="AI113" i="11"/>
  <c r="AH113" i="11"/>
  <c r="AG113" i="11"/>
  <c r="AF113" i="11"/>
  <c r="AE113" i="11"/>
  <c r="AD113" i="11"/>
  <c r="AC113" i="11"/>
  <c r="AB113" i="11"/>
  <c r="AA113" i="11"/>
  <c r="Z113" i="11"/>
  <c r="Y113" i="11"/>
  <c r="X113" i="11"/>
  <c r="W113" i="11"/>
  <c r="V113" i="11"/>
  <c r="U113" i="11"/>
  <c r="T113" i="11"/>
  <c r="S113" i="11"/>
  <c r="R113" i="11"/>
  <c r="Q113" i="11"/>
  <c r="P113" i="11"/>
  <c r="O113" i="11"/>
  <c r="N113" i="11"/>
  <c r="M113" i="11"/>
  <c r="L113" i="11"/>
  <c r="K113" i="11"/>
  <c r="J113" i="11"/>
  <c r="I113" i="11"/>
  <c r="H113" i="11"/>
  <c r="G113" i="11"/>
  <c r="F113" i="11"/>
  <c r="E113" i="11"/>
  <c r="D113" i="11"/>
  <c r="C113" i="11"/>
  <c r="A113" i="11"/>
  <c r="BD112" i="11"/>
  <c r="AY112" i="11"/>
  <c r="AU112" i="11"/>
  <c r="AT112" i="11"/>
  <c r="AS112" i="11"/>
  <c r="AR112" i="11"/>
  <c r="AQ112" i="11"/>
  <c r="AP112" i="11"/>
  <c r="AO112" i="11"/>
  <c r="AN112" i="11"/>
  <c r="AM112" i="11"/>
  <c r="AL112" i="11"/>
  <c r="AK112" i="11"/>
  <c r="AJ112" i="11"/>
  <c r="AI112" i="11"/>
  <c r="AH112" i="11"/>
  <c r="AG112" i="11"/>
  <c r="AF112" i="11"/>
  <c r="AE112" i="11"/>
  <c r="AD112" i="11"/>
  <c r="AC112" i="11"/>
  <c r="AB112" i="11"/>
  <c r="AA112" i="11"/>
  <c r="Z112" i="11"/>
  <c r="Y112" i="11"/>
  <c r="X112" i="11"/>
  <c r="W112" i="11"/>
  <c r="V112" i="11"/>
  <c r="U112" i="11"/>
  <c r="T112" i="11"/>
  <c r="S112" i="11"/>
  <c r="R112" i="11"/>
  <c r="Q112" i="11"/>
  <c r="P112" i="11"/>
  <c r="O112" i="11"/>
  <c r="N112" i="11"/>
  <c r="M112" i="11"/>
  <c r="L112" i="11"/>
  <c r="K112" i="11"/>
  <c r="J112" i="11"/>
  <c r="I112" i="11"/>
  <c r="H112" i="11"/>
  <c r="G112" i="11"/>
  <c r="F112" i="11"/>
  <c r="E112" i="11"/>
  <c r="D112" i="11"/>
  <c r="C112" i="11"/>
  <c r="A112" i="11"/>
  <c r="BD111" i="11"/>
  <c r="AY111" i="11"/>
  <c r="AU111" i="11"/>
  <c r="AT111" i="11"/>
  <c r="AS111" i="11"/>
  <c r="AR111" i="11"/>
  <c r="AQ111" i="11"/>
  <c r="AP111" i="11"/>
  <c r="AO111" i="11"/>
  <c r="AN111" i="11"/>
  <c r="AM111" i="11"/>
  <c r="AL111" i="11"/>
  <c r="AK111" i="11"/>
  <c r="AJ111" i="11"/>
  <c r="AI111" i="11"/>
  <c r="AH111" i="11"/>
  <c r="AG111" i="11"/>
  <c r="AF111" i="11"/>
  <c r="AE111" i="11"/>
  <c r="AD111" i="11"/>
  <c r="AC111" i="11"/>
  <c r="AB111" i="11"/>
  <c r="AA111" i="11"/>
  <c r="Z111" i="11"/>
  <c r="Y111" i="11"/>
  <c r="X111" i="11"/>
  <c r="W111" i="11"/>
  <c r="V111" i="11"/>
  <c r="U111" i="11"/>
  <c r="T111" i="11"/>
  <c r="S111" i="11"/>
  <c r="R111" i="11"/>
  <c r="Q111" i="11"/>
  <c r="P111" i="11"/>
  <c r="O111" i="11"/>
  <c r="N111" i="11"/>
  <c r="M111" i="11"/>
  <c r="L111" i="11"/>
  <c r="K111" i="11"/>
  <c r="J111" i="11"/>
  <c r="I111" i="11"/>
  <c r="H111" i="11"/>
  <c r="G111" i="11"/>
  <c r="F111" i="11"/>
  <c r="E111" i="11"/>
  <c r="D111" i="11"/>
  <c r="C111" i="11"/>
  <c r="A111" i="11"/>
  <c r="BD110" i="11"/>
  <c r="AY110" i="11"/>
  <c r="AU110" i="11"/>
  <c r="AT110" i="11"/>
  <c r="AS110" i="11"/>
  <c r="AR110" i="11"/>
  <c r="AQ110" i="11"/>
  <c r="AP110" i="11"/>
  <c r="AO110" i="11"/>
  <c r="AN110" i="11"/>
  <c r="AM110" i="11"/>
  <c r="AL110" i="11"/>
  <c r="AK110" i="11"/>
  <c r="AJ110" i="11"/>
  <c r="AI110" i="11"/>
  <c r="AH110" i="11"/>
  <c r="AG110" i="11"/>
  <c r="AF110" i="11"/>
  <c r="AE110" i="11"/>
  <c r="AD110" i="11"/>
  <c r="AC110" i="11"/>
  <c r="AB110" i="11"/>
  <c r="AA110" i="11"/>
  <c r="Z110" i="11"/>
  <c r="Y110" i="11"/>
  <c r="X110" i="11"/>
  <c r="W110" i="11"/>
  <c r="V110" i="11"/>
  <c r="U110" i="11"/>
  <c r="T110" i="11"/>
  <c r="S110" i="11"/>
  <c r="R110" i="11"/>
  <c r="Q110" i="11"/>
  <c r="P110" i="11"/>
  <c r="O110" i="11"/>
  <c r="N110" i="11"/>
  <c r="M110" i="11"/>
  <c r="L110" i="11"/>
  <c r="K110" i="11"/>
  <c r="J110" i="11"/>
  <c r="I110" i="11"/>
  <c r="H110" i="11"/>
  <c r="G110" i="11"/>
  <c r="F110" i="11"/>
  <c r="E110" i="11"/>
  <c r="D110" i="11"/>
  <c r="C110" i="11"/>
  <c r="A110" i="11"/>
  <c r="AY109" i="11"/>
  <c r="AU109" i="11"/>
  <c r="AT109" i="11"/>
  <c r="AS109" i="11"/>
  <c r="AR109" i="11"/>
  <c r="AQ109" i="11"/>
  <c r="AP109" i="11"/>
  <c r="AO109" i="11"/>
  <c r="AN109" i="11"/>
  <c r="AM109" i="11"/>
  <c r="AL109" i="11"/>
  <c r="AK109" i="11"/>
  <c r="AJ109" i="11"/>
  <c r="AI109" i="11"/>
  <c r="AH109" i="11"/>
  <c r="AG109" i="11"/>
  <c r="AF109" i="11"/>
  <c r="AE109" i="11"/>
  <c r="AD109" i="11"/>
  <c r="AC109" i="11"/>
  <c r="AB109" i="11"/>
  <c r="AA109" i="11"/>
  <c r="Z109" i="11"/>
  <c r="Y109" i="11"/>
  <c r="X109" i="11"/>
  <c r="W109" i="11"/>
  <c r="V109" i="11"/>
  <c r="U109" i="11"/>
  <c r="T109" i="11"/>
  <c r="S109" i="11"/>
  <c r="R109" i="11"/>
  <c r="Q109" i="11"/>
  <c r="P109" i="11"/>
  <c r="O109" i="11"/>
  <c r="N109" i="11"/>
  <c r="M109" i="11"/>
  <c r="L109" i="11"/>
  <c r="K109" i="11"/>
  <c r="J109" i="11"/>
  <c r="I109" i="11"/>
  <c r="H109" i="11"/>
  <c r="G109" i="11"/>
  <c r="F109" i="11"/>
  <c r="E109" i="11"/>
  <c r="D109" i="11"/>
  <c r="C109" i="11"/>
  <c r="A109" i="11"/>
  <c r="A108" i="11"/>
  <c r="BD106" i="11"/>
  <c r="AY106" i="11"/>
  <c r="AU106" i="11"/>
  <c r="AT106" i="11"/>
  <c r="AS106" i="11"/>
  <c r="AR106" i="11"/>
  <c r="AQ106" i="11"/>
  <c r="AP106" i="11"/>
  <c r="AO106" i="11"/>
  <c r="AN106" i="11"/>
  <c r="AM106" i="11"/>
  <c r="AL106" i="11"/>
  <c r="AK106" i="11"/>
  <c r="AJ106" i="11"/>
  <c r="AI106" i="11"/>
  <c r="AH106" i="11"/>
  <c r="AG106" i="11"/>
  <c r="AF106" i="11"/>
  <c r="AE106" i="11"/>
  <c r="AD106" i="11"/>
  <c r="AC106" i="11"/>
  <c r="AB106" i="11"/>
  <c r="AA106" i="11"/>
  <c r="Z106" i="11"/>
  <c r="Y106" i="11"/>
  <c r="X106" i="11"/>
  <c r="W106" i="11"/>
  <c r="V106" i="11"/>
  <c r="U106" i="11"/>
  <c r="T106" i="11"/>
  <c r="S106" i="11"/>
  <c r="R106" i="11"/>
  <c r="Q106" i="11"/>
  <c r="P106" i="11"/>
  <c r="O106" i="11"/>
  <c r="N106" i="11"/>
  <c r="M106" i="11"/>
  <c r="L106" i="11"/>
  <c r="K106" i="11"/>
  <c r="J106" i="11"/>
  <c r="I106" i="11"/>
  <c r="H106" i="11"/>
  <c r="G106" i="11"/>
  <c r="F106" i="11"/>
  <c r="E106" i="11"/>
  <c r="D106" i="11"/>
  <c r="C106" i="11"/>
  <c r="A106" i="11"/>
  <c r="BD105" i="11"/>
  <c r="AY105" i="11"/>
  <c r="AU105" i="11"/>
  <c r="AT105" i="11"/>
  <c r="AS105" i="11"/>
  <c r="AR105" i="11"/>
  <c r="AQ105" i="11"/>
  <c r="AP105" i="11"/>
  <c r="AO105" i="11"/>
  <c r="AN105" i="11"/>
  <c r="AM105" i="11"/>
  <c r="AL105" i="11"/>
  <c r="AK105" i="11"/>
  <c r="AJ105" i="11"/>
  <c r="AI105" i="11"/>
  <c r="AH105" i="11"/>
  <c r="AG105" i="11"/>
  <c r="AF105" i="11"/>
  <c r="AE105" i="11"/>
  <c r="AD105" i="11"/>
  <c r="AC105" i="11"/>
  <c r="AB105" i="11"/>
  <c r="AA105" i="11"/>
  <c r="Z105" i="11"/>
  <c r="Y105" i="11"/>
  <c r="X105" i="11"/>
  <c r="W105" i="11"/>
  <c r="V105" i="11"/>
  <c r="U105" i="11"/>
  <c r="T105" i="11"/>
  <c r="S105" i="11"/>
  <c r="R105" i="11"/>
  <c r="Q105" i="11"/>
  <c r="P105" i="11"/>
  <c r="O105" i="11"/>
  <c r="N105" i="11"/>
  <c r="M105" i="11"/>
  <c r="L105" i="11"/>
  <c r="K105" i="11"/>
  <c r="J105" i="11"/>
  <c r="I105" i="11"/>
  <c r="H105" i="11"/>
  <c r="G105" i="11"/>
  <c r="F105" i="11"/>
  <c r="E105" i="11"/>
  <c r="D105" i="11"/>
  <c r="C105" i="11"/>
  <c r="A105" i="11"/>
  <c r="BD104" i="11"/>
  <c r="AY104" i="11"/>
  <c r="A104" i="11"/>
  <c r="BD103" i="11"/>
  <c r="AY103" i="11"/>
  <c r="AU103" i="11"/>
  <c r="AT103" i="11"/>
  <c r="AS103" i="11"/>
  <c r="AR103" i="11"/>
  <c r="AQ103" i="11"/>
  <c r="AP103" i="11"/>
  <c r="AO103" i="11"/>
  <c r="AN103" i="11"/>
  <c r="AM103" i="11"/>
  <c r="AL103" i="11"/>
  <c r="AK103" i="11"/>
  <c r="AJ103" i="11"/>
  <c r="AI103" i="11"/>
  <c r="AH103" i="11"/>
  <c r="AG103" i="11"/>
  <c r="AF103" i="11"/>
  <c r="AE103" i="11"/>
  <c r="AD103" i="11"/>
  <c r="AC103" i="11"/>
  <c r="AB103" i="11"/>
  <c r="AA103" i="11"/>
  <c r="Z103" i="11"/>
  <c r="Y103" i="11"/>
  <c r="X103" i="11"/>
  <c r="W103" i="11"/>
  <c r="V103" i="11"/>
  <c r="U103" i="11"/>
  <c r="T103" i="11"/>
  <c r="S103" i="11"/>
  <c r="R103" i="11"/>
  <c r="Q103" i="11"/>
  <c r="P103" i="11"/>
  <c r="O103" i="11"/>
  <c r="N103" i="11"/>
  <c r="M103" i="11"/>
  <c r="L103" i="11"/>
  <c r="K103" i="11"/>
  <c r="J103" i="11"/>
  <c r="I103" i="11"/>
  <c r="H103" i="11"/>
  <c r="G103" i="11"/>
  <c r="F103" i="11"/>
  <c r="E103" i="11"/>
  <c r="D103" i="11"/>
  <c r="C103" i="11"/>
  <c r="A103" i="11"/>
  <c r="BD102" i="11"/>
  <c r="AY102" i="11"/>
  <c r="A102" i="11"/>
  <c r="BD101" i="11"/>
  <c r="AY101" i="11"/>
  <c r="A101" i="11"/>
  <c r="BD100" i="11"/>
  <c r="AY100" i="11"/>
  <c r="AU100" i="11"/>
  <c r="AT100" i="11"/>
  <c r="AS100" i="11"/>
  <c r="AR100" i="11"/>
  <c r="AQ100" i="11"/>
  <c r="AP100" i="11"/>
  <c r="AO100" i="11"/>
  <c r="AN100" i="11"/>
  <c r="AM100" i="11"/>
  <c r="AL100" i="11"/>
  <c r="AK100" i="11"/>
  <c r="AJ100" i="11"/>
  <c r="AI100" i="11"/>
  <c r="AH100" i="11"/>
  <c r="AG100" i="11"/>
  <c r="AF100" i="11"/>
  <c r="AE100" i="11"/>
  <c r="AD100" i="11"/>
  <c r="AC100" i="11"/>
  <c r="AB100" i="11"/>
  <c r="AA100" i="11"/>
  <c r="Z100" i="11"/>
  <c r="Y100" i="11"/>
  <c r="X100" i="11"/>
  <c r="W100" i="11"/>
  <c r="V100" i="11"/>
  <c r="U100" i="11"/>
  <c r="T100" i="11"/>
  <c r="S100" i="11"/>
  <c r="R100" i="11"/>
  <c r="Q100" i="11"/>
  <c r="P100" i="11"/>
  <c r="O100" i="11"/>
  <c r="N100" i="11"/>
  <c r="M100" i="11"/>
  <c r="L100" i="11"/>
  <c r="K100" i="11"/>
  <c r="J100" i="11"/>
  <c r="I100" i="11"/>
  <c r="H100" i="11"/>
  <c r="G100" i="11"/>
  <c r="F100" i="11"/>
  <c r="E100" i="11"/>
  <c r="D100" i="11"/>
  <c r="C100" i="11"/>
  <c r="A100" i="11"/>
  <c r="BD99" i="11"/>
  <c r="AY99" i="11"/>
  <c r="AU99" i="11"/>
  <c r="AT99" i="11"/>
  <c r="AS99" i="11"/>
  <c r="AR99" i="11"/>
  <c r="AQ99" i="11"/>
  <c r="AP99" i="11"/>
  <c r="AO99" i="11"/>
  <c r="AN99" i="11"/>
  <c r="AM99" i="11"/>
  <c r="AL99" i="11"/>
  <c r="AK99" i="11"/>
  <c r="AJ99" i="11"/>
  <c r="AI99" i="11"/>
  <c r="AH99" i="11"/>
  <c r="AG99" i="11"/>
  <c r="AF99" i="11"/>
  <c r="AE99" i="11"/>
  <c r="AD99" i="11"/>
  <c r="AC99" i="11"/>
  <c r="AB99" i="11"/>
  <c r="AA99" i="11"/>
  <c r="Z99" i="11"/>
  <c r="Y99" i="11"/>
  <c r="X99" i="11"/>
  <c r="W99" i="11"/>
  <c r="V99" i="11"/>
  <c r="U99" i="11"/>
  <c r="T99" i="11"/>
  <c r="S99" i="11"/>
  <c r="R99" i="11"/>
  <c r="Q99" i="11"/>
  <c r="P99" i="11"/>
  <c r="O99" i="11"/>
  <c r="N99" i="11"/>
  <c r="M99" i="11"/>
  <c r="L99" i="11"/>
  <c r="K99" i="11"/>
  <c r="J99" i="11"/>
  <c r="I99" i="11"/>
  <c r="H99" i="11"/>
  <c r="G99" i="11"/>
  <c r="F99" i="11"/>
  <c r="E99" i="11"/>
  <c r="D99" i="11"/>
  <c r="C99" i="11"/>
  <c r="A99" i="11"/>
  <c r="BD98" i="11"/>
  <c r="AY98" i="11"/>
  <c r="AU98" i="11"/>
  <c r="AT98" i="11"/>
  <c r="AS98" i="11"/>
  <c r="AR98" i="11"/>
  <c r="AQ98" i="11"/>
  <c r="AP98" i="11"/>
  <c r="AO98" i="11"/>
  <c r="AN98" i="11"/>
  <c r="AM98" i="11"/>
  <c r="AL98" i="11"/>
  <c r="AK98" i="11"/>
  <c r="AJ98" i="11"/>
  <c r="AI98" i="11"/>
  <c r="AH98" i="11"/>
  <c r="AG98" i="11"/>
  <c r="AF98" i="11"/>
  <c r="AE98" i="11"/>
  <c r="AD98" i="11"/>
  <c r="AC98" i="11"/>
  <c r="AB98" i="11"/>
  <c r="AA98" i="11"/>
  <c r="Z98" i="11"/>
  <c r="Y98" i="11"/>
  <c r="X98" i="11"/>
  <c r="W98" i="11"/>
  <c r="V98" i="11"/>
  <c r="U98" i="11"/>
  <c r="T98" i="11"/>
  <c r="S98" i="11"/>
  <c r="R98" i="11"/>
  <c r="Q98" i="11"/>
  <c r="P98" i="11"/>
  <c r="O98" i="11"/>
  <c r="N98" i="11"/>
  <c r="M98" i="11"/>
  <c r="L98" i="11"/>
  <c r="K98" i="11"/>
  <c r="J98" i="11"/>
  <c r="I98" i="11"/>
  <c r="H98" i="11"/>
  <c r="G98" i="11"/>
  <c r="F98" i="11"/>
  <c r="E98" i="11"/>
  <c r="D98" i="11"/>
  <c r="C98" i="11"/>
  <c r="A98" i="11"/>
  <c r="BD97" i="11"/>
  <c r="AY97" i="11"/>
  <c r="AU97" i="11"/>
  <c r="AT97" i="11"/>
  <c r="AS97" i="11"/>
  <c r="AR97" i="11"/>
  <c r="AQ97" i="11"/>
  <c r="AP97" i="11"/>
  <c r="AO97" i="11"/>
  <c r="AN97" i="11"/>
  <c r="AM97" i="11"/>
  <c r="AL97" i="11"/>
  <c r="AK97" i="11"/>
  <c r="AJ97" i="11"/>
  <c r="AI97" i="11"/>
  <c r="AH97" i="11"/>
  <c r="AG97" i="11"/>
  <c r="AF97" i="11"/>
  <c r="AE97" i="11"/>
  <c r="AD97" i="11"/>
  <c r="AC97" i="11"/>
  <c r="AB97" i="11"/>
  <c r="AA97" i="11"/>
  <c r="Z97" i="11"/>
  <c r="Y97" i="11"/>
  <c r="X97" i="11"/>
  <c r="W97" i="11"/>
  <c r="V97" i="11"/>
  <c r="U97" i="11"/>
  <c r="T97" i="11"/>
  <c r="S97" i="11"/>
  <c r="R97" i="11"/>
  <c r="Q97" i="11"/>
  <c r="P97" i="11"/>
  <c r="O97" i="11"/>
  <c r="N97" i="11"/>
  <c r="M97" i="11"/>
  <c r="L97" i="11"/>
  <c r="K97" i="11"/>
  <c r="J97" i="11"/>
  <c r="I97" i="11"/>
  <c r="H97" i="11"/>
  <c r="G97" i="11"/>
  <c r="F97" i="11"/>
  <c r="E97" i="11"/>
  <c r="D97" i="11"/>
  <c r="C97" i="11"/>
  <c r="A97" i="11"/>
  <c r="BD96" i="11"/>
  <c r="AY96" i="11"/>
  <c r="AU96" i="11"/>
  <c r="AT96" i="11"/>
  <c r="AS96" i="11"/>
  <c r="AR96" i="11"/>
  <c r="AQ96" i="11"/>
  <c r="AP96" i="11"/>
  <c r="AO96" i="11"/>
  <c r="AN96" i="11"/>
  <c r="AM96" i="11"/>
  <c r="AL96" i="11"/>
  <c r="AK96" i="11"/>
  <c r="AJ96" i="11"/>
  <c r="AI96" i="11"/>
  <c r="AH96" i="11"/>
  <c r="AG96" i="11"/>
  <c r="AF96" i="11"/>
  <c r="AE96" i="11"/>
  <c r="AD96" i="11"/>
  <c r="AC96" i="11"/>
  <c r="AB96" i="11"/>
  <c r="AA96" i="11"/>
  <c r="Z96" i="11"/>
  <c r="Y96" i="11"/>
  <c r="X96" i="11"/>
  <c r="W96" i="11"/>
  <c r="V96" i="11"/>
  <c r="U96" i="11"/>
  <c r="T96" i="11"/>
  <c r="S96" i="11"/>
  <c r="R96" i="11"/>
  <c r="Q96" i="11"/>
  <c r="P96" i="11"/>
  <c r="O96" i="11"/>
  <c r="N96" i="11"/>
  <c r="M96" i="11"/>
  <c r="L96" i="11"/>
  <c r="K96" i="11"/>
  <c r="J96" i="11"/>
  <c r="I96" i="11"/>
  <c r="H96" i="11"/>
  <c r="G96" i="11"/>
  <c r="F96" i="11"/>
  <c r="E96" i="11"/>
  <c r="D96" i="11"/>
  <c r="C96" i="11"/>
  <c r="A96" i="11"/>
  <c r="A95" i="11"/>
  <c r="BD93" i="11"/>
  <c r="AY93" i="11"/>
  <c r="AU93" i="11"/>
  <c r="AT93" i="11"/>
  <c r="AS93" i="11"/>
  <c r="AR93" i="11"/>
  <c r="AQ93" i="11"/>
  <c r="AP93" i="11"/>
  <c r="AO93" i="11"/>
  <c r="AN93" i="11"/>
  <c r="AM93" i="11"/>
  <c r="AL93" i="11"/>
  <c r="AK93" i="11"/>
  <c r="AJ93" i="11"/>
  <c r="AI93" i="11"/>
  <c r="AH93" i="11"/>
  <c r="AG93" i="11"/>
  <c r="AF93" i="11"/>
  <c r="AE93" i="11"/>
  <c r="AD93" i="11"/>
  <c r="AC93" i="11"/>
  <c r="AB93" i="11"/>
  <c r="AA93" i="11"/>
  <c r="Z93" i="11"/>
  <c r="Y93" i="11"/>
  <c r="X93" i="11"/>
  <c r="W93" i="11"/>
  <c r="V93" i="11"/>
  <c r="U93" i="11"/>
  <c r="T93" i="11"/>
  <c r="S93" i="11"/>
  <c r="R93" i="11"/>
  <c r="Q93" i="11"/>
  <c r="P93" i="11"/>
  <c r="O93" i="11"/>
  <c r="N93" i="11"/>
  <c r="M93" i="11"/>
  <c r="L93" i="11"/>
  <c r="K93" i="11"/>
  <c r="J93" i="11"/>
  <c r="I93" i="11"/>
  <c r="H93" i="11"/>
  <c r="G93" i="11"/>
  <c r="F93" i="11"/>
  <c r="E93" i="11"/>
  <c r="D93" i="11"/>
  <c r="C93" i="11"/>
  <c r="A93" i="11"/>
  <c r="BD92" i="11"/>
  <c r="AY92" i="11"/>
  <c r="AU92" i="11"/>
  <c r="AT92" i="11"/>
  <c r="AS92" i="11"/>
  <c r="AR92" i="11"/>
  <c r="AQ92" i="11"/>
  <c r="AP92" i="11"/>
  <c r="AO92" i="11"/>
  <c r="AN92" i="11"/>
  <c r="AM92" i="11"/>
  <c r="AL92" i="11"/>
  <c r="AK92" i="11"/>
  <c r="AJ92" i="11"/>
  <c r="AI92" i="11"/>
  <c r="AH92" i="11"/>
  <c r="AG92" i="11"/>
  <c r="AF92" i="11"/>
  <c r="AE92" i="11"/>
  <c r="AD92" i="11"/>
  <c r="AC92" i="11"/>
  <c r="AB92" i="11"/>
  <c r="AA92" i="11"/>
  <c r="Z92" i="11"/>
  <c r="Y92" i="11"/>
  <c r="X92" i="11"/>
  <c r="W92" i="11"/>
  <c r="V92" i="11"/>
  <c r="U92" i="11"/>
  <c r="T92" i="11"/>
  <c r="S92" i="11"/>
  <c r="R92" i="11"/>
  <c r="Q92" i="11"/>
  <c r="P92" i="11"/>
  <c r="O92" i="11"/>
  <c r="N92" i="11"/>
  <c r="M92" i="11"/>
  <c r="L92" i="11"/>
  <c r="K92" i="11"/>
  <c r="J92" i="11"/>
  <c r="I92" i="11"/>
  <c r="H92" i="11"/>
  <c r="G92" i="11"/>
  <c r="F92" i="11"/>
  <c r="E92" i="11"/>
  <c r="D92" i="11"/>
  <c r="C92" i="11"/>
  <c r="A92" i="11"/>
  <c r="BD91" i="11"/>
  <c r="AY91" i="11"/>
  <c r="AU91" i="11"/>
  <c r="AT91" i="11"/>
  <c r="AS91" i="11"/>
  <c r="AR91" i="11"/>
  <c r="AQ91" i="11"/>
  <c r="AP91" i="11"/>
  <c r="AO91" i="11"/>
  <c r="AN91" i="11"/>
  <c r="AM91" i="11"/>
  <c r="AL91" i="11"/>
  <c r="AK91" i="11"/>
  <c r="AJ91" i="11"/>
  <c r="AI91" i="11"/>
  <c r="AH91" i="11"/>
  <c r="AG91" i="11"/>
  <c r="AF91" i="11"/>
  <c r="AE91" i="11"/>
  <c r="AD91" i="11"/>
  <c r="AC91" i="11"/>
  <c r="AB91" i="11"/>
  <c r="AA91" i="11"/>
  <c r="Z91" i="11"/>
  <c r="Y91" i="11"/>
  <c r="X91" i="11"/>
  <c r="W91" i="11"/>
  <c r="V91" i="11"/>
  <c r="U91" i="11"/>
  <c r="T91" i="11"/>
  <c r="S91" i="11"/>
  <c r="R91" i="11"/>
  <c r="Q91" i="11"/>
  <c r="P91" i="11"/>
  <c r="O91" i="11"/>
  <c r="N91" i="11"/>
  <c r="M91" i="11"/>
  <c r="L91" i="11"/>
  <c r="K91" i="11"/>
  <c r="J91" i="11"/>
  <c r="I91" i="11"/>
  <c r="H91" i="11"/>
  <c r="G91" i="11"/>
  <c r="F91" i="11"/>
  <c r="E91" i="11"/>
  <c r="D91" i="11"/>
  <c r="C91" i="11"/>
  <c r="A91" i="11"/>
  <c r="A90" i="11"/>
  <c r="BD88" i="11"/>
  <c r="AY88" i="11"/>
  <c r="AU88" i="11"/>
  <c r="AT88" i="11"/>
  <c r="AS88" i="11"/>
  <c r="AR88" i="11"/>
  <c r="AQ88" i="11"/>
  <c r="AP88" i="11"/>
  <c r="AO88" i="11"/>
  <c r="AN88" i="11"/>
  <c r="AM88" i="11"/>
  <c r="AL88" i="11"/>
  <c r="AK88" i="11"/>
  <c r="AJ88" i="11"/>
  <c r="AI88" i="11"/>
  <c r="AH88" i="11"/>
  <c r="AG88" i="11"/>
  <c r="AF88" i="11"/>
  <c r="AE88" i="11"/>
  <c r="AD88" i="11"/>
  <c r="AC88" i="11"/>
  <c r="AB88" i="11"/>
  <c r="AA88" i="11"/>
  <c r="Z88" i="11"/>
  <c r="Y88" i="11"/>
  <c r="X88" i="11"/>
  <c r="W88" i="11"/>
  <c r="V88" i="11"/>
  <c r="U88" i="11"/>
  <c r="T88" i="11"/>
  <c r="S88" i="11"/>
  <c r="R88" i="11"/>
  <c r="Q88" i="11"/>
  <c r="P88" i="11"/>
  <c r="O88" i="11"/>
  <c r="N88" i="11"/>
  <c r="M88" i="11"/>
  <c r="L88" i="11"/>
  <c r="K88" i="11"/>
  <c r="J88" i="11"/>
  <c r="I88" i="11"/>
  <c r="H88" i="11"/>
  <c r="G88" i="11"/>
  <c r="F88" i="11"/>
  <c r="E88" i="11"/>
  <c r="D88" i="11"/>
  <c r="C88" i="11"/>
  <c r="A88" i="11"/>
  <c r="BD87" i="11"/>
  <c r="AY87" i="11"/>
  <c r="AU87" i="11"/>
  <c r="AT87" i="11"/>
  <c r="AS87" i="11"/>
  <c r="AR87" i="11"/>
  <c r="AQ87" i="11"/>
  <c r="AP87" i="11"/>
  <c r="AO87" i="11"/>
  <c r="AN87" i="11"/>
  <c r="AM87" i="11"/>
  <c r="AL87" i="11"/>
  <c r="AK87" i="11"/>
  <c r="AJ87" i="11"/>
  <c r="AI87" i="11"/>
  <c r="AH87" i="11"/>
  <c r="AG87" i="11"/>
  <c r="AF87" i="11"/>
  <c r="AE87" i="11"/>
  <c r="AD87" i="11"/>
  <c r="AC87" i="11"/>
  <c r="AB87" i="11"/>
  <c r="AA87" i="11"/>
  <c r="Z87" i="11"/>
  <c r="Y87" i="11"/>
  <c r="X87" i="11"/>
  <c r="W87" i="11"/>
  <c r="V87" i="11"/>
  <c r="U87" i="11"/>
  <c r="T87" i="11"/>
  <c r="S87" i="11"/>
  <c r="R87" i="11"/>
  <c r="Q87" i="11"/>
  <c r="P87" i="11"/>
  <c r="O87" i="11"/>
  <c r="N87" i="11"/>
  <c r="M87" i="11"/>
  <c r="L87" i="11"/>
  <c r="K87" i="11"/>
  <c r="J87" i="11"/>
  <c r="I87" i="11"/>
  <c r="H87" i="11"/>
  <c r="G87" i="11"/>
  <c r="F87" i="11"/>
  <c r="E87" i="11"/>
  <c r="D87" i="11"/>
  <c r="C87" i="11"/>
  <c r="A87" i="11"/>
  <c r="A86" i="11"/>
  <c r="BD84" i="11"/>
  <c r="AY84" i="11"/>
  <c r="AU84" i="11"/>
  <c r="AT84" i="11"/>
  <c r="AS84" i="11"/>
  <c r="AR84" i="11"/>
  <c r="AQ84" i="11"/>
  <c r="AP84" i="11"/>
  <c r="AO84" i="11"/>
  <c r="AN84" i="11"/>
  <c r="AM84" i="11"/>
  <c r="AL84" i="11"/>
  <c r="AK84" i="11"/>
  <c r="AJ84" i="11"/>
  <c r="AI84" i="11"/>
  <c r="AH84" i="11"/>
  <c r="AG84" i="11"/>
  <c r="AF84" i="11"/>
  <c r="AE84" i="11"/>
  <c r="AD84" i="11"/>
  <c r="AC84" i="11"/>
  <c r="AB84" i="11"/>
  <c r="AA84" i="11"/>
  <c r="Z84" i="11"/>
  <c r="Y84" i="11"/>
  <c r="X84" i="11"/>
  <c r="W84" i="11"/>
  <c r="V84" i="11"/>
  <c r="A84" i="11"/>
  <c r="BD83" i="11"/>
  <c r="AY83" i="11"/>
  <c r="AU83" i="11"/>
  <c r="AT83" i="11"/>
  <c r="AS83" i="11"/>
  <c r="AR83" i="11"/>
  <c r="AQ83" i="11"/>
  <c r="AP83" i="11"/>
  <c r="AO83" i="11"/>
  <c r="AN83" i="11"/>
  <c r="AM83" i="11"/>
  <c r="AL83" i="11"/>
  <c r="AK83" i="11"/>
  <c r="AJ83" i="11"/>
  <c r="AI83" i="11"/>
  <c r="AH83" i="11"/>
  <c r="AG83" i="11"/>
  <c r="AF83" i="11"/>
  <c r="AE83" i="11"/>
  <c r="AD83" i="11"/>
  <c r="AC83" i="11"/>
  <c r="AB83" i="11"/>
  <c r="AA83" i="11"/>
  <c r="Z83" i="11"/>
  <c r="Y83" i="11"/>
  <c r="X83" i="11"/>
  <c r="W83" i="11"/>
  <c r="V83" i="11"/>
  <c r="A83" i="11"/>
  <c r="A82" i="11"/>
  <c r="BD80" i="11"/>
  <c r="AY80" i="11"/>
  <c r="AU80" i="11"/>
  <c r="AT80" i="11"/>
  <c r="AS80" i="11"/>
  <c r="AR80" i="11"/>
  <c r="AQ80" i="11"/>
  <c r="AP80" i="11"/>
  <c r="AO80" i="11"/>
  <c r="AN80" i="11"/>
  <c r="AM80" i="11"/>
  <c r="AL80" i="11"/>
  <c r="AK80" i="11"/>
  <c r="AJ80" i="11"/>
  <c r="AI80" i="11"/>
  <c r="AH80" i="11"/>
  <c r="AG80" i="11"/>
  <c r="AF80" i="11"/>
  <c r="AE80" i="11"/>
  <c r="AD80" i="11"/>
  <c r="AC80" i="11"/>
  <c r="AB80" i="11"/>
  <c r="AA80" i="11"/>
  <c r="Z80" i="11"/>
  <c r="Y80" i="11"/>
  <c r="X80" i="11"/>
  <c r="W80" i="11"/>
  <c r="V80" i="11"/>
  <c r="A80" i="11"/>
  <c r="BD79" i="11"/>
  <c r="AY79" i="11"/>
  <c r="AU79" i="11"/>
  <c r="AT79" i="11"/>
  <c r="AS79" i="11"/>
  <c r="AR79" i="11"/>
  <c r="AQ79" i="11"/>
  <c r="AP79" i="11"/>
  <c r="AO79" i="11"/>
  <c r="AN79" i="11"/>
  <c r="AM79" i="11"/>
  <c r="AL79" i="11"/>
  <c r="AK79" i="11"/>
  <c r="A79" i="11"/>
  <c r="BD78" i="11"/>
  <c r="AY78" i="11"/>
  <c r="AU78" i="11"/>
  <c r="AT78" i="11"/>
  <c r="AS78" i="11"/>
  <c r="AR78" i="11"/>
  <c r="AQ78" i="11"/>
  <c r="AP78" i="11"/>
  <c r="AO78" i="11"/>
  <c r="AN78" i="11"/>
  <c r="AM78" i="11"/>
  <c r="AL78" i="11"/>
  <c r="AK78" i="11"/>
  <c r="AJ78" i="11"/>
  <c r="AI78" i="11"/>
  <c r="AH78" i="11"/>
  <c r="AG78" i="11"/>
  <c r="AF78" i="11"/>
  <c r="AE78" i="11"/>
  <c r="AD78" i="11"/>
  <c r="AC78" i="11"/>
  <c r="AB78" i="11"/>
  <c r="AA78" i="11"/>
  <c r="Z78" i="11"/>
  <c r="Y78" i="11"/>
  <c r="X78" i="11"/>
  <c r="W78" i="11"/>
  <c r="V78" i="11"/>
  <c r="A78" i="11"/>
  <c r="A77" i="11"/>
  <c r="BD75" i="11"/>
  <c r="AU75" i="11"/>
  <c r="AT75" i="11"/>
  <c r="AS75" i="11"/>
  <c r="AR75" i="11"/>
  <c r="AQ75" i="11"/>
  <c r="AP75" i="11"/>
  <c r="AO75" i="11"/>
  <c r="AN75" i="11"/>
  <c r="AM75" i="11"/>
  <c r="AL75" i="11"/>
  <c r="AK75" i="11"/>
  <c r="AJ75" i="11"/>
  <c r="AI75" i="11"/>
  <c r="AH75" i="11"/>
  <c r="AG75" i="11"/>
  <c r="AF75" i="11"/>
  <c r="AE75" i="11"/>
  <c r="AD75" i="11"/>
  <c r="AC75" i="11"/>
  <c r="AB75" i="11"/>
  <c r="AA75" i="11"/>
  <c r="A75" i="11"/>
  <c r="BG74" i="11"/>
  <c r="BF74" i="11"/>
  <c r="BE74" i="11"/>
  <c r="BD74" i="11"/>
  <c r="BC74" i="11"/>
  <c r="BB74" i="11"/>
  <c r="BA74" i="11"/>
  <c r="AZ74" i="11"/>
  <c r="AY74" i="11"/>
  <c r="AU74" i="11"/>
  <c r="AT74" i="11"/>
  <c r="AS74" i="11"/>
  <c r="AR74" i="11"/>
  <c r="AQ74" i="11"/>
  <c r="AP74" i="11"/>
  <c r="AO74" i="11"/>
  <c r="AN74" i="11"/>
  <c r="AM74" i="11"/>
  <c r="AL74" i="11"/>
  <c r="AK74" i="11"/>
  <c r="AJ74" i="11"/>
  <c r="AI74" i="11"/>
  <c r="AH74" i="11"/>
  <c r="AG74" i="11"/>
  <c r="AF74" i="11"/>
  <c r="AE74" i="11"/>
  <c r="AD74" i="11"/>
  <c r="AC74" i="11"/>
  <c r="AB74" i="11"/>
  <c r="AA74" i="11"/>
  <c r="Z74" i="11"/>
  <c r="Y74" i="11"/>
  <c r="X74" i="11"/>
  <c r="W74" i="11"/>
  <c r="V74" i="11"/>
  <c r="A74" i="11"/>
  <c r="BD73" i="11"/>
  <c r="AY73" i="11"/>
  <c r="AU73" i="11"/>
  <c r="AT73" i="11"/>
  <c r="AS73" i="11"/>
  <c r="AR73" i="11"/>
  <c r="AQ73" i="11"/>
  <c r="AP73" i="11"/>
  <c r="AO73" i="11"/>
  <c r="AN73" i="11"/>
  <c r="AM73" i="11"/>
  <c r="AL73" i="11"/>
  <c r="AK73" i="11"/>
  <c r="A73" i="11"/>
  <c r="BG72" i="11"/>
  <c r="BF72" i="11"/>
  <c r="BE72" i="11"/>
  <c r="BD72" i="11"/>
  <c r="BC72" i="11"/>
  <c r="BB72" i="11"/>
  <c r="BA72" i="11"/>
  <c r="AZ72" i="11"/>
  <c r="AY72" i="11"/>
  <c r="AU72" i="11"/>
  <c r="AT72" i="11"/>
  <c r="AS72" i="11"/>
  <c r="AR72" i="11"/>
  <c r="AQ72" i="11"/>
  <c r="AP72" i="11"/>
  <c r="AO72" i="11"/>
  <c r="AN72" i="11"/>
  <c r="AM72" i="11"/>
  <c r="AL72" i="11"/>
  <c r="AK72" i="11"/>
  <c r="AJ72" i="11"/>
  <c r="AI72" i="11"/>
  <c r="AH72" i="11"/>
  <c r="AG72" i="11"/>
  <c r="AF72" i="11"/>
  <c r="AE72" i="11"/>
  <c r="AD72" i="11"/>
  <c r="AC72" i="11"/>
  <c r="AB72" i="11"/>
  <c r="AA72" i="11"/>
  <c r="Z72" i="11"/>
  <c r="Y72" i="11"/>
  <c r="X72" i="11"/>
  <c r="W72" i="11"/>
  <c r="V72" i="11"/>
  <c r="A72" i="11"/>
  <c r="BD71" i="11"/>
  <c r="AU71" i="11"/>
  <c r="AT71" i="11"/>
  <c r="AS71" i="11"/>
  <c r="AR71" i="11"/>
  <c r="AQ71" i="11"/>
  <c r="AP71" i="11"/>
  <c r="AJ71" i="11"/>
  <c r="AI71" i="11"/>
  <c r="AH71" i="11"/>
  <c r="AG71" i="11"/>
  <c r="AF71" i="11"/>
  <c r="AE71" i="11"/>
  <c r="AD71" i="11"/>
  <c r="AC71" i="11"/>
  <c r="AB71" i="11"/>
  <c r="AA71" i="11"/>
  <c r="A71" i="11"/>
  <c r="BD70" i="11"/>
  <c r="AU70" i="11"/>
  <c r="AT70" i="11"/>
  <c r="AS70" i="11"/>
  <c r="AR70" i="11"/>
  <c r="AQ70" i="11"/>
  <c r="AP70" i="11"/>
  <c r="AO70" i="11"/>
  <c r="AN70" i="11"/>
  <c r="AM70" i="11"/>
  <c r="AL70" i="11"/>
  <c r="AK70" i="11"/>
  <c r="AJ70" i="11"/>
  <c r="AI70" i="11"/>
  <c r="AH70" i="11"/>
  <c r="AG70" i="11"/>
  <c r="AF70" i="11"/>
  <c r="AE70" i="11"/>
  <c r="AD70" i="11"/>
  <c r="AC70" i="11"/>
  <c r="AB70" i="11"/>
  <c r="AA70" i="11"/>
  <c r="A70" i="11"/>
  <c r="BD69" i="11"/>
  <c r="AT69" i="11"/>
  <c r="AO69" i="11"/>
  <c r="AJ69" i="11"/>
  <c r="AE69" i="11"/>
  <c r="A69" i="11"/>
  <c r="BD68" i="11"/>
  <c r="AT68" i="11"/>
  <c r="AO68" i="11"/>
  <c r="AJ68" i="11"/>
  <c r="AH68" i="11"/>
  <c r="AG68" i="11"/>
  <c r="AF68" i="11"/>
  <c r="AE68" i="11"/>
  <c r="A68" i="11"/>
  <c r="BD67" i="11"/>
  <c r="AU67" i="11"/>
  <c r="AT67" i="11"/>
  <c r="AS67" i="11"/>
  <c r="AR67" i="11"/>
  <c r="AQ67" i="11"/>
  <c r="AP67" i="11"/>
  <c r="AO67" i="11"/>
  <c r="AN67" i="11"/>
  <c r="AM67" i="11"/>
  <c r="AL67" i="11"/>
  <c r="AK67" i="11"/>
  <c r="AJ67" i="11"/>
  <c r="AI67" i="11"/>
  <c r="AH67" i="11"/>
  <c r="AG67" i="11"/>
  <c r="AF67" i="11"/>
  <c r="AE67" i="11"/>
  <c r="AD67" i="11"/>
  <c r="AC67" i="11"/>
  <c r="AB67" i="11"/>
  <c r="AA67" i="11"/>
  <c r="A67" i="11"/>
  <c r="A66" i="11"/>
  <c r="BD64" i="11"/>
  <c r="AU64" i="11"/>
  <c r="AT64" i="11"/>
  <c r="AS64" i="11"/>
  <c r="AR64" i="11"/>
  <c r="AQ64" i="11"/>
  <c r="AP64" i="11"/>
  <c r="AO64" i="11"/>
  <c r="AN64" i="11"/>
  <c r="AM64" i="11"/>
  <c r="AL64" i="11"/>
  <c r="AK64" i="11"/>
  <c r="AJ64" i="11"/>
  <c r="AI64" i="11"/>
  <c r="AH64" i="11"/>
  <c r="AG64" i="11"/>
  <c r="AF64" i="11"/>
  <c r="AE64" i="11"/>
  <c r="AD64" i="11"/>
  <c r="AC64" i="11"/>
  <c r="AB64" i="11"/>
  <c r="AA64" i="11"/>
  <c r="A64" i="11"/>
  <c r="BG63" i="11"/>
  <c r="BF63" i="11"/>
  <c r="BE63" i="11"/>
  <c r="BD63" i="11"/>
  <c r="BC63" i="11"/>
  <c r="BB63" i="11"/>
  <c r="BA63" i="11"/>
  <c r="AZ63" i="11"/>
  <c r="AY63" i="11"/>
  <c r="AU63" i="11"/>
  <c r="AT63" i="11"/>
  <c r="AS63" i="11"/>
  <c r="AR63" i="11"/>
  <c r="AQ63" i="11"/>
  <c r="AP63" i="11"/>
  <c r="AO63" i="11"/>
  <c r="AN63" i="11"/>
  <c r="AM63" i="11"/>
  <c r="AL63" i="11"/>
  <c r="AK63" i="11"/>
  <c r="AJ63" i="11"/>
  <c r="AI63" i="11"/>
  <c r="AH63" i="11"/>
  <c r="AG63" i="11"/>
  <c r="AF63" i="11"/>
  <c r="AE63" i="11"/>
  <c r="AD63" i="11"/>
  <c r="AC63" i="11"/>
  <c r="AB63" i="11"/>
  <c r="AA63" i="11"/>
  <c r="Z63" i="11"/>
  <c r="Y63" i="11"/>
  <c r="X63" i="11"/>
  <c r="W63" i="11"/>
  <c r="V63" i="11"/>
  <c r="A63" i="11"/>
  <c r="BD62" i="11"/>
  <c r="AY62" i="11"/>
  <c r="AU62" i="11"/>
  <c r="AT62" i="11"/>
  <c r="AS62" i="11"/>
  <c r="AR62" i="11"/>
  <c r="AQ62" i="11"/>
  <c r="AP62" i="11"/>
  <c r="AO62" i="11"/>
  <c r="AN62" i="11"/>
  <c r="AM62" i="11"/>
  <c r="AL62" i="11"/>
  <c r="AK62" i="11"/>
  <c r="A62" i="11"/>
  <c r="BG61" i="11"/>
  <c r="BF61" i="11"/>
  <c r="BE61" i="11"/>
  <c r="BD61" i="11"/>
  <c r="BC61" i="11"/>
  <c r="BB61" i="11"/>
  <c r="BA61" i="11"/>
  <c r="AZ61" i="11"/>
  <c r="AY61" i="11"/>
  <c r="AU61" i="11"/>
  <c r="AT61" i="11"/>
  <c r="AS61" i="11"/>
  <c r="AR61" i="11"/>
  <c r="AQ61" i="11"/>
  <c r="AP61" i="11"/>
  <c r="AO61" i="11"/>
  <c r="AN61" i="11"/>
  <c r="AM61" i="11"/>
  <c r="AL61" i="11"/>
  <c r="AK61" i="11"/>
  <c r="AJ61" i="11"/>
  <c r="AI61" i="11"/>
  <c r="AH61" i="11"/>
  <c r="AG61" i="11"/>
  <c r="AF61" i="11"/>
  <c r="AE61" i="11"/>
  <c r="AD61" i="11"/>
  <c r="AC61" i="11"/>
  <c r="AB61" i="11"/>
  <c r="AA61" i="11"/>
  <c r="Z61" i="11"/>
  <c r="Y61" i="11"/>
  <c r="X61" i="11"/>
  <c r="W61" i="11"/>
  <c r="V61" i="11"/>
  <c r="A61" i="11"/>
  <c r="BD60" i="11"/>
  <c r="AU60" i="11"/>
  <c r="AT60" i="11"/>
  <c r="AS60" i="11"/>
  <c r="AR60" i="11"/>
  <c r="AQ60" i="11"/>
  <c r="AP60" i="11"/>
  <c r="AJ60" i="11"/>
  <c r="AI60" i="11"/>
  <c r="AH60" i="11"/>
  <c r="AG60" i="11"/>
  <c r="AF60" i="11"/>
  <c r="AE60" i="11"/>
  <c r="AD60" i="11"/>
  <c r="AC60" i="11"/>
  <c r="AB60" i="11"/>
  <c r="AA60" i="11"/>
  <c r="A60" i="11"/>
  <c r="BD59" i="11"/>
  <c r="AU59" i="11"/>
  <c r="AT59" i="11"/>
  <c r="AS59" i="11"/>
  <c r="AR59" i="11"/>
  <c r="AQ59" i="11"/>
  <c r="AP59" i="11"/>
  <c r="AO59" i="11"/>
  <c r="AN59" i="11"/>
  <c r="AM59" i="11"/>
  <c r="AL59" i="11"/>
  <c r="AK59" i="11"/>
  <c r="AJ59" i="11"/>
  <c r="AI59" i="11"/>
  <c r="AH59" i="11"/>
  <c r="AG59" i="11"/>
  <c r="AF59" i="11"/>
  <c r="AE59" i="11"/>
  <c r="AD59" i="11"/>
  <c r="AC59" i="11"/>
  <c r="AB59" i="11"/>
  <c r="AA59" i="11"/>
  <c r="A59" i="11"/>
  <c r="BD58" i="11"/>
  <c r="AU58" i="11"/>
  <c r="AT58" i="11"/>
  <c r="AS58" i="11"/>
  <c r="AR58" i="11"/>
  <c r="AQ58" i="11"/>
  <c r="AO58" i="11"/>
  <c r="AK58" i="11"/>
  <c r="AJ58" i="11"/>
  <c r="AI58" i="11"/>
  <c r="AH58" i="11"/>
  <c r="AG58" i="11"/>
  <c r="AF58" i="11"/>
  <c r="AE58" i="11"/>
  <c r="A58" i="11"/>
  <c r="BD57" i="11"/>
  <c r="AT57" i="11"/>
  <c r="AS57" i="11"/>
  <c r="AR57" i="11"/>
  <c r="AQ57" i="11"/>
  <c r="AP57" i="11"/>
  <c r="AO57" i="11"/>
  <c r="AN57" i="11"/>
  <c r="AM57" i="11"/>
  <c r="AL57" i="11"/>
  <c r="AK57" i="11"/>
  <c r="AJ57" i="11"/>
  <c r="AG57" i="11"/>
  <c r="AF57" i="11"/>
  <c r="AE57" i="11"/>
  <c r="AD57" i="11"/>
  <c r="A57" i="11"/>
  <c r="BD56" i="11"/>
  <c r="AU56" i="11"/>
  <c r="AT56" i="11"/>
  <c r="AS56" i="11"/>
  <c r="AR56" i="11"/>
  <c r="AQ56" i="11"/>
  <c r="AP56" i="11"/>
  <c r="AO56" i="11"/>
  <c r="AN56" i="11"/>
  <c r="AM56" i="11"/>
  <c r="AL56" i="11"/>
  <c r="AK56" i="11"/>
  <c r="AJ56" i="11"/>
  <c r="AI56" i="11"/>
  <c r="AH56" i="11"/>
  <c r="AG56" i="11"/>
  <c r="AF56" i="11"/>
  <c r="AE56" i="11"/>
  <c r="AD56" i="11"/>
  <c r="AC56" i="11"/>
  <c r="AB56" i="11"/>
  <c r="AA56" i="11"/>
  <c r="A56" i="11"/>
  <c r="A55" i="11"/>
  <c r="BD53" i="11"/>
  <c r="AU53" i="11"/>
  <c r="AT53" i="11"/>
  <c r="AS53" i="11"/>
  <c r="AR53" i="11"/>
  <c r="AQ53" i="11"/>
  <c r="AP53" i="11"/>
  <c r="AO53" i="11"/>
  <c r="AN53" i="11"/>
  <c r="AM53" i="11"/>
  <c r="AL53" i="11"/>
  <c r="AK53" i="11"/>
  <c r="AJ53" i="11"/>
  <c r="AI53" i="11"/>
  <c r="AH53" i="11"/>
  <c r="AG53" i="11"/>
  <c r="AF53" i="11"/>
  <c r="AE53" i="11"/>
  <c r="AD53" i="11"/>
  <c r="AC53" i="11"/>
  <c r="AB53" i="11"/>
  <c r="AA53" i="11"/>
  <c r="A53" i="11"/>
  <c r="BG52" i="11"/>
  <c r="BF52" i="11"/>
  <c r="BE52" i="11"/>
  <c r="BD52" i="11"/>
  <c r="BC52" i="11"/>
  <c r="BB52" i="11"/>
  <c r="BA52" i="11"/>
  <c r="AZ52" i="11"/>
  <c r="AY52" i="11"/>
  <c r="AU52" i="11"/>
  <c r="AT52" i="11"/>
  <c r="AS52" i="11"/>
  <c r="AR52" i="11"/>
  <c r="AQ52" i="11"/>
  <c r="AP52" i="11"/>
  <c r="AO52" i="11"/>
  <c r="AN52" i="11"/>
  <c r="AM52" i="11"/>
  <c r="AL52" i="11"/>
  <c r="AK52" i="11"/>
  <c r="AJ52" i="11"/>
  <c r="AI52" i="11"/>
  <c r="AH52" i="11"/>
  <c r="AG52" i="11"/>
  <c r="AF52" i="11"/>
  <c r="AE52" i="11"/>
  <c r="AD52" i="11"/>
  <c r="AC52" i="11"/>
  <c r="AB52" i="11"/>
  <c r="AA52" i="11"/>
  <c r="Z52" i="11"/>
  <c r="Y52" i="11"/>
  <c r="X52" i="11"/>
  <c r="W52" i="11"/>
  <c r="V52" i="11"/>
  <c r="A52" i="11"/>
  <c r="BD51" i="11"/>
  <c r="AY51" i="11"/>
  <c r="AU51" i="11"/>
  <c r="AT51" i="11"/>
  <c r="AS51" i="11"/>
  <c r="AR51" i="11"/>
  <c r="AQ51" i="11"/>
  <c r="AP51" i="11"/>
  <c r="AO51" i="11"/>
  <c r="AN51" i="11"/>
  <c r="AM51" i="11"/>
  <c r="AL51" i="11"/>
  <c r="AK51" i="11"/>
  <c r="A51" i="11"/>
  <c r="BG50" i="11"/>
  <c r="BF50" i="11"/>
  <c r="BE50" i="11"/>
  <c r="BD50" i="11"/>
  <c r="BC50" i="11"/>
  <c r="BB50" i="11"/>
  <c r="BA50" i="11"/>
  <c r="AZ50" i="11"/>
  <c r="AY50" i="11"/>
  <c r="AU50" i="11"/>
  <c r="AT50" i="11"/>
  <c r="AS50" i="11"/>
  <c r="AR50" i="11"/>
  <c r="AQ50" i="11"/>
  <c r="AP50" i="11"/>
  <c r="AO50" i="11"/>
  <c r="AN50" i="11"/>
  <c r="AM50" i="11"/>
  <c r="AL50" i="11"/>
  <c r="AK50" i="11"/>
  <c r="AJ50" i="11"/>
  <c r="AI50" i="11"/>
  <c r="AH50" i="11"/>
  <c r="AG50" i="11"/>
  <c r="AF50" i="11"/>
  <c r="AE50" i="11"/>
  <c r="AD50" i="11"/>
  <c r="AC50" i="11"/>
  <c r="AB50" i="11"/>
  <c r="AA50" i="11"/>
  <c r="Z50" i="11"/>
  <c r="Y50" i="11"/>
  <c r="X50" i="11"/>
  <c r="W50" i="11"/>
  <c r="V50" i="11"/>
  <c r="A50" i="11"/>
  <c r="BD49" i="11"/>
  <c r="AU49" i="11"/>
  <c r="AT49" i="11"/>
  <c r="AS49" i="11"/>
  <c r="AR49" i="11"/>
  <c r="AQ49" i="11"/>
  <c r="AP49" i="11"/>
  <c r="AJ49" i="11"/>
  <c r="AI49" i="11"/>
  <c r="AH49" i="11"/>
  <c r="AG49" i="11"/>
  <c r="AF49" i="11"/>
  <c r="AE49" i="11"/>
  <c r="AD49" i="11"/>
  <c r="AC49" i="11"/>
  <c r="AB49" i="11"/>
  <c r="AA49" i="11"/>
  <c r="A49" i="11"/>
  <c r="BD48" i="11"/>
  <c r="AU48" i="11"/>
  <c r="AT48" i="11"/>
  <c r="AS48" i="11"/>
  <c r="AR48" i="11"/>
  <c r="AQ48" i="11"/>
  <c r="AP48" i="11"/>
  <c r="AO48" i="11"/>
  <c r="AN48" i="11"/>
  <c r="AM48" i="11"/>
  <c r="AL48" i="11"/>
  <c r="AK48" i="11"/>
  <c r="AJ48" i="11"/>
  <c r="AI48" i="11"/>
  <c r="AH48" i="11"/>
  <c r="AG48" i="11"/>
  <c r="AF48" i="11"/>
  <c r="AE48" i="11"/>
  <c r="AD48" i="11"/>
  <c r="AB48" i="11"/>
  <c r="AA48" i="11"/>
  <c r="A48" i="11"/>
  <c r="BD47" i="11"/>
  <c r="AT47" i="11"/>
  <c r="AS47" i="11"/>
  <c r="AR47" i="11"/>
  <c r="AQ47" i="11"/>
  <c r="AP47" i="11"/>
  <c r="AO47" i="11"/>
  <c r="AJ47" i="11"/>
  <c r="AH47" i="11"/>
  <c r="AG47" i="11"/>
  <c r="AF47" i="11"/>
  <c r="AE47" i="11"/>
  <c r="AD47" i="11"/>
  <c r="AC47" i="11"/>
  <c r="AB47" i="11"/>
  <c r="AA47" i="11"/>
  <c r="A47" i="11"/>
  <c r="BD46" i="11"/>
  <c r="AT46" i="11"/>
  <c r="AO46" i="11"/>
  <c r="AJ46" i="11"/>
  <c r="AE46" i="11"/>
  <c r="A46" i="11"/>
  <c r="BD45" i="11"/>
  <c r="AU45" i="11"/>
  <c r="AT45" i="11"/>
  <c r="AS45" i="11"/>
  <c r="AR45" i="11"/>
  <c r="AQ45" i="11"/>
  <c r="AP45" i="11"/>
  <c r="AO45" i="11"/>
  <c r="AN45" i="11"/>
  <c r="AM45" i="11"/>
  <c r="AL45" i="11"/>
  <c r="AK45" i="11"/>
  <c r="AJ45" i="11"/>
  <c r="AI45" i="11"/>
  <c r="AH45" i="11"/>
  <c r="AG45" i="11"/>
  <c r="AF45" i="11"/>
  <c r="AE45" i="11"/>
  <c r="AD45" i="11"/>
  <c r="AC45" i="11"/>
  <c r="AB45" i="11"/>
  <c r="AA45" i="11"/>
  <c r="A45" i="11"/>
  <c r="A44" i="11"/>
  <c r="BD42" i="11"/>
  <c r="AU42" i="11"/>
  <c r="AT42" i="11"/>
  <c r="AS42" i="11"/>
  <c r="AR42" i="11"/>
  <c r="AQ42" i="11"/>
  <c r="AP42" i="11"/>
  <c r="AO42" i="11"/>
  <c r="AN42" i="11"/>
  <c r="AM42" i="11"/>
  <c r="AL42" i="11"/>
  <c r="AK42" i="11"/>
  <c r="AJ42" i="11"/>
  <c r="AI42" i="11"/>
  <c r="AH42" i="11"/>
  <c r="AG42" i="11"/>
  <c r="AF42" i="11"/>
  <c r="AE42" i="11"/>
  <c r="AD42" i="11"/>
  <c r="AC42" i="11"/>
  <c r="AB42" i="11"/>
  <c r="AA42" i="11"/>
  <c r="A42" i="11"/>
  <c r="BG41" i="11"/>
  <c r="BF41" i="11"/>
  <c r="BE41" i="11"/>
  <c r="BD41" i="11"/>
  <c r="BC41" i="11"/>
  <c r="BB41" i="11"/>
  <c r="BA41" i="11"/>
  <c r="AZ41" i="11"/>
  <c r="AY41" i="11"/>
  <c r="AU41" i="11"/>
  <c r="AT41" i="11"/>
  <c r="AS41" i="11"/>
  <c r="AR41" i="11"/>
  <c r="AQ41" i="11"/>
  <c r="AP41" i="11"/>
  <c r="AO41" i="11"/>
  <c r="AN41" i="11"/>
  <c r="AM41" i="11"/>
  <c r="AL41" i="11"/>
  <c r="AK41" i="11"/>
  <c r="AJ41" i="11"/>
  <c r="AI41" i="11"/>
  <c r="AH41" i="11"/>
  <c r="AG41" i="11"/>
  <c r="AF41" i="11"/>
  <c r="AE41" i="11"/>
  <c r="AD41" i="11"/>
  <c r="AC41" i="11"/>
  <c r="AB41" i="11"/>
  <c r="AA41" i="11"/>
  <c r="Z41" i="11"/>
  <c r="Y41" i="11"/>
  <c r="X41" i="11"/>
  <c r="W41" i="11"/>
  <c r="V41" i="11"/>
  <c r="A41" i="11"/>
  <c r="BD40" i="11"/>
  <c r="AY40" i="11"/>
  <c r="AU40" i="11"/>
  <c r="AT40" i="11"/>
  <c r="AS40" i="11"/>
  <c r="AR40" i="11"/>
  <c r="AQ40" i="11"/>
  <c r="AP40" i="11"/>
  <c r="AO40" i="11"/>
  <c r="AN40" i="11"/>
  <c r="AM40" i="11"/>
  <c r="AL40" i="11"/>
  <c r="AK40" i="11"/>
  <c r="A40" i="11"/>
  <c r="BG39" i="11"/>
  <c r="BF39" i="11"/>
  <c r="BE39" i="11"/>
  <c r="BD39" i="11"/>
  <c r="BC39" i="11"/>
  <c r="BB39" i="11"/>
  <c r="BA39" i="11"/>
  <c r="AZ39" i="11"/>
  <c r="AY39" i="11"/>
  <c r="AU39" i="11"/>
  <c r="AT39" i="11"/>
  <c r="AS39" i="11"/>
  <c r="AR39" i="11"/>
  <c r="AQ39" i="11"/>
  <c r="AP39" i="11"/>
  <c r="AO39" i="11"/>
  <c r="AN39" i="11"/>
  <c r="AM39" i="11"/>
  <c r="AL39" i="11"/>
  <c r="AK39" i="11"/>
  <c r="AJ39" i="11"/>
  <c r="AI39" i="11"/>
  <c r="AH39" i="11"/>
  <c r="AG39" i="11"/>
  <c r="AF39" i="11"/>
  <c r="AE39" i="11"/>
  <c r="AD39" i="11"/>
  <c r="AC39" i="11"/>
  <c r="AB39" i="11"/>
  <c r="AA39" i="11"/>
  <c r="Z39" i="11"/>
  <c r="Y39" i="11"/>
  <c r="X39" i="11"/>
  <c r="W39" i="11"/>
  <c r="V39" i="11"/>
  <c r="A39" i="11"/>
  <c r="BD38" i="11"/>
  <c r="AU38" i="11"/>
  <c r="AT38" i="11"/>
  <c r="AS38" i="11"/>
  <c r="AR38" i="11"/>
  <c r="AQ38" i="11"/>
  <c r="AP38" i="11"/>
  <c r="AJ38" i="11"/>
  <c r="AI38" i="11"/>
  <c r="AH38" i="11"/>
  <c r="AG38" i="11"/>
  <c r="AF38" i="11"/>
  <c r="AE38" i="11"/>
  <c r="AD38" i="11"/>
  <c r="AC38" i="11"/>
  <c r="AB38" i="11"/>
  <c r="AA38" i="11"/>
  <c r="A38" i="11"/>
  <c r="BD37" i="11"/>
  <c r="AU37" i="11"/>
  <c r="AT37" i="11"/>
  <c r="AS37" i="11"/>
  <c r="AR37" i="11"/>
  <c r="AQ37" i="11"/>
  <c r="AP37" i="11"/>
  <c r="AO37" i="11"/>
  <c r="AN37" i="11"/>
  <c r="AM37" i="11"/>
  <c r="AL37" i="11"/>
  <c r="AK37" i="11"/>
  <c r="AJ37" i="11"/>
  <c r="AI37" i="11"/>
  <c r="AH37" i="11"/>
  <c r="AG37" i="11"/>
  <c r="AF37" i="11"/>
  <c r="AE37" i="11"/>
  <c r="AD37" i="11"/>
  <c r="AC37" i="11"/>
  <c r="AB37" i="11"/>
  <c r="AA37" i="11"/>
  <c r="A37" i="11"/>
  <c r="BD36" i="11"/>
  <c r="AT36" i="11"/>
  <c r="AS36" i="11"/>
  <c r="AR36" i="11"/>
  <c r="AQ36" i="11"/>
  <c r="AP36" i="11"/>
  <c r="AO36" i="11"/>
  <c r="AN36" i="11"/>
  <c r="AM36" i="11"/>
  <c r="AL36" i="11"/>
  <c r="AK36" i="11"/>
  <c r="AJ36" i="11"/>
  <c r="AI36" i="11"/>
  <c r="AH36" i="11"/>
  <c r="AG36" i="11"/>
  <c r="AF36" i="11"/>
  <c r="AE36" i="11"/>
  <c r="AD36" i="11"/>
  <c r="AC36" i="11"/>
  <c r="AB36" i="11"/>
  <c r="AA36" i="11"/>
  <c r="A36" i="11"/>
  <c r="BD35" i="11"/>
  <c r="AT35" i="11"/>
  <c r="AO35" i="11"/>
  <c r="AJ35" i="11"/>
  <c r="AH35" i="11"/>
  <c r="AG35" i="11"/>
  <c r="AF35" i="11"/>
  <c r="AE35" i="11"/>
  <c r="AD35" i="11"/>
  <c r="A35" i="11"/>
  <c r="BD34" i="11"/>
  <c r="AU34" i="11"/>
  <c r="AT34" i="11"/>
  <c r="AS34" i="11"/>
  <c r="AR34" i="11"/>
  <c r="AQ34" i="11"/>
  <c r="AP34" i="11"/>
  <c r="AO34" i="11"/>
  <c r="AN34" i="11"/>
  <c r="AM34" i="11"/>
  <c r="AL34" i="11"/>
  <c r="AK34" i="11"/>
  <c r="AJ34" i="11"/>
  <c r="AI34" i="11"/>
  <c r="AH34" i="11"/>
  <c r="AG34" i="11"/>
  <c r="AF34" i="11"/>
  <c r="AE34" i="11"/>
  <c r="AD34" i="11"/>
  <c r="AC34" i="11"/>
  <c r="AB34" i="11"/>
  <c r="AA34" i="11"/>
  <c r="A34" i="11"/>
  <c r="A33" i="11"/>
  <c r="BD31" i="11"/>
  <c r="AU31" i="11"/>
  <c r="AT31" i="11"/>
  <c r="AS31" i="11"/>
  <c r="AR31" i="11"/>
  <c r="AQ31" i="11"/>
  <c r="AP31" i="11"/>
  <c r="AO31" i="11"/>
  <c r="AN31" i="11"/>
  <c r="AM31" i="11"/>
  <c r="AL31" i="11"/>
  <c r="AK31" i="11"/>
  <c r="AJ31" i="11"/>
  <c r="AI31" i="11"/>
  <c r="AH31" i="11"/>
  <c r="AG31" i="11"/>
  <c r="AF31" i="11"/>
  <c r="AE31" i="11"/>
  <c r="AD31" i="11"/>
  <c r="AC31" i="11"/>
  <c r="AB31" i="11"/>
  <c r="AA31" i="11"/>
  <c r="A31" i="11"/>
  <c r="A30" i="11"/>
  <c r="A28" i="11"/>
  <c r="A27" i="11"/>
  <c r="A26" i="11"/>
  <c r="A25" i="11"/>
  <c r="A23" i="11"/>
  <c r="A22"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D19" i="11"/>
  <c r="C19" i="11"/>
  <c r="BG18" i="11"/>
  <c r="BF18" i="11"/>
  <c r="BE18" i="11"/>
  <c r="BD18" i="11"/>
  <c r="BC18" i="11"/>
  <c r="BB18" i="11"/>
  <c r="BA18" i="11"/>
  <c r="AZ18" i="11"/>
  <c r="AY18" i="11"/>
  <c r="AX18"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H18" i="11"/>
  <c r="G18" i="11"/>
  <c r="F18" i="11"/>
  <c r="E18" i="11"/>
  <c r="D18" i="11"/>
  <c r="C18" i="11"/>
  <c r="BE17" i="11"/>
  <c r="BC17" i="11"/>
  <c r="BB17" i="11"/>
  <c r="BA17" i="11"/>
  <c r="AZ17" i="11"/>
  <c r="AZ19" i="11" s="1"/>
  <c r="AY17" i="11"/>
  <c r="AX17" i="11"/>
  <c r="AW17" i="11"/>
  <c r="AV17" i="11"/>
  <c r="AU17" i="11"/>
  <c r="AT17" i="11"/>
  <c r="AS17" i="11"/>
  <c r="AR17" i="11"/>
  <c r="AQ17" i="11"/>
  <c r="AP17" i="11"/>
  <c r="AO17" i="11"/>
  <c r="AN17" i="11"/>
  <c r="AM17" i="11"/>
  <c r="AL17" i="11"/>
  <c r="AK17" i="11"/>
  <c r="AJ17" i="11"/>
  <c r="AI17" i="11"/>
  <c r="AH17" i="11"/>
  <c r="AG17" i="11"/>
  <c r="AF17" i="11"/>
  <c r="AE17" i="11"/>
  <c r="AD17" i="11"/>
  <c r="AC17" i="11"/>
  <c r="AB17" i="11"/>
  <c r="AA17" i="11"/>
  <c r="Z17" i="11"/>
  <c r="Y17" i="11"/>
  <c r="X17" i="11"/>
  <c r="W17" i="11"/>
  <c r="V17" i="11"/>
  <c r="U17" i="11"/>
  <c r="T17" i="11"/>
  <c r="S17" i="11"/>
  <c r="R17" i="11"/>
  <c r="Q17" i="11"/>
  <c r="P17" i="11"/>
  <c r="O17" i="11"/>
  <c r="N17" i="11"/>
  <c r="M17" i="11"/>
  <c r="L17" i="11"/>
  <c r="K17" i="11"/>
  <c r="J17" i="11"/>
  <c r="I17" i="11"/>
  <c r="H17" i="11"/>
  <c r="G17" i="11"/>
  <c r="F17" i="11"/>
  <c r="E17" i="11"/>
  <c r="D17" i="11"/>
  <c r="C17" i="11"/>
  <c r="AZ16" i="11"/>
  <c r="AY16" i="11"/>
  <c r="AX16" i="11"/>
  <c r="AW16" i="11"/>
  <c r="AV16" i="11"/>
  <c r="AU16" i="11"/>
  <c r="AT16" i="11"/>
  <c r="AS16" i="11"/>
  <c r="AR16" i="11"/>
  <c r="AQ16" i="11"/>
  <c r="AP16" i="11"/>
  <c r="AO16" i="11"/>
  <c r="AN16" i="11"/>
  <c r="AM16" i="11"/>
  <c r="AL16" i="11"/>
  <c r="AK16" i="11"/>
  <c r="AJ16" i="11"/>
  <c r="AI16" i="11"/>
  <c r="AH16" i="11"/>
  <c r="AG16" i="11"/>
  <c r="AF16" i="11"/>
  <c r="AE16" i="11"/>
  <c r="AD16" i="11"/>
  <c r="AC16" i="11"/>
  <c r="AB16" i="11"/>
  <c r="AA16" i="11"/>
  <c r="Z16" i="11"/>
  <c r="Y16" i="11"/>
  <c r="X16" i="11"/>
  <c r="W16" i="11"/>
  <c r="V16" i="11"/>
  <c r="U16" i="11"/>
  <c r="T16" i="11"/>
  <c r="S16" i="11"/>
  <c r="R16" i="11"/>
  <c r="Q16" i="11"/>
  <c r="P16" i="11"/>
  <c r="O16" i="11"/>
  <c r="N16" i="11"/>
  <c r="M16" i="11"/>
  <c r="L16" i="11"/>
  <c r="K16" i="11"/>
  <c r="J16" i="11"/>
  <c r="I16" i="11"/>
  <c r="H16" i="11"/>
  <c r="G16" i="11"/>
  <c r="F16" i="11"/>
  <c r="E16" i="11"/>
  <c r="D16" i="11"/>
  <c r="C16" i="11"/>
  <c r="BG15" i="11"/>
  <c r="BF15" i="11"/>
  <c r="BE15" i="11"/>
  <c r="BD15" i="11"/>
  <c r="BC15" i="11"/>
  <c r="BB15" i="11"/>
  <c r="BA15" i="11"/>
  <c r="AZ15" i="11"/>
  <c r="AY15" i="11"/>
  <c r="AX15" i="11"/>
  <c r="AW15" i="11"/>
  <c r="AV15" i="11"/>
  <c r="AU15" i="11"/>
  <c r="AT15" i="11"/>
  <c r="AS15" i="11"/>
  <c r="AR15" i="11"/>
  <c r="AQ15" i="11"/>
  <c r="AP15" i="11"/>
  <c r="AO15" i="11"/>
  <c r="AN15" i="11"/>
  <c r="AM15" i="11"/>
  <c r="AL15" i="11"/>
  <c r="AK15" i="11"/>
  <c r="AJ15" i="11"/>
  <c r="AI15" i="11"/>
  <c r="AH15" i="11"/>
  <c r="AG15" i="11"/>
  <c r="AF15" i="11"/>
  <c r="AE15" i="11"/>
  <c r="AD15" i="11"/>
  <c r="AC15" i="11"/>
  <c r="AB15" i="11"/>
  <c r="AA15" i="11"/>
  <c r="Z15" i="11"/>
  <c r="Y15" i="11"/>
  <c r="X15" i="11"/>
  <c r="W15" i="11"/>
  <c r="V15" i="11"/>
  <c r="U15" i="11"/>
  <c r="T15" i="11"/>
  <c r="S15" i="11"/>
  <c r="R15" i="11"/>
  <c r="Q15" i="11"/>
  <c r="P15" i="11"/>
  <c r="O15" i="11"/>
  <c r="N15" i="11"/>
  <c r="M15" i="11"/>
  <c r="L15" i="11"/>
  <c r="K15" i="11"/>
  <c r="J15" i="11"/>
  <c r="I15" i="11"/>
  <c r="H15" i="11"/>
  <c r="G15" i="11"/>
  <c r="F15" i="11"/>
  <c r="E15" i="11"/>
  <c r="D15" i="11"/>
  <c r="C15" i="11"/>
  <c r="BG14" i="11"/>
  <c r="BF14" i="11"/>
  <c r="BE14" i="11"/>
  <c r="BD14" i="11"/>
  <c r="BC14" i="11"/>
  <c r="BB14" i="11"/>
  <c r="BA14" i="11"/>
  <c r="AZ14" i="11"/>
  <c r="AY14" i="11"/>
  <c r="AX14" i="11"/>
  <c r="AW14" i="11"/>
  <c r="AV14" i="11"/>
  <c r="AU14" i="11"/>
  <c r="AT14" i="11"/>
  <c r="AS14" i="11"/>
  <c r="AR14" i="11"/>
  <c r="AQ14" i="11"/>
  <c r="AP14" i="11"/>
  <c r="AO14" i="11"/>
  <c r="AN14" i="11"/>
  <c r="AM14" i="11"/>
  <c r="AL14" i="11"/>
  <c r="AK14" i="11"/>
  <c r="AJ14" i="11"/>
  <c r="AI14" i="11"/>
  <c r="AH14" i="11"/>
  <c r="AG14" i="11"/>
  <c r="AF14" i="11"/>
  <c r="AE14" i="11"/>
  <c r="AD14" i="11"/>
  <c r="AC14" i="11"/>
  <c r="AB14" i="11"/>
  <c r="AA14" i="11"/>
  <c r="Z14" i="11"/>
  <c r="Y14" i="11"/>
  <c r="X14" i="11"/>
  <c r="W14" i="11"/>
  <c r="V14" i="11"/>
  <c r="U14" i="11"/>
  <c r="T14" i="11"/>
  <c r="S14" i="11"/>
  <c r="R14" i="11"/>
  <c r="Q14" i="11"/>
  <c r="P14" i="11"/>
  <c r="O14" i="11"/>
  <c r="N14" i="11"/>
  <c r="M14" i="11"/>
  <c r="L14" i="11"/>
  <c r="K14" i="11"/>
  <c r="J14" i="11"/>
  <c r="I14" i="11"/>
  <c r="H14" i="11"/>
  <c r="G14" i="11"/>
  <c r="F14" i="11"/>
  <c r="E14" i="11"/>
  <c r="D14" i="11"/>
  <c r="C14" i="11"/>
  <c r="BG11" i="11"/>
  <c r="BF11" i="11"/>
  <c r="BE11" i="11"/>
  <c r="BD11" i="11"/>
  <c r="AY11" i="11"/>
  <c r="AT11" i="11"/>
  <c r="AO11" i="11"/>
  <c r="AJ11" i="11"/>
  <c r="AE11" i="11"/>
  <c r="Z11" i="11"/>
  <c r="U11" i="11"/>
  <c r="P11" i="11"/>
  <c r="K11" i="11"/>
  <c r="F11" i="11"/>
  <c r="E11" i="11"/>
  <c r="D11" i="11"/>
  <c r="C11" i="11"/>
  <c r="BG10" i="11"/>
  <c r="BF10" i="11"/>
  <c r="BE10" i="11"/>
  <c r="BD10" i="11"/>
  <c r="AY10" i="11"/>
  <c r="AT10" i="11"/>
  <c r="AO10" i="11"/>
  <c r="AJ10" i="11"/>
  <c r="AE10" i="11"/>
  <c r="Z10" i="11"/>
  <c r="U10" i="11"/>
  <c r="P10" i="11"/>
  <c r="K10" i="11"/>
  <c r="F10" i="11"/>
  <c r="E10" i="11"/>
  <c r="D10" i="11"/>
  <c r="C10" i="11"/>
  <c r="BG9" i="11"/>
  <c r="BF9" i="11"/>
  <c r="BE9" i="11"/>
  <c r="BD9" i="11"/>
  <c r="BC9" i="11"/>
  <c r="BB9" i="11"/>
  <c r="BA9" i="11"/>
  <c r="AZ9" i="11"/>
  <c r="AY9" i="11"/>
  <c r="AX9" i="11"/>
  <c r="AW9" i="11"/>
  <c r="AV9" i="11"/>
  <c r="AU9" i="11"/>
  <c r="AT9" i="11"/>
  <c r="AS9" i="11"/>
  <c r="AR9" i="11"/>
  <c r="AQ9" i="11"/>
  <c r="AP9" i="11"/>
  <c r="AO9" i="11"/>
  <c r="AN9" i="11"/>
  <c r="AM9" i="11"/>
  <c r="AL9" i="11"/>
  <c r="AK9" i="11"/>
  <c r="AJ9" i="11"/>
  <c r="AI9" i="11"/>
  <c r="AH9" i="11"/>
  <c r="AG9" i="11"/>
  <c r="AF9" i="11"/>
  <c r="AE9" i="11"/>
  <c r="AD9" i="11"/>
  <c r="AC9" i="11"/>
  <c r="AB9" i="11"/>
  <c r="AA9" i="11"/>
  <c r="Z9" i="11"/>
  <c r="Y9" i="11"/>
  <c r="X9" i="11"/>
  <c r="W9" i="11"/>
  <c r="V9" i="11"/>
  <c r="U9" i="11"/>
  <c r="T9" i="11"/>
  <c r="S9" i="11"/>
  <c r="R9" i="11"/>
  <c r="Q9" i="11"/>
  <c r="P9" i="11"/>
  <c r="O9" i="11"/>
  <c r="N9" i="11"/>
  <c r="M9" i="11"/>
  <c r="L9" i="11"/>
  <c r="K9" i="11"/>
  <c r="J9" i="11"/>
  <c r="I9" i="11"/>
  <c r="H9" i="11"/>
  <c r="G9" i="11"/>
  <c r="F9" i="11"/>
  <c r="E9" i="11"/>
  <c r="D9" i="11"/>
  <c r="C9" i="11"/>
  <c r="A9" i="11"/>
  <c r="BG8" i="11"/>
  <c r="BF8" i="11"/>
  <c r="BE8" i="11"/>
  <c r="BD8" i="11"/>
  <c r="BC8" i="11"/>
  <c r="BB8" i="11"/>
  <c r="BA8" i="11"/>
  <c r="AZ8" i="11"/>
  <c r="AY8" i="11"/>
  <c r="AX8" i="11"/>
  <c r="AW8" i="11"/>
  <c r="AV8" i="11"/>
  <c r="AU8" i="11"/>
  <c r="AT8" i="11"/>
  <c r="AS8" i="11"/>
  <c r="AR8" i="11"/>
  <c r="AQ8" i="11"/>
  <c r="AP8" i="11"/>
  <c r="AO8" i="11"/>
  <c r="AN8" i="11"/>
  <c r="AM8" i="11"/>
  <c r="AL8" i="11"/>
  <c r="AK8" i="11"/>
  <c r="AJ8" i="11"/>
  <c r="AI8" i="11"/>
  <c r="AH8" i="11"/>
  <c r="AG8" i="11"/>
  <c r="AF8" i="11"/>
  <c r="AE8" i="11"/>
  <c r="AD8" i="11"/>
  <c r="AC8" i="11"/>
  <c r="AB8" i="11"/>
  <c r="AA8" i="11"/>
  <c r="Z8" i="11"/>
  <c r="Y8" i="11"/>
  <c r="X8" i="11"/>
  <c r="W8" i="11"/>
  <c r="V8" i="11"/>
  <c r="U8" i="11"/>
  <c r="T8" i="11"/>
  <c r="S8" i="11"/>
  <c r="R8" i="11"/>
  <c r="Q8" i="11"/>
  <c r="P8" i="11"/>
  <c r="O8" i="11"/>
  <c r="N8" i="11"/>
  <c r="M8" i="11"/>
  <c r="L8" i="11"/>
  <c r="K8" i="11"/>
  <c r="J8" i="11"/>
  <c r="I8" i="11"/>
  <c r="H8" i="11"/>
  <c r="G8" i="11"/>
  <c r="F8" i="11"/>
  <c r="E8" i="11"/>
  <c r="D8" i="11"/>
  <c r="C8" i="11"/>
  <c r="BG7" i="11"/>
  <c r="BF7" i="11"/>
  <c r="BE7" i="11"/>
  <c r="BD7" i="11"/>
  <c r="BC7" i="11"/>
  <c r="BB7" i="11"/>
  <c r="BA7" i="11"/>
  <c r="AZ7" i="11"/>
  <c r="AY7" i="11"/>
  <c r="AX7" i="11"/>
  <c r="AW7" i="11"/>
  <c r="AV7" i="11"/>
  <c r="AU7" i="11"/>
  <c r="AT7" i="11"/>
  <c r="AS7" i="11"/>
  <c r="AR7" i="11"/>
  <c r="AQ7" i="11"/>
  <c r="AP7" i="11"/>
  <c r="AO7" i="11"/>
  <c r="AN7" i="11"/>
  <c r="AM7" i="11"/>
  <c r="AL7" i="11"/>
  <c r="AK7" i="11"/>
  <c r="AJ7" i="11"/>
  <c r="AI7" i="11"/>
  <c r="AH7" i="11"/>
  <c r="AG7" i="11"/>
  <c r="AF7" i="11"/>
  <c r="AE7" i="11"/>
  <c r="AD7" i="11"/>
  <c r="AC7" i="11"/>
  <c r="AB7" i="11"/>
  <c r="AA7" i="11"/>
  <c r="Z7" i="11"/>
  <c r="Y7" i="11"/>
  <c r="X7" i="11"/>
  <c r="W7" i="11"/>
  <c r="V7" i="11"/>
  <c r="U7" i="11"/>
  <c r="T7" i="11"/>
  <c r="S7" i="11"/>
  <c r="R7" i="11"/>
  <c r="Q7" i="11"/>
  <c r="P7" i="11"/>
  <c r="O7" i="11"/>
  <c r="N7" i="11"/>
  <c r="M7" i="11"/>
  <c r="L7" i="11"/>
  <c r="K7" i="11"/>
  <c r="J7" i="11"/>
  <c r="I7" i="11"/>
  <c r="H7" i="11"/>
  <c r="G7" i="11"/>
  <c r="F7" i="11"/>
  <c r="E7" i="11"/>
  <c r="D7" i="11"/>
  <c r="C7" i="11"/>
  <c r="A7" i="11"/>
  <c r="BG5" i="11"/>
  <c r="BF5" i="11"/>
  <c r="BE5" i="11"/>
  <c r="BD5" i="11"/>
  <c r="BC5" i="11"/>
  <c r="BB5" i="11"/>
  <c r="BA5" i="11"/>
  <c r="AZ5" i="11"/>
  <c r="AY5" i="11"/>
  <c r="AX5" i="11"/>
  <c r="AW5" i="11"/>
  <c r="AV5" i="11"/>
  <c r="AU5" i="11"/>
  <c r="AT5" i="11"/>
  <c r="AS5" i="11"/>
  <c r="AR5" i="11"/>
  <c r="AQ5" i="11"/>
  <c r="AP5" i="11"/>
  <c r="AO5" i="11"/>
  <c r="AN5" i="11"/>
  <c r="AM5" i="11"/>
  <c r="AL5" i="11"/>
  <c r="AK5" i="11"/>
  <c r="AJ5" i="11"/>
  <c r="AI5" i="11"/>
  <c r="AH5" i="11"/>
  <c r="AG5" i="11"/>
  <c r="AF5" i="11"/>
  <c r="AE5" i="11"/>
  <c r="AD5" i="11"/>
  <c r="AC5" i="11"/>
  <c r="AB5" i="11"/>
  <c r="AA5" i="11"/>
  <c r="Z5" i="11"/>
  <c r="Y5" i="11"/>
  <c r="X5" i="11"/>
  <c r="W5" i="11"/>
  <c r="V5" i="11"/>
  <c r="U5" i="11"/>
  <c r="T5" i="11"/>
  <c r="S5" i="11"/>
  <c r="R5" i="11"/>
  <c r="Q5" i="11"/>
  <c r="P5" i="11"/>
  <c r="O5" i="11"/>
  <c r="N5" i="11"/>
  <c r="M5" i="11"/>
  <c r="L5" i="11"/>
  <c r="K5" i="11"/>
  <c r="J5" i="11"/>
  <c r="I5" i="11"/>
  <c r="H5" i="11"/>
  <c r="G5" i="11"/>
  <c r="F5" i="11"/>
  <c r="E5" i="11"/>
  <c r="D5" i="11"/>
  <c r="C5" i="11"/>
  <c r="BG4" i="11"/>
  <c r="BF4" i="11"/>
  <c r="BE4" i="11"/>
  <c r="BD4" i="11"/>
  <c r="BC4" i="11"/>
  <c r="BB4" i="11"/>
  <c r="BA4" i="11"/>
  <c r="AZ4" i="11"/>
  <c r="AY4" i="11"/>
  <c r="AX4" i="11"/>
  <c r="AW4" i="11"/>
  <c r="AV4" i="11"/>
  <c r="AU4" i="11"/>
  <c r="AT4" i="11"/>
  <c r="AS4" i="11"/>
  <c r="AR4" i="11"/>
  <c r="AQ4" i="11"/>
  <c r="AP4" i="11"/>
  <c r="AO4" i="11"/>
  <c r="AN4" i="11"/>
  <c r="AM4" i="11"/>
  <c r="AL4" i="11"/>
  <c r="AK4" i="11"/>
  <c r="AJ4" i="11"/>
  <c r="AI4" i="11"/>
  <c r="AH4" i="11"/>
  <c r="AG4" i="11"/>
  <c r="AF4" i="11"/>
  <c r="AE4" i="11"/>
  <c r="AD4" i="11"/>
  <c r="AC4" i="11"/>
  <c r="AB4" i="11"/>
  <c r="AA4" i="11"/>
  <c r="Z4" i="11"/>
  <c r="Y4" i="11"/>
  <c r="X4" i="11"/>
  <c r="W4" i="11"/>
  <c r="V4" i="11"/>
  <c r="U4" i="11"/>
  <c r="T4" i="11"/>
  <c r="S4" i="11"/>
  <c r="R4" i="11"/>
  <c r="Q4" i="11"/>
  <c r="P4" i="11"/>
  <c r="O4" i="11"/>
  <c r="N4" i="11"/>
  <c r="M4" i="11"/>
  <c r="L4" i="11"/>
  <c r="K4" i="11"/>
  <c r="J4" i="11"/>
  <c r="I4" i="11"/>
  <c r="H4" i="11"/>
  <c r="G4" i="11"/>
  <c r="F4" i="11"/>
  <c r="E4" i="11"/>
  <c r="D4" i="11"/>
  <c r="C4" i="11"/>
  <c r="A4" i="11"/>
  <c r="BG3" i="11"/>
  <c r="BF3" i="11"/>
  <c r="BE3" i="11"/>
  <c r="BD3" i="11"/>
  <c r="BC3" i="11"/>
  <c r="BB3" i="11"/>
  <c r="BA3" i="11"/>
  <c r="AZ3" i="11"/>
  <c r="AY3" i="11"/>
  <c r="AX3" i="11"/>
  <c r="AW3" i="11"/>
  <c r="AV3" i="11"/>
  <c r="AU3" i="11"/>
  <c r="AT3" i="11"/>
  <c r="AS3" i="11"/>
  <c r="AR3" i="11"/>
  <c r="AQ3" i="11"/>
  <c r="AP3" i="11"/>
  <c r="AO3" i="11"/>
  <c r="AN3" i="11"/>
  <c r="AM3" i="11"/>
  <c r="AL3" i="11"/>
  <c r="AK3" i="11"/>
  <c r="AJ3" i="11"/>
  <c r="AI3" i="11"/>
  <c r="AH3" i="11"/>
  <c r="AG3" i="11"/>
  <c r="AF3" i="11"/>
  <c r="AE3" i="11"/>
  <c r="AD3" i="11"/>
  <c r="AC3" i="11"/>
  <c r="AB3" i="11"/>
  <c r="AA3" i="11"/>
  <c r="Z3" i="11"/>
  <c r="Y3" i="11"/>
  <c r="X3" i="11"/>
  <c r="W3" i="11"/>
  <c r="V3" i="11"/>
  <c r="U3" i="11"/>
  <c r="T3" i="11"/>
  <c r="S3" i="11"/>
  <c r="R3" i="11"/>
  <c r="Q3" i="11"/>
  <c r="P3" i="11"/>
  <c r="O3" i="11"/>
  <c r="N3" i="11"/>
  <c r="M3" i="11"/>
  <c r="L3" i="11"/>
  <c r="K3" i="11"/>
  <c r="J3" i="11"/>
  <c r="I3" i="11"/>
  <c r="H3" i="11"/>
  <c r="G3" i="11"/>
  <c r="F3" i="11"/>
  <c r="E3" i="11"/>
  <c r="D3" i="11"/>
  <c r="C3" i="11"/>
  <c r="AT2" i="11"/>
  <c r="AS2" i="11"/>
  <c r="AR2" i="11"/>
  <c r="AQ2" i="11"/>
  <c r="AP2" i="11"/>
  <c r="AO2" i="11"/>
  <c r="AN2" i="11"/>
  <c r="AM2" i="11"/>
  <c r="AL2" i="11"/>
  <c r="AK2" i="11"/>
  <c r="AE2" i="11"/>
  <c r="AD2" i="11"/>
  <c r="AC2" i="11"/>
  <c r="AB2" i="11"/>
  <c r="AA2" i="11"/>
  <c r="C2" i="11"/>
  <c r="A1" i="11"/>
  <c r="H13" i="7"/>
  <c r="H11" i="7"/>
  <c r="H9" i="7"/>
  <c r="D168" i="10"/>
  <c r="M157" i="10"/>
  <c r="D151" i="10"/>
  <c r="M137" i="10"/>
  <c r="D134" i="10"/>
  <c r="M120" i="10"/>
  <c r="M113" i="10"/>
  <c r="M95" i="10"/>
  <c r="D90" i="10"/>
  <c r="M78" i="10"/>
  <c r="D75" i="10"/>
  <c r="M63" i="10"/>
  <c r="M160" i="10"/>
  <c r="D157" i="10"/>
  <c r="M143" i="10"/>
  <c r="D137" i="10"/>
  <c r="M125" i="10"/>
  <c r="D120" i="10"/>
  <c r="M116" i="10"/>
  <c r="D113" i="10"/>
  <c r="D111" i="10"/>
  <c r="D109" i="10"/>
  <c r="D107" i="10"/>
  <c r="D105" i="10"/>
  <c r="M98" i="10"/>
  <c r="D95" i="10"/>
  <c r="M84" i="10"/>
  <c r="D78" i="10"/>
  <c r="M66" i="10"/>
  <c r="D63" i="10"/>
  <c r="M167" i="10"/>
  <c r="D164" i="10"/>
  <c r="M150" i="10"/>
  <c r="D145" i="10"/>
  <c r="M133" i="10"/>
  <c r="D128" i="10"/>
  <c r="D100" i="10"/>
  <c r="M89" i="10"/>
  <c r="D86" i="10"/>
  <c r="M72" i="10"/>
  <c r="D69" i="10"/>
  <c r="M158" i="10"/>
  <c r="D152" i="10"/>
  <c r="M138" i="10"/>
  <c r="D135" i="10"/>
  <c r="M121" i="10"/>
  <c r="D118" i="10"/>
  <c r="M114" i="10"/>
  <c r="M96" i="10"/>
  <c r="D91" i="10"/>
  <c r="M79" i="10"/>
  <c r="D76" i="10"/>
  <c r="M64" i="10"/>
  <c r="M165" i="10"/>
  <c r="D160" i="10"/>
  <c r="M148" i="10"/>
  <c r="D167" i="10"/>
  <c r="M153" i="10"/>
  <c r="D150" i="10"/>
  <c r="M136" i="10"/>
  <c r="D133" i="10"/>
  <c r="M119" i="10"/>
  <c r="M92" i="10"/>
  <c r="D89" i="10"/>
  <c r="M77" i="10"/>
  <c r="D72" i="10"/>
  <c r="M163" i="10"/>
  <c r="D158" i="10"/>
  <c r="M144" i="10"/>
  <c r="D138" i="10"/>
  <c r="M127" i="10"/>
  <c r="D121" i="10"/>
  <c r="D114" i="10"/>
  <c r="M99" i="10"/>
  <c r="D96" i="10"/>
  <c r="M85" i="10"/>
  <c r="D79" i="10"/>
  <c r="M68" i="10"/>
  <c r="D64" i="10"/>
  <c r="M159" i="10"/>
  <c r="D153" i="10"/>
  <c r="M142" i="10"/>
  <c r="D136" i="10"/>
  <c r="M122" i="10"/>
  <c r="D119" i="10"/>
  <c r="M115" i="10"/>
  <c r="M97" i="10"/>
  <c r="D92" i="10"/>
  <c r="M80" i="10"/>
  <c r="D77" i="10"/>
  <c r="M65" i="10"/>
  <c r="D148" i="10"/>
  <c r="D97" i="10"/>
  <c r="M75" i="10"/>
  <c r="D71" i="10"/>
  <c r="M59" i="10"/>
  <c r="D56" i="10"/>
  <c r="M42" i="10"/>
  <c r="M31" i="10"/>
  <c r="D17" i="10"/>
  <c r="D15" i="10"/>
  <c r="D13" i="10"/>
  <c r="D11" i="10"/>
  <c r="M129" i="10"/>
  <c r="D122" i="10"/>
  <c r="D99" i="10"/>
  <c r="M50" i="10"/>
  <c r="D44" i="10"/>
  <c r="D37" i="10"/>
  <c r="D35" i="10"/>
  <c r="D33" i="10"/>
  <c r="D25" i="10"/>
  <c r="M20" i="10"/>
  <c r="M164" i="10"/>
  <c r="D127" i="10"/>
  <c r="M91" i="10"/>
  <c r="M86" i="10"/>
  <c r="M70" i="10"/>
  <c r="D65" i="10"/>
  <c r="M57" i="10"/>
  <c r="D54" i="10"/>
  <c r="M28" i="10"/>
  <c r="D8" i="10"/>
  <c r="M145" i="10"/>
  <c r="D143" i="10"/>
  <c r="M88" i="10"/>
  <c r="D84" i="10"/>
  <c r="D68" i="10"/>
  <c r="D59" i="10"/>
  <c r="M48" i="10"/>
  <c r="D42" i="10"/>
  <c r="M38" i="10"/>
  <c r="D31" i="10"/>
  <c r="M18" i="10"/>
  <c r="D6" i="10"/>
  <c r="M166" i="10"/>
  <c r="M152" i="10"/>
  <c r="D129" i="10"/>
  <c r="D115" i="10"/>
  <c r="D104" i="10"/>
  <c r="M55" i="10"/>
  <c r="D50" i="10"/>
  <c r="D20" i="10"/>
  <c r="M9" i="10"/>
  <c r="M149" i="10"/>
  <c r="D106" i="10"/>
  <c r="D70" i="10"/>
  <c r="D57" i="10"/>
  <c r="M43" i="10"/>
  <c r="M32" i="10"/>
  <c r="D28" i="10"/>
  <c r="M23" i="10"/>
  <c r="D159" i="10"/>
  <c r="D108" i="10"/>
  <c r="M100" i="10"/>
  <c r="M90" i="10"/>
  <c r="D88" i="10"/>
  <c r="D80" i="10"/>
  <c r="M51" i="10"/>
  <c r="D48" i="10"/>
  <c r="D38" i="10"/>
  <c r="M21" i="10"/>
  <c r="D18" i="10"/>
  <c r="D16" i="10"/>
  <c r="D14" i="10"/>
  <c r="D12" i="10"/>
  <c r="M7" i="10"/>
  <c r="M168" i="10"/>
  <c r="D166" i="10"/>
  <c r="M135" i="10"/>
  <c r="M128" i="10"/>
  <c r="D110" i="10"/>
  <c r="D98" i="10"/>
  <c r="M58" i="10"/>
  <c r="D55" i="10"/>
  <c r="M41" i="10"/>
  <c r="D36" i="10"/>
  <c r="M30" i="10"/>
  <c r="D9" i="10"/>
  <c r="D163" i="10"/>
  <c r="M151" i="10"/>
  <c r="D149" i="10"/>
  <c r="D142" i="10"/>
  <c r="M130" i="10"/>
  <c r="D125" i="10"/>
  <c r="M118" i="10"/>
  <c r="D112" i="10"/>
  <c r="M87" i="10"/>
  <c r="M76" i="10"/>
  <c r="M69" i="10"/>
  <c r="M49" i="10"/>
  <c r="D43" i="10"/>
  <c r="M39" i="10"/>
  <c r="D32" i="10"/>
  <c r="D23" i="10"/>
  <c r="M19" i="10"/>
  <c r="D144" i="10"/>
  <c r="D85" i="10"/>
  <c r="M71" i="10"/>
  <c r="D66" i="10"/>
  <c r="M56" i="10"/>
  <c r="D51" i="10"/>
  <c r="D21" i="10"/>
  <c r="D7" i="10"/>
  <c r="M8" i="10"/>
  <c r="M44" i="10"/>
  <c r="D39" i="10"/>
  <c r="M33" i="10"/>
  <c r="D19" i="10"/>
  <c r="D130" i="10"/>
  <c r="D41" i="10"/>
  <c r="D30" i="10"/>
  <c r="D165" i="10"/>
  <c r="M134" i="10"/>
  <c r="D116" i="10"/>
  <c r="D87" i="10"/>
  <c r="M37" i="10"/>
  <c r="D58" i="10"/>
  <c r="M54" i="10"/>
  <c r="D49" i="10"/>
  <c r="M25" i="10"/>
  <c r="H22" i="15" l="1"/>
  <c r="H8" i="15"/>
  <c r="H23" i="15"/>
  <c r="H15" i="15"/>
  <c r="H11" i="15"/>
  <c r="H29" i="15"/>
  <c r="H21" i="15" s="1"/>
  <c r="I6" i="15"/>
  <c r="H5" i="15"/>
  <c r="H12" i="15"/>
  <c r="C10" i="15"/>
  <c r="C14" i="15"/>
  <c r="C19" i="15"/>
  <c r="C23" i="15"/>
  <c r="B43" i="15"/>
  <c r="C8" i="15"/>
  <c r="B44" i="15"/>
  <c r="B47" i="15"/>
  <c r="C18" i="15"/>
  <c r="B48" i="15"/>
  <c r="C30" i="15"/>
  <c r="D6" i="15"/>
  <c r="C12" i="15"/>
  <c r="C17" i="15"/>
  <c r="B53" i="15"/>
  <c r="C5" i="15"/>
  <c r="E6" i="15"/>
  <c r="C21" i="15"/>
  <c r="F6" i="15"/>
  <c r="C16" i="15"/>
  <c r="C29" i="15"/>
  <c r="C11" i="15"/>
  <c r="G30" i="15"/>
  <c r="C15" i="15"/>
  <c r="C20" i="15"/>
  <c r="AC91" i="9"/>
  <c r="AD91" i="9"/>
  <c r="A10" i="11"/>
  <c r="AE1160" i="1"/>
  <c r="AJ91" i="9"/>
  <c r="AE1153" i="1"/>
  <c r="M80" i="9"/>
  <c r="Y80" i="9"/>
  <c r="AK80" i="9"/>
  <c r="AW80" i="9"/>
  <c r="BF17" i="11"/>
  <c r="AL80" i="9"/>
  <c r="AX80" i="9"/>
  <c r="A11" i="11"/>
  <c r="F91" i="9"/>
  <c r="S1151" i="1"/>
  <c r="D81" i="9"/>
  <c r="P81" i="9"/>
  <c r="AB81" i="9"/>
  <c r="AN81" i="9"/>
  <c r="AZ81" i="9"/>
  <c r="AP91" i="9"/>
  <c r="Q102" i="9"/>
  <c r="AC102" i="9"/>
  <c r="AJ127" i="9"/>
  <c r="AG131" i="9"/>
  <c r="R91" i="9"/>
  <c r="F102" i="9"/>
  <c r="R102" i="9"/>
  <c r="AD102" i="9"/>
  <c r="AP102" i="9"/>
  <c r="Z124" i="9"/>
  <c r="S1165" i="1"/>
  <c r="AO91" i="9"/>
  <c r="W91" i="9"/>
  <c r="P124" i="9"/>
  <c r="Y133" i="9"/>
  <c r="AK133" i="9"/>
  <c r="C40" i="13"/>
  <c r="B2" i="14"/>
  <c r="C9" i="14" s="1"/>
  <c r="I9" i="14" s="1"/>
  <c r="F9" i="14"/>
  <c r="C10" i="14"/>
  <c r="C11" i="14"/>
  <c r="C29" i="14"/>
  <c r="B16" i="14"/>
  <c r="B25" i="14"/>
  <c r="BC1151" i="1"/>
  <c r="BC1160" i="1"/>
  <c r="BC1165" i="1"/>
  <c r="L91" i="9"/>
  <c r="X91" i="9"/>
  <c r="AV91" i="9"/>
  <c r="AH91" i="9"/>
  <c r="J127" i="9"/>
  <c r="U127" i="9"/>
  <c r="AH127" i="9"/>
  <c r="S133" i="9"/>
  <c r="AD133" i="9"/>
  <c r="AO133" i="9"/>
  <c r="L124" i="9"/>
  <c r="AV124" i="9"/>
  <c r="L80" i="9"/>
  <c r="X80" i="9"/>
  <c r="AJ80" i="9"/>
  <c r="AV80" i="9"/>
  <c r="I81" i="9"/>
  <c r="U81" i="9"/>
  <c r="AG81" i="9"/>
  <c r="AS81" i="9"/>
  <c r="BE81" i="9"/>
  <c r="AX124" i="9"/>
  <c r="J131" i="9"/>
  <c r="AQ133" i="9"/>
  <c r="Y3" i="13"/>
  <c r="Y79" i="13" s="1"/>
  <c r="AA1149" i="1"/>
  <c r="AA888" i="1" s="1"/>
  <c r="Y127" i="9"/>
  <c r="BG17" i="11"/>
  <c r="C80" i="9"/>
  <c r="O80" i="9"/>
  <c r="AA80" i="9"/>
  <c r="AM80" i="9"/>
  <c r="AY80" i="9"/>
  <c r="M106" i="9"/>
  <c r="Y106" i="9"/>
  <c r="AK106" i="9"/>
  <c r="AW106" i="9"/>
  <c r="M131" i="9"/>
  <c r="AA3" i="12"/>
  <c r="AA4" i="12" s="1"/>
  <c r="AA5" i="12" s="1"/>
  <c r="Z119" i="9"/>
  <c r="AL119" i="9"/>
  <c r="S127" i="9"/>
  <c r="K133" i="9"/>
  <c r="M1160" i="1"/>
  <c r="AM119" i="9"/>
  <c r="S1160" i="1"/>
  <c r="P7" i="12" a="1"/>
  <c r="P7" i="12" s="1"/>
  <c r="D119" i="9"/>
  <c r="P119" i="9"/>
  <c r="AE124" i="9"/>
  <c r="Z1158" i="1"/>
  <c r="Z1160" i="1"/>
  <c r="R82" i="9"/>
  <c r="AD82" i="9"/>
  <c r="AP82" i="9"/>
  <c r="BB82" i="9"/>
  <c r="N131" i="9"/>
  <c r="AX131" i="9"/>
  <c r="AL1151" i="1"/>
  <c r="AK1153" i="1"/>
  <c r="AW1160" i="1"/>
  <c r="AL1165" i="1"/>
  <c r="I80" i="9"/>
  <c r="U80" i="9"/>
  <c r="AG80" i="9"/>
  <c r="AS80" i="9"/>
  <c r="R81" i="9"/>
  <c r="AD81" i="9"/>
  <c r="AP81" i="9"/>
  <c r="BB81" i="9"/>
  <c r="AR82" i="9"/>
  <c r="BD82" i="9"/>
  <c r="AI91" i="9"/>
  <c r="AU91" i="9"/>
  <c r="AR127" i="9"/>
  <c r="AF131" i="9"/>
  <c r="D133" i="9"/>
  <c r="Y152" i="13"/>
  <c r="Y181" i="13"/>
  <c r="Y182" i="13" s="1"/>
  <c r="Y84" i="13"/>
  <c r="Y81" i="13"/>
  <c r="Y69" i="13"/>
  <c r="Y85" i="13"/>
  <c r="Y82" i="13"/>
  <c r="Y150" i="13" s="1"/>
  <c r="Y80" i="13"/>
  <c r="Y71" i="13"/>
  <c r="Y48" i="13"/>
  <c r="Y51" i="13" s="1"/>
  <c r="Y9" i="13"/>
  <c r="Y7" i="13"/>
  <c r="Y36" i="13"/>
  <c r="Y32" i="13"/>
  <c r="Y28" i="13"/>
  <c r="Y35" i="13"/>
  <c r="AD3" i="13"/>
  <c r="Y34" i="13"/>
  <c r="Y68" i="13" s="1"/>
  <c r="A26" i="13"/>
  <c r="C39" i="13"/>
  <c r="A21" i="13"/>
  <c r="A27" i="13"/>
  <c r="Y8" i="13"/>
  <c r="U3" i="13"/>
  <c r="W3" i="13"/>
  <c r="Y11" i="13"/>
  <c r="Y20" i="13" s="1"/>
  <c r="E86" i="9"/>
  <c r="AO86" i="9"/>
  <c r="U128" i="9"/>
  <c r="BF630" i="1"/>
  <c r="BF631" i="1" s="1"/>
  <c r="BF638" i="1" s="1"/>
  <c r="U1149" i="1"/>
  <c r="U888" i="1" s="1"/>
  <c r="AG1149" i="1"/>
  <c r="AG888" i="1" s="1"/>
  <c r="G1151" i="1"/>
  <c r="AQ1151" i="1"/>
  <c r="AF1153" i="1"/>
  <c r="Y1158" i="1"/>
  <c r="N1160" i="1"/>
  <c r="AX1160" i="1"/>
  <c r="G1165" i="1"/>
  <c r="AQ1165" i="1"/>
  <c r="AR80" i="9"/>
  <c r="E81" i="9"/>
  <c r="Q81" i="9"/>
  <c r="AC81" i="9"/>
  <c r="AO81" i="9"/>
  <c r="BA81" i="9"/>
  <c r="G82" i="9"/>
  <c r="S82" i="9"/>
  <c r="AE82" i="9"/>
  <c r="AQ82" i="9"/>
  <c r="BC82" i="9"/>
  <c r="R86" i="9"/>
  <c r="AD86" i="9"/>
  <c r="AP86" i="9"/>
  <c r="BB86" i="9"/>
  <c r="V91" i="9"/>
  <c r="AT91" i="9"/>
  <c r="BD1158" i="1"/>
  <c r="BD1167" i="1"/>
  <c r="AR1151" i="1"/>
  <c r="H1165" i="1"/>
  <c r="H1163" i="1" s="1"/>
  <c r="H890" i="1" s="1"/>
  <c r="H892" i="1" s="1"/>
  <c r="AR1165" i="1"/>
  <c r="AR1163" i="1" s="1"/>
  <c r="AR890" i="1" s="1"/>
  <c r="AR892" i="1" s="1"/>
  <c r="G86" i="9"/>
  <c r="S86" i="9"/>
  <c r="AE86" i="9"/>
  <c r="AQ86" i="9"/>
  <c r="BC86" i="9"/>
  <c r="O124" i="9"/>
  <c r="AW127" i="9"/>
  <c r="H1151" i="1"/>
  <c r="M1151" i="1"/>
  <c r="AW1151" i="1"/>
  <c r="AL1153" i="1"/>
  <c r="AE1158" i="1"/>
  <c r="AE1156" i="1" s="1"/>
  <c r="AE889" i="1" s="1"/>
  <c r="T1160" i="1"/>
  <c r="BD1160" i="1"/>
  <c r="M1165" i="1"/>
  <c r="AW1165" i="1"/>
  <c r="J58" i="9"/>
  <c r="V58" i="9"/>
  <c r="AH58" i="9"/>
  <c r="AT58" i="9"/>
  <c r="G81" i="9"/>
  <c r="S81" i="9"/>
  <c r="AE81" i="9"/>
  <c r="AQ81" i="9"/>
  <c r="BC81" i="9"/>
  <c r="I82" i="9"/>
  <c r="U82" i="9"/>
  <c r="AG82" i="9"/>
  <c r="AS82" i="9"/>
  <c r="BE82" i="9"/>
  <c r="AR86" i="9"/>
  <c r="BD86" i="9"/>
  <c r="F119" i="9"/>
  <c r="R119" i="9"/>
  <c r="AD119" i="9"/>
  <c r="AP119" i="9"/>
  <c r="D124" i="9"/>
  <c r="AB124" i="9"/>
  <c r="AN124" i="9"/>
  <c r="N1151" i="1"/>
  <c r="AX1151" i="1"/>
  <c r="G1153" i="1"/>
  <c r="AQ1153" i="1"/>
  <c r="AF1158" i="1"/>
  <c r="Y1160" i="1"/>
  <c r="N1165" i="1"/>
  <c r="AX1165" i="1"/>
  <c r="AX1163" i="1" s="1"/>
  <c r="H1167" i="1"/>
  <c r="K58" i="9"/>
  <c r="W58" i="9"/>
  <c r="AI58" i="9"/>
  <c r="AU58" i="9"/>
  <c r="AR81" i="9"/>
  <c r="BD81" i="9"/>
  <c r="J82" i="9"/>
  <c r="V82" i="9"/>
  <c r="AH82" i="9"/>
  <c r="AT82" i="9"/>
  <c r="BF82" i="9"/>
  <c r="I86" i="9"/>
  <c r="U86" i="9"/>
  <c r="AG86" i="9"/>
  <c r="AS86" i="9"/>
  <c r="BE86" i="9"/>
  <c r="K91" i="9"/>
  <c r="T119" i="9"/>
  <c r="AR119" i="9"/>
  <c r="F124" i="9"/>
  <c r="T124" i="9"/>
  <c r="AC124" i="9"/>
  <c r="AO124" i="9"/>
  <c r="AR131" i="9"/>
  <c r="AE133" i="9"/>
  <c r="T1158" i="1"/>
  <c r="H1153" i="1"/>
  <c r="AR1153" i="1"/>
  <c r="AK1158" i="1"/>
  <c r="M1167" i="1"/>
  <c r="K82" i="9"/>
  <c r="W82" i="9"/>
  <c r="AI82" i="9"/>
  <c r="AU82" i="9"/>
  <c r="BG82" i="9"/>
  <c r="R124" i="9"/>
  <c r="AD124" i="9"/>
  <c r="N127" i="9"/>
  <c r="Z127" i="9"/>
  <c r="Z128" i="9" s="1"/>
  <c r="AL127" i="9"/>
  <c r="AX127" i="9"/>
  <c r="T133" i="9"/>
  <c r="T1151" i="1"/>
  <c r="BD1151" i="1"/>
  <c r="BD1149" i="1" s="1"/>
  <c r="M1153" i="1"/>
  <c r="AW1153" i="1"/>
  <c r="AL1158" i="1"/>
  <c r="AL1156" i="1" s="1"/>
  <c r="AL889" i="1" s="1"/>
  <c r="T1165" i="1"/>
  <c r="T1163" i="1" s="1"/>
  <c r="T890" i="1" s="1"/>
  <c r="T892" i="1" s="1"/>
  <c r="BD1165" i="1"/>
  <c r="T1167" i="1"/>
  <c r="J81" i="9"/>
  <c r="V81" i="9"/>
  <c r="AH81" i="9"/>
  <c r="AT81" i="9"/>
  <c r="BF81" i="9"/>
  <c r="L82" i="9"/>
  <c r="X82" i="9"/>
  <c r="AJ82" i="9"/>
  <c r="AV82" i="9"/>
  <c r="AU86" i="9"/>
  <c r="O113" i="9"/>
  <c r="O110" i="9" s="1"/>
  <c r="AS124" i="9"/>
  <c r="C128" i="9"/>
  <c r="AB127" i="9"/>
  <c r="AQ127" i="9"/>
  <c r="AH131" i="9"/>
  <c r="AY1149" i="1"/>
  <c r="Y1151" i="1"/>
  <c r="Y1149" i="1" s="1"/>
  <c r="Y888" i="1" s="1"/>
  <c r="N1153" i="1"/>
  <c r="AX1153" i="1"/>
  <c r="G1158" i="1"/>
  <c r="G1156" i="1" s="1"/>
  <c r="G889" i="1" s="1"/>
  <c r="AQ1158" i="1"/>
  <c r="AQ1156" i="1" s="1"/>
  <c r="AQ889" i="1" s="1"/>
  <c r="AF1160" i="1"/>
  <c r="Y1165" i="1"/>
  <c r="Y1167" i="1"/>
  <c r="K102" i="9"/>
  <c r="AI102" i="9"/>
  <c r="AU102" i="9"/>
  <c r="AV58" i="9"/>
  <c r="K81" i="9"/>
  <c r="W81" i="9"/>
  <c r="AI81" i="9"/>
  <c r="AU81" i="9"/>
  <c r="BG81" i="9"/>
  <c r="M82" i="9"/>
  <c r="Y82" i="9"/>
  <c r="AK82" i="9"/>
  <c r="AW82" i="9"/>
  <c r="N91" i="9"/>
  <c r="N93" i="9" s="1"/>
  <c r="Z91" i="9"/>
  <c r="Z93" i="9" s="1"/>
  <c r="AL91" i="9"/>
  <c r="AL93" i="9" s="1"/>
  <c r="AX91" i="9"/>
  <c r="Y131" i="9"/>
  <c r="AU131" i="9"/>
  <c r="AZ630" i="1"/>
  <c r="AZ631" i="1" s="1"/>
  <c r="AZ638" i="1" s="1"/>
  <c r="BE1029" i="1"/>
  <c r="Z1151" i="1"/>
  <c r="Z1149" i="1" s="1"/>
  <c r="Z888" i="1" s="1"/>
  <c r="S1153" i="1"/>
  <c r="BC1153" i="1"/>
  <c r="H1158" i="1"/>
  <c r="AR1158" i="1"/>
  <c r="AK1160" i="1"/>
  <c r="Z1165" i="1"/>
  <c r="Z1163" i="1" s="1"/>
  <c r="AF1167" i="1"/>
  <c r="M58" i="9"/>
  <c r="Y58" i="9"/>
  <c r="AK58" i="9"/>
  <c r="AW58" i="9"/>
  <c r="L81" i="9"/>
  <c r="X81" i="9"/>
  <c r="AJ81" i="9"/>
  <c r="AV81" i="9"/>
  <c r="AL82" i="9"/>
  <c r="AX82" i="9"/>
  <c r="K84" i="9"/>
  <c r="W84" i="9"/>
  <c r="AI84" i="9"/>
  <c r="AU84" i="9"/>
  <c r="M86" i="9"/>
  <c r="AI119" i="9"/>
  <c r="L131" i="9"/>
  <c r="AE1151" i="1"/>
  <c r="AE1149" i="1" s="1"/>
  <c r="AE888" i="1" s="1"/>
  <c r="AW1158" i="1"/>
  <c r="AL1160" i="1"/>
  <c r="AE1165" i="1"/>
  <c r="AK1167" i="1"/>
  <c r="AQ138" i="9"/>
  <c r="D58" i="9"/>
  <c r="P58" i="9"/>
  <c r="AB58" i="9"/>
  <c r="AN58" i="9"/>
  <c r="AZ58" i="9"/>
  <c r="M81" i="9"/>
  <c r="Y81" i="9"/>
  <c r="AK81" i="9"/>
  <c r="AW81" i="9"/>
  <c r="C82" i="9"/>
  <c r="O82" i="9"/>
  <c r="AA82" i="9"/>
  <c r="AM82" i="9"/>
  <c r="AY82" i="9"/>
  <c r="L84" i="9"/>
  <c r="X84" i="9"/>
  <c r="AJ84" i="9"/>
  <c r="AV84" i="9"/>
  <c r="AL86" i="9"/>
  <c r="AX86" i="9"/>
  <c r="M119" i="9"/>
  <c r="X119" i="9"/>
  <c r="AJ119" i="9"/>
  <c r="AJ128" i="9" s="1"/>
  <c r="J124" i="9"/>
  <c r="V124" i="9"/>
  <c r="AH124" i="9"/>
  <c r="AT124" i="9"/>
  <c r="F127" i="9"/>
  <c r="X133" i="9"/>
  <c r="AJ133" i="9"/>
  <c r="AF1151" i="1"/>
  <c r="AF1149" i="1" s="1"/>
  <c r="AF888" i="1" s="1"/>
  <c r="N1158" i="1"/>
  <c r="AX1158" i="1"/>
  <c r="G1160" i="1"/>
  <c r="AQ1160" i="1"/>
  <c r="AR1167" i="1"/>
  <c r="C84" i="9"/>
  <c r="O84" i="9"/>
  <c r="AA84" i="9"/>
  <c r="AM84" i="9"/>
  <c r="AY84" i="9"/>
  <c r="E58" i="9"/>
  <c r="Q58" i="9"/>
  <c r="AC58" i="9"/>
  <c r="AO58" i="9"/>
  <c r="AL81" i="9"/>
  <c r="AX81" i="9"/>
  <c r="D82" i="9"/>
  <c r="P82" i="9"/>
  <c r="AB82" i="9"/>
  <c r="AN82" i="9"/>
  <c r="AZ82" i="9"/>
  <c r="M84" i="9"/>
  <c r="Y84" i="9"/>
  <c r="AK84" i="9"/>
  <c r="AW84" i="9"/>
  <c r="C86" i="9"/>
  <c r="O86" i="9"/>
  <c r="AA86" i="9"/>
  <c r="AM86" i="9"/>
  <c r="AY86" i="9"/>
  <c r="E91" i="9"/>
  <c r="N119" i="9"/>
  <c r="AB119" i="9"/>
  <c r="AN119" i="9"/>
  <c r="K124" i="9"/>
  <c r="K134" i="9" s="1"/>
  <c r="K135" i="9" s="1"/>
  <c r="AU124" i="9"/>
  <c r="N133" i="9"/>
  <c r="AX133" i="9"/>
  <c r="BC630" i="1"/>
  <c r="BC631" i="1" s="1"/>
  <c r="BC638" i="1" s="1"/>
  <c r="AK1151" i="1"/>
  <c r="Z1153" i="1"/>
  <c r="S1158" i="1"/>
  <c r="BC1158" i="1"/>
  <c r="O7" i="12" a="1"/>
  <c r="O7" i="12" s="1"/>
  <c r="P8" i="12" s="1"/>
  <c r="F80" i="9"/>
  <c r="R80" i="9"/>
  <c r="AD80" i="9"/>
  <c r="AP80" i="9"/>
  <c r="C81" i="9"/>
  <c r="O81" i="9"/>
  <c r="AA81" i="9"/>
  <c r="AM81" i="9"/>
  <c r="AY81" i="9"/>
  <c r="E82" i="9"/>
  <c r="Q82" i="9"/>
  <c r="AC82" i="9"/>
  <c r="AO82" i="9"/>
  <c r="BA82" i="9"/>
  <c r="O119" i="9"/>
  <c r="X127" i="9"/>
  <c r="AI127" i="9"/>
  <c r="O133" i="9"/>
  <c r="AA133" i="9"/>
  <c r="AM133" i="9"/>
  <c r="AY133" i="9"/>
  <c r="S131" i="9"/>
  <c r="AS131" i="9"/>
  <c r="BC131" i="9"/>
  <c r="P133" i="9"/>
  <c r="P134" i="9" s="1"/>
  <c r="P135" i="9" s="1"/>
  <c r="AB133" i="9"/>
  <c r="AN133" i="9"/>
  <c r="AW131" i="9"/>
  <c r="AG133" i="9"/>
  <c r="AV133" i="9"/>
  <c r="L133" i="9"/>
  <c r="W133" i="9"/>
  <c r="AI133" i="9"/>
  <c r="AT133" i="9"/>
  <c r="V34" i="12"/>
  <c r="O123" i="12"/>
  <c r="P123" i="12"/>
  <c r="AD3" i="12"/>
  <c r="AD4" i="12" s="1"/>
  <c r="AD5" i="12" s="1"/>
  <c r="O21" i="12"/>
  <c r="P21" i="12"/>
  <c r="U37" i="12"/>
  <c r="O13" i="12" a="1"/>
  <c r="O13" i="12" s="1"/>
  <c r="U43" i="12"/>
  <c r="U81" i="12" s="1"/>
  <c r="P84" i="12" a="1"/>
  <c r="P84" i="12" s="1"/>
  <c r="U54" i="12"/>
  <c r="B93" i="12"/>
  <c r="B105" i="12"/>
  <c r="B150" i="12"/>
  <c r="V21" i="12"/>
  <c r="O28" i="12"/>
  <c r="U55" i="12"/>
  <c r="V28" i="12"/>
  <c r="O129" i="12" a="1"/>
  <c r="O129" i="12" s="1"/>
  <c r="O151" i="12" a="1"/>
  <c r="O151" i="12" s="1"/>
  <c r="O127" i="12"/>
  <c r="O131" i="12" s="1"/>
  <c r="O84" i="12" a="1"/>
  <c r="O84" i="12" s="1"/>
  <c r="O72" i="12" a="1"/>
  <c r="O72" i="12" s="1"/>
  <c r="O103" i="12"/>
  <c r="O87" i="12" a="1"/>
  <c r="O87" i="12" s="1"/>
  <c r="O66" i="12"/>
  <c r="O83" i="12" a="1"/>
  <c r="O83" i="12" s="1"/>
  <c r="O63" i="12" a="1"/>
  <c r="O63" i="12" s="1"/>
  <c r="O142" i="12" a="1"/>
  <c r="O142" i="12" s="1"/>
  <c r="O67" i="12" a="1"/>
  <c r="O67" i="12" s="1"/>
  <c r="O68" i="12" s="1" a="1"/>
  <c r="O68" i="12" s="1"/>
  <c r="O55" i="12" a="1"/>
  <c r="O55" i="12" s="1"/>
  <c r="O74" i="12" s="1"/>
  <c r="N5" i="12"/>
  <c r="O53" i="12" a="1"/>
  <c r="O53" i="12" s="1"/>
  <c r="O37" i="12" a="1"/>
  <c r="O37" i="12" s="1"/>
  <c r="O125" i="12" a="1"/>
  <c r="O125" i="12" s="1"/>
  <c r="O85" i="12" a="1"/>
  <c r="O85" i="12" s="1"/>
  <c r="O146" i="12" s="1"/>
  <c r="O119" i="12" a="1"/>
  <c r="O119" i="12" s="1"/>
  <c r="O64" i="12" a="1"/>
  <c r="O64" i="12" s="1"/>
  <c r="O52" i="12" a="1"/>
  <c r="O52" i="12" s="1"/>
  <c r="O34" i="12" a="1"/>
  <c r="O34" i="12" s="1"/>
  <c r="O121" i="12" a="1"/>
  <c r="O121" i="12" s="1"/>
  <c r="U13" i="12"/>
  <c r="U34" i="12"/>
  <c r="P121" i="12" a="1"/>
  <c r="P121" i="12" s="1"/>
  <c r="P125" i="12" a="1"/>
  <c r="P125" i="12" s="1"/>
  <c r="P103" i="12"/>
  <c r="P151" i="12" a="1"/>
  <c r="P151" i="12" s="1"/>
  <c r="P85" i="12" a="1"/>
  <c r="P85" i="12" s="1"/>
  <c r="P146" i="12" s="1"/>
  <c r="P66" i="12"/>
  <c r="P119" i="12" a="1"/>
  <c r="P119" i="12" s="1"/>
  <c r="P65" i="12" a="1"/>
  <c r="P65" i="12" s="1"/>
  <c r="P129" i="12" a="1"/>
  <c r="P129" i="12" s="1"/>
  <c r="P63" i="12" a="1"/>
  <c r="P63" i="12" s="1"/>
  <c r="P13" i="12" a="1"/>
  <c r="P13" i="12" s="1"/>
  <c r="P87" i="12" a="1"/>
  <c r="P87" i="12" s="1"/>
  <c r="P64" i="12" a="1"/>
  <c r="P64" i="12" s="1"/>
  <c r="P67" i="12" a="1"/>
  <c r="P67" i="12" s="1"/>
  <c r="P68" i="12" s="1" a="1"/>
  <c r="P68" i="12" s="1"/>
  <c r="V13" i="12"/>
  <c r="Q5" i="12"/>
  <c r="O65" i="12" a="1"/>
  <c r="O65" i="12" s="1"/>
  <c r="U21" i="12"/>
  <c r="U28" i="12"/>
  <c r="V84" i="12"/>
  <c r="U85" i="12"/>
  <c r="U52" i="12"/>
  <c r="U87" i="12"/>
  <c r="U103" i="12"/>
  <c r="V55" i="12"/>
  <c r="V103" i="12"/>
  <c r="V52" i="12"/>
  <c r="U83" i="12"/>
  <c r="U84" i="12"/>
  <c r="P8" i="10"/>
  <c r="O8" i="10"/>
  <c r="P19" i="10"/>
  <c r="O19" i="10"/>
  <c r="P118" i="10"/>
  <c r="O118" i="10"/>
  <c r="P7" i="10"/>
  <c r="O7" i="10"/>
  <c r="O21" i="10"/>
  <c r="P21" i="10"/>
  <c r="P23" i="10"/>
  <c r="O23" i="10"/>
  <c r="P9" i="10"/>
  <c r="O9" i="10"/>
  <c r="P20" i="10"/>
  <c r="O20" i="10"/>
  <c r="P115" i="10"/>
  <c r="O115" i="10"/>
  <c r="P122" i="10"/>
  <c r="O122" i="10"/>
  <c r="P119" i="10"/>
  <c r="O119" i="10"/>
  <c r="P114" i="10"/>
  <c r="O114" i="10"/>
  <c r="P121" i="10"/>
  <c r="O121" i="10"/>
  <c r="P116" i="10"/>
  <c r="O116" i="10"/>
  <c r="P125" i="10"/>
  <c r="O125" i="10"/>
  <c r="P113" i="10"/>
  <c r="O113" i="10"/>
  <c r="P120" i="10"/>
  <c r="O120" i="10"/>
  <c r="AS118" i="9"/>
  <c r="AS119" i="9" s="1"/>
  <c r="AS111" i="9"/>
  <c r="AT648" i="1"/>
  <c r="AT650" i="1" s="1"/>
  <c r="AT651" i="1" s="1"/>
  <c r="AS1084" i="1"/>
  <c r="AS1086" i="1" s="1"/>
  <c r="M154" i="10"/>
  <c r="M169" i="10"/>
  <c r="M117" i="10"/>
  <c r="M161" i="10"/>
  <c r="M131" i="10"/>
  <c r="M101" i="10"/>
  <c r="M94" i="10"/>
  <c r="M73" i="10"/>
  <c r="M60" i="10"/>
  <c r="M53" i="10"/>
  <c r="M40" i="10"/>
  <c r="M147" i="10"/>
  <c r="M123" i="10"/>
  <c r="B1188" i="1"/>
  <c r="E7" i="8" s="1"/>
  <c r="M139" i="10"/>
  <c r="M132" i="10"/>
  <c r="M162" i="10"/>
  <c r="M93" i="10"/>
  <c r="M81" i="10"/>
  <c r="M74" i="10"/>
  <c r="M52" i="10"/>
  <c r="M45" i="10"/>
  <c r="B2" i="9"/>
  <c r="U66" i="12" s="1"/>
  <c r="M146" i="10"/>
  <c r="AZ969" i="1"/>
  <c r="J1165" i="1"/>
  <c r="J1160" i="1"/>
  <c r="J1151" i="1"/>
  <c r="J1149" i="1" s="1"/>
  <c r="J888" i="1" s="1"/>
  <c r="J1167" i="1"/>
  <c r="J1158" i="1"/>
  <c r="J1156" i="1" s="1"/>
  <c r="J889" i="1" s="1"/>
  <c r="J1153" i="1"/>
  <c r="V1165" i="1"/>
  <c r="V1163" i="1" s="1"/>
  <c r="V1160" i="1"/>
  <c r="V1151" i="1"/>
  <c r="V1149" i="1" s="1"/>
  <c r="V888" i="1" s="1"/>
  <c r="V1167" i="1"/>
  <c r="V1158" i="1"/>
  <c r="V1156" i="1" s="1"/>
  <c r="V889" i="1" s="1"/>
  <c r="V1153" i="1"/>
  <c r="AH1165" i="1"/>
  <c r="AH1163" i="1" s="1"/>
  <c r="AH1160" i="1"/>
  <c r="AH1151" i="1"/>
  <c r="AH1149" i="1" s="1"/>
  <c r="AH888" i="1" s="1"/>
  <c r="AH1167" i="1"/>
  <c r="AH1158" i="1"/>
  <c r="AH1156" i="1" s="1"/>
  <c r="AH889" i="1" s="1"/>
  <c r="AH1153" i="1"/>
  <c r="AT1165" i="1"/>
  <c r="AT1163" i="1" s="1"/>
  <c r="AT1160" i="1"/>
  <c r="AT1151" i="1"/>
  <c r="AT1149" i="1" s="1"/>
  <c r="AT888" i="1" s="1"/>
  <c r="AT1167" i="1"/>
  <c r="AT1158" i="1"/>
  <c r="AT1156" i="1" s="1"/>
  <c r="AT889" i="1" s="1"/>
  <c r="AT1153" i="1"/>
  <c r="BF1165" i="1"/>
  <c r="BF1163" i="1" s="1"/>
  <c r="BF1160" i="1"/>
  <c r="BF1151" i="1"/>
  <c r="BF1167" i="1"/>
  <c r="BF1158" i="1"/>
  <c r="BF1156" i="1" s="1"/>
  <c r="BF1153" i="1"/>
  <c r="AX1149" i="1"/>
  <c r="AK1156" i="1"/>
  <c r="AK889" i="1" s="1"/>
  <c r="Z1156" i="1"/>
  <c r="Z889" i="1" s="1"/>
  <c r="M1163" i="1"/>
  <c r="BA969" i="1"/>
  <c r="K1165" i="1"/>
  <c r="K1163" i="1" s="1"/>
  <c r="K1160" i="1"/>
  <c r="K1151" i="1"/>
  <c r="K1149" i="1" s="1"/>
  <c r="K888" i="1" s="1"/>
  <c r="K1167" i="1"/>
  <c r="K1158" i="1"/>
  <c r="K1156" i="1" s="1"/>
  <c r="K889" i="1" s="1"/>
  <c r="K1153" i="1"/>
  <c r="W1165" i="1"/>
  <c r="W1163" i="1" s="1"/>
  <c r="W890" i="1" s="1"/>
  <c r="W892" i="1" s="1"/>
  <c r="W1160" i="1"/>
  <c r="W1151" i="1"/>
  <c r="W1149" i="1" s="1"/>
  <c r="W888" i="1" s="1"/>
  <c r="W1167" i="1"/>
  <c r="W1158" i="1"/>
  <c r="W1156" i="1" s="1"/>
  <c r="W889" i="1" s="1"/>
  <c r="W1153" i="1"/>
  <c r="AI1165" i="1"/>
  <c r="AI1163" i="1" s="1"/>
  <c r="AI890" i="1" s="1"/>
  <c r="AI892" i="1" s="1"/>
  <c r="AI1160" i="1"/>
  <c r="AI1151" i="1"/>
  <c r="AI1149" i="1" s="1"/>
  <c r="AI888" i="1" s="1"/>
  <c r="AI1167" i="1"/>
  <c r="AI1158" i="1"/>
  <c r="AI1156" i="1" s="1"/>
  <c r="AI889" i="1" s="1"/>
  <c r="AI1153" i="1"/>
  <c r="AU1165" i="1"/>
  <c r="AU1163" i="1" s="1"/>
  <c r="AU1160" i="1"/>
  <c r="AU1151" i="1"/>
  <c r="AU1149" i="1" s="1"/>
  <c r="AU888" i="1" s="1"/>
  <c r="AU1167" i="1"/>
  <c r="AU1158" i="1"/>
  <c r="AU1156" i="1" s="1"/>
  <c r="AU889" i="1" s="1"/>
  <c r="AU1153" i="1"/>
  <c r="BG1165" i="1"/>
  <c r="BG1163" i="1" s="1"/>
  <c r="BG1160" i="1"/>
  <c r="BG1151" i="1"/>
  <c r="BG1149" i="1" s="1"/>
  <c r="BG1167" i="1"/>
  <c r="BG1158" i="1"/>
  <c r="BG1156" i="1" s="1"/>
  <c r="BG1153" i="1"/>
  <c r="G1149" i="1"/>
  <c r="G888" i="1" s="1"/>
  <c r="C1151" i="1"/>
  <c r="C1149" i="1" s="1"/>
  <c r="C888" i="1" s="1"/>
  <c r="G1163" i="1"/>
  <c r="AQ1163" i="1"/>
  <c r="BD1163" i="1"/>
  <c r="AR1156" i="1"/>
  <c r="AR889" i="1" s="1"/>
  <c r="BC1149" i="1"/>
  <c r="Y1163" i="1"/>
  <c r="B1192" i="1"/>
  <c r="AL1163" i="1"/>
  <c r="T1156" i="1"/>
  <c r="T889" i="1" s="1"/>
  <c r="AW1163" i="1"/>
  <c r="BD1156" i="1"/>
  <c r="M1149" i="1"/>
  <c r="M888" i="1" s="1"/>
  <c r="BC1156" i="1"/>
  <c r="H1156" i="1"/>
  <c r="H889" i="1" s="1"/>
  <c r="AS1149" i="1"/>
  <c r="AS888" i="1" s="1"/>
  <c r="AF1156" i="1"/>
  <c r="AF889" i="1" s="1"/>
  <c r="AQ1149" i="1"/>
  <c r="AQ888" i="1" s="1"/>
  <c r="AF1163" i="1"/>
  <c r="AF890" i="1" s="1"/>
  <c r="AF892" i="1" s="1"/>
  <c r="AW1156" i="1"/>
  <c r="Y1156" i="1"/>
  <c r="Y889" i="1" s="1"/>
  <c r="BE1149" i="1"/>
  <c r="BG630" i="1"/>
  <c r="BG631" i="1" s="1"/>
  <c r="BG638" i="1" s="1"/>
  <c r="BB969" i="1"/>
  <c r="BC969" i="1"/>
  <c r="AZ1029" i="1"/>
  <c r="H1149" i="1"/>
  <c r="H888" i="1" s="1"/>
  <c r="BA1029" i="1"/>
  <c r="I1151" i="1"/>
  <c r="I1149" i="1" s="1"/>
  <c r="I888" i="1" s="1"/>
  <c r="N1163" i="1"/>
  <c r="N890" i="1" s="1"/>
  <c r="N892" i="1" s="1"/>
  <c r="BE969" i="1"/>
  <c r="BB1029" i="1"/>
  <c r="C1167" i="1"/>
  <c r="C1158" i="1"/>
  <c r="A1156" i="1" s="1"/>
  <c r="C1165" i="1"/>
  <c r="A1163" i="1" s="1"/>
  <c r="C1160" i="1"/>
  <c r="O1167" i="1"/>
  <c r="O1158" i="1"/>
  <c r="O1156" i="1" s="1"/>
  <c r="O889" i="1" s="1"/>
  <c r="O1153" i="1"/>
  <c r="O1165" i="1"/>
  <c r="O1163" i="1" s="1"/>
  <c r="O1160" i="1"/>
  <c r="AA1167" i="1"/>
  <c r="AA1158" i="1"/>
  <c r="AA1156" i="1" s="1"/>
  <c r="AA889" i="1" s="1"/>
  <c r="AA1153" i="1"/>
  <c r="AA1165" i="1"/>
  <c r="AA1163" i="1" s="1"/>
  <c r="AA1160" i="1"/>
  <c r="AM1167" i="1"/>
  <c r="AM1158" i="1"/>
  <c r="AM1156" i="1" s="1"/>
  <c r="AM889" i="1" s="1"/>
  <c r="AM1153" i="1"/>
  <c r="AM1165" i="1"/>
  <c r="AM1163" i="1" s="1"/>
  <c r="AM1160" i="1"/>
  <c r="AY1167" i="1"/>
  <c r="AY1158" i="1"/>
  <c r="AY1156" i="1" s="1"/>
  <c r="AY1153" i="1"/>
  <c r="AY1165" i="1"/>
  <c r="AY1163" i="1" s="1"/>
  <c r="AY1160" i="1"/>
  <c r="S1163" i="1"/>
  <c r="BC1163" i="1"/>
  <c r="BF969" i="1"/>
  <c r="BC1029" i="1"/>
  <c r="D1167" i="1"/>
  <c r="D1158" i="1"/>
  <c r="D1156" i="1" s="1"/>
  <c r="D889" i="1" s="1"/>
  <c r="D1153" i="1"/>
  <c r="D1165" i="1"/>
  <c r="D1163" i="1" s="1"/>
  <c r="D1160" i="1"/>
  <c r="D1151" i="1"/>
  <c r="D1149" i="1" s="1"/>
  <c r="D888" i="1" s="1"/>
  <c r="P1167" i="1"/>
  <c r="P1158" i="1"/>
  <c r="P1156" i="1" s="1"/>
  <c r="P889" i="1" s="1"/>
  <c r="P1153" i="1"/>
  <c r="P1165" i="1"/>
  <c r="P1163" i="1" s="1"/>
  <c r="P1160" i="1"/>
  <c r="P1151" i="1"/>
  <c r="P1149" i="1" s="1"/>
  <c r="P888" i="1" s="1"/>
  <c r="AB1167" i="1"/>
  <c r="AB1158" i="1"/>
  <c r="AB1156" i="1" s="1"/>
  <c r="AB889" i="1" s="1"/>
  <c r="AB1153" i="1"/>
  <c r="AB1165" i="1"/>
  <c r="AB1163" i="1" s="1"/>
  <c r="AB1160" i="1"/>
  <c r="AB1151" i="1"/>
  <c r="AB1149" i="1" s="1"/>
  <c r="AB888" i="1" s="1"/>
  <c r="AN1167" i="1"/>
  <c r="AN1158" i="1"/>
  <c r="AN1156" i="1" s="1"/>
  <c r="AN889" i="1" s="1"/>
  <c r="AN1153" i="1"/>
  <c r="AN1165" i="1"/>
  <c r="AN1163" i="1" s="1"/>
  <c r="AN1160" i="1"/>
  <c r="AN1151" i="1"/>
  <c r="AN1149" i="1" s="1"/>
  <c r="AN888" i="1" s="1"/>
  <c r="AZ1167" i="1"/>
  <c r="AZ1158" i="1"/>
  <c r="AZ1156" i="1" s="1"/>
  <c r="AZ1153" i="1"/>
  <c r="AZ1165" i="1"/>
  <c r="AZ1163" i="1" s="1"/>
  <c r="AZ1160" i="1"/>
  <c r="AZ1151" i="1"/>
  <c r="AZ1149" i="1" s="1"/>
  <c r="AK1149" i="1"/>
  <c r="AK888" i="1" s="1"/>
  <c r="N1149" i="1"/>
  <c r="N888" i="1" s="1"/>
  <c r="AL1149" i="1"/>
  <c r="AL888" i="1" s="1"/>
  <c r="AK1163" i="1"/>
  <c r="AK890" i="1" s="1"/>
  <c r="AK892" i="1" s="1"/>
  <c r="BG969" i="1"/>
  <c r="E1167" i="1"/>
  <c r="E1158" i="1"/>
  <c r="E1156" i="1" s="1"/>
  <c r="E889" i="1" s="1"/>
  <c r="E1153" i="1"/>
  <c r="E1165" i="1"/>
  <c r="E1163" i="1" s="1"/>
  <c r="E1160" i="1"/>
  <c r="E1151" i="1"/>
  <c r="E1149" i="1" s="1"/>
  <c r="E888" i="1" s="1"/>
  <c r="Q1167" i="1"/>
  <c r="Q1158" i="1"/>
  <c r="Q1156" i="1" s="1"/>
  <c r="Q889" i="1" s="1"/>
  <c r="Q1153" i="1"/>
  <c r="Q1165" i="1"/>
  <c r="Q1163" i="1" s="1"/>
  <c r="Q1160" i="1"/>
  <c r="Q1151" i="1"/>
  <c r="Q1149" i="1" s="1"/>
  <c r="Q888" i="1" s="1"/>
  <c r="AC1167" i="1"/>
  <c r="AC1158" i="1"/>
  <c r="AC1156" i="1" s="1"/>
  <c r="AC889" i="1" s="1"/>
  <c r="AC1153" i="1"/>
  <c r="AC1165" i="1"/>
  <c r="AC1163" i="1" s="1"/>
  <c r="AC1160" i="1"/>
  <c r="AC1151" i="1"/>
  <c r="AC1149" i="1" s="1"/>
  <c r="AC888" i="1" s="1"/>
  <c r="AO1167" i="1"/>
  <c r="AO1158" i="1"/>
  <c r="AO1156" i="1" s="1"/>
  <c r="AO889" i="1" s="1"/>
  <c r="AO1153" i="1"/>
  <c r="AO1165" i="1"/>
  <c r="AO1163" i="1" s="1"/>
  <c r="AO1160" i="1"/>
  <c r="AO1151" i="1"/>
  <c r="AO1149" i="1" s="1"/>
  <c r="AO888" i="1" s="1"/>
  <c r="BA1167" i="1"/>
  <c r="BA1158" i="1"/>
  <c r="BA1156" i="1" s="1"/>
  <c r="BA1153" i="1"/>
  <c r="BA1165" i="1"/>
  <c r="BA1163" i="1" s="1"/>
  <c r="BA1160" i="1"/>
  <c r="BA1151" i="1"/>
  <c r="BA1149" i="1" s="1"/>
  <c r="O1151" i="1"/>
  <c r="O1149" i="1" s="1"/>
  <c r="O888" i="1" s="1"/>
  <c r="AM1151" i="1"/>
  <c r="AM1149" i="1" s="1"/>
  <c r="AM888" i="1" s="1"/>
  <c r="M1156" i="1"/>
  <c r="M889" i="1" s="1"/>
  <c r="M22" i="10"/>
  <c r="F1163" i="1"/>
  <c r="F890" i="1" s="1"/>
  <c r="F892" i="1" s="1"/>
  <c r="R1163" i="1"/>
  <c r="R890" i="1" s="1"/>
  <c r="R892" i="1" s="1"/>
  <c r="AD1163" i="1"/>
  <c r="AD890" i="1" s="1"/>
  <c r="AD892" i="1" s="1"/>
  <c r="AP1163" i="1"/>
  <c r="BB1163" i="1"/>
  <c r="S1149" i="1"/>
  <c r="S888" i="1" s="1"/>
  <c r="S1156" i="1"/>
  <c r="S889" i="1" s="1"/>
  <c r="N1156" i="1"/>
  <c r="N889" i="1" s="1"/>
  <c r="AX1156" i="1"/>
  <c r="BF1029" i="1"/>
  <c r="AW1149" i="1"/>
  <c r="T1149" i="1"/>
  <c r="T888" i="1" s="1"/>
  <c r="AR1149" i="1"/>
  <c r="AR888" i="1" s="1"/>
  <c r="AE1163" i="1"/>
  <c r="AE890" i="1" s="1"/>
  <c r="AE892" i="1" s="1"/>
  <c r="BG1029" i="1"/>
  <c r="I1165" i="1"/>
  <c r="I1163" i="1" s="1"/>
  <c r="I890" i="1" s="1"/>
  <c r="I892" i="1" s="1"/>
  <c r="I1160" i="1"/>
  <c r="I1167" i="1"/>
  <c r="I1158" i="1"/>
  <c r="I1156" i="1" s="1"/>
  <c r="I889" i="1" s="1"/>
  <c r="U1165" i="1"/>
  <c r="U1163" i="1" s="1"/>
  <c r="U1160" i="1"/>
  <c r="U1167" i="1"/>
  <c r="U1158" i="1"/>
  <c r="U1156" i="1" s="1"/>
  <c r="U889" i="1" s="1"/>
  <c r="U1153" i="1"/>
  <c r="AG1165" i="1"/>
  <c r="AG1163" i="1" s="1"/>
  <c r="AG890" i="1" s="1"/>
  <c r="AG892" i="1" s="1"/>
  <c r="AG1160" i="1"/>
  <c r="AG1167" i="1"/>
  <c r="AG1158" i="1"/>
  <c r="AG1156" i="1" s="1"/>
  <c r="AG889" i="1" s="1"/>
  <c r="AG1153" i="1"/>
  <c r="AS1165" i="1"/>
  <c r="AS1163" i="1" s="1"/>
  <c r="AS890" i="1" s="1"/>
  <c r="AS892" i="1" s="1"/>
  <c r="AS1160" i="1"/>
  <c r="AS1167" i="1"/>
  <c r="AS1158" i="1"/>
  <c r="AS1156" i="1" s="1"/>
  <c r="AS889" i="1" s="1"/>
  <c r="AS1153" i="1"/>
  <c r="BE1165" i="1"/>
  <c r="BE1163" i="1" s="1"/>
  <c r="BE1160" i="1"/>
  <c r="BE1167" i="1"/>
  <c r="BE1158" i="1"/>
  <c r="BE1156" i="1" s="1"/>
  <c r="BE1153" i="1"/>
  <c r="BF1149" i="1"/>
  <c r="J1163" i="1"/>
  <c r="L1151" i="1"/>
  <c r="L1149" i="1" s="1"/>
  <c r="L888" i="1" s="1"/>
  <c r="X1151" i="1"/>
  <c r="X1149" i="1" s="1"/>
  <c r="X888" i="1" s="1"/>
  <c r="AJ1151" i="1"/>
  <c r="AJ1149" i="1" s="1"/>
  <c r="AJ888" i="1" s="1"/>
  <c r="AV1151" i="1"/>
  <c r="AV1149" i="1" s="1"/>
  <c r="F1153" i="1"/>
  <c r="R1153" i="1"/>
  <c r="AD1153" i="1"/>
  <c r="AP1153" i="1"/>
  <c r="BB1153" i="1"/>
  <c r="F1158" i="1"/>
  <c r="F1156" i="1" s="1"/>
  <c r="F889" i="1" s="1"/>
  <c r="R1158" i="1"/>
  <c r="R1156" i="1" s="1"/>
  <c r="R889" i="1" s="1"/>
  <c r="AD1158" i="1"/>
  <c r="AD1156" i="1" s="1"/>
  <c r="AD889" i="1" s="1"/>
  <c r="AP1158" i="1"/>
  <c r="AP1156" i="1" s="1"/>
  <c r="AP889" i="1" s="1"/>
  <c r="BB1158" i="1"/>
  <c r="BB1156" i="1" s="1"/>
  <c r="L1160" i="1"/>
  <c r="X1160" i="1"/>
  <c r="AJ1160" i="1"/>
  <c r="AV1160" i="1"/>
  <c r="L1165" i="1"/>
  <c r="L1163" i="1" s="1"/>
  <c r="L890" i="1" s="1"/>
  <c r="L892" i="1" s="1"/>
  <c r="X1165" i="1"/>
  <c r="X1163" i="1" s="1"/>
  <c r="AJ1165" i="1"/>
  <c r="AJ1163" i="1" s="1"/>
  <c r="AV1165" i="1"/>
  <c r="AV1163" i="1" s="1"/>
  <c r="F1167" i="1"/>
  <c r="R1167" i="1"/>
  <c r="AD1167" i="1"/>
  <c r="AP1167" i="1"/>
  <c r="BB1167" i="1"/>
  <c r="M152" i="9"/>
  <c r="M83" i="9"/>
  <c r="M62" i="9"/>
  <c r="Y152" i="9"/>
  <c r="Y83" i="9"/>
  <c r="Y62" i="9"/>
  <c r="AK152" i="9"/>
  <c r="AK83" i="9"/>
  <c r="AK62" i="9"/>
  <c r="AW152" i="9"/>
  <c r="AW83" i="9"/>
  <c r="AW62" i="9"/>
  <c r="N82" i="9"/>
  <c r="Z82" i="9"/>
  <c r="S138" i="9"/>
  <c r="N84" i="9"/>
  <c r="N58" i="9"/>
  <c r="AE138" i="9"/>
  <c r="Z84" i="9"/>
  <c r="Z58" i="9"/>
  <c r="D152" i="9"/>
  <c r="D83" i="9"/>
  <c r="D62" i="9"/>
  <c r="P152" i="9"/>
  <c r="P83" i="9"/>
  <c r="P62" i="9"/>
  <c r="AB152" i="9"/>
  <c r="AB83" i="9"/>
  <c r="AB62" i="9"/>
  <c r="AN152" i="9"/>
  <c r="AN83" i="9"/>
  <c r="AN62" i="9"/>
  <c r="AZ152" i="9"/>
  <c r="AZ83" i="9"/>
  <c r="AZ62" i="9"/>
  <c r="AZ85" i="9" s="1"/>
  <c r="N86" i="9"/>
  <c r="Z86" i="9"/>
  <c r="E152" i="9"/>
  <c r="E83" i="9"/>
  <c r="E62" i="9"/>
  <c r="Q152" i="9"/>
  <c r="Q83" i="9"/>
  <c r="Q62" i="9"/>
  <c r="AC152" i="9"/>
  <c r="AC83" i="9"/>
  <c r="AC62" i="9"/>
  <c r="AO152" i="9"/>
  <c r="AO83" i="9"/>
  <c r="AO62" i="9"/>
  <c r="N81" i="9"/>
  <c r="Z81" i="9"/>
  <c r="F142" i="9"/>
  <c r="E93" i="9"/>
  <c r="E103" i="9"/>
  <c r="E105" i="9" s="1"/>
  <c r="K142" i="9"/>
  <c r="F103" i="9"/>
  <c r="F105" i="9" s="1"/>
  <c r="F93" i="9"/>
  <c r="W142" i="9"/>
  <c r="R103" i="9"/>
  <c r="R105" i="9" s="1"/>
  <c r="R93" i="9"/>
  <c r="R100" i="9" s="1"/>
  <c r="R156" i="9" s="1"/>
  <c r="AI142" i="9"/>
  <c r="AD103" i="9"/>
  <c r="AD105" i="9" s="1"/>
  <c r="AD93" i="9"/>
  <c r="AD100" i="9" s="1"/>
  <c r="AD156" i="9" s="1"/>
  <c r="AU142" i="9"/>
  <c r="AP103" i="9"/>
  <c r="AP105" i="9" s="1"/>
  <c r="AP93" i="9"/>
  <c r="F82" i="9"/>
  <c r="N142" i="9"/>
  <c r="I103" i="9"/>
  <c r="I105" i="9" s="1"/>
  <c r="I93" i="9"/>
  <c r="Z142" i="9"/>
  <c r="U103" i="9"/>
  <c r="U93" i="9"/>
  <c r="U100" i="9" s="1"/>
  <c r="U156" i="9" s="1"/>
  <c r="AL142" i="9"/>
  <c r="AG103" i="9"/>
  <c r="AG93" i="9"/>
  <c r="AG100" i="9" s="1"/>
  <c r="AG156" i="9" s="1"/>
  <c r="AS103" i="9"/>
  <c r="AS105" i="9" s="1"/>
  <c r="AS93" i="9"/>
  <c r="K138" i="9"/>
  <c r="F58" i="9"/>
  <c r="W138" i="9"/>
  <c r="H80" i="9"/>
  <c r="T80" i="9"/>
  <c r="AF80" i="9"/>
  <c r="F86" i="9"/>
  <c r="V93" i="9"/>
  <c r="V100" i="9" s="1"/>
  <c r="V156" i="9" s="1"/>
  <c r="V103" i="9"/>
  <c r="V105" i="9" s="1"/>
  <c r="AT93" i="9"/>
  <c r="AT103" i="9"/>
  <c r="AT105" i="9" s="1"/>
  <c r="F1151" i="1"/>
  <c r="F1149" i="1" s="1"/>
  <c r="F888" i="1" s="1"/>
  <c r="R1151" i="1"/>
  <c r="R1149" i="1" s="1"/>
  <c r="R888" i="1" s="1"/>
  <c r="AD1151" i="1"/>
  <c r="AD1149" i="1" s="1"/>
  <c r="AD888" i="1" s="1"/>
  <c r="AP1151" i="1"/>
  <c r="AP1149" i="1" s="1"/>
  <c r="AP888" i="1" s="1"/>
  <c r="BB1151" i="1"/>
  <c r="BB1149" i="1" s="1"/>
  <c r="L1153" i="1"/>
  <c r="X1153" i="1"/>
  <c r="AJ1153" i="1"/>
  <c r="AV1153" i="1"/>
  <c r="L1158" i="1"/>
  <c r="L1156" i="1" s="1"/>
  <c r="L889" i="1" s="1"/>
  <c r="X1158" i="1"/>
  <c r="X1156" i="1" s="1"/>
  <c r="X889" i="1" s="1"/>
  <c r="AJ1158" i="1"/>
  <c r="AJ1156" i="1" s="1"/>
  <c r="AJ889" i="1" s="1"/>
  <c r="AV1158" i="1"/>
  <c r="AV1156" i="1" s="1"/>
  <c r="F1160" i="1"/>
  <c r="R1160" i="1"/>
  <c r="AD1160" i="1"/>
  <c r="AP1160" i="1"/>
  <c r="BB1160" i="1"/>
  <c r="F81" i="9"/>
  <c r="H82" i="9"/>
  <c r="T82" i="9"/>
  <c r="AF82" i="9"/>
  <c r="W102" i="9"/>
  <c r="M138" i="9"/>
  <c r="H84" i="9"/>
  <c r="H58" i="9"/>
  <c r="Y138" i="9"/>
  <c r="T84" i="9"/>
  <c r="T58" i="9"/>
  <c r="AK138" i="9"/>
  <c r="AF84" i="9"/>
  <c r="AF58" i="9"/>
  <c r="J152" i="9"/>
  <c r="J83" i="9"/>
  <c r="J62" i="9"/>
  <c r="V152" i="9"/>
  <c r="V83" i="9"/>
  <c r="V62" i="9"/>
  <c r="AH152" i="9"/>
  <c r="AH83" i="9"/>
  <c r="AH62" i="9"/>
  <c r="AT152" i="9"/>
  <c r="AT83" i="9"/>
  <c r="AT62" i="9"/>
  <c r="H86" i="9"/>
  <c r="T86" i="9"/>
  <c r="AF86" i="9"/>
  <c r="K152" i="9"/>
  <c r="K83" i="9"/>
  <c r="K62" i="9"/>
  <c r="W152" i="9"/>
  <c r="W83" i="9"/>
  <c r="W62" i="9"/>
  <c r="AI152" i="9"/>
  <c r="AI83" i="9"/>
  <c r="AI62" i="9"/>
  <c r="AU152" i="9"/>
  <c r="AU83" i="9"/>
  <c r="AU62" i="9"/>
  <c r="H81" i="9"/>
  <c r="T81" i="9"/>
  <c r="AF81" i="9"/>
  <c r="K93" i="9"/>
  <c r="K103" i="9"/>
  <c r="K105" i="9" s="1"/>
  <c r="AV152" i="9"/>
  <c r="AV83" i="9"/>
  <c r="AV62" i="9"/>
  <c r="N80" i="9"/>
  <c r="Z80" i="9"/>
  <c r="F138" i="9"/>
  <c r="V138" i="9"/>
  <c r="AH138" i="9"/>
  <c r="AT138" i="9"/>
  <c r="C153" i="9"/>
  <c r="D139" i="9"/>
  <c r="C112" i="9"/>
  <c r="C109" i="9" s="1"/>
  <c r="O153" i="9"/>
  <c r="T139" i="9"/>
  <c r="O112" i="9"/>
  <c r="O109" i="9" s="1"/>
  <c r="AA153" i="9"/>
  <c r="AF139" i="9"/>
  <c r="AA112" i="9"/>
  <c r="AA109" i="9" s="1"/>
  <c r="AM153" i="9"/>
  <c r="AR139" i="9"/>
  <c r="AM112" i="9"/>
  <c r="AM109" i="9" s="1"/>
  <c r="AY153" i="9"/>
  <c r="AY112" i="9"/>
  <c r="AY109" i="9" s="1"/>
  <c r="G116" i="9"/>
  <c r="L140" i="9"/>
  <c r="G154" i="9"/>
  <c r="S154" i="9"/>
  <c r="X140" i="9"/>
  <c r="S116" i="9"/>
  <c r="AJ140" i="9"/>
  <c r="AE116" i="9"/>
  <c r="AE117" i="9" s="1"/>
  <c r="AE120" i="9" s="1"/>
  <c r="AE154" i="9"/>
  <c r="AQ154" i="9"/>
  <c r="AQ116" i="9"/>
  <c r="L113" i="9"/>
  <c r="L110" i="9" s="1"/>
  <c r="X113" i="9"/>
  <c r="X110" i="9" s="1"/>
  <c r="AV113" i="9"/>
  <c r="AV110" i="9" s="1"/>
  <c r="I100" i="9"/>
  <c r="I156" i="9" s="1"/>
  <c r="AS100" i="9"/>
  <c r="AS156" i="9" s="1"/>
  <c r="J106" i="9"/>
  <c r="V106" i="9"/>
  <c r="AH106" i="9"/>
  <c r="AT106" i="9"/>
  <c r="AI138" i="9"/>
  <c r="AU138" i="9"/>
  <c r="AL58" i="9"/>
  <c r="AX58" i="9"/>
  <c r="D153" i="9"/>
  <c r="E139" i="9"/>
  <c r="D112" i="9"/>
  <c r="D109" i="9" s="1"/>
  <c r="P153" i="9"/>
  <c r="U139" i="9"/>
  <c r="P112" i="9"/>
  <c r="P109" i="9" s="1"/>
  <c r="AB153" i="9"/>
  <c r="AG139" i="9"/>
  <c r="AB112" i="9"/>
  <c r="AB109" i="9" s="1"/>
  <c r="AN153" i="9"/>
  <c r="AS139" i="9"/>
  <c r="AN112" i="9"/>
  <c r="AN109" i="9" s="1"/>
  <c r="AZ153" i="9"/>
  <c r="AZ112" i="9"/>
  <c r="M140" i="9"/>
  <c r="H154" i="9"/>
  <c r="H116" i="9"/>
  <c r="T154" i="9"/>
  <c r="Y140" i="9"/>
  <c r="T116" i="9"/>
  <c r="AF154" i="9"/>
  <c r="AK140" i="9"/>
  <c r="AF116" i="9"/>
  <c r="AR154" i="9"/>
  <c r="AR116" i="9"/>
  <c r="D80" i="9"/>
  <c r="P80" i="9"/>
  <c r="AB80" i="9"/>
  <c r="AN80" i="9"/>
  <c r="AZ80" i="9"/>
  <c r="R141" i="9"/>
  <c r="M113" i="9"/>
  <c r="M110" i="9" s="1"/>
  <c r="M102" i="9"/>
  <c r="M91" i="9"/>
  <c r="AD141" i="9"/>
  <c r="Y102" i="9"/>
  <c r="Y91" i="9"/>
  <c r="Y113" i="9"/>
  <c r="Y110" i="9" s="1"/>
  <c r="AP141" i="9"/>
  <c r="AK102" i="9"/>
  <c r="AK91" i="9"/>
  <c r="AK113" i="9"/>
  <c r="AK110" i="9" s="1"/>
  <c r="AW91" i="9"/>
  <c r="AW113" i="9"/>
  <c r="AW110" i="9" s="1"/>
  <c r="J93" i="9"/>
  <c r="J100" i="9" s="1"/>
  <c r="J156" i="9" s="1"/>
  <c r="AH93" i="9"/>
  <c r="AH100" i="9" s="1"/>
  <c r="AH156" i="9" s="1"/>
  <c r="AT100" i="9"/>
  <c r="AT156" i="9" s="1"/>
  <c r="L138" i="9"/>
  <c r="X138" i="9"/>
  <c r="AJ138" i="9"/>
  <c r="C58" i="9"/>
  <c r="O58" i="9"/>
  <c r="AA58" i="9"/>
  <c r="AM58" i="9"/>
  <c r="AY58" i="9"/>
  <c r="F139" i="9"/>
  <c r="E153" i="9"/>
  <c r="E112" i="9"/>
  <c r="E109" i="9" s="1"/>
  <c r="Q153" i="9"/>
  <c r="V139" i="9"/>
  <c r="Q112" i="9"/>
  <c r="Q109" i="9" s="1"/>
  <c r="AC153" i="9"/>
  <c r="AH139" i="9"/>
  <c r="AC112" i="9"/>
  <c r="AC109" i="9" s="1"/>
  <c r="AO153" i="9"/>
  <c r="AT139" i="9"/>
  <c r="AO112" i="9"/>
  <c r="AO109" i="9" s="1"/>
  <c r="BA153" i="9"/>
  <c r="BA112" i="9"/>
  <c r="N140" i="9"/>
  <c r="I154" i="9"/>
  <c r="I116" i="9"/>
  <c r="U154" i="9"/>
  <c r="Z140" i="9"/>
  <c r="U116" i="9"/>
  <c r="U117" i="9" s="1"/>
  <c r="U120" i="9" s="1"/>
  <c r="AG154" i="9"/>
  <c r="AL140" i="9"/>
  <c r="AG116" i="9"/>
  <c r="AS154" i="9"/>
  <c r="AS116" i="9"/>
  <c r="E80" i="9"/>
  <c r="Q80" i="9"/>
  <c r="AC80" i="9"/>
  <c r="AO80" i="9"/>
  <c r="AI93" i="9"/>
  <c r="AI100" i="9" s="1"/>
  <c r="AI156" i="9" s="1"/>
  <c r="AI103" i="9"/>
  <c r="AI105" i="9" s="1"/>
  <c r="K100" i="9"/>
  <c r="K156" i="9" s="1"/>
  <c r="AH103" i="9"/>
  <c r="K139" i="9"/>
  <c r="F153" i="9"/>
  <c r="F112" i="9"/>
  <c r="F109" i="9" s="1"/>
  <c r="R153" i="9"/>
  <c r="W139" i="9"/>
  <c r="R112" i="9"/>
  <c r="R109" i="9" s="1"/>
  <c r="AD153" i="9"/>
  <c r="AI139" i="9"/>
  <c r="AD112" i="9"/>
  <c r="AD109" i="9" s="1"/>
  <c r="AU139" i="9"/>
  <c r="AP153" i="9"/>
  <c r="AP112" i="9"/>
  <c r="AP109" i="9" s="1"/>
  <c r="BB153" i="9"/>
  <c r="BB112" i="9"/>
  <c r="BB84" i="9"/>
  <c r="J154" i="9"/>
  <c r="O140" i="9"/>
  <c r="J116" i="9"/>
  <c r="V154" i="9"/>
  <c r="AA140" i="9"/>
  <c r="V116" i="9"/>
  <c r="AH154" i="9"/>
  <c r="AM140" i="9"/>
  <c r="AH116" i="9"/>
  <c r="AT154" i="9"/>
  <c r="AT116" i="9"/>
  <c r="AT117" i="9" s="1"/>
  <c r="AL84" i="9"/>
  <c r="C102" i="9"/>
  <c r="AA102" i="9"/>
  <c r="AM102" i="9"/>
  <c r="Q142" i="9"/>
  <c r="L103" i="9"/>
  <c r="L105" i="9" s="1"/>
  <c r="L93" i="9"/>
  <c r="L100" i="9" s="1"/>
  <c r="L156" i="9" s="1"/>
  <c r="AO142" i="9"/>
  <c r="AJ103" i="9"/>
  <c r="AJ105" i="9" s="1"/>
  <c r="AJ93" i="9"/>
  <c r="AJ100" i="9" s="1"/>
  <c r="AJ156" i="9" s="1"/>
  <c r="L134" i="9"/>
  <c r="L135" i="9" s="1"/>
  <c r="AJ134" i="9"/>
  <c r="AJ135" i="9" s="1"/>
  <c r="AV134" i="9"/>
  <c r="N138" i="9"/>
  <c r="Z138" i="9"/>
  <c r="AL138" i="9"/>
  <c r="G153" i="9"/>
  <c r="L139" i="9"/>
  <c r="S153" i="9"/>
  <c r="X139" i="9"/>
  <c r="S112" i="9"/>
  <c r="S109" i="9" s="1"/>
  <c r="AE153" i="9"/>
  <c r="AJ139" i="9"/>
  <c r="AE112" i="9"/>
  <c r="AE109" i="9" s="1"/>
  <c r="AQ153" i="9"/>
  <c r="AQ112" i="9"/>
  <c r="AQ109" i="9" s="1"/>
  <c r="BC153" i="9"/>
  <c r="BC112" i="9"/>
  <c r="P140" i="9"/>
  <c r="K154" i="9"/>
  <c r="K116" i="9"/>
  <c r="K117" i="9" s="1"/>
  <c r="AB140" i="9"/>
  <c r="W154" i="9"/>
  <c r="W116" i="9"/>
  <c r="AN140" i="9"/>
  <c r="AI154" i="9"/>
  <c r="AI116" i="9"/>
  <c r="AU154" i="9"/>
  <c r="AU116" i="9"/>
  <c r="AC86" i="9"/>
  <c r="E141" i="9"/>
  <c r="D113" i="9"/>
  <c r="D110" i="9" s="1"/>
  <c r="D102" i="9"/>
  <c r="D91" i="9"/>
  <c r="U141" i="9"/>
  <c r="P113" i="9"/>
  <c r="P110" i="9" s="1"/>
  <c r="P102" i="9"/>
  <c r="P91" i="9"/>
  <c r="AG141" i="9"/>
  <c r="AB113" i="9"/>
  <c r="AB110" i="9" s="1"/>
  <c r="AB102" i="9"/>
  <c r="AB91" i="9"/>
  <c r="AB142" i="9" s="1"/>
  <c r="AS141" i="9"/>
  <c r="AN113" i="9"/>
  <c r="AN110" i="9" s="1"/>
  <c r="AN102" i="9"/>
  <c r="AN91" i="9"/>
  <c r="AN142" i="9" s="1"/>
  <c r="N103" i="9"/>
  <c r="N105" i="9" s="1"/>
  <c r="Z103" i="9"/>
  <c r="Z105" i="9" s="1"/>
  <c r="AL103" i="9"/>
  <c r="AL105" i="9" s="1"/>
  <c r="V142" i="9"/>
  <c r="Q93" i="9"/>
  <c r="Q100" i="9" s="1"/>
  <c r="Q156" i="9" s="1"/>
  <c r="Q103" i="9"/>
  <c r="Q105" i="9" s="1"/>
  <c r="AT142" i="9"/>
  <c r="AO93" i="9"/>
  <c r="AO100" i="9" s="1"/>
  <c r="AO156" i="9" s="1"/>
  <c r="AO103" i="9"/>
  <c r="AO105" i="9" s="1"/>
  <c r="O138" i="9"/>
  <c r="AA138" i="9"/>
  <c r="AM138" i="9"/>
  <c r="R58" i="9"/>
  <c r="AD58" i="9"/>
  <c r="AP58" i="9"/>
  <c r="M139" i="9"/>
  <c r="H153" i="9"/>
  <c r="Y139" i="9"/>
  <c r="T153" i="9"/>
  <c r="T112" i="9"/>
  <c r="T109" i="9" s="1"/>
  <c r="AF153" i="9"/>
  <c r="AK139" i="9"/>
  <c r="AF112" i="9"/>
  <c r="AF109" i="9" s="1"/>
  <c r="AR153" i="9"/>
  <c r="AR112" i="9"/>
  <c r="AR109" i="9" s="1"/>
  <c r="BD153" i="9"/>
  <c r="BD112" i="9"/>
  <c r="J86" i="9"/>
  <c r="V86" i="9"/>
  <c r="AH86" i="9"/>
  <c r="AT86" i="9"/>
  <c r="BF86" i="9"/>
  <c r="L154" i="9"/>
  <c r="Q140" i="9"/>
  <c r="L116" i="9"/>
  <c r="AC140" i="9"/>
  <c r="X154" i="9"/>
  <c r="X116" i="9"/>
  <c r="AO140" i="9"/>
  <c r="AJ154" i="9"/>
  <c r="AJ116" i="9"/>
  <c r="AJ117" i="9" s="1"/>
  <c r="AJ120" i="9" s="1"/>
  <c r="AV154" i="9"/>
  <c r="AV116" i="9"/>
  <c r="D84" i="9"/>
  <c r="P84" i="9"/>
  <c r="AB84" i="9"/>
  <c r="AN84" i="9"/>
  <c r="AZ84" i="9"/>
  <c r="F141" i="9"/>
  <c r="E113" i="9"/>
  <c r="E110" i="9" s="1"/>
  <c r="V141" i="9"/>
  <c r="Q113" i="9"/>
  <c r="Q110" i="9" s="1"/>
  <c r="AH141" i="9"/>
  <c r="AC113" i="9"/>
  <c r="AC110" i="9" s="1"/>
  <c r="AT141" i="9"/>
  <c r="AO113" i="9"/>
  <c r="AO110" i="9" s="1"/>
  <c r="AO102" i="9"/>
  <c r="C106" i="9"/>
  <c r="O106" i="9"/>
  <c r="AA106" i="9"/>
  <c r="AM106" i="9"/>
  <c r="AY106" i="9"/>
  <c r="P138" i="9"/>
  <c r="AB138" i="9"/>
  <c r="AN138" i="9"/>
  <c r="G58" i="9"/>
  <c r="S58" i="9"/>
  <c r="AE58" i="9"/>
  <c r="AQ58" i="9"/>
  <c r="N139" i="9"/>
  <c r="I153" i="9"/>
  <c r="Z139" i="9"/>
  <c r="U153" i="9"/>
  <c r="U112" i="9"/>
  <c r="U109" i="9" s="1"/>
  <c r="AG153" i="9"/>
  <c r="AL139" i="9"/>
  <c r="AG112" i="9"/>
  <c r="AG109" i="9" s="1"/>
  <c r="AS153" i="9"/>
  <c r="AS112" i="9"/>
  <c r="AS109" i="9" s="1"/>
  <c r="BE153" i="9"/>
  <c r="BE112" i="9"/>
  <c r="M154" i="9"/>
  <c r="R140" i="9"/>
  <c r="M116" i="9"/>
  <c r="AD140" i="9"/>
  <c r="Y154" i="9"/>
  <c r="Y116" i="9"/>
  <c r="AP140" i="9"/>
  <c r="AK154" i="9"/>
  <c r="AK116" i="9"/>
  <c r="AW154" i="9"/>
  <c r="AW116" i="9"/>
  <c r="E84" i="9"/>
  <c r="Q84" i="9"/>
  <c r="AC84" i="9"/>
  <c r="AO84" i="9"/>
  <c r="BA84" i="9"/>
  <c r="R113" i="9"/>
  <c r="R110" i="9" s="1"/>
  <c r="AD113" i="9"/>
  <c r="AD110" i="9" s="1"/>
  <c r="E102" i="9"/>
  <c r="D106" i="9"/>
  <c r="P106" i="9"/>
  <c r="AB106" i="9"/>
  <c r="AN106" i="9"/>
  <c r="Q138" i="9"/>
  <c r="AC138" i="9"/>
  <c r="AO138" i="9"/>
  <c r="AR58" i="9"/>
  <c r="J153" i="9"/>
  <c r="O139" i="9"/>
  <c r="J112" i="9"/>
  <c r="J109" i="9" s="1"/>
  <c r="AA139" i="9"/>
  <c r="V153" i="9"/>
  <c r="V112" i="9"/>
  <c r="V109" i="9" s="1"/>
  <c r="AH153" i="9"/>
  <c r="AM139" i="9"/>
  <c r="AH112" i="9"/>
  <c r="AH109" i="9" s="1"/>
  <c r="AT153" i="9"/>
  <c r="AT112" i="9"/>
  <c r="AT109" i="9" s="1"/>
  <c r="BF153" i="9"/>
  <c r="BF112" i="9"/>
  <c r="L86" i="9"/>
  <c r="X86" i="9"/>
  <c r="AJ86" i="9"/>
  <c r="AV86" i="9"/>
  <c r="S140" i="9"/>
  <c r="N154" i="9"/>
  <c r="N116" i="9"/>
  <c r="Z154" i="9"/>
  <c r="AE140" i="9"/>
  <c r="Z116" i="9"/>
  <c r="Z117" i="9" s="1"/>
  <c r="AL154" i="9"/>
  <c r="AQ140" i="9"/>
  <c r="AL116" i="9"/>
  <c r="AX116" i="9"/>
  <c r="AX154" i="9"/>
  <c r="J80" i="9"/>
  <c r="V80" i="9"/>
  <c r="AH80" i="9"/>
  <c r="AT80" i="9"/>
  <c r="F84" i="9"/>
  <c r="R84" i="9"/>
  <c r="AD84" i="9"/>
  <c r="AP84" i="9"/>
  <c r="BC84" i="9"/>
  <c r="L141" i="9"/>
  <c r="G102" i="9"/>
  <c r="G91" i="9"/>
  <c r="X141" i="9"/>
  <c r="S102" i="9"/>
  <c r="S91" i="9"/>
  <c r="S142" i="9" s="1"/>
  <c r="S113" i="9"/>
  <c r="S110" i="9" s="1"/>
  <c r="AJ141" i="9"/>
  <c r="AE102" i="9"/>
  <c r="AE91" i="9"/>
  <c r="AE142" i="9" s="1"/>
  <c r="AE113" i="9"/>
  <c r="AE110" i="9" s="1"/>
  <c r="AQ113" i="9"/>
  <c r="AQ110" i="9" s="1"/>
  <c r="AQ102" i="9"/>
  <c r="AQ91" i="9"/>
  <c r="AQ142" i="9" s="1"/>
  <c r="F128" i="9"/>
  <c r="D134" i="9"/>
  <c r="D135" i="9" s="1"/>
  <c r="R138" i="9"/>
  <c r="AD138" i="9"/>
  <c r="AP138" i="9"/>
  <c r="I58" i="9"/>
  <c r="U58" i="9"/>
  <c r="AG58" i="9"/>
  <c r="AS58" i="9"/>
  <c r="K153" i="9"/>
  <c r="P139" i="9"/>
  <c r="K112" i="9"/>
  <c r="K109" i="9" s="1"/>
  <c r="AB139" i="9"/>
  <c r="W153" i="9"/>
  <c r="W112" i="9"/>
  <c r="W109" i="9" s="1"/>
  <c r="AI153" i="9"/>
  <c r="AN139" i="9"/>
  <c r="AI112" i="9"/>
  <c r="AI109" i="9" s="1"/>
  <c r="AU153" i="9"/>
  <c r="AU112" i="9"/>
  <c r="AU109" i="9" s="1"/>
  <c r="BG153" i="9"/>
  <c r="BG112" i="9"/>
  <c r="Y86" i="9"/>
  <c r="AK86" i="9"/>
  <c r="AW86" i="9"/>
  <c r="C154" i="9"/>
  <c r="D140" i="9"/>
  <c r="C116" i="9"/>
  <c r="C117" i="9" s="1"/>
  <c r="C120" i="9" s="1"/>
  <c r="T140" i="9"/>
  <c r="O154" i="9"/>
  <c r="O116" i="9"/>
  <c r="AA154" i="9"/>
  <c r="AF140" i="9"/>
  <c r="AA116" i="9"/>
  <c r="AM154" i="9"/>
  <c r="AR140" i="9"/>
  <c r="AM116" i="9"/>
  <c r="AY154" i="9"/>
  <c r="AY116" i="9"/>
  <c r="AY117" i="9" s="1"/>
  <c r="K80" i="9"/>
  <c r="W80" i="9"/>
  <c r="AI80" i="9"/>
  <c r="AU80" i="9"/>
  <c r="G84" i="9"/>
  <c r="S84" i="9"/>
  <c r="AE84" i="9"/>
  <c r="AQ84" i="9"/>
  <c r="Q86" i="9"/>
  <c r="M141" i="9"/>
  <c r="H102" i="9"/>
  <c r="H91" i="9"/>
  <c r="Y141" i="9"/>
  <c r="T113" i="9"/>
  <c r="T110" i="9" s="1"/>
  <c r="T102" i="9"/>
  <c r="T91" i="9"/>
  <c r="AK141" i="9"/>
  <c r="AF113" i="9"/>
  <c r="AF110" i="9" s="1"/>
  <c r="AF102" i="9"/>
  <c r="AF91" i="9"/>
  <c r="AR113" i="9"/>
  <c r="AR110" i="9" s="1"/>
  <c r="AR102" i="9"/>
  <c r="AR91" i="9"/>
  <c r="W93" i="9"/>
  <c r="W100" i="9" s="1"/>
  <c r="W156" i="9" s="1"/>
  <c r="W103" i="9"/>
  <c r="W105" i="9" s="1"/>
  <c r="AU93" i="9"/>
  <c r="AU100" i="9" s="1"/>
  <c r="AU156" i="9" s="1"/>
  <c r="AU103" i="9"/>
  <c r="AU105" i="9" s="1"/>
  <c r="E100" i="9"/>
  <c r="E156" i="9" s="1"/>
  <c r="T134" i="9"/>
  <c r="AO134" i="9"/>
  <c r="AO135" i="9" s="1"/>
  <c r="Q139" i="9"/>
  <c r="L153" i="9"/>
  <c r="L112" i="9"/>
  <c r="L109" i="9" s="1"/>
  <c r="AC139" i="9"/>
  <c r="X153" i="9"/>
  <c r="X112" i="9"/>
  <c r="X109" i="9" s="1"/>
  <c r="AO139" i="9"/>
  <c r="AJ153" i="9"/>
  <c r="AJ112" i="9"/>
  <c r="AJ109" i="9" s="1"/>
  <c r="AV153" i="9"/>
  <c r="AV112" i="9"/>
  <c r="AV109" i="9" s="1"/>
  <c r="D154" i="9"/>
  <c r="E140" i="9"/>
  <c r="D116" i="9"/>
  <c r="D117" i="9" s="1"/>
  <c r="D120" i="9" s="1"/>
  <c r="U140" i="9"/>
  <c r="P154" i="9"/>
  <c r="P116" i="9"/>
  <c r="P117" i="9" s="1"/>
  <c r="P120" i="9" s="1"/>
  <c r="AG140" i="9"/>
  <c r="AB154" i="9"/>
  <c r="AB116" i="9"/>
  <c r="AN154" i="9"/>
  <c r="AS140" i="9"/>
  <c r="AN116" i="9"/>
  <c r="AR84" i="9"/>
  <c r="AI86" i="9"/>
  <c r="N141" i="9"/>
  <c r="I102" i="9"/>
  <c r="Z141" i="9"/>
  <c r="U102" i="9"/>
  <c r="U113" i="9"/>
  <c r="U110" i="9" s="1"/>
  <c r="AL141" i="9"/>
  <c r="AG102" i="9"/>
  <c r="AG113" i="9"/>
  <c r="AG110" i="9" s="1"/>
  <c r="AS102" i="9"/>
  <c r="AS113" i="9"/>
  <c r="AS110" i="9" s="1"/>
  <c r="AC142" i="9"/>
  <c r="X103" i="9"/>
  <c r="X105" i="9" s="1"/>
  <c r="X93" i="9"/>
  <c r="X100" i="9" s="1"/>
  <c r="X156" i="9" s="1"/>
  <c r="F100" i="9"/>
  <c r="F156" i="9" s="1"/>
  <c r="AP100" i="9"/>
  <c r="AP156" i="9" s="1"/>
  <c r="G106" i="9"/>
  <c r="S106" i="9"/>
  <c r="AE106" i="9"/>
  <c r="AQ106" i="9"/>
  <c r="AD134" i="9"/>
  <c r="AL128" i="9"/>
  <c r="D138" i="9"/>
  <c r="T138" i="9"/>
  <c r="AF138" i="9"/>
  <c r="AR138" i="9"/>
  <c r="R139" i="9"/>
  <c r="M153" i="9"/>
  <c r="M112" i="9"/>
  <c r="M109" i="9" s="1"/>
  <c r="Y153" i="9"/>
  <c r="AD139" i="9"/>
  <c r="Y112" i="9"/>
  <c r="Y109" i="9" s="1"/>
  <c r="AP139" i="9"/>
  <c r="AK153" i="9"/>
  <c r="AK112" i="9"/>
  <c r="AK109" i="9" s="1"/>
  <c r="AW153" i="9"/>
  <c r="AW112" i="9"/>
  <c r="AW109" i="9" s="1"/>
  <c r="F140" i="9"/>
  <c r="E154" i="9"/>
  <c r="E116" i="9"/>
  <c r="E117" i="9" s="1"/>
  <c r="E120" i="9" s="1"/>
  <c r="V140" i="9"/>
  <c r="Q154" i="9"/>
  <c r="Q116" i="9"/>
  <c r="AH140" i="9"/>
  <c r="AC154" i="9"/>
  <c r="AC116" i="9"/>
  <c r="AT140" i="9"/>
  <c r="AO154" i="9"/>
  <c r="AO116" i="9"/>
  <c r="AO117" i="9" s="1"/>
  <c r="I84" i="9"/>
  <c r="U84" i="9"/>
  <c r="AG84" i="9"/>
  <c r="AS84" i="9"/>
  <c r="BF84" i="9"/>
  <c r="O141" i="9"/>
  <c r="J113" i="9"/>
  <c r="J110" i="9" s="1"/>
  <c r="J102" i="9"/>
  <c r="AA141" i="9"/>
  <c r="V102" i="9"/>
  <c r="V113" i="9"/>
  <c r="V110" i="9" s="1"/>
  <c r="AM141" i="9"/>
  <c r="AH102" i="9"/>
  <c r="AH113" i="9"/>
  <c r="AH110" i="9" s="1"/>
  <c r="AT102" i="9"/>
  <c r="AT113" i="9"/>
  <c r="AT110" i="9" s="1"/>
  <c r="AH142" i="9"/>
  <c r="AC93" i="9"/>
  <c r="AC100" i="9" s="1"/>
  <c r="AC156" i="9" s="1"/>
  <c r="AC103" i="9"/>
  <c r="AC105" i="9" s="1"/>
  <c r="J103" i="9"/>
  <c r="J105" i="9" s="1"/>
  <c r="H106" i="9"/>
  <c r="T106" i="9"/>
  <c r="AF106" i="9"/>
  <c r="AR106" i="9"/>
  <c r="AE134" i="9"/>
  <c r="AE135" i="9" s="1"/>
  <c r="E138" i="9"/>
  <c r="U138" i="9"/>
  <c r="AG138" i="9"/>
  <c r="AS138" i="9"/>
  <c r="L58" i="9"/>
  <c r="X58" i="9"/>
  <c r="AJ58" i="9"/>
  <c r="N153" i="9"/>
  <c r="N112" i="9"/>
  <c r="N109" i="9" s="1"/>
  <c r="S139" i="9"/>
  <c r="Z153" i="9"/>
  <c r="AE139" i="9"/>
  <c r="Z112" i="9"/>
  <c r="Z109" i="9" s="1"/>
  <c r="AQ139" i="9"/>
  <c r="AL112" i="9"/>
  <c r="AL109" i="9" s="1"/>
  <c r="AL153" i="9"/>
  <c r="AX153" i="9"/>
  <c r="AX112" i="9"/>
  <c r="AX109" i="9" s="1"/>
  <c r="D86" i="9"/>
  <c r="P86" i="9"/>
  <c r="AB86" i="9"/>
  <c r="AN86" i="9"/>
  <c r="AZ86" i="9"/>
  <c r="F154" i="9"/>
  <c r="K140" i="9"/>
  <c r="F116" i="9"/>
  <c r="F117" i="9" s="1"/>
  <c r="F120" i="9" s="1"/>
  <c r="R154" i="9"/>
  <c r="W140" i="9"/>
  <c r="R116" i="9"/>
  <c r="AD154" i="9"/>
  <c r="AI140" i="9"/>
  <c r="AD116" i="9"/>
  <c r="AP154" i="9"/>
  <c r="AU140" i="9"/>
  <c r="AP116" i="9"/>
  <c r="J84" i="9"/>
  <c r="V84" i="9"/>
  <c r="AH84" i="9"/>
  <c r="AT84" i="9"/>
  <c r="BG84" i="9"/>
  <c r="P141" i="9"/>
  <c r="K113" i="9"/>
  <c r="K110" i="9" s="1"/>
  <c r="AB141" i="9"/>
  <c r="W113" i="9"/>
  <c r="W110" i="9" s="1"/>
  <c r="AN141" i="9"/>
  <c r="AI113" i="9"/>
  <c r="AI110" i="9" s="1"/>
  <c r="AU113" i="9"/>
  <c r="AU110" i="9" s="1"/>
  <c r="I106" i="9"/>
  <c r="U106" i="9"/>
  <c r="U105" i="9"/>
  <c r="AG106" i="9"/>
  <c r="AG105" i="9"/>
  <c r="AS106" i="9"/>
  <c r="S141" i="9"/>
  <c r="AE141" i="9"/>
  <c r="AQ141" i="9"/>
  <c r="C91" i="9"/>
  <c r="O91" i="9"/>
  <c r="O142" i="9" s="1"/>
  <c r="AA91" i="9"/>
  <c r="AA142" i="9" s="1"/>
  <c r="AM91" i="9"/>
  <c r="AY91" i="9"/>
  <c r="O102" i="9"/>
  <c r="J119" i="9"/>
  <c r="J128" i="9" s="1"/>
  <c r="V119" i="9"/>
  <c r="AH119" i="9"/>
  <c r="AH128" i="9" s="1"/>
  <c r="AU119" i="9"/>
  <c r="S119" i="9"/>
  <c r="S128" i="9" s="1"/>
  <c r="AK119" i="9"/>
  <c r="AD127" i="9"/>
  <c r="AD128" i="9" s="1"/>
  <c r="AF127" i="9"/>
  <c r="D141" i="9"/>
  <c r="T141" i="9"/>
  <c r="AF141" i="9"/>
  <c r="AR141" i="9"/>
  <c r="K119" i="9"/>
  <c r="W119" i="9"/>
  <c r="M124" i="9"/>
  <c r="AW124" i="9"/>
  <c r="AE127" i="9"/>
  <c r="AE128" i="9" s="1"/>
  <c r="L127" i="9"/>
  <c r="AP131" i="9"/>
  <c r="N124" i="9"/>
  <c r="AF124" i="9"/>
  <c r="AX134" i="9"/>
  <c r="AX135" i="9" s="1"/>
  <c r="AR128" i="9"/>
  <c r="M127" i="9"/>
  <c r="M128" i="9" s="1"/>
  <c r="W124" i="9"/>
  <c r="AI124" i="9"/>
  <c r="Q124" i="9"/>
  <c r="AG124" i="9"/>
  <c r="AG127" i="9"/>
  <c r="AS127" i="9"/>
  <c r="AS128" i="9" s="1"/>
  <c r="T131" i="9"/>
  <c r="K141" i="9"/>
  <c r="W141" i="9"/>
  <c r="AI141" i="9"/>
  <c r="AU141" i="9"/>
  <c r="C113" i="9"/>
  <c r="C110" i="9" s="1"/>
  <c r="Y119" i="9"/>
  <c r="AQ119" i="9"/>
  <c r="AQ128" i="9" s="1"/>
  <c r="V127" i="9"/>
  <c r="AY127" i="9"/>
  <c r="AT127" i="9"/>
  <c r="R127" i="9"/>
  <c r="R128" i="9" s="1"/>
  <c r="AM127" i="9"/>
  <c r="AM128" i="9" s="1"/>
  <c r="AX113" i="9"/>
  <c r="AX110" i="9" s="1"/>
  <c r="Z120" i="9"/>
  <c r="S124" i="9"/>
  <c r="AK124" i="9"/>
  <c r="W127" i="9"/>
  <c r="AK127" i="9"/>
  <c r="AK128" i="9" s="1"/>
  <c r="AN127" i="9"/>
  <c r="AN128" i="9" s="1"/>
  <c r="V131" i="9"/>
  <c r="AH105" i="9"/>
  <c r="F113" i="9"/>
  <c r="F110" i="9" s="1"/>
  <c r="AA119" i="9"/>
  <c r="AL124" i="9"/>
  <c r="T127" i="9"/>
  <c r="T128" i="9" s="1"/>
  <c r="AP127" i="9"/>
  <c r="AP128" i="9" s="1"/>
  <c r="W131" i="9"/>
  <c r="X131" i="9"/>
  <c r="AI131" i="9"/>
  <c r="AK131" i="9"/>
  <c r="AL113" i="9"/>
  <c r="AL110" i="9" s="1"/>
  <c r="Q119" i="9"/>
  <c r="AC119" i="9"/>
  <c r="AO119" i="9"/>
  <c r="L119" i="9"/>
  <c r="AA124" i="9"/>
  <c r="AM124" i="9"/>
  <c r="AY124" i="9"/>
  <c r="U124" i="9"/>
  <c r="AM113" i="9"/>
  <c r="AM110" i="9" s="1"/>
  <c r="C134" i="9"/>
  <c r="C135" i="9" s="1"/>
  <c r="X124" i="9"/>
  <c r="AP124" i="9"/>
  <c r="AU127" i="9"/>
  <c r="AU128" i="9" s="1"/>
  <c r="Z113" i="9"/>
  <c r="Z110" i="9" s="1"/>
  <c r="AF119" i="9"/>
  <c r="Y124" i="9"/>
  <c r="AQ124" i="9"/>
  <c r="O127" i="9"/>
  <c r="O128" i="9" s="1"/>
  <c r="AV127" i="9"/>
  <c r="AL131" i="9"/>
  <c r="Q141" i="9"/>
  <c r="AC141" i="9"/>
  <c r="AO141" i="9"/>
  <c r="AA113" i="9"/>
  <c r="AA110" i="9" s="1"/>
  <c r="AP113" i="9"/>
  <c r="AP110" i="9" s="1"/>
  <c r="AG119" i="9"/>
  <c r="E124" i="9"/>
  <c r="AR124" i="9"/>
  <c r="E127" i="9"/>
  <c r="E128" i="9" s="1"/>
  <c r="D127" i="9"/>
  <c r="D128" i="9" s="1"/>
  <c r="P127" i="9"/>
  <c r="P128" i="9" s="1"/>
  <c r="AA127" i="9"/>
  <c r="O131" i="9"/>
  <c r="Q131" i="9"/>
  <c r="AA131" i="9"/>
  <c r="AM131" i="9"/>
  <c r="R131" i="9"/>
  <c r="N100" i="9"/>
  <c r="N156" i="9" s="1"/>
  <c r="Z100" i="9"/>
  <c r="Z156" i="9" s="1"/>
  <c r="AL100" i="9"/>
  <c r="AL156" i="9" s="1"/>
  <c r="N102" i="9"/>
  <c r="Z102" i="9"/>
  <c r="AL102" i="9"/>
  <c r="N113" i="9"/>
  <c r="N110" i="9" s="1"/>
  <c r="AT119" i="9"/>
  <c r="AD131" i="9"/>
  <c r="AC131" i="9"/>
  <c r="AB131" i="9"/>
  <c r="AN131" i="9"/>
  <c r="BB131" i="9"/>
  <c r="BA131" i="9"/>
  <c r="AZ131" i="9"/>
  <c r="J133" i="9"/>
  <c r="J134" i="9" s="1"/>
  <c r="J135" i="9" s="1"/>
  <c r="AL133" i="9"/>
  <c r="AF133" i="9"/>
  <c r="AR133" i="9"/>
  <c r="Z133" i="9"/>
  <c r="Z134" i="9" s="1"/>
  <c r="Z135" i="9" s="1"/>
  <c r="M133" i="9"/>
  <c r="AP133" i="9"/>
  <c r="Q127" i="9"/>
  <c r="AC127" i="9"/>
  <c r="AC128" i="9" s="1"/>
  <c r="AO127" i="9"/>
  <c r="AC133" i="9"/>
  <c r="AC134" i="9" s="1"/>
  <c r="AS133" i="9"/>
  <c r="AS134" i="9" s="1"/>
  <c r="AS135" i="9" s="1"/>
  <c r="AQ131" i="9"/>
  <c r="Q133" i="9"/>
  <c r="R133" i="9"/>
  <c r="R134" i="9" s="1"/>
  <c r="AU133" i="9"/>
  <c r="AU134" i="9" s="1"/>
  <c r="AU135" i="9" s="1"/>
  <c r="AH133" i="9"/>
  <c r="AH134" i="9" s="1"/>
  <c r="AH135" i="9" s="1"/>
  <c r="AW133" i="9"/>
  <c r="AV131" i="9"/>
  <c r="E133" i="9"/>
  <c r="V133" i="9"/>
  <c r="V134" i="9" s="1"/>
  <c r="F133" i="9"/>
  <c r="F134" i="9" s="1"/>
  <c r="F135" i="9" s="1"/>
  <c r="K890" i="1"/>
  <c r="K892" i="1" s="1"/>
  <c r="P25" i="10"/>
  <c r="O25" i="10"/>
  <c r="P54" i="10"/>
  <c r="O54" i="10"/>
  <c r="P37" i="10"/>
  <c r="O37" i="10"/>
  <c r="P134" i="10"/>
  <c r="O134" i="10"/>
  <c r="P33" i="10"/>
  <c r="O33" i="10"/>
  <c r="P44" i="10"/>
  <c r="O44" i="10"/>
  <c r="P56" i="10"/>
  <c r="O56" i="10"/>
  <c r="O71" i="10"/>
  <c r="P71" i="10"/>
  <c r="P39" i="10"/>
  <c r="O39" i="10"/>
  <c r="P49" i="10"/>
  <c r="O49" i="10"/>
  <c r="O69" i="10"/>
  <c r="P69" i="10"/>
  <c r="P76" i="10"/>
  <c r="O76" i="10"/>
  <c r="P87" i="10"/>
  <c r="O87" i="10"/>
  <c r="M124" i="10"/>
  <c r="O130" i="10"/>
  <c r="P130" i="10"/>
  <c r="P151" i="10"/>
  <c r="O151" i="10"/>
  <c r="P30" i="10"/>
  <c r="O30" i="10"/>
  <c r="P41" i="10"/>
  <c r="O41" i="10"/>
  <c r="P58" i="10"/>
  <c r="O58" i="10"/>
  <c r="O128" i="10"/>
  <c r="P128" i="10"/>
  <c r="P135" i="10"/>
  <c r="O135" i="10"/>
  <c r="P168" i="10"/>
  <c r="O168" i="10"/>
  <c r="P51" i="10"/>
  <c r="O51" i="10"/>
  <c r="P90" i="10"/>
  <c r="O90" i="10"/>
  <c r="O100" i="10"/>
  <c r="P100" i="10"/>
  <c r="P32" i="10"/>
  <c r="O32" i="10"/>
  <c r="P43" i="10"/>
  <c r="O43" i="10"/>
  <c r="O149" i="10"/>
  <c r="P149" i="10"/>
  <c r="P55" i="10"/>
  <c r="O55" i="10"/>
  <c r="P152" i="10"/>
  <c r="O152" i="10"/>
  <c r="O166" i="10"/>
  <c r="P166" i="10"/>
  <c r="P18" i="10"/>
  <c r="O18" i="10"/>
  <c r="P38" i="10"/>
  <c r="O38" i="10"/>
  <c r="P48" i="10"/>
  <c r="O48" i="10"/>
  <c r="O88" i="10"/>
  <c r="P88" i="10"/>
  <c r="O145" i="10"/>
  <c r="P145" i="10"/>
  <c r="P28" i="10"/>
  <c r="O28" i="10"/>
  <c r="P57" i="10"/>
  <c r="O57" i="10"/>
  <c r="P70" i="10"/>
  <c r="O70" i="10"/>
  <c r="O86" i="10"/>
  <c r="P86" i="10"/>
  <c r="P91" i="10"/>
  <c r="O91" i="10"/>
  <c r="O164" i="10"/>
  <c r="P164" i="10"/>
  <c r="O50" i="10"/>
  <c r="P50" i="10"/>
  <c r="P129" i="10"/>
  <c r="O129" i="10"/>
  <c r="P31" i="10"/>
  <c r="O31" i="10"/>
  <c r="P42" i="10"/>
  <c r="O42" i="10"/>
  <c r="P59" i="10"/>
  <c r="O59" i="10"/>
  <c r="P75" i="10"/>
  <c r="O75" i="10"/>
  <c r="M82" i="10"/>
  <c r="P65" i="10"/>
  <c r="O65" i="10"/>
  <c r="P80" i="10"/>
  <c r="O80" i="10"/>
  <c r="P97" i="10"/>
  <c r="O97" i="10"/>
  <c r="P142" i="10"/>
  <c r="O142" i="10"/>
  <c r="P159" i="10"/>
  <c r="O159" i="10"/>
  <c r="O68" i="10"/>
  <c r="P68" i="10"/>
  <c r="O85" i="10"/>
  <c r="P85" i="10"/>
  <c r="O99" i="10"/>
  <c r="P99" i="10"/>
  <c r="O127" i="10"/>
  <c r="P127" i="10"/>
  <c r="P144" i="10"/>
  <c r="O144" i="10"/>
  <c r="P163" i="10"/>
  <c r="O163" i="10"/>
  <c r="M170" i="10"/>
  <c r="P77" i="10"/>
  <c r="O77" i="10"/>
  <c r="P92" i="10"/>
  <c r="O92" i="10"/>
  <c r="P136" i="10"/>
  <c r="O136" i="10"/>
  <c r="P153" i="10"/>
  <c r="O153" i="10"/>
  <c r="P148" i="10"/>
  <c r="O148" i="10"/>
  <c r="M155" i="10"/>
  <c r="P165" i="10"/>
  <c r="O165" i="10"/>
  <c r="P64" i="10"/>
  <c r="O64" i="10"/>
  <c r="P79" i="10"/>
  <c r="O79" i="10"/>
  <c r="P96" i="10"/>
  <c r="O96" i="10"/>
  <c r="P138" i="10"/>
  <c r="O138" i="10"/>
  <c r="P158" i="10"/>
  <c r="O158" i="10"/>
  <c r="O72" i="10"/>
  <c r="P72" i="10"/>
  <c r="O89" i="10"/>
  <c r="P89" i="10"/>
  <c r="O133" i="10"/>
  <c r="M140" i="10"/>
  <c r="P133" i="10"/>
  <c r="O150" i="10"/>
  <c r="P150" i="10"/>
  <c r="O167" i="10"/>
  <c r="P167" i="10"/>
  <c r="P66" i="10"/>
  <c r="O66" i="10"/>
  <c r="O84" i="10"/>
  <c r="P84" i="10"/>
  <c r="P98" i="10"/>
  <c r="O98" i="10"/>
  <c r="O143" i="10"/>
  <c r="P143" i="10"/>
  <c r="P160" i="10"/>
  <c r="O160" i="10"/>
  <c r="P63" i="10"/>
  <c r="O63" i="10"/>
  <c r="P78" i="10"/>
  <c r="O78" i="10"/>
  <c r="P95" i="10"/>
  <c r="O95" i="10"/>
  <c r="M102" i="10"/>
  <c r="P137" i="10"/>
  <c r="O137" i="10"/>
  <c r="P157" i="10"/>
  <c r="O157" i="10"/>
  <c r="AZ956" i="1"/>
  <c r="AZ871" i="1"/>
  <c r="AZ873" i="1"/>
  <c r="AZ813" i="1"/>
  <c r="BD92" i="9"/>
  <c r="AZ815" i="1"/>
  <c r="AZ63" i="9"/>
  <c r="AZ65" i="9" s="1"/>
  <c r="AW63" i="9"/>
  <c r="AY808" i="1"/>
  <c r="AY63" i="9" s="1"/>
  <c r="AP890" i="1"/>
  <c r="AP892" i="1" s="1"/>
  <c r="AY950" i="1"/>
  <c r="AY1107" i="1" s="1"/>
  <c r="I22" i="15" l="1"/>
  <c r="I8" i="15"/>
  <c r="I23" i="15"/>
  <c r="I15" i="15"/>
  <c r="I11" i="15"/>
  <c r="I29" i="15"/>
  <c r="I21" i="15" s="1"/>
  <c r="I5" i="15"/>
  <c r="I12" i="15"/>
  <c r="J6" i="15"/>
  <c r="D11" i="15"/>
  <c r="D29" i="15"/>
  <c r="D21" i="15" s="1"/>
  <c r="G21" i="15" s="1"/>
  <c r="D16" i="15"/>
  <c r="D5" i="15"/>
  <c r="D22" i="15"/>
  <c r="D17" i="15"/>
  <c r="D18" i="15" s="1"/>
  <c r="D12" i="15"/>
  <c r="G12" i="15" s="1"/>
  <c r="D30" i="15"/>
  <c r="D24" i="15" s="1"/>
  <c r="D8" i="15"/>
  <c r="D23" i="15"/>
  <c r="G23" i="15" s="1"/>
  <c r="D10" i="15"/>
  <c r="D15" i="15"/>
  <c r="F5" i="15"/>
  <c r="G5" i="15" s="1"/>
  <c r="F8" i="15"/>
  <c r="F17" i="15"/>
  <c r="F12" i="15"/>
  <c r="F30" i="15"/>
  <c r="F22" i="15"/>
  <c r="F23" i="15"/>
  <c r="F10" i="15"/>
  <c r="F15" i="15"/>
  <c r="F29" i="15"/>
  <c r="F21" i="15" s="1"/>
  <c r="F11" i="15"/>
  <c r="F13" i="15" s="1"/>
  <c r="F16" i="15"/>
  <c r="E29" i="15"/>
  <c r="E16" i="15"/>
  <c r="E21" i="15"/>
  <c r="E5" i="15"/>
  <c r="E17" i="15"/>
  <c r="E12" i="15"/>
  <c r="E30" i="15"/>
  <c r="E22" i="15"/>
  <c r="E18" i="15"/>
  <c r="E8" i="15"/>
  <c r="E23" i="15"/>
  <c r="E10" i="15"/>
  <c r="E24" i="15"/>
  <c r="E15" i="15"/>
  <c r="E19" i="15" s="1"/>
  <c r="E11" i="15"/>
  <c r="AI128" i="9"/>
  <c r="B15" i="14"/>
  <c r="V7" i="12"/>
  <c r="V32" i="12" s="1"/>
  <c r="V87" i="12"/>
  <c r="Y107" i="13"/>
  <c r="C21" i="14"/>
  <c r="K120" i="9"/>
  <c r="V85" i="12"/>
  <c r="V37" i="12"/>
  <c r="B29" i="14"/>
  <c r="C20" i="14"/>
  <c r="Y104" i="13"/>
  <c r="C6" i="14"/>
  <c r="I6" i="14" s="1"/>
  <c r="A1149" i="1"/>
  <c r="I29" i="14"/>
  <c r="F29" i="14"/>
  <c r="I11" i="14"/>
  <c r="F11" i="14"/>
  <c r="I20" i="14"/>
  <c r="F20" i="14"/>
  <c r="B11" i="14"/>
  <c r="I10" i="14"/>
  <c r="F10" i="14"/>
  <c r="I21" i="14"/>
  <c r="F21" i="14"/>
  <c r="Y16" i="13"/>
  <c r="Y87" i="13"/>
  <c r="AU117" i="9"/>
  <c r="AU120" i="9" s="1"/>
  <c r="U136" i="13" s="1"/>
  <c r="U7" i="12"/>
  <c r="U25" i="12" s="1"/>
  <c r="AC135" i="9"/>
  <c r="T3" i="13"/>
  <c r="Y70" i="13"/>
  <c r="Y2" i="13"/>
  <c r="Y5" i="13"/>
  <c r="Y24" i="13" s="1"/>
  <c r="Y13" i="13"/>
  <c r="Y12" i="13"/>
  <c r="X3" i="13"/>
  <c r="V3" i="13"/>
  <c r="AL117" i="9"/>
  <c r="AL120" i="9" s="1"/>
  <c r="X117" i="9"/>
  <c r="X120" i="9" s="1"/>
  <c r="P122" i="12"/>
  <c r="P124" i="12" s="1"/>
  <c r="O134" i="9"/>
  <c r="AI117" i="9"/>
  <c r="AI120" i="9" s="1"/>
  <c r="AO120" i="9"/>
  <c r="V135" i="9"/>
  <c r="M117" i="9"/>
  <c r="M120" i="9" s="1"/>
  <c r="V54" i="12"/>
  <c r="V53" i="12" s="1"/>
  <c r="Y10" i="13"/>
  <c r="Y19" i="13" s="1"/>
  <c r="Y67" i="13"/>
  <c r="Y153" i="13"/>
  <c r="L117" i="9"/>
  <c r="L120" i="9" s="1"/>
  <c r="U32" i="12"/>
  <c r="AT120" i="9"/>
  <c r="O135" i="9"/>
  <c r="W128" i="9"/>
  <c r="V66" i="12"/>
  <c r="R117" i="9"/>
  <c r="R120" i="9" s="1"/>
  <c r="AA128" i="9"/>
  <c r="P126" i="12"/>
  <c r="Y49" i="13"/>
  <c r="Y171" i="13" s="1"/>
  <c r="Y55" i="13"/>
  <c r="Y64" i="13" s="1"/>
  <c r="Y72" i="13"/>
  <c r="Y75" i="13" s="1"/>
  <c r="Y96" i="13"/>
  <c r="Y89" i="13"/>
  <c r="W152" i="13"/>
  <c r="W153" i="13"/>
  <c r="W107" i="13"/>
  <c r="W170" i="13" s="1"/>
  <c r="W87" i="13"/>
  <c r="W85" i="13"/>
  <c r="W82" i="13"/>
  <c r="W150" i="13" s="1"/>
  <c r="W80" i="13"/>
  <c r="W71" i="13"/>
  <c r="W69" i="13"/>
  <c r="W67" i="13"/>
  <c r="W70" i="13"/>
  <c r="W48" i="13"/>
  <c r="W84" i="13"/>
  <c r="W49" i="13"/>
  <c r="W171" i="13" s="1"/>
  <c r="W35" i="13"/>
  <c r="W81" i="13"/>
  <c r="W72" i="13"/>
  <c r="W34" i="13"/>
  <c r="W68" i="13" s="1"/>
  <c r="W11" i="13"/>
  <c r="W9" i="13"/>
  <c r="W79" i="13"/>
  <c r="W55" i="13"/>
  <c r="W12" i="13"/>
  <c r="W36" i="13"/>
  <c r="W32" i="13"/>
  <c r="W28" i="13"/>
  <c r="W5" i="13"/>
  <c r="W2" i="13"/>
  <c r="W7" i="13"/>
  <c r="W8" i="13"/>
  <c r="W25" i="13" s="1"/>
  <c r="W10" i="13"/>
  <c r="W13" i="13"/>
  <c r="U152" i="13"/>
  <c r="U181" i="13"/>
  <c r="U137" i="13"/>
  <c r="U153" i="13"/>
  <c r="U107" i="13"/>
  <c r="U170" i="13" s="1"/>
  <c r="U87" i="13"/>
  <c r="U85" i="13"/>
  <c r="U104" i="13" s="1"/>
  <c r="U82" i="13"/>
  <c r="U150" i="13" s="1"/>
  <c r="U80" i="13"/>
  <c r="U71" i="13"/>
  <c r="U69" i="13"/>
  <c r="U48" i="13"/>
  <c r="U55" i="13"/>
  <c r="U86" i="13"/>
  <c r="U174" i="13"/>
  <c r="U84" i="13"/>
  <c r="U79" i="13"/>
  <c r="U67" i="13"/>
  <c r="U70" i="13"/>
  <c r="U49" i="13"/>
  <c r="U171" i="13" s="1"/>
  <c r="U34" i="13"/>
  <c r="U68" i="13" s="1"/>
  <c r="U11" i="13"/>
  <c r="U81" i="13"/>
  <c r="U7" i="13"/>
  <c r="U35" i="13"/>
  <c r="U32" i="13"/>
  <c r="U28" i="13"/>
  <c r="U36" i="13"/>
  <c r="U12" i="13"/>
  <c r="U72" i="13"/>
  <c r="U2" i="13"/>
  <c r="U10" i="13"/>
  <c r="U9" i="13"/>
  <c r="U8" i="13"/>
  <c r="U5" i="13"/>
  <c r="U13" i="13"/>
  <c r="Y131" i="13"/>
  <c r="Y132" i="13" s="1"/>
  <c r="AD152" i="13"/>
  <c r="AD181" i="13"/>
  <c r="AD182" i="13" s="1"/>
  <c r="AD153" i="13"/>
  <c r="AD87" i="13"/>
  <c r="AD85" i="13"/>
  <c r="AD82" i="13"/>
  <c r="AD150" i="13" s="1"/>
  <c r="AD80" i="13"/>
  <c r="AD71" i="13"/>
  <c r="AD81" i="13"/>
  <c r="AD79" i="13"/>
  <c r="AD70" i="13"/>
  <c r="AD72" i="13"/>
  <c r="AD36" i="13"/>
  <c r="AD10" i="13"/>
  <c r="AD19" i="13" s="1"/>
  <c r="AD8" i="13"/>
  <c r="AD17" i="13" s="1"/>
  <c r="AD34" i="13"/>
  <c r="AD68" i="13" s="1"/>
  <c r="AD9" i="13"/>
  <c r="AD18" i="13" s="1"/>
  <c r="AD5" i="13"/>
  <c r="AE3" i="13"/>
  <c r="AC3" i="13"/>
  <c r="AB3" i="13"/>
  <c r="AD35" i="13"/>
  <c r="AD32" i="13"/>
  <c r="AA3" i="13"/>
  <c r="Z3" i="13"/>
  <c r="AD2" i="13"/>
  <c r="Y17" i="13"/>
  <c r="Y18" i="13"/>
  <c r="Y149" i="13"/>
  <c r="Y97" i="13"/>
  <c r="Y90" i="13"/>
  <c r="X128" i="9"/>
  <c r="AB128" i="9"/>
  <c r="AG128" i="9"/>
  <c r="AF128" i="9"/>
  <c r="AN134" i="9"/>
  <c r="AN135" i="9" s="1"/>
  <c r="AB134" i="9"/>
  <c r="AB135" i="9" s="1"/>
  <c r="V128" i="9"/>
  <c r="AV117" i="9"/>
  <c r="W117" i="9"/>
  <c r="W120" i="9" s="1"/>
  <c r="BE1013" i="1"/>
  <c r="BE1019" i="1"/>
  <c r="R135" i="9"/>
  <c r="AD117" i="9"/>
  <c r="AD120" i="9" s="1"/>
  <c r="O35" i="12"/>
  <c r="O141" i="12" s="1"/>
  <c r="AT134" i="9"/>
  <c r="AT135" i="9" s="1"/>
  <c r="N128" i="9"/>
  <c r="Q125" i="12" a="1"/>
  <c r="Q125" i="12" s="1"/>
  <c r="Q126" i="12" s="1"/>
  <c r="Q103" i="12"/>
  <c r="Q85" i="12" a="1"/>
  <c r="Q85" i="12" s="1"/>
  <c r="Q146" i="12" s="1"/>
  <c r="Q121" i="12" a="1"/>
  <c r="Q121" i="12" s="1"/>
  <c r="Q122" i="12" s="1"/>
  <c r="Q84" i="12" a="1"/>
  <c r="Q84" i="12" s="1"/>
  <c r="Q65" i="12" a="1"/>
  <c r="Q65" i="12" s="1"/>
  <c r="Q129" i="12" a="1"/>
  <c r="Q129" i="12" s="1"/>
  <c r="Q130" i="12" s="1"/>
  <c r="Q87" i="12" a="1"/>
  <c r="Q87" i="12" s="1"/>
  <c r="Q119" i="12" a="1"/>
  <c r="Q119" i="12" s="1"/>
  <c r="R5" i="12"/>
  <c r="Q7" i="12" a="1"/>
  <c r="Q7" i="12" s="1"/>
  <c r="Q67" i="12" a="1"/>
  <c r="Q67" i="12" s="1"/>
  <c r="Q68" i="12" s="1" a="1"/>
  <c r="Q68" i="12" s="1"/>
  <c r="Q66" i="12"/>
  <c r="Q55" i="12" a="1"/>
  <c r="Q55" i="12" s="1"/>
  <c r="Q13" i="12" a="1"/>
  <c r="Q13" i="12" s="1"/>
  <c r="Q21" i="12"/>
  <c r="Q64" i="12" a="1"/>
  <c r="Q64" i="12" s="1"/>
  <c r="P106" i="12"/>
  <c r="P17" i="12"/>
  <c r="P18" i="12"/>
  <c r="P14" i="12"/>
  <c r="U76" i="12"/>
  <c r="U56" i="12"/>
  <c r="U53" i="12"/>
  <c r="O150" i="12"/>
  <c r="O105" i="12"/>
  <c r="O25" i="12"/>
  <c r="V106" i="12"/>
  <c r="V17" i="12"/>
  <c r="U108" i="12"/>
  <c r="U109" i="12"/>
  <c r="O137" i="12"/>
  <c r="O41" i="12"/>
  <c r="C1163" i="1"/>
  <c r="C890" i="1" s="1"/>
  <c r="C892" i="1" s="1"/>
  <c r="U35" i="12"/>
  <c r="U77" i="12" s="1"/>
  <c r="P145" i="12"/>
  <c r="P109" i="12"/>
  <c r="V109" i="12"/>
  <c r="U106" i="12"/>
  <c r="U17" i="12"/>
  <c r="N125" i="12" a="1"/>
  <c r="N125" i="12" s="1"/>
  <c r="O126" i="12" s="1"/>
  <c r="O128" i="12" s="1"/>
  <c r="N151" i="12" a="1"/>
  <c r="N151" i="12" s="1"/>
  <c r="O152" i="12" s="1"/>
  <c r="N83" i="12" a="1"/>
  <c r="N83" i="12" s="1"/>
  <c r="N142" i="12" a="1"/>
  <c r="N142" i="12" s="1"/>
  <c r="O143" i="12" s="1"/>
  <c r="N72" i="12" a="1"/>
  <c r="N72" i="12" s="1"/>
  <c r="N52" i="12" a="1"/>
  <c r="N52" i="12" s="1"/>
  <c r="N121" i="12" a="1"/>
  <c r="N121" i="12" s="1"/>
  <c r="O122" i="12" s="1"/>
  <c r="O124" i="12" s="1"/>
  <c r="N119" i="12" a="1"/>
  <c r="N119" i="12" s="1"/>
  <c r="N55" i="12" a="1"/>
  <c r="N55" i="12" s="1"/>
  <c r="N138" i="12" a="1"/>
  <c r="N138" i="12" s="1"/>
  <c r="N64" i="12" a="1"/>
  <c r="N64" i="12" s="1"/>
  <c r="N129" i="12" a="1"/>
  <c r="N129" i="12" s="1"/>
  <c r="O130" i="12" s="1"/>
  <c r="O132" i="12" s="1"/>
  <c r="N53" i="12" a="1"/>
  <c r="N53" i="12" s="1"/>
  <c r="N103" i="12"/>
  <c r="N67" i="12" a="1"/>
  <c r="N67" i="12" s="1"/>
  <c r="N68" i="12" s="1" a="1"/>
  <c r="N68" i="12" s="1"/>
  <c r="N87" i="12" a="1"/>
  <c r="N87" i="12" s="1"/>
  <c r="N21" i="12"/>
  <c r="O22" i="12" s="1"/>
  <c r="N43" i="12" a="1"/>
  <c r="N43" i="12" s="1"/>
  <c r="N65" i="12" a="1"/>
  <c r="N65" i="12" s="1"/>
  <c r="N37" i="12" a="1"/>
  <c r="N37" i="12" s="1"/>
  <c r="N85" i="12" a="1"/>
  <c r="N85" i="12" s="1"/>
  <c r="N146" i="12" s="1"/>
  <c r="M5" i="12"/>
  <c r="N66" i="12"/>
  <c r="N63" i="12" a="1"/>
  <c r="N63" i="12" s="1"/>
  <c r="N28" i="12"/>
  <c r="O29" i="12" s="1"/>
  <c r="N7" i="12" a="1"/>
  <c r="N7" i="12" s="1"/>
  <c r="N127" i="12" s="1"/>
  <c r="N131" i="12" s="1"/>
  <c r="N34" i="12" a="1"/>
  <c r="N34" i="12" s="1"/>
  <c r="N84" i="12" a="1"/>
  <c r="N84" i="12" s="1"/>
  <c r="N13" i="12" a="1"/>
  <c r="N13" i="12" s="1"/>
  <c r="O14" i="12" s="1"/>
  <c r="O73" i="12"/>
  <c r="O108" i="12"/>
  <c r="O145" i="12"/>
  <c r="O109" i="12"/>
  <c r="O114" i="12"/>
  <c r="O32" i="12"/>
  <c r="V41" i="12"/>
  <c r="U105" i="12"/>
  <c r="V105" i="12"/>
  <c r="V25" i="12"/>
  <c r="O106" i="12"/>
  <c r="O17" i="12"/>
  <c r="O54" i="12"/>
  <c r="P152" i="12"/>
  <c r="U44" i="12"/>
  <c r="U48" i="12" s="1"/>
  <c r="U41" i="12"/>
  <c r="P130" i="12"/>
  <c r="P105" i="12"/>
  <c r="P150" i="12"/>
  <c r="P26" i="12"/>
  <c r="P22" i="12"/>
  <c r="P25" i="12"/>
  <c r="V35" i="12"/>
  <c r="AU890" i="1"/>
  <c r="AU892" i="1" s="1"/>
  <c r="U890" i="1"/>
  <c r="U892" i="1" s="1"/>
  <c r="AN890" i="1"/>
  <c r="AN892" i="1" s="1"/>
  <c r="P890" i="1"/>
  <c r="P892" i="1" s="1"/>
  <c r="AO890" i="1"/>
  <c r="AO892" i="1" s="1"/>
  <c r="Q890" i="1"/>
  <c r="Q892" i="1" s="1"/>
  <c r="AA890" i="1"/>
  <c r="AA892" i="1" s="1"/>
  <c r="AJ890" i="1"/>
  <c r="AJ892" i="1" s="1"/>
  <c r="AB890" i="1"/>
  <c r="AB892" i="1" s="1"/>
  <c r="D890" i="1"/>
  <c r="D892" i="1" s="1"/>
  <c r="O890" i="1"/>
  <c r="O892" i="1" s="1"/>
  <c r="AC890" i="1"/>
  <c r="AC892" i="1" s="1"/>
  <c r="E890" i="1"/>
  <c r="E892" i="1" s="1"/>
  <c r="AM890" i="1"/>
  <c r="AM892" i="1" s="1"/>
  <c r="P52" i="10"/>
  <c r="O52" i="10"/>
  <c r="Q128" i="9"/>
  <c r="AM134" i="9"/>
  <c r="AM135" i="9" s="1"/>
  <c r="D142" i="9"/>
  <c r="C103" i="9"/>
  <c r="C105" i="9" s="1"/>
  <c r="C93" i="9"/>
  <c r="C100" i="9" s="1"/>
  <c r="C156" i="9" s="1"/>
  <c r="AC117" i="9"/>
  <c r="AC120" i="9" s="1"/>
  <c r="Y142" i="9"/>
  <c r="T103" i="9"/>
  <c r="T105" i="9" s="1"/>
  <c r="T93" i="9"/>
  <c r="T100" i="9" s="1"/>
  <c r="T156" i="9" s="1"/>
  <c r="O117" i="9"/>
  <c r="O120" i="9" s="1"/>
  <c r="AG152" i="9"/>
  <c r="AG83" i="9"/>
  <c r="AG62" i="9"/>
  <c r="V117" i="9"/>
  <c r="R142" i="9"/>
  <c r="M103" i="9"/>
  <c r="M105" i="9" s="1"/>
  <c r="M93" i="9"/>
  <c r="M100" i="9" s="1"/>
  <c r="M156" i="9" s="1"/>
  <c r="AF117" i="9"/>
  <c r="AL152" i="9"/>
  <c r="AL83" i="9"/>
  <c r="AL62" i="9"/>
  <c r="H152" i="9"/>
  <c r="H83" i="9"/>
  <c r="H62" i="9"/>
  <c r="AW65" i="9"/>
  <c r="AW70" i="9" s="1"/>
  <c r="AW85" i="9"/>
  <c r="S890" i="1"/>
  <c r="S892" i="1" s="1"/>
  <c r="BB1100" i="1"/>
  <c r="BB977" i="1"/>
  <c r="P74" i="10"/>
  <c r="O74" i="10"/>
  <c r="P73" i="10"/>
  <c r="O73" i="10"/>
  <c r="P60" i="10"/>
  <c r="O60" i="10"/>
  <c r="AR134" i="9"/>
  <c r="AR135" i="9" s="1"/>
  <c r="AA134" i="9"/>
  <c r="AA135" i="9" s="1"/>
  <c r="AW134" i="9"/>
  <c r="AW135" i="9" s="1"/>
  <c r="W137" i="13" s="1"/>
  <c r="AP117" i="9"/>
  <c r="AP120" i="9" s="1"/>
  <c r="AB117" i="9"/>
  <c r="AB120" i="9" s="1"/>
  <c r="U152" i="9"/>
  <c r="U83" i="9"/>
  <c r="U62" i="9"/>
  <c r="K128" i="9"/>
  <c r="AG142" i="9"/>
  <c r="AB93" i="9"/>
  <c r="AB100" i="9" s="1"/>
  <c r="AB156" i="9" s="1"/>
  <c r="AB103" i="9"/>
  <c r="AB105" i="9" s="1"/>
  <c r="AS117" i="9"/>
  <c r="AS120" i="9" s="1"/>
  <c r="D85" i="9"/>
  <c r="D65" i="9"/>
  <c r="D70" i="9" s="1"/>
  <c r="Z890" i="1"/>
  <c r="Z892" i="1" s="1"/>
  <c r="P81" i="10"/>
  <c r="O81" i="10"/>
  <c r="P94" i="10"/>
  <c r="O94" i="10"/>
  <c r="BA1013" i="1"/>
  <c r="BA1019" i="1"/>
  <c r="AX1135" i="1"/>
  <c r="BF1135" i="1"/>
  <c r="BE1135" i="1"/>
  <c r="B1182" i="1"/>
  <c r="BD1135" i="1"/>
  <c r="AZ1135" i="1"/>
  <c r="BG1135" i="1"/>
  <c r="BC1135" i="1"/>
  <c r="BB1135" i="1"/>
  <c r="A2" i="11"/>
  <c r="BA1135" i="1"/>
  <c r="AY1135" i="1"/>
  <c r="AW1135" i="1"/>
  <c r="AV1135" i="1"/>
  <c r="AX1136" i="1" s="1"/>
  <c r="AX1142" i="1" s="1"/>
  <c r="AX27" i="11" s="1"/>
  <c r="A2" i="1"/>
  <c r="B1183" i="1" s="1"/>
  <c r="AF134" i="9"/>
  <c r="AF135" i="9" s="1"/>
  <c r="M134" i="9"/>
  <c r="M135" i="9" s="1"/>
  <c r="T135" i="9"/>
  <c r="I152" i="9"/>
  <c r="I83" i="9"/>
  <c r="I62" i="9"/>
  <c r="AQ103" i="9"/>
  <c r="AQ105" i="9" s="1"/>
  <c r="AQ93" i="9"/>
  <c r="AQ100" i="9" s="1"/>
  <c r="AQ156" i="9" s="1"/>
  <c r="L142" i="9"/>
  <c r="G103" i="9"/>
  <c r="G105" i="9" s="1"/>
  <c r="G93" i="9"/>
  <c r="G100" i="9" s="1"/>
  <c r="G156" i="9" s="1"/>
  <c r="AU85" i="9"/>
  <c r="AU65" i="9"/>
  <c r="AU70" i="9" s="1"/>
  <c r="J85" i="9"/>
  <c r="J65" i="9"/>
  <c r="J70" i="9" s="1"/>
  <c r="AC85" i="9"/>
  <c r="AC65" i="9"/>
  <c r="AC70" i="9" s="1"/>
  <c r="P93" i="10"/>
  <c r="O93" i="10"/>
  <c r="P101" i="10"/>
  <c r="O101" i="10"/>
  <c r="V85" i="9"/>
  <c r="V65" i="9"/>
  <c r="V70" i="9" s="1"/>
  <c r="AP134" i="9"/>
  <c r="AP135" i="9" s="1"/>
  <c r="N134" i="9"/>
  <c r="N135" i="9" s="1"/>
  <c r="Q117" i="9"/>
  <c r="Q120" i="9" s="1"/>
  <c r="AX117" i="9"/>
  <c r="AW117" i="9"/>
  <c r="AQ152" i="9"/>
  <c r="AQ83" i="9"/>
  <c r="AQ62" i="9"/>
  <c r="J117" i="9"/>
  <c r="AY152" i="9"/>
  <c r="AY83" i="9"/>
  <c r="AY62" i="9"/>
  <c r="T117" i="9"/>
  <c r="T120" i="9" s="1"/>
  <c r="AQ117" i="9"/>
  <c r="AK65" i="9"/>
  <c r="AK70" i="9" s="1"/>
  <c r="AK85" i="9"/>
  <c r="BG1013" i="1"/>
  <c r="BG1019" i="1"/>
  <c r="BB1013" i="1"/>
  <c r="BB1019" i="1"/>
  <c r="AT890" i="1"/>
  <c r="AT892" i="1" s="1"/>
  <c r="P162" i="10"/>
  <c r="O162" i="10"/>
  <c r="O131" i="10"/>
  <c r="P131" i="10"/>
  <c r="T142" i="9"/>
  <c r="O103" i="9"/>
  <c r="O105" i="9" s="1"/>
  <c r="O93" i="9"/>
  <c r="O100" i="9" s="1"/>
  <c r="O156" i="9" s="1"/>
  <c r="AX152" i="9"/>
  <c r="AX83" i="9"/>
  <c r="AX62" i="9"/>
  <c r="AM152" i="9"/>
  <c r="AM83" i="9"/>
  <c r="AM62" i="9"/>
  <c r="AN85" i="9"/>
  <c r="AN65" i="9"/>
  <c r="AN70" i="9" s="1"/>
  <c r="Z152" i="9"/>
  <c r="Z83" i="9"/>
  <c r="Z62" i="9"/>
  <c r="BE977" i="1"/>
  <c r="BE1100" i="1"/>
  <c r="BA1100" i="1"/>
  <c r="BA977" i="1"/>
  <c r="P132" i="10"/>
  <c r="O132" i="10"/>
  <c r="O161" i="10"/>
  <c r="P161" i="10"/>
  <c r="AP152" i="9"/>
  <c r="AP83" i="9"/>
  <c r="AP62" i="9"/>
  <c r="AG117" i="9"/>
  <c r="AG120" i="9" s="1"/>
  <c r="AG134" i="9"/>
  <c r="AG135" i="9" s="1"/>
  <c r="AJ152" i="9"/>
  <c r="AJ83" i="9"/>
  <c r="AJ62" i="9"/>
  <c r="AD135" i="9"/>
  <c r="AK117" i="9"/>
  <c r="AK120" i="9" s="1"/>
  <c r="S152" i="9"/>
  <c r="S83" i="9"/>
  <c r="S62" i="9"/>
  <c r="AD152" i="9"/>
  <c r="AD83" i="9"/>
  <c r="AD62" i="9"/>
  <c r="U142" i="9"/>
  <c r="P93" i="9"/>
  <c r="P100" i="9" s="1"/>
  <c r="P156" i="9" s="1"/>
  <c r="P103" i="9"/>
  <c r="P105" i="9" s="1"/>
  <c r="AA152" i="9"/>
  <c r="AA83" i="9"/>
  <c r="AA62" i="9"/>
  <c r="AP142" i="9"/>
  <c r="AK103" i="9"/>
  <c r="AK105" i="9" s="1"/>
  <c r="AK93" i="9"/>
  <c r="AK100" i="9" s="1"/>
  <c r="AK156" i="9" s="1"/>
  <c r="AI65" i="9"/>
  <c r="AI70" i="9" s="1"/>
  <c r="AI85" i="9"/>
  <c r="AT85" i="9"/>
  <c r="AT65" i="9"/>
  <c r="AT70" i="9" s="1"/>
  <c r="Q65" i="9"/>
  <c r="Q70" i="9" s="1"/>
  <c r="Q85" i="9"/>
  <c r="Y890" i="1"/>
  <c r="Y892" i="1" s="1"/>
  <c r="AQ890" i="1"/>
  <c r="AQ892" i="1" s="1"/>
  <c r="P139" i="10"/>
  <c r="O139" i="10"/>
  <c r="P117" i="10"/>
  <c r="O117" i="10"/>
  <c r="AS152" i="9"/>
  <c r="AS83" i="9"/>
  <c r="AS62" i="9"/>
  <c r="E134" i="9"/>
  <c r="E135" i="9" s="1"/>
  <c r="Q134" i="9"/>
  <c r="Q135" i="9" s="1"/>
  <c r="X152" i="9"/>
  <c r="X83" i="9"/>
  <c r="X62" i="9"/>
  <c r="AM117" i="9"/>
  <c r="AM120" i="9" s="1"/>
  <c r="G152" i="9"/>
  <c r="G83" i="9"/>
  <c r="G62" i="9"/>
  <c r="R152" i="9"/>
  <c r="R83" i="9"/>
  <c r="R62" i="9"/>
  <c r="O152" i="9"/>
  <c r="O83" i="9"/>
  <c r="O62" i="9"/>
  <c r="AF152" i="9"/>
  <c r="AF83" i="9"/>
  <c r="AF62" i="9"/>
  <c r="Y65" i="9"/>
  <c r="Y70" i="9" s="1"/>
  <c r="Y85" i="9"/>
  <c r="AZ1013" i="1"/>
  <c r="AZ1019" i="1"/>
  <c r="G890" i="1"/>
  <c r="G892" i="1" s="1"/>
  <c r="M890" i="1"/>
  <c r="M892" i="1" s="1"/>
  <c r="B170" i="10"/>
  <c r="B167" i="10"/>
  <c r="B163" i="10"/>
  <c r="B161" i="10"/>
  <c r="B157" i="10"/>
  <c r="B153" i="10"/>
  <c r="B149" i="10"/>
  <c r="B169" i="10"/>
  <c r="B165" i="10"/>
  <c r="B162" i="10"/>
  <c r="B159" i="10"/>
  <c r="L157" i="10"/>
  <c r="L152" i="10"/>
  <c r="L124" i="10"/>
  <c r="L110" i="10"/>
  <c r="B108" i="10"/>
  <c r="L98" i="10"/>
  <c r="L92" i="10"/>
  <c r="L88" i="10"/>
  <c r="L84" i="10"/>
  <c r="L80" i="10"/>
  <c r="L76" i="10"/>
  <c r="L70" i="10"/>
  <c r="L65" i="10"/>
  <c r="L57" i="10"/>
  <c r="L51" i="10"/>
  <c r="L44" i="10"/>
  <c r="L37" i="10"/>
  <c r="B35" i="10"/>
  <c r="L31" i="10"/>
  <c r="B25" i="10"/>
  <c r="L16" i="10"/>
  <c r="B14" i="10"/>
  <c r="L169" i="10"/>
  <c r="L164" i="10"/>
  <c r="B148" i="10"/>
  <c r="B146" i="10"/>
  <c r="B142" i="10"/>
  <c r="B138" i="10"/>
  <c r="B134" i="10"/>
  <c r="B128" i="10"/>
  <c r="B122" i="10"/>
  <c r="L117" i="10"/>
  <c r="B115" i="10"/>
  <c r="L105" i="10"/>
  <c r="L21" i="10"/>
  <c r="B19" i="10"/>
  <c r="L11" i="10"/>
  <c r="B8" i="10"/>
  <c r="L161" i="10"/>
  <c r="L155" i="10"/>
  <c r="B152" i="10"/>
  <c r="L145" i="10"/>
  <c r="L140" i="10"/>
  <c r="L137" i="10"/>
  <c r="L133" i="10"/>
  <c r="L131" i="10"/>
  <c r="L127" i="10"/>
  <c r="B124" i="10"/>
  <c r="L119" i="10"/>
  <c r="L112" i="10"/>
  <c r="B110" i="10"/>
  <c r="B98" i="10"/>
  <c r="B92" i="10"/>
  <c r="B88" i="10"/>
  <c r="B84" i="10"/>
  <c r="B80" i="10"/>
  <c r="B76" i="10"/>
  <c r="B70" i="10"/>
  <c r="B65" i="10"/>
  <c r="B57" i="10"/>
  <c r="B51" i="10"/>
  <c r="B44" i="10"/>
  <c r="B37" i="10"/>
  <c r="B31" i="10"/>
  <c r="L18" i="10"/>
  <c r="B16" i="10"/>
  <c r="L168" i="10"/>
  <c r="B164" i="10"/>
  <c r="L151" i="10"/>
  <c r="B117" i="10"/>
  <c r="L107" i="10"/>
  <c r="B105" i="10"/>
  <c r="L101" i="10"/>
  <c r="L97" i="10"/>
  <c r="L94" i="10"/>
  <c r="L91" i="10"/>
  <c r="L87" i="10"/>
  <c r="L82" i="10"/>
  <c r="L79" i="10"/>
  <c r="L75" i="10"/>
  <c r="L73" i="10"/>
  <c r="L69" i="10"/>
  <c r="L64" i="10"/>
  <c r="L60" i="10"/>
  <c r="L56" i="10"/>
  <c r="L53" i="10"/>
  <c r="L50" i="10"/>
  <c r="L46" i="10"/>
  <c r="L43" i="10"/>
  <c r="L40" i="10"/>
  <c r="L34" i="10"/>
  <c r="L30" i="10"/>
  <c r="L23" i="10"/>
  <c r="B21" i="10"/>
  <c r="L13" i="10"/>
  <c r="B11" i="10"/>
  <c r="L163" i="10"/>
  <c r="L160" i="10"/>
  <c r="B155" i="10"/>
  <c r="B145" i="10"/>
  <c r="B140" i="10"/>
  <c r="B137" i="10"/>
  <c r="B133" i="10"/>
  <c r="B131" i="10"/>
  <c r="B127" i="10"/>
  <c r="L121" i="10"/>
  <c r="B119" i="10"/>
  <c r="L114" i="10"/>
  <c r="B112" i="10"/>
  <c r="B18" i="10"/>
  <c r="L7" i="10"/>
  <c r="B168" i="10"/>
  <c r="B151" i="10"/>
  <c r="L147" i="10"/>
  <c r="L144" i="10"/>
  <c r="L136" i="10"/>
  <c r="L130" i="10"/>
  <c r="L109" i="10"/>
  <c r="B107" i="10"/>
  <c r="B101" i="10"/>
  <c r="B97" i="10"/>
  <c r="B94" i="10"/>
  <c r="B91" i="10"/>
  <c r="B87" i="10"/>
  <c r="B82" i="10"/>
  <c r="B79" i="10"/>
  <c r="B75" i="10"/>
  <c r="B73" i="10"/>
  <c r="B69" i="10"/>
  <c r="B64" i="10"/>
  <c r="B60" i="10"/>
  <c r="B56" i="10"/>
  <c r="B53" i="10"/>
  <c r="B50" i="10"/>
  <c r="B46" i="10"/>
  <c r="B43" i="10"/>
  <c r="B40" i="10"/>
  <c r="L36" i="10"/>
  <c r="B34" i="10"/>
  <c r="B30" i="10"/>
  <c r="B23" i="10"/>
  <c r="L15" i="10"/>
  <c r="B13" i="10"/>
  <c r="L167" i="10"/>
  <c r="B160" i="10"/>
  <c r="L150" i="10"/>
  <c r="L123" i="10"/>
  <c r="B121" i="10"/>
  <c r="L116" i="10"/>
  <c r="B114" i="10"/>
  <c r="L104" i="10"/>
  <c r="L100" i="10"/>
  <c r="L96" i="10"/>
  <c r="L90" i="10"/>
  <c r="L86" i="10"/>
  <c r="L78" i="10"/>
  <c r="L72" i="10"/>
  <c r="L68" i="10"/>
  <c r="L63" i="10"/>
  <c r="L59" i="10"/>
  <c r="L55" i="10"/>
  <c r="L49" i="10"/>
  <c r="L42" i="10"/>
  <c r="L39" i="10"/>
  <c r="L33" i="10"/>
  <c r="L28" i="10"/>
  <c r="L20" i="10"/>
  <c r="L9" i="10"/>
  <c r="B7" i="10"/>
  <c r="L159" i="10"/>
  <c r="L154" i="10"/>
  <c r="B147" i="10"/>
  <c r="B144" i="10"/>
  <c r="B136" i="10"/>
  <c r="B130" i="10"/>
  <c r="L125" i="10"/>
  <c r="L118" i="10"/>
  <c r="L111" i="10"/>
  <c r="B109" i="10"/>
  <c r="B36" i="10"/>
  <c r="L17" i="10"/>
  <c r="B15" i="10"/>
  <c r="L166" i="10"/>
  <c r="B150" i="10"/>
  <c r="L143" i="10"/>
  <c r="L139" i="10"/>
  <c r="L135" i="10"/>
  <c r="L132" i="10"/>
  <c r="L129" i="10"/>
  <c r="B123" i="10"/>
  <c r="B116" i="10"/>
  <c r="L106" i="10"/>
  <c r="B104" i="10"/>
  <c r="B100" i="10"/>
  <c r="B96" i="10"/>
  <c r="B90" i="10"/>
  <c r="B86" i="10"/>
  <c r="B78" i="10"/>
  <c r="B72" i="10"/>
  <c r="B68" i="10"/>
  <c r="B63" i="10"/>
  <c r="B59" i="10"/>
  <c r="B55" i="10"/>
  <c r="B49" i="10"/>
  <c r="B42" i="10"/>
  <c r="B39" i="10"/>
  <c r="B33" i="10"/>
  <c r="B28" i="10"/>
  <c r="L22" i="10"/>
  <c r="B20" i="10"/>
  <c r="L12" i="10"/>
  <c r="B9" i="10"/>
  <c r="L170" i="10"/>
  <c r="L162" i="10"/>
  <c r="L158" i="10"/>
  <c r="B154" i="10"/>
  <c r="L149" i="10"/>
  <c r="B125" i="10"/>
  <c r="L120" i="10"/>
  <c r="B118" i="10"/>
  <c r="L113" i="10"/>
  <c r="B111" i="10"/>
  <c r="L102" i="10"/>
  <c r="L99" i="10"/>
  <c r="L95" i="10"/>
  <c r="L93" i="10"/>
  <c r="L89" i="10"/>
  <c r="L85" i="10"/>
  <c r="L81" i="10"/>
  <c r="L77" i="10"/>
  <c r="L74" i="10"/>
  <c r="L71" i="10"/>
  <c r="L66" i="10"/>
  <c r="L61" i="10"/>
  <c r="L58" i="10"/>
  <c r="L54" i="10"/>
  <c r="L52" i="10"/>
  <c r="L48" i="10"/>
  <c r="L45" i="10"/>
  <c r="L41" i="10"/>
  <c r="L38" i="10"/>
  <c r="L32" i="10"/>
  <c r="B27" i="10"/>
  <c r="B17" i="10"/>
  <c r="L6" i="10"/>
  <c r="B166" i="10"/>
  <c r="L153" i="10"/>
  <c r="B143" i="10"/>
  <c r="B139" i="10"/>
  <c r="B135" i="10"/>
  <c r="B132" i="10"/>
  <c r="B129" i="10"/>
  <c r="L108" i="10"/>
  <c r="B106" i="10"/>
  <c r="L35" i="10"/>
  <c r="L25" i="10"/>
  <c r="B22" i="10"/>
  <c r="L14" i="10"/>
  <c r="B12" i="10"/>
  <c r="L165" i="10"/>
  <c r="B158" i="10"/>
  <c r="L148" i="10"/>
  <c r="L146" i="10"/>
  <c r="L142" i="10"/>
  <c r="L138" i="10"/>
  <c r="L134" i="10"/>
  <c r="L128" i="10"/>
  <c r="L122" i="10"/>
  <c r="B120" i="10"/>
  <c r="L115" i="10"/>
  <c r="B113" i="10"/>
  <c r="B102" i="10"/>
  <c r="B99" i="10"/>
  <c r="B95" i="10"/>
  <c r="B93" i="10"/>
  <c r="B89" i="10"/>
  <c r="B85" i="10"/>
  <c r="B81" i="10"/>
  <c r="B77" i="10"/>
  <c r="B74" i="10"/>
  <c r="B71" i="10"/>
  <c r="B66" i="10"/>
  <c r="B61" i="10"/>
  <c r="B58" i="10"/>
  <c r="B54" i="10"/>
  <c r="B52" i="10"/>
  <c r="B48" i="10"/>
  <c r="B45" i="10"/>
  <c r="B41" i="10"/>
  <c r="B38" i="10"/>
  <c r="B32" i="10"/>
  <c r="L19" i="10"/>
  <c r="L8" i="10"/>
  <c r="B6" i="10"/>
  <c r="P169" i="10"/>
  <c r="O169" i="10"/>
  <c r="AO85" i="9"/>
  <c r="AO65" i="9"/>
  <c r="AO70" i="9" s="1"/>
  <c r="AT128" i="9"/>
  <c r="V120" i="9"/>
  <c r="L152" i="9"/>
  <c r="L83" i="9"/>
  <c r="L62" i="9"/>
  <c r="AJ142" i="9"/>
  <c r="AE103" i="9"/>
  <c r="AE105" i="9" s="1"/>
  <c r="AE93" i="9"/>
  <c r="AE100" i="9" s="1"/>
  <c r="AE156" i="9" s="1"/>
  <c r="C152" i="9"/>
  <c r="C83" i="9"/>
  <c r="C62" i="9"/>
  <c r="F152" i="9"/>
  <c r="F83" i="9"/>
  <c r="F62" i="9"/>
  <c r="AB85" i="9"/>
  <c r="AB65" i="9"/>
  <c r="AB70" i="9" s="1"/>
  <c r="N152" i="9"/>
  <c r="N83" i="9"/>
  <c r="N62" i="9"/>
  <c r="BC1100" i="1"/>
  <c r="BC977" i="1"/>
  <c r="AH890" i="1"/>
  <c r="AH892" i="1" s="1"/>
  <c r="AZ1100" i="1"/>
  <c r="AZ977" i="1"/>
  <c r="BD969" i="1"/>
  <c r="P123" i="10"/>
  <c r="O123" i="10"/>
  <c r="P154" i="10"/>
  <c r="O154" i="10"/>
  <c r="AY134" i="9"/>
  <c r="AY135" i="9" s="1"/>
  <c r="Y137" i="13" s="1"/>
  <c r="K85" i="9"/>
  <c r="K65" i="9"/>
  <c r="K70" i="9" s="1"/>
  <c r="X134" i="9"/>
  <c r="X135" i="9" s="1"/>
  <c r="M142" i="9"/>
  <c r="H103" i="9"/>
  <c r="H105" i="9" s="1"/>
  <c r="H93" i="9"/>
  <c r="H100" i="9" s="1"/>
  <c r="H156" i="9" s="1"/>
  <c r="AQ134" i="9"/>
  <c r="AQ135" i="9" s="1"/>
  <c r="AL134" i="9"/>
  <c r="AL135" i="9" s="1"/>
  <c r="AI134" i="9"/>
  <c r="AI135" i="9" s="1"/>
  <c r="AY93" i="9"/>
  <c r="AY100" i="9" s="1"/>
  <c r="AY156" i="9" s="1"/>
  <c r="AK142" i="9"/>
  <c r="AF103" i="9"/>
  <c r="AF105" i="9" s="1"/>
  <c r="AF93" i="9"/>
  <c r="AF100" i="9" s="1"/>
  <c r="AF156" i="9" s="1"/>
  <c r="AR152" i="9"/>
  <c r="AR83" i="9"/>
  <c r="AR62" i="9"/>
  <c r="Y117" i="9"/>
  <c r="Y120" i="9" s="1"/>
  <c r="S117" i="9"/>
  <c r="S120" i="9" s="1"/>
  <c r="W65" i="9"/>
  <c r="W70" i="9" s="1"/>
  <c r="W85" i="9"/>
  <c r="AH85" i="9"/>
  <c r="AH65" i="9"/>
  <c r="AH70" i="9" s="1"/>
  <c r="E85" i="9"/>
  <c r="E65" i="9"/>
  <c r="E70" i="9" s="1"/>
  <c r="J890" i="1"/>
  <c r="J892" i="1" s="1"/>
  <c r="P146" i="10"/>
  <c r="O146" i="10"/>
  <c r="P147" i="10"/>
  <c r="O147" i="10"/>
  <c r="X890" i="1"/>
  <c r="X892" i="1" s="1"/>
  <c r="Y134" i="9"/>
  <c r="Y135" i="9" s="1"/>
  <c r="AK134" i="9"/>
  <c r="AK135" i="9" s="1"/>
  <c r="W134" i="9"/>
  <c r="W135" i="9" s="1"/>
  <c r="AR142" i="9"/>
  <c r="AM103" i="9"/>
  <c r="AM105" i="9" s="1"/>
  <c r="AM93" i="9"/>
  <c r="AM100" i="9" s="1"/>
  <c r="AM156" i="9" s="1"/>
  <c r="AA117" i="9"/>
  <c r="AA120" i="9" s="1"/>
  <c r="AS142" i="9"/>
  <c r="AN93" i="9"/>
  <c r="AN100" i="9" s="1"/>
  <c r="AN156" i="9" s="1"/>
  <c r="AN103" i="9"/>
  <c r="AN105" i="9" s="1"/>
  <c r="E142" i="9"/>
  <c r="D93" i="9"/>
  <c r="D100" i="9" s="1"/>
  <c r="D156" i="9" s="1"/>
  <c r="D103" i="9"/>
  <c r="D105" i="9" s="1"/>
  <c r="AV135" i="9"/>
  <c r="AH117" i="9"/>
  <c r="AH120" i="9" s="1"/>
  <c r="AD142" i="9"/>
  <c r="Y103" i="9"/>
  <c r="Y105" i="9" s="1"/>
  <c r="Y93" i="9"/>
  <c r="Y100" i="9" s="1"/>
  <c r="Y156" i="9" s="1"/>
  <c r="T152" i="9"/>
  <c r="T83" i="9"/>
  <c r="T62" i="9"/>
  <c r="M85" i="9"/>
  <c r="M65" i="9"/>
  <c r="M70" i="9" s="1"/>
  <c r="BC1013" i="1"/>
  <c r="BC1019" i="1"/>
  <c r="V890" i="1"/>
  <c r="V892" i="1" s="1"/>
  <c r="AL890" i="1"/>
  <c r="AL892" i="1" s="1"/>
  <c r="P40" i="10"/>
  <c r="O40" i="10"/>
  <c r="X142" i="9"/>
  <c r="S103" i="9"/>
  <c r="S105" i="9" s="1"/>
  <c r="S93" i="9"/>
  <c r="S100" i="9" s="1"/>
  <c r="S156" i="9" s="1"/>
  <c r="Y128" i="9"/>
  <c r="AR103" i="9"/>
  <c r="AR105" i="9" s="1"/>
  <c r="AR93" i="9"/>
  <c r="AR100" i="9" s="1"/>
  <c r="AR156" i="9" s="1"/>
  <c r="AE152" i="9"/>
  <c r="AE83" i="9"/>
  <c r="AE62" i="9"/>
  <c r="P124" i="10"/>
  <c r="O124" i="10"/>
  <c r="M61" i="10"/>
  <c r="O61" i="10" s="1"/>
  <c r="AO128" i="9"/>
  <c r="AF120" i="9"/>
  <c r="U134" i="9"/>
  <c r="U135" i="9" s="1"/>
  <c r="S134" i="9"/>
  <c r="S135" i="9" s="1"/>
  <c r="AQ120" i="9"/>
  <c r="L128" i="9"/>
  <c r="AF142" i="9"/>
  <c r="AA103" i="9"/>
  <c r="AA105" i="9" s="1"/>
  <c r="AA93" i="9"/>
  <c r="AA100" i="9" s="1"/>
  <c r="AA156" i="9" s="1"/>
  <c r="AN117" i="9"/>
  <c r="AN120" i="9" s="1"/>
  <c r="N117" i="9"/>
  <c r="N120" i="9" s="1"/>
  <c r="AM142" i="9"/>
  <c r="AR117" i="9"/>
  <c r="AR120" i="9" s="1"/>
  <c r="AV65" i="9"/>
  <c r="AV70" i="9" s="1"/>
  <c r="AV85" i="9"/>
  <c r="P142" i="9"/>
  <c r="P65" i="9"/>
  <c r="P70" i="9" s="1"/>
  <c r="P85" i="9"/>
  <c r="BF1013" i="1"/>
  <c r="BF1019" i="1"/>
  <c r="P22" i="10"/>
  <c r="O22" i="10"/>
  <c r="BG1100" i="1"/>
  <c r="BG977" i="1"/>
  <c r="BF1100" i="1"/>
  <c r="BF977" i="1"/>
  <c r="C1156" i="1"/>
  <c r="C889" i="1" s="1"/>
  <c r="M46" i="10"/>
  <c r="P45" i="10"/>
  <c r="O45" i="10"/>
  <c r="P53" i="10"/>
  <c r="O53" i="10"/>
  <c r="AZ1063" i="1"/>
  <c r="P155" i="10"/>
  <c r="O155" i="10"/>
  <c r="P170" i="10"/>
  <c r="O170" i="10"/>
  <c r="P140" i="10"/>
  <c r="O140" i="10"/>
  <c r="AZ819" i="1"/>
  <c r="AZ950" i="1"/>
  <c r="AZ66" i="9"/>
  <c r="AZ70" i="9" s="1"/>
  <c r="O102" i="10"/>
  <c r="P102" i="10"/>
  <c r="P82" i="10"/>
  <c r="O82" i="10"/>
  <c r="F18" i="15" l="1"/>
  <c r="F19" i="15" s="1"/>
  <c r="G15" i="15"/>
  <c r="G17" i="15"/>
  <c r="G22" i="15"/>
  <c r="F14" i="15"/>
  <c r="G10" i="15"/>
  <c r="G16" i="15"/>
  <c r="D19" i="15"/>
  <c r="G11" i="15"/>
  <c r="E13" i="15"/>
  <c r="E14" i="15" s="1"/>
  <c r="E20" i="15" s="1"/>
  <c r="F24" i="15"/>
  <c r="G24" i="15" s="1"/>
  <c r="G8" i="15"/>
  <c r="J8" i="15"/>
  <c r="J23" i="15"/>
  <c r="J15" i="15"/>
  <c r="J11" i="15"/>
  <c r="J29" i="15"/>
  <c r="J5" i="15"/>
  <c r="J12" i="15"/>
  <c r="K6" i="15"/>
  <c r="J22" i="15"/>
  <c r="D13" i="15"/>
  <c r="G13" i="15" s="1"/>
  <c r="N73" i="12"/>
  <c r="Y118" i="13"/>
  <c r="F6" i="14"/>
  <c r="Y120" i="13"/>
  <c r="Y52" i="13"/>
  <c r="Y115" i="13" s="1"/>
  <c r="Y170" i="13"/>
  <c r="Y172" i="13" s="1"/>
  <c r="Y108" i="13"/>
  <c r="V77" i="12"/>
  <c r="V56" i="12"/>
  <c r="BC1136" i="1"/>
  <c r="BC1141" i="1" s="1"/>
  <c r="Y110" i="13"/>
  <c r="Y25" i="13"/>
  <c r="U25" i="13"/>
  <c r="Y126" i="13"/>
  <c r="V76" i="12"/>
  <c r="T82" i="13"/>
  <c r="T150" i="13" s="1"/>
  <c r="T35" i="13"/>
  <c r="T67" i="13"/>
  <c r="T5" i="13"/>
  <c r="T181" i="13"/>
  <c r="T182" i="13" s="1"/>
  <c r="T11" i="13"/>
  <c r="T20" i="13" s="1"/>
  <c r="T152" i="13"/>
  <c r="T87" i="13"/>
  <c r="T107" i="13"/>
  <c r="T170" i="13" s="1"/>
  <c r="T55" i="13"/>
  <c r="P3" i="13"/>
  <c r="T86" i="13"/>
  <c r="T85" i="13"/>
  <c r="T84" i="13"/>
  <c r="T80" i="13"/>
  <c r="T69" i="13"/>
  <c r="T2" i="13"/>
  <c r="S3" i="13"/>
  <c r="T81" i="13"/>
  <c r="T49" i="13"/>
  <c r="T28" i="13"/>
  <c r="T79" i="13"/>
  <c r="T8" i="13"/>
  <c r="T25" i="13" s="1"/>
  <c r="T7" i="13"/>
  <c r="T12" i="13"/>
  <c r="T72" i="13"/>
  <c r="T13" i="13"/>
  <c r="T10" i="13"/>
  <c r="T19" i="13" s="1"/>
  <c r="T48" i="13"/>
  <c r="T51" i="13" s="1"/>
  <c r="T174" i="13"/>
  <c r="T70" i="13"/>
  <c r="T9" i="13"/>
  <c r="T18" i="13" s="1"/>
  <c r="T110" i="13" s="1"/>
  <c r="T153" i="13"/>
  <c r="T71" i="13"/>
  <c r="T22" i="13"/>
  <c r="T36" i="13"/>
  <c r="R3" i="13"/>
  <c r="T32" i="13"/>
  <c r="O3" i="13"/>
  <c r="Q3" i="13"/>
  <c r="T137" i="13"/>
  <c r="T136" i="13"/>
  <c r="T34" i="13"/>
  <c r="T68" i="13" s="1"/>
  <c r="Y74" i="13"/>
  <c r="Y76" i="13"/>
  <c r="Y119" i="13"/>
  <c r="Y54" i="13"/>
  <c r="Y122" i="13"/>
  <c r="Y127" i="13"/>
  <c r="U6" i="13"/>
  <c r="V11" i="13"/>
  <c r="V34" i="13"/>
  <c r="V68" i="13" s="1"/>
  <c r="V32" i="13"/>
  <c r="V5" i="13"/>
  <c r="V7" i="13"/>
  <c r="V72" i="13"/>
  <c r="V48" i="13"/>
  <c r="V70" i="13"/>
  <c r="V13" i="13"/>
  <c r="V35" i="13"/>
  <c r="V2" i="13"/>
  <c r="V87" i="13"/>
  <c r="V55" i="13"/>
  <c r="V85" i="13"/>
  <c r="V12" i="13"/>
  <c r="V82" i="13"/>
  <c r="V150" i="13" s="1"/>
  <c r="V153" i="13"/>
  <c r="V80" i="13"/>
  <c r="V137" i="13"/>
  <c r="V71" i="13"/>
  <c r="V69" i="13"/>
  <c r="V8" i="13"/>
  <c r="V152" i="13"/>
  <c r="V36" i="13"/>
  <c r="V9" i="13"/>
  <c r="V84" i="13"/>
  <c r="V49" i="13"/>
  <c r="V171" i="13" s="1"/>
  <c r="V28" i="13"/>
  <c r="V10" i="13"/>
  <c r="V81" i="13"/>
  <c r="V67" i="13"/>
  <c r="V79" i="13"/>
  <c r="V107" i="13"/>
  <c r="V170" i="13" s="1"/>
  <c r="X80" i="13"/>
  <c r="X152" i="13"/>
  <c r="X85" i="13"/>
  <c r="X7" i="13"/>
  <c r="X34" i="13"/>
  <c r="X68" i="13" s="1"/>
  <c r="X137" i="13"/>
  <c r="X82" i="13"/>
  <c r="X150" i="13" s="1"/>
  <c r="X9" i="13"/>
  <c r="X107" i="13"/>
  <c r="X170" i="13" s="1"/>
  <c r="X67" i="13"/>
  <c r="X36" i="13"/>
  <c r="X48" i="13"/>
  <c r="X84" i="13"/>
  <c r="X32" i="13"/>
  <c r="X8" i="13"/>
  <c r="X2" i="13"/>
  <c r="X11" i="13"/>
  <c r="X81" i="13"/>
  <c r="X28" i="13"/>
  <c r="X5" i="13"/>
  <c r="X6" i="13" s="1"/>
  <c r="X79" i="13"/>
  <c r="X71" i="13"/>
  <c r="X12" i="13"/>
  <c r="X72" i="13"/>
  <c r="X69" i="13"/>
  <c r="X70" i="13"/>
  <c r="X35" i="13"/>
  <c r="X55" i="13"/>
  <c r="X10" i="13"/>
  <c r="X87" i="13"/>
  <c r="X13" i="13"/>
  <c r="X153" i="13"/>
  <c r="X49" i="13"/>
  <c r="X171" i="13" s="1"/>
  <c r="Y141" i="13"/>
  <c r="Y27" i="13"/>
  <c r="Y21" i="13"/>
  <c r="Y140" i="13"/>
  <c r="Y29" i="13"/>
  <c r="Y22" i="13"/>
  <c r="Y184" i="13" s="1"/>
  <c r="Y185" i="13" s="1"/>
  <c r="Y6" i="13"/>
  <c r="Y15" i="13"/>
  <c r="Y63" i="13" s="1"/>
  <c r="BA1136" i="1"/>
  <c r="BA1140" i="1" s="1"/>
  <c r="Y26" i="13"/>
  <c r="Y142" i="13" s="1"/>
  <c r="W24" i="13"/>
  <c r="W104" i="13"/>
  <c r="BC1143" i="1"/>
  <c r="Y111" i="13"/>
  <c r="Y112" i="13"/>
  <c r="AD111" i="13"/>
  <c r="U24" i="13"/>
  <c r="AX1138" i="1"/>
  <c r="Y123" i="13"/>
  <c r="W131" i="13"/>
  <c r="W26" i="13"/>
  <c r="W142" i="13" s="1"/>
  <c r="W172" i="13"/>
  <c r="U141" i="13"/>
  <c r="U27" i="13"/>
  <c r="U149" i="13"/>
  <c r="U101" i="13"/>
  <c r="U99" i="13"/>
  <c r="U97" i="13"/>
  <c r="U94" i="13"/>
  <c r="U92" i="13"/>
  <c r="U90" i="13"/>
  <c r="Y173" i="13"/>
  <c r="Z152" i="13"/>
  <c r="Z153" i="13"/>
  <c r="Z87" i="13"/>
  <c r="Z85" i="13"/>
  <c r="Z82" i="13"/>
  <c r="Z150" i="13" s="1"/>
  <c r="Z80" i="13"/>
  <c r="Z71" i="13"/>
  <c r="Z81" i="13"/>
  <c r="Z79" i="13"/>
  <c r="Z107" i="13"/>
  <c r="Z170" i="13" s="1"/>
  <c r="Z72" i="13"/>
  <c r="Z48" i="13"/>
  <c r="Z70" i="13"/>
  <c r="Z12" i="13"/>
  <c r="Z35" i="13"/>
  <c r="Z8" i="13"/>
  <c r="Z49" i="13"/>
  <c r="Z171" i="13" s="1"/>
  <c r="Z36" i="13"/>
  <c r="Z28" i="13"/>
  <c r="Z11" i="13"/>
  <c r="Z2" i="13"/>
  <c r="Z7" i="13"/>
  <c r="Z9" i="13"/>
  <c r="Z5" i="13"/>
  <c r="Z13" i="13"/>
  <c r="Z10" i="13"/>
  <c r="Z34" i="13"/>
  <c r="Z68" i="13" s="1"/>
  <c r="Z32" i="13"/>
  <c r="U172" i="13"/>
  <c r="Y114" i="13"/>
  <c r="AD26" i="13"/>
  <c r="AD142" i="13" s="1"/>
  <c r="W140" i="13"/>
  <c r="W29" i="13"/>
  <c r="W76" i="13"/>
  <c r="W75" i="13"/>
  <c r="AA153" i="13"/>
  <c r="AA152" i="13"/>
  <c r="AA81" i="13"/>
  <c r="AA79" i="13"/>
  <c r="AA70" i="13"/>
  <c r="AA49" i="13"/>
  <c r="AA171" i="13" s="1"/>
  <c r="AA35" i="13"/>
  <c r="AA82" i="13"/>
  <c r="AA150" i="13" s="1"/>
  <c r="AA80" i="13"/>
  <c r="AA71" i="13"/>
  <c r="AA36" i="13"/>
  <c r="AA32" i="13"/>
  <c r="AA28" i="13"/>
  <c r="AA5" i="13"/>
  <c r="AA34" i="13"/>
  <c r="AA68" i="13" s="1"/>
  <c r="AA2" i="13"/>
  <c r="AA8" i="13"/>
  <c r="AA9" i="13"/>
  <c r="AA87" i="13"/>
  <c r="AA10" i="13"/>
  <c r="AD25" i="13"/>
  <c r="AD114" i="13"/>
  <c r="AD122" i="13"/>
  <c r="U140" i="13"/>
  <c r="U29" i="13"/>
  <c r="W6" i="13"/>
  <c r="W74" i="13"/>
  <c r="W54" i="13"/>
  <c r="W96" i="13"/>
  <c r="W89" i="13"/>
  <c r="AB152" i="13"/>
  <c r="AB153" i="13"/>
  <c r="AB87" i="13"/>
  <c r="AB82" i="13"/>
  <c r="AB150" i="13" s="1"/>
  <c r="AB80" i="13"/>
  <c r="AB71" i="13"/>
  <c r="AB81" i="13"/>
  <c r="AB79" i="13"/>
  <c r="AB70" i="13"/>
  <c r="AB36" i="13"/>
  <c r="AB10" i="13"/>
  <c r="AB2" i="13"/>
  <c r="AB49" i="13"/>
  <c r="AB171" i="13" s="1"/>
  <c r="AB8" i="13"/>
  <c r="AB9" i="13"/>
  <c r="AB5" i="13"/>
  <c r="AB34" i="13"/>
  <c r="AB68" i="13" s="1"/>
  <c r="AB35" i="13"/>
  <c r="AB32" i="13"/>
  <c r="AB28" i="13"/>
  <c r="AD15" i="13"/>
  <c r="U74" i="13"/>
  <c r="U54" i="13"/>
  <c r="AC153" i="13"/>
  <c r="AC152" i="13"/>
  <c r="AC81" i="13"/>
  <c r="AC79" i="13"/>
  <c r="AC70" i="13"/>
  <c r="AC49" i="13"/>
  <c r="AC171" i="13" s="1"/>
  <c r="AC87" i="13"/>
  <c r="AC80" i="13"/>
  <c r="AC82" i="13"/>
  <c r="AC150" i="13" s="1"/>
  <c r="AC32" i="13"/>
  <c r="AC28" i="13"/>
  <c r="AC35" i="13"/>
  <c r="AC71" i="13"/>
  <c r="AC34" i="13"/>
  <c r="AC68" i="13" s="1"/>
  <c r="AC8" i="13"/>
  <c r="AC9" i="13"/>
  <c r="AC5" i="13"/>
  <c r="AC10" i="13"/>
  <c r="AC2" i="13"/>
  <c r="AC36" i="13"/>
  <c r="AD110" i="13"/>
  <c r="U131" i="13"/>
  <c r="U26" i="13"/>
  <c r="U142" i="13" s="1"/>
  <c r="W141" i="13"/>
  <c r="W27" i="13"/>
  <c r="W149" i="13"/>
  <c r="W97" i="13"/>
  <c r="W90" i="13"/>
  <c r="AX1139" i="1"/>
  <c r="Y62" i="13"/>
  <c r="Y61" i="13"/>
  <c r="U76" i="13"/>
  <c r="U75" i="13"/>
  <c r="U96" i="13"/>
  <c r="U91" i="13"/>
  <c r="U100" i="13"/>
  <c r="U98" i="13"/>
  <c r="U93" i="13"/>
  <c r="U89" i="13"/>
  <c r="AE153" i="13"/>
  <c r="AE152" i="13"/>
  <c r="AE87" i="13"/>
  <c r="AE82" i="13"/>
  <c r="AE150" i="13" s="1"/>
  <c r="AE80" i="13"/>
  <c r="AE71" i="13"/>
  <c r="AE79" i="13"/>
  <c r="AE49" i="13"/>
  <c r="AE171" i="13" s="1"/>
  <c r="AE35" i="13"/>
  <c r="AE34" i="13"/>
  <c r="AE68" i="13" s="1"/>
  <c r="AE81" i="13"/>
  <c r="AE9" i="13"/>
  <c r="AE18" i="13" s="1"/>
  <c r="AE70" i="13"/>
  <c r="AE32" i="13"/>
  <c r="AE28" i="13"/>
  <c r="AE8" i="13"/>
  <c r="AE5" i="13"/>
  <c r="AF3" i="13"/>
  <c r="AE10" i="13"/>
  <c r="AE19" i="13" s="1"/>
  <c r="AE36" i="13"/>
  <c r="AE2" i="13"/>
  <c r="AY1136" i="1"/>
  <c r="BE1136" i="1"/>
  <c r="O153" i="12"/>
  <c r="O154" i="12" s="1"/>
  <c r="BG1136" i="1"/>
  <c r="BG1143" i="1" s="1"/>
  <c r="Q74" i="12"/>
  <c r="P147" i="12"/>
  <c r="AX1141" i="1"/>
  <c r="AW1136" i="1"/>
  <c r="AW1142" i="1" s="1"/>
  <c r="AW27" i="11" s="1"/>
  <c r="AZ1136" i="1"/>
  <c r="AZ1139" i="1" s="1"/>
  <c r="AX1137" i="1"/>
  <c r="AX709" i="1" s="1"/>
  <c r="N116" i="12"/>
  <c r="N108" i="12"/>
  <c r="N115" i="12"/>
  <c r="N113" i="12"/>
  <c r="N145" i="12"/>
  <c r="O147" i="12" s="1"/>
  <c r="N109" i="12"/>
  <c r="N114" i="12"/>
  <c r="N150" i="12"/>
  <c r="N105" i="12"/>
  <c r="N25" i="12"/>
  <c r="O134" i="12"/>
  <c r="R129" i="12" a="1"/>
  <c r="R129" i="12" s="1"/>
  <c r="R130" i="12" s="1"/>
  <c r="R119" i="12" a="1"/>
  <c r="R119" i="12" s="1"/>
  <c r="R121" i="12" a="1"/>
  <c r="R121" i="12" s="1"/>
  <c r="R122" i="12" s="1"/>
  <c r="R125" i="12" a="1"/>
  <c r="R125" i="12" s="1"/>
  <c r="R64" i="12" a="1"/>
  <c r="R64" i="12" s="1"/>
  <c r="R87" i="12" a="1"/>
  <c r="R87" i="12" s="1"/>
  <c r="R67" i="12" a="1"/>
  <c r="R67" i="12" s="1"/>
  <c r="R68" i="12" s="1" a="1"/>
  <c r="R68" i="12" s="1"/>
  <c r="R55" i="12" a="1"/>
  <c r="R55" i="12" s="1"/>
  <c r="R66" i="12"/>
  <c r="R85" i="12" a="1"/>
  <c r="R85" i="12" s="1"/>
  <c r="R146" i="12" s="1"/>
  <c r="R84" i="12" a="1"/>
  <c r="R84" i="12" s="1"/>
  <c r="S5" i="12"/>
  <c r="R103" i="12"/>
  <c r="R65" i="12" a="1"/>
  <c r="R65" i="12" s="1"/>
  <c r="R7" i="12" a="1"/>
  <c r="R7" i="12" s="1"/>
  <c r="R13" i="12" a="1"/>
  <c r="R13" i="12" s="1"/>
  <c r="R21" i="12"/>
  <c r="Q145" i="12"/>
  <c r="Q147" i="12" s="1"/>
  <c r="Q109" i="12"/>
  <c r="N35" i="12"/>
  <c r="N141" i="12" s="1"/>
  <c r="N54" i="12"/>
  <c r="O144" i="12"/>
  <c r="N123" i="12"/>
  <c r="O8" i="12"/>
  <c r="Q150" i="12"/>
  <c r="Q25" i="12"/>
  <c r="Q105" i="12"/>
  <c r="Q26" i="12"/>
  <c r="Q22" i="12"/>
  <c r="P61" i="10"/>
  <c r="N32" i="12"/>
  <c r="Q106" i="12"/>
  <c r="Q17" i="12"/>
  <c r="Q18" i="12"/>
  <c r="Q14" i="12"/>
  <c r="O77" i="12"/>
  <c r="O76" i="12"/>
  <c r="O56" i="12"/>
  <c r="V111" i="12"/>
  <c r="V61" i="12"/>
  <c r="M142" i="12" a="1"/>
  <c r="M142" i="12" s="1"/>
  <c r="N143" i="12" s="1"/>
  <c r="M125" i="12" a="1"/>
  <c r="M125" i="12" s="1"/>
  <c r="N126" i="12" s="1"/>
  <c r="N128" i="12" s="1"/>
  <c r="M129" i="12" a="1"/>
  <c r="M129" i="12" s="1"/>
  <c r="N130" i="12" s="1"/>
  <c r="N132" i="12" s="1"/>
  <c r="M67" i="12" a="1"/>
  <c r="M67" i="12" s="1"/>
  <c r="M68" i="12" s="1" a="1"/>
  <c r="M68" i="12" s="1"/>
  <c r="M119" i="12" a="1"/>
  <c r="M119" i="12" s="1"/>
  <c r="M87" i="12" a="1"/>
  <c r="M87" i="12" s="1"/>
  <c r="M83" i="12" a="1"/>
  <c r="M83" i="12" s="1"/>
  <c r="M52" i="12" a="1"/>
  <c r="M52" i="12" s="1"/>
  <c r="M103" i="12"/>
  <c r="M84" i="12" a="1"/>
  <c r="M84" i="12" s="1"/>
  <c r="M72" i="12" a="1"/>
  <c r="M72" i="12" s="1"/>
  <c r="M34" i="12" a="1"/>
  <c r="M34" i="12" s="1"/>
  <c r="M138" i="12" a="1"/>
  <c r="M138" i="12" s="1"/>
  <c r="N139" i="12" s="1"/>
  <c r="M55" i="12" a="1"/>
  <c r="M55" i="12" s="1"/>
  <c r="M28" i="12"/>
  <c r="N29" i="12" s="1"/>
  <c r="M21" i="12"/>
  <c r="M13" i="12" a="1"/>
  <c r="M13" i="12" s="1"/>
  <c r="N14" i="12" s="1"/>
  <c r="M7" i="12" a="1"/>
  <c r="M7" i="12" s="1"/>
  <c r="N18" i="12" s="1"/>
  <c r="M151" i="12" a="1"/>
  <c r="M151" i="12" s="1"/>
  <c r="N152" i="12" s="1"/>
  <c r="M121" i="12" a="1"/>
  <c r="M121" i="12" s="1"/>
  <c r="N122" i="12" s="1"/>
  <c r="M64" i="12" a="1"/>
  <c r="M64" i="12" s="1"/>
  <c r="M53" i="12" a="1"/>
  <c r="M53" i="12" s="1"/>
  <c r="M65" i="12" a="1"/>
  <c r="M65" i="12" s="1"/>
  <c r="M43" i="12" a="1"/>
  <c r="M43" i="12" s="1"/>
  <c r="M81" i="12" s="1"/>
  <c r="M37" i="12" a="1"/>
  <c r="M37" i="12" s="1"/>
  <c r="N38" i="12" s="1"/>
  <c r="L5" i="12"/>
  <c r="M85" i="12" a="1"/>
  <c r="M85" i="12" s="1"/>
  <c r="M146" i="12" s="1"/>
  <c r="M66" i="12"/>
  <c r="M63" i="12" a="1"/>
  <c r="M63" i="12" s="1"/>
  <c r="Q124" i="12"/>
  <c r="U111" i="12"/>
  <c r="U57" i="12"/>
  <c r="U61" i="12"/>
  <c r="P23" i="12"/>
  <c r="O18" i="12"/>
  <c r="N137" i="12"/>
  <c r="N41" i="12"/>
  <c r="N44" i="12"/>
  <c r="N74" i="12"/>
  <c r="O38" i="12"/>
  <c r="P15" i="12"/>
  <c r="O26" i="12"/>
  <c r="R126" i="12"/>
  <c r="AX1143" i="1"/>
  <c r="AX28" i="11" s="1"/>
  <c r="N106" i="12"/>
  <c r="N17" i="12"/>
  <c r="N81" i="12"/>
  <c r="Q123" i="12"/>
  <c r="Q8" i="12"/>
  <c r="AV1174" i="1"/>
  <c r="M1174" i="1"/>
  <c r="AZ1173" i="1"/>
  <c r="AN1173" i="1"/>
  <c r="AB1173" i="1"/>
  <c r="P1173" i="1"/>
  <c r="D1173" i="1"/>
  <c r="AW1172" i="1"/>
  <c r="AK1172" i="1"/>
  <c r="Y1172" i="1"/>
  <c r="Y1170" i="1" s="1"/>
  <c r="M1172" i="1"/>
  <c r="M1170" i="1" s="1"/>
  <c r="J1174" i="1"/>
  <c r="AY1173" i="1"/>
  <c r="AM1173" i="1"/>
  <c r="AA1173" i="1"/>
  <c r="O1173" i="1"/>
  <c r="C1173" i="1"/>
  <c r="AV1172" i="1"/>
  <c r="AJ1172" i="1"/>
  <c r="AJ1170" i="1" s="1"/>
  <c r="X1172" i="1"/>
  <c r="L1172" i="1"/>
  <c r="H1174" i="1"/>
  <c r="AX1173" i="1"/>
  <c r="AL1173" i="1"/>
  <c r="Z1173" i="1"/>
  <c r="N1173" i="1"/>
  <c r="BG1172" i="1"/>
  <c r="AU1172" i="1"/>
  <c r="AI1172" i="1"/>
  <c r="AI1170" i="1" s="1"/>
  <c r="W1172" i="1"/>
  <c r="K1172" i="1"/>
  <c r="K1170" i="1" s="1"/>
  <c r="E1174" i="1"/>
  <c r="AW1173" i="1"/>
  <c r="AK1173" i="1"/>
  <c r="Y1173" i="1"/>
  <c r="M1173" i="1"/>
  <c r="BF1172" i="1"/>
  <c r="AT1172" i="1"/>
  <c r="AH1172" i="1"/>
  <c r="V1172" i="1"/>
  <c r="J1172" i="1"/>
  <c r="J1170" i="1" s="1"/>
  <c r="D1174" i="1"/>
  <c r="AV1173" i="1"/>
  <c r="AJ1173" i="1"/>
  <c r="X1173" i="1"/>
  <c r="L1173" i="1"/>
  <c r="BE1172" i="1"/>
  <c r="BE1170" i="1" s="1"/>
  <c r="BE891" i="1" s="1"/>
  <c r="AS1172" i="1"/>
  <c r="AS1170" i="1" s="1"/>
  <c r="AG1172" i="1"/>
  <c r="AG1170" i="1" s="1"/>
  <c r="U1172" i="1"/>
  <c r="U1170" i="1" s="1"/>
  <c r="I1172" i="1"/>
  <c r="I1170" i="1" s="1"/>
  <c r="C1174" i="1"/>
  <c r="AU1173" i="1"/>
  <c r="AI1173" i="1"/>
  <c r="W1173" i="1"/>
  <c r="K1173" i="1"/>
  <c r="BD1172" i="1"/>
  <c r="BD1170" i="1" s="1"/>
  <c r="BD891" i="1" s="1"/>
  <c r="AR1172" i="1"/>
  <c r="AR1170" i="1" s="1"/>
  <c r="AF1172" i="1"/>
  <c r="AF1170" i="1" s="1"/>
  <c r="T1172" i="1"/>
  <c r="T1170" i="1" s="1"/>
  <c r="H1172" i="1"/>
  <c r="H1170" i="1" s="1"/>
  <c r="BG1173" i="1"/>
  <c r="AT1173" i="1"/>
  <c r="AH1173" i="1"/>
  <c r="V1173" i="1"/>
  <c r="J1173" i="1"/>
  <c r="BC1172" i="1"/>
  <c r="BC1170" i="1" s="1"/>
  <c r="BC891" i="1" s="1"/>
  <c r="AQ1172" i="1"/>
  <c r="AQ1170" i="1" s="1"/>
  <c r="AE1172" i="1"/>
  <c r="AE1170" i="1" s="1"/>
  <c r="S1172" i="1"/>
  <c r="S1170" i="1" s="1"/>
  <c r="G1172" i="1"/>
  <c r="G1170" i="1" s="1"/>
  <c r="BF1173" i="1"/>
  <c r="AS1173" i="1"/>
  <c r="AG1173" i="1"/>
  <c r="U1173" i="1"/>
  <c r="I1173" i="1"/>
  <c r="BB1172" i="1"/>
  <c r="BB1170" i="1" s="1"/>
  <c r="BB891" i="1" s="1"/>
  <c r="AP1172" i="1"/>
  <c r="AD1172" i="1"/>
  <c r="AD1170" i="1" s="1"/>
  <c r="R1172" i="1"/>
  <c r="R1170" i="1" s="1"/>
  <c r="F1172" i="1"/>
  <c r="F1170" i="1" s="1"/>
  <c r="AA1174" i="1"/>
  <c r="BD1173" i="1"/>
  <c r="AR1173" i="1"/>
  <c r="AF1173" i="1"/>
  <c r="T1173" i="1"/>
  <c r="H1173" i="1"/>
  <c r="BA1172" i="1"/>
  <c r="BA1170" i="1" s="1"/>
  <c r="BA891" i="1" s="1"/>
  <c r="AO1172" i="1"/>
  <c r="AC1172" i="1"/>
  <c r="AC1170" i="1" s="1"/>
  <c r="Q1172" i="1"/>
  <c r="Q1170" i="1" s="1"/>
  <c r="E1172" i="1"/>
  <c r="E1170" i="1" s="1"/>
  <c r="AV1170" i="1"/>
  <c r="AV891" i="1" s="1"/>
  <c r="AH1170" i="1"/>
  <c r="T1174" i="1"/>
  <c r="BC1173" i="1"/>
  <c r="AQ1173" i="1"/>
  <c r="AE1173" i="1"/>
  <c r="S1173" i="1"/>
  <c r="G1173" i="1"/>
  <c r="AZ1172" i="1"/>
  <c r="AZ1170" i="1" s="1"/>
  <c r="AZ891" i="1" s="1"/>
  <c r="AN1172" i="1"/>
  <c r="AN1170" i="1" s="1"/>
  <c r="AB1172" i="1"/>
  <c r="AB1170" i="1" s="1"/>
  <c r="P1172" i="1"/>
  <c r="P1170" i="1" s="1"/>
  <c r="D1172" i="1"/>
  <c r="D1170" i="1" s="1"/>
  <c r="AU1170" i="1"/>
  <c r="O1174" i="1"/>
  <c r="BB1173" i="1"/>
  <c r="AP1173" i="1"/>
  <c r="AD1173" i="1"/>
  <c r="R1173" i="1"/>
  <c r="F1173" i="1"/>
  <c r="AY1172" i="1"/>
  <c r="AY1170" i="1" s="1"/>
  <c r="AY891" i="1" s="1"/>
  <c r="AM1172" i="1"/>
  <c r="AM1170" i="1" s="1"/>
  <c r="AA1172" i="1"/>
  <c r="AA1170" i="1" s="1"/>
  <c r="O1172" i="1"/>
  <c r="O1170" i="1" s="1"/>
  <c r="C1172" i="1"/>
  <c r="A1170" i="1" s="1"/>
  <c r="AT1170" i="1"/>
  <c r="N1174" i="1"/>
  <c r="BA1173" i="1"/>
  <c r="AO1173" i="1"/>
  <c r="AC1173" i="1"/>
  <c r="Q1173" i="1"/>
  <c r="E1173" i="1"/>
  <c r="AX1172" i="1"/>
  <c r="AX1170" i="1" s="1"/>
  <c r="AX891" i="1" s="1"/>
  <c r="AL1172" i="1"/>
  <c r="AL1170" i="1" s="1"/>
  <c r="Z1172" i="1"/>
  <c r="Z1170" i="1" s="1"/>
  <c r="N1172" i="1"/>
  <c r="N1170" i="1" s="1"/>
  <c r="A3" i="11"/>
  <c r="A892" i="1"/>
  <c r="A890" i="1"/>
  <c r="A889" i="1"/>
  <c r="A888" i="1"/>
  <c r="A3" i="1"/>
  <c r="X1170" i="1"/>
  <c r="A891" i="1"/>
  <c r="AK1170" i="1"/>
  <c r="AR1174" i="1"/>
  <c r="AS1174" i="1"/>
  <c r="AI1174" i="1"/>
  <c r="BD1174" i="1"/>
  <c r="AU1174" i="1"/>
  <c r="BG1174" i="1"/>
  <c r="R1174" i="1"/>
  <c r="W1174" i="1"/>
  <c r="G1174" i="1"/>
  <c r="BE1174" i="1"/>
  <c r="S1174" i="1"/>
  <c r="AQ1174" i="1"/>
  <c r="P1174" i="1"/>
  <c r="AH1174" i="1"/>
  <c r="AN1174" i="1"/>
  <c r="AF1174" i="1"/>
  <c r="L1170" i="1"/>
  <c r="AW1174" i="1"/>
  <c r="Y1174" i="1"/>
  <c r="AB1174" i="1"/>
  <c r="F1174" i="1"/>
  <c r="AE1174" i="1"/>
  <c r="AT1174" i="1"/>
  <c r="BF1174" i="1"/>
  <c r="L1174" i="1"/>
  <c r="AO1170" i="1"/>
  <c r="AL1174" i="1"/>
  <c r="AZ1174" i="1"/>
  <c r="AD1174" i="1"/>
  <c r="BC1174" i="1"/>
  <c r="BE1173" i="1"/>
  <c r="AP1174" i="1"/>
  <c r="BF1170" i="1"/>
  <c r="BF891" i="1" s="1"/>
  <c r="AG1174" i="1"/>
  <c r="BB1174" i="1"/>
  <c r="X1174" i="1"/>
  <c r="Q1174" i="1"/>
  <c r="AJ1174" i="1"/>
  <c r="V1170" i="1"/>
  <c r="AW1170" i="1"/>
  <c r="AW891" i="1" s="1"/>
  <c r="AX1174" i="1"/>
  <c r="AP1170" i="1"/>
  <c r="AK1174" i="1"/>
  <c r="AY1174" i="1"/>
  <c r="V1174" i="1"/>
  <c r="Z1174" i="1"/>
  <c r="AC1174" i="1"/>
  <c r="I1174" i="1"/>
  <c r="W1170" i="1"/>
  <c r="BA1174" i="1"/>
  <c r="BG1170" i="1"/>
  <c r="BG891" i="1" s="1"/>
  <c r="B1186" i="1"/>
  <c r="AO1174" i="1"/>
  <c r="U1174" i="1"/>
  <c r="K1174" i="1"/>
  <c r="AM1174" i="1"/>
  <c r="AY1142" i="1"/>
  <c r="AY27" i="11" s="1"/>
  <c r="AY1140" i="1"/>
  <c r="AY1137" i="1"/>
  <c r="AY1143" i="1"/>
  <c r="AY1141" i="1"/>
  <c r="AY1138" i="1"/>
  <c r="AY1139" i="1"/>
  <c r="BE1141" i="1"/>
  <c r="BE26" i="11" s="1"/>
  <c r="BE1137" i="1"/>
  <c r="BE1143" i="1"/>
  <c r="BE1140" i="1"/>
  <c r="BE1139" i="1"/>
  <c r="BE1138" i="1"/>
  <c r="BE1142" i="1"/>
  <c r="AR85" i="9"/>
  <c r="AR65" i="9"/>
  <c r="AR70" i="9" s="1"/>
  <c r="BA25" i="11"/>
  <c r="AX23" i="11"/>
  <c r="AX788" i="1"/>
  <c r="AO155" i="9"/>
  <c r="AO121" i="9"/>
  <c r="AO122" i="9" s="1"/>
  <c r="AO125" i="9" s="1"/>
  <c r="AO71" i="9"/>
  <c r="P46" i="10"/>
  <c r="O46" i="10"/>
  <c r="R65" i="9"/>
  <c r="R70" i="9" s="1"/>
  <c r="R85" i="9"/>
  <c r="AA85" i="9"/>
  <c r="AA65" i="9"/>
  <c r="AA70" i="9" s="1"/>
  <c r="AN155" i="9"/>
  <c r="AN121" i="9"/>
  <c r="AN71" i="9"/>
  <c r="AX85" i="9"/>
  <c r="AX65" i="9"/>
  <c r="AX70" i="9" s="1"/>
  <c r="AX1140" i="1"/>
  <c r="AX25" i="11" s="1"/>
  <c r="AW1141" i="1"/>
  <c r="AW26" i="11" s="1"/>
  <c r="BF1136" i="1"/>
  <c r="U65" i="9"/>
  <c r="U70" i="9" s="1"/>
  <c r="U85" i="9"/>
  <c r="N85" i="9"/>
  <c r="N65" i="9"/>
  <c r="N70" i="9" s="1"/>
  <c r="AS85" i="9"/>
  <c r="AS65" i="9"/>
  <c r="AS70" i="9" s="1"/>
  <c r="BA1138" i="1"/>
  <c r="AQ85" i="9"/>
  <c r="AQ65" i="9"/>
  <c r="AQ70" i="9" s="1"/>
  <c r="P155" i="9"/>
  <c r="P121" i="9"/>
  <c r="P122" i="9" s="1"/>
  <c r="P71" i="9"/>
  <c r="AZ1053" i="1"/>
  <c r="BD1019" i="1"/>
  <c r="AJ65" i="9"/>
  <c r="AJ70" i="9" s="1"/>
  <c r="AJ85" i="9"/>
  <c r="AM85" i="9"/>
  <c r="AM65" i="9"/>
  <c r="AM70" i="9" s="1"/>
  <c r="BB1136" i="1"/>
  <c r="BD1136" i="1"/>
  <c r="AV155" i="9"/>
  <c r="AV121" i="9"/>
  <c r="AX24" i="11"/>
  <c r="E155" i="9"/>
  <c r="E121" i="9"/>
  <c r="E122" i="9" s="1"/>
  <c r="E71" i="9"/>
  <c r="L85" i="9"/>
  <c r="L65" i="9"/>
  <c r="L70" i="9" s="1"/>
  <c r="BC26" i="11"/>
  <c r="BD1013" i="1"/>
  <c r="AZ1050" i="1"/>
  <c r="Z55" i="13" s="1"/>
  <c r="G85" i="9"/>
  <c r="G65" i="9"/>
  <c r="G70" i="9" s="1"/>
  <c r="AP85" i="9"/>
  <c r="AP65" i="9"/>
  <c r="AP70" i="9" s="1"/>
  <c r="AW1139" i="1"/>
  <c r="AW24" i="11" s="1"/>
  <c r="AB155" i="9"/>
  <c r="AB121" i="9"/>
  <c r="AB71" i="9"/>
  <c r="Q155" i="9"/>
  <c r="Q121" i="9"/>
  <c r="Q71" i="9"/>
  <c r="BC1137" i="1"/>
  <c r="BC1138" i="1"/>
  <c r="D155" i="9"/>
  <c r="D121" i="9"/>
  <c r="D122" i="9" s="1"/>
  <c r="D71" i="9"/>
  <c r="BA1143" i="1"/>
  <c r="AH155" i="9"/>
  <c r="AH121" i="9"/>
  <c r="AH71" i="9"/>
  <c r="Y121" i="9"/>
  <c r="Y155" i="9"/>
  <c r="Y71" i="9"/>
  <c r="AT155" i="9"/>
  <c r="AT121" i="9"/>
  <c r="AT122" i="9" s="1"/>
  <c r="AT125" i="9" s="1"/>
  <c r="T134" i="13" s="1"/>
  <c r="AT71" i="9"/>
  <c r="AV1136" i="1"/>
  <c r="B4" i="11"/>
  <c r="B4" i="1"/>
  <c r="B3" i="11" s="1"/>
  <c r="B3" i="1" s="1"/>
  <c r="AW155" i="9"/>
  <c r="AW121" i="9"/>
  <c r="AG65" i="9"/>
  <c r="AG70" i="9" s="1"/>
  <c r="AG85" i="9"/>
  <c r="M155" i="9"/>
  <c r="M121" i="9"/>
  <c r="M71" i="9"/>
  <c r="BD977" i="1"/>
  <c r="BD842" i="1"/>
  <c r="BD1100" i="1" s="1"/>
  <c r="F85" i="9"/>
  <c r="F65" i="9"/>
  <c r="F70" i="9" s="1"/>
  <c r="AF85" i="9"/>
  <c r="AF65" i="9"/>
  <c r="AF70" i="9" s="1"/>
  <c r="AD85" i="9"/>
  <c r="AD65" i="9"/>
  <c r="AD70" i="9" s="1"/>
  <c r="AK155" i="9"/>
  <c r="AK121" i="9"/>
  <c r="AK71" i="9"/>
  <c r="AC155" i="9"/>
  <c r="AC121" i="9"/>
  <c r="AC71" i="9"/>
  <c r="BC1140" i="1"/>
  <c r="BC25" i="11" s="1"/>
  <c r="H85" i="9"/>
  <c r="H65" i="9"/>
  <c r="H70" i="9" s="1"/>
  <c r="BC28" i="11"/>
  <c r="BD1109" i="1"/>
  <c r="X65" i="9"/>
  <c r="X70" i="9" s="1"/>
  <c r="X85" i="9"/>
  <c r="W155" i="9"/>
  <c r="W121" i="9"/>
  <c r="W71" i="9"/>
  <c r="AI155" i="9"/>
  <c r="AI121" i="9"/>
  <c r="AI71" i="9"/>
  <c r="V155" i="9"/>
  <c r="V121" i="9"/>
  <c r="V71" i="9"/>
  <c r="J155" i="9"/>
  <c r="J121" i="9"/>
  <c r="J71" i="9"/>
  <c r="I85" i="9"/>
  <c r="I65" i="9"/>
  <c r="I70" i="9" s="1"/>
  <c r="BC1142" i="1"/>
  <c r="BC1139" i="1"/>
  <c r="AE65" i="9"/>
  <c r="AE70" i="9" s="1"/>
  <c r="AE85" i="9"/>
  <c r="C85" i="9"/>
  <c r="C65" i="9"/>
  <c r="C70" i="9" s="1"/>
  <c r="O85" i="9"/>
  <c r="O65" i="9"/>
  <c r="O70" i="9" s="1"/>
  <c r="S65" i="9"/>
  <c r="S70" i="9" s="1"/>
  <c r="S85" i="9"/>
  <c r="BA1142" i="1"/>
  <c r="Z85" i="9"/>
  <c r="Z65" i="9"/>
  <c r="Z70" i="9" s="1"/>
  <c r="AY85" i="9"/>
  <c r="AY65" i="9"/>
  <c r="AY70" i="9" s="1"/>
  <c r="AX26" i="11"/>
  <c r="AL85" i="9"/>
  <c r="AL65" i="9"/>
  <c r="AL70" i="9" s="1"/>
  <c r="T85" i="9"/>
  <c r="T65" i="9"/>
  <c r="T70" i="9" s="1"/>
  <c r="K155" i="9"/>
  <c r="K121" i="9"/>
  <c r="K122" i="9" s="1"/>
  <c r="K125" i="9" s="1"/>
  <c r="K71" i="9"/>
  <c r="AU155" i="9"/>
  <c r="AU121" i="9"/>
  <c r="AU71" i="9"/>
  <c r="AZ121" i="9"/>
  <c r="AZ155" i="9"/>
  <c r="AZ821" i="1"/>
  <c r="AZ1066" i="1"/>
  <c r="AZ959" i="1"/>
  <c r="J21" i="15" l="1"/>
  <c r="B5" i="15"/>
  <c r="B57" i="15" s="1"/>
  <c r="F20" i="15"/>
  <c r="G18" i="15"/>
  <c r="K8" i="15"/>
  <c r="K23" i="15"/>
  <c r="K11" i="15"/>
  <c r="K15" i="15"/>
  <c r="K29" i="15"/>
  <c r="K21" i="15" s="1"/>
  <c r="K5" i="15"/>
  <c r="K12" i="15"/>
  <c r="K22" i="15"/>
  <c r="G19" i="15"/>
  <c r="D14" i="15"/>
  <c r="B36" i="15"/>
  <c r="A36" i="15"/>
  <c r="T6" i="13"/>
  <c r="X104" i="13"/>
  <c r="X89" i="13"/>
  <c r="T104" i="13"/>
  <c r="V6" i="13"/>
  <c r="V104" i="13"/>
  <c r="T64" i="13"/>
  <c r="Y124" i="13"/>
  <c r="Y116" i="13"/>
  <c r="Y128" i="13"/>
  <c r="BA1139" i="1"/>
  <c r="BA24" i="11" s="1"/>
  <c r="AX22" i="11"/>
  <c r="BA1137" i="1"/>
  <c r="C26" i="14"/>
  <c r="BA1141" i="1"/>
  <c r="BA26" i="11" s="1"/>
  <c r="AZ1138" i="1"/>
  <c r="AA25" i="13"/>
  <c r="X141" i="13"/>
  <c r="X27" i="13"/>
  <c r="V25" i="13"/>
  <c r="T17" i="13"/>
  <c r="T118" i="13" s="1"/>
  <c r="T171" i="13"/>
  <c r="T172" i="13" s="1"/>
  <c r="T52" i="13"/>
  <c r="T15" i="13"/>
  <c r="V172" i="13"/>
  <c r="V74" i="13"/>
  <c r="V54" i="13"/>
  <c r="T99" i="13"/>
  <c r="T97" i="13"/>
  <c r="T94" i="13"/>
  <c r="T149" i="13"/>
  <c r="T90" i="13"/>
  <c r="T122" i="13"/>
  <c r="T101" i="13"/>
  <c r="T92" i="13"/>
  <c r="X75" i="13"/>
  <c r="X76" i="13"/>
  <c r="V140" i="13"/>
  <c r="V29" i="13"/>
  <c r="Q137" i="13"/>
  <c r="Q48" i="13"/>
  <c r="Q36" i="13"/>
  <c r="Q136" i="13"/>
  <c r="Q87" i="13"/>
  <c r="Q85" i="13"/>
  <c r="Q69" i="13"/>
  <c r="Q9" i="13"/>
  <c r="Q67" i="13"/>
  <c r="Q82" i="13"/>
  <c r="Q150" i="13" s="1"/>
  <c r="Q10" i="13"/>
  <c r="Q86" i="13"/>
  <c r="Q55" i="13"/>
  <c r="Q5" i="13"/>
  <c r="Q84" i="13"/>
  <c r="Q80" i="13"/>
  <c r="Q8" i="13"/>
  <c r="Q81" i="13"/>
  <c r="Q35" i="13"/>
  <c r="Q71" i="13"/>
  <c r="Q79" i="13"/>
  <c r="Q32" i="13"/>
  <c r="Q12" i="13"/>
  <c r="Q153" i="13"/>
  <c r="Q72" i="13"/>
  <c r="Q28" i="13"/>
  <c r="Q7" i="13"/>
  <c r="Q24" i="13" s="1"/>
  <c r="Q174" i="13"/>
  <c r="Q70" i="13"/>
  <c r="Q13" i="13"/>
  <c r="Q2" i="13"/>
  <c r="Q152" i="13"/>
  <c r="Q107" i="13"/>
  <c r="Q170" i="13" s="1"/>
  <c r="Q34" i="13"/>
  <c r="Q68" i="13" s="1"/>
  <c r="Q181" i="13"/>
  <c r="Q49" i="13"/>
  <c r="Q171" i="13" s="1"/>
  <c r="Q11" i="13"/>
  <c r="S136" i="13"/>
  <c r="S70" i="13"/>
  <c r="S35" i="13"/>
  <c r="S152" i="13"/>
  <c r="S69" i="13"/>
  <c r="S32" i="13"/>
  <c r="S86" i="13"/>
  <c r="S28" i="13"/>
  <c r="S107" i="13"/>
  <c r="S170" i="13" s="1"/>
  <c r="S55" i="13"/>
  <c r="S13" i="13"/>
  <c r="S87" i="13"/>
  <c r="S81" i="13"/>
  <c r="S5" i="13"/>
  <c r="S85" i="13"/>
  <c r="S79" i="13"/>
  <c r="S10" i="13"/>
  <c r="S82" i="13"/>
  <c r="S150" i="13" s="1"/>
  <c r="S49" i="13"/>
  <c r="S171" i="13" s="1"/>
  <c r="S11" i="13"/>
  <c r="S80" i="13"/>
  <c r="S48" i="13"/>
  <c r="S12" i="13"/>
  <c r="S71" i="13"/>
  <c r="S34" i="13"/>
  <c r="S68" i="13" s="1"/>
  <c r="S7" i="13"/>
  <c r="S24" i="13" s="1"/>
  <c r="S181" i="13"/>
  <c r="S137" i="13"/>
  <c r="S9" i="13"/>
  <c r="S2" i="13"/>
  <c r="S153" i="13"/>
  <c r="S72" i="13"/>
  <c r="S84" i="13"/>
  <c r="S8" i="13"/>
  <c r="S174" i="13"/>
  <c r="S67" i="13"/>
  <c r="S36" i="13"/>
  <c r="X172" i="13"/>
  <c r="V75" i="13"/>
  <c r="V76" i="13"/>
  <c r="O86" i="13"/>
  <c r="O80" i="13"/>
  <c r="O8" i="13"/>
  <c r="K3" i="13"/>
  <c r="O84" i="13"/>
  <c r="O7" i="13"/>
  <c r="O12" i="13"/>
  <c r="O81" i="13"/>
  <c r="O35" i="13"/>
  <c r="O36" i="13"/>
  <c r="L3" i="13"/>
  <c r="O153" i="13"/>
  <c r="O79" i="13"/>
  <c r="O32" i="13"/>
  <c r="O13" i="13"/>
  <c r="O72" i="13"/>
  <c r="O28" i="13"/>
  <c r="O9" i="13"/>
  <c r="O174" i="13"/>
  <c r="O70" i="13"/>
  <c r="O5" i="13"/>
  <c r="O10" i="13"/>
  <c r="O19" i="13" s="1"/>
  <c r="O137" i="13"/>
  <c r="O152" i="13"/>
  <c r="O87" i="13"/>
  <c r="O11" i="13"/>
  <c r="O20" i="13" s="1"/>
  <c r="O134" i="13"/>
  <c r="O69" i="13"/>
  <c r="O48" i="13"/>
  <c r="O51" i="13" s="1"/>
  <c r="O136" i="13"/>
  <c r="O71" i="13"/>
  <c r="O55" i="13"/>
  <c r="O181" i="13"/>
  <c r="O182" i="13" s="1"/>
  <c r="O49" i="13"/>
  <c r="O171" i="13" s="1"/>
  <c r="O34" i="13"/>
  <c r="O68" i="13" s="1"/>
  <c r="O67" i="13"/>
  <c r="O85" i="13"/>
  <c r="O17" i="13"/>
  <c r="N3" i="13"/>
  <c r="O107" i="13"/>
  <c r="O82" i="13"/>
  <c r="O150" i="13" s="1"/>
  <c r="J3" i="13"/>
  <c r="M3" i="13"/>
  <c r="O2" i="13"/>
  <c r="AE52" i="13"/>
  <c r="AE115" i="13" s="1"/>
  <c r="T127" i="13"/>
  <c r="X29" i="13"/>
  <c r="X140" i="13"/>
  <c r="X131" i="13"/>
  <c r="X26" i="13"/>
  <c r="X142" i="13" s="1"/>
  <c r="V90" i="13"/>
  <c r="V97" i="13"/>
  <c r="V149" i="13"/>
  <c r="T54" i="13"/>
  <c r="T74" i="13"/>
  <c r="T108" i="13"/>
  <c r="T116" i="13" s="1"/>
  <c r="P55" i="12" a="1"/>
  <c r="P55" i="12" s="1"/>
  <c r="P74" i="12" s="1"/>
  <c r="AD49" i="13"/>
  <c r="X149" i="13"/>
  <c r="X97" i="13"/>
  <c r="X90" i="13"/>
  <c r="V89" i="13"/>
  <c r="V96" i="13"/>
  <c r="R82" i="13"/>
  <c r="R150" i="13" s="1"/>
  <c r="R34" i="13"/>
  <c r="R68" i="13" s="1"/>
  <c r="R9" i="13"/>
  <c r="R80" i="13"/>
  <c r="R11" i="13"/>
  <c r="R12" i="13"/>
  <c r="R152" i="13"/>
  <c r="R71" i="13"/>
  <c r="R86" i="13"/>
  <c r="R7" i="13"/>
  <c r="R181" i="13"/>
  <c r="R48" i="13"/>
  <c r="R70" i="13"/>
  <c r="R2" i="13"/>
  <c r="R69" i="13"/>
  <c r="R55" i="13"/>
  <c r="R153" i="13"/>
  <c r="R84" i="13"/>
  <c r="R35" i="13"/>
  <c r="R137" i="13"/>
  <c r="R81" i="13"/>
  <c r="R49" i="13"/>
  <c r="R171" i="13" s="1"/>
  <c r="R107" i="13"/>
  <c r="R170" i="13" s="1"/>
  <c r="R172" i="13" s="1"/>
  <c r="R10" i="13"/>
  <c r="R36" i="13"/>
  <c r="R136" i="13"/>
  <c r="R72" i="13"/>
  <c r="R32" i="13"/>
  <c r="R174" i="13"/>
  <c r="R67" i="13"/>
  <c r="R13" i="13"/>
  <c r="R87" i="13"/>
  <c r="R8" i="13"/>
  <c r="R5" i="13"/>
  <c r="R6" i="13" s="1"/>
  <c r="R85" i="13"/>
  <c r="R79" i="13"/>
  <c r="R28" i="13"/>
  <c r="T140" i="13"/>
  <c r="T29" i="13"/>
  <c r="T100" i="13"/>
  <c r="T98" i="13"/>
  <c r="T89" i="13"/>
  <c r="T91" i="13"/>
  <c r="T96" i="13"/>
  <c r="T93" i="13"/>
  <c r="T184" i="13"/>
  <c r="T185" i="13" s="1"/>
  <c r="V24" i="13"/>
  <c r="AE25" i="13"/>
  <c r="T27" i="13"/>
  <c r="T21" i="13"/>
  <c r="T141" i="13"/>
  <c r="T75" i="13"/>
  <c r="T76" i="13"/>
  <c r="Z24" i="13"/>
  <c r="X25" i="13"/>
  <c r="X24" i="13"/>
  <c r="V141" i="13"/>
  <c r="V27" i="13"/>
  <c r="T24" i="13"/>
  <c r="T16" i="13"/>
  <c r="V131" i="13"/>
  <c r="V26" i="13"/>
  <c r="V142" i="13" s="1"/>
  <c r="P174" i="13"/>
  <c r="P49" i="13"/>
  <c r="P171" i="13" s="1"/>
  <c r="P11" i="13"/>
  <c r="P152" i="13"/>
  <c r="P10" i="13"/>
  <c r="P136" i="13"/>
  <c r="P84" i="13"/>
  <c r="P13" i="13"/>
  <c r="P153" i="13"/>
  <c r="P81" i="13"/>
  <c r="P8" i="13"/>
  <c r="P107" i="13"/>
  <c r="P170" i="13" s="1"/>
  <c r="P79" i="13"/>
  <c r="P7" i="13"/>
  <c r="P137" i="13"/>
  <c r="P72" i="13"/>
  <c r="P2" i="13"/>
  <c r="P87" i="13"/>
  <c r="P70" i="13"/>
  <c r="P35" i="13"/>
  <c r="P85" i="13"/>
  <c r="P67" i="13"/>
  <c r="P34" i="13"/>
  <c r="P68" i="13" s="1"/>
  <c r="P86" i="13"/>
  <c r="P82" i="13"/>
  <c r="P150" i="13" s="1"/>
  <c r="P36" i="13"/>
  <c r="P9" i="13"/>
  <c r="P80" i="13"/>
  <c r="P48" i="13"/>
  <c r="P32" i="13"/>
  <c r="P71" i="13"/>
  <c r="P55" i="13"/>
  <c r="P28" i="13"/>
  <c r="P181" i="13"/>
  <c r="P69" i="13"/>
  <c r="P12" i="13"/>
  <c r="P5" i="13"/>
  <c r="P6" i="13" s="1"/>
  <c r="X74" i="13"/>
  <c r="X54" i="13"/>
  <c r="X96" i="13"/>
  <c r="T131" i="13"/>
  <c r="T132" i="13" s="1"/>
  <c r="T26" i="13"/>
  <c r="T142" i="13" s="1"/>
  <c r="AZ1143" i="1"/>
  <c r="AZ28" i="11" s="1"/>
  <c r="AZ1141" i="1"/>
  <c r="AZ26" i="11" s="1"/>
  <c r="AZ1142" i="1"/>
  <c r="AZ27" i="11" s="1"/>
  <c r="BG1137" i="1"/>
  <c r="BG709" i="1" s="1"/>
  <c r="BG1141" i="1"/>
  <c r="BG26" i="11" s="1"/>
  <c r="BG1140" i="1"/>
  <c r="BG1139" i="1"/>
  <c r="BG1138" i="1"/>
  <c r="BG788" i="1" s="1"/>
  <c r="S11" i="12" s="1"/>
  <c r="AZ1137" i="1"/>
  <c r="AZ22" i="11" s="1"/>
  <c r="AZ1140" i="1"/>
  <c r="AZ25" i="11" s="1"/>
  <c r="BG1142" i="1"/>
  <c r="BG27" i="11" s="1"/>
  <c r="AE131" i="13"/>
  <c r="AE132" i="13" s="1"/>
  <c r="AE26" i="13"/>
  <c r="AE142" i="13" s="1"/>
  <c r="AE17" i="13"/>
  <c r="AE114" i="13" s="1"/>
  <c r="AB26" i="13"/>
  <c r="AB142" i="13" s="1"/>
  <c r="AB131" i="13"/>
  <c r="Z6" i="13"/>
  <c r="AC131" i="13"/>
  <c r="AC26" i="13"/>
  <c r="AC142" i="13" s="1"/>
  <c r="Z131" i="13"/>
  <c r="Z26" i="13"/>
  <c r="Z142" i="13" s="1"/>
  <c r="AB25" i="13"/>
  <c r="Z172" i="13"/>
  <c r="Y179" i="13"/>
  <c r="Y178" i="13"/>
  <c r="AE15" i="13"/>
  <c r="AE122" i="13"/>
  <c r="AC25" i="13"/>
  <c r="U177" i="13"/>
  <c r="Z25" i="13"/>
  <c r="AE110" i="13"/>
  <c r="AE63" i="13"/>
  <c r="AW1140" i="1"/>
  <c r="AW25" i="11" s="1"/>
  <c r="AA131" i="13"/>
  <c r="AA26" i="13"/>
  <c r="AA142" i="13" s="1"/>
  <c r="Z141" i="13"/>
  <c r="Z27" i="13"/>
  <c r="AF153" i="13"/>
  <c r="AF81" i="13"/>
  <c r="AF79" i="13"/>
  <c r="AF70" i="13"/>
  <c r="AF36" i="13"/>
  <c r="AF71" i="13"/>
  <c r="AF49" i="13"/>
  <c r="AF171" i="13" s="1"/>
  <c r="AF8" i="13"/>
  <c r="AF17" i="13" s="1"/>
  <c r="AF87" i="13"/>
  <c r="AF152" i="13"/>
  <c r="AF80" i="13"/>
  <c r="AF9" i="13"/>
  <c r="AF18" i="13" s="1"/>
  <c r="AF5" i="13"/>
  <c r="AF15" i="13" s="1"/>
  <c r="AF82" i="13"/>
  <c r="AF150" i="13" s="1"/>
  <c r="AG3" i="13"/>
  <c r="AF10" i="13"/>
  <c r="AF19" i="13" s="1"/>
  <c r="AF35" i="13"/>
  <c r="AF34" i="13"/>
  <c r="AF68" i="13" s="1"/>
  <c r="AF32" i="13"/>
  <c r="AF28" i="13"/>
  <c r="AF2" i="13"/>
  <c r="Z140" i="13"/>
  <c r="Z29" i="13"/>
  <c r="AT129" i="9"/>
  <c r="N26" i="12"/>
  <c r="AW1143" i="1"/>
  <c r="AW28" i="11" s="1"/>
  <c r="AW1138" i="1"/>
  <c r="N140" i="12"/>
  <c r="M73" i="12"/>
  <c r="AW1137" i="1"/>
  <c r="R74" i="12"/>
  <c r="N124" i="12"/>
  <c r="N134" i="12" s="1"/>
  <c r="M54" i="12"/>
  <c r="M76" i="12" s="1"/>
  <c r="N144" i="12"/>
  <c r="P16" i="12"/>
  <c r="O15" i="12"/>
  <c r="O30" i="12"/>
  <c r="L151" i="12" a="1"/>
  <c r="L151" i="12" s="1"/>
  <c r="M152" i="12" s="1"/>
  <c r="L129" i="12" a="1"/>
  <c r="L129" i="12" s="1"/>
  <c r="M130" i="12" s="1"/>
  <c r="L103" i="12"/>
  <c r="L138" i="12" a="1"/>
  <c r="L138" i="12" s="1"/>
  <c r="M139" i="12" s="1"/>
  <c r="L121" i="12" a="1"/>
  <c r="L121" i="12" s="1"/>
  <c r="M122" i="12" s="1"/>
  <c r="L119" i="12" a="1"/>
  <c r="L119" i="12" s="1"/>
  <c r="L85" i="12" a="1"/>
  <c r="L85" i="12" s="1"/>
  <c r="L146" i="12" s="1"/>
  <c r="L87" i="12" a="1"/>
  <c r="L87" i="12" s="1"/>
  <c r="L84" i="12" a="1"/>
  <c r="L84" i="12" s="1"/>
  <c r="L72" i="12" a="1"/>
  <c r="L72" i="12" s="1"/>
  <c r="L63" i="12" a="1"/>
  <c r="L63" i="12" s="1"/>
  <c r="L83" i="12" a="1"/>
  <c r="L83" i="12" s="1"/>
  <c r="L65" i="12" a="1"/>
  <c r="L65" i="12" s="1"/>
  <c r="L66" i="12"/>
  <c r="L64" i="12" a="1"/>
  <c r="L64" i="12" s="1"/>
  <c r="L125" i="12" a="1"/>
  <c r="L125" i="12" s="1"/>
  <c r="M126" i="12" s="1"/>
  <c r="L43" i="12" a="1"/>
  <c r="L43" i="12" s="1"/>
  <c r="L81" i="12" s="1"/>
  <c r="L37" i="12" a="1"/>
  <c r="L37" i="12" s="1"/>
  <c r="L28" i="12"/>
  <c r="L21" i="12"/>
  <c r="L55" i="12" a="1"/>
  <c r="L55" i="12" s="1"/>
  <c r="L142" i="12" a="1"/>
  <c r="L142" i="12" s="1"/>
  <c r="M143" i="12" s="1"/>
  <c r="L52" i="12" a="1"/>
  <c r="L52" i="12" s="1"/>
  <c r="L13" i="12" a="1"/>
  <c r="L13" i="12" s="1"/>
  <c r="M18" i="12" s="1"/>
  <c r="L67" i="12" a="1"/>
  <c r="L67" i="12" s="1"/>
  <c r="L68" i="12" s="1" a="1"/>
  <c r="L68" i="12" s="1"/>
  <c r="L53" i="12" a="1"/>
  <c r="L53" i="12" s="1"/>
  <c r="K5" i="12"/>
  <c r="L34" i="12" a="1"/>
  <c r="L34" i="12" s="1"/>
  <c r="L7" i="12" a="1"/>
  <c r="L7" i="12" s="1"/>
  <c r="M74" i="12"/>
  <c r="N8" i="12"/>
  <c r="O9" i="12" s="1"/>
  <c r="R123" i="12"/>
  <c r="R124" i="12" s="1"/>
  <c r="R8" i="12"/>
  <c r="R145" i="12"/>
  <c r="R147" i="12" s="1"/>
  <c r="R109" i="12"/>
  <c r="M137" i="12"/>
  <c r="M44" i="12"/>
  <c r="N45" i="12" s="1"/>
  <c r="M38" i="12"/>
  <c r="N39" i="12" s="1"/>
  <c r="M41" i="12"/>
  <c r="O39" i="12"/>
  <c r="M35" i="12"/>
  <c r="M141" i="12" s="1"/>
  <c r="M145" i="12"/>
  <c r="N147" i="12" s="1"/>
  <c r="N148" i="12" s="1"/>
  <c r="N149" i="12" s="1"/>
  <c r="M115" i="12"/>
  <c r="M109" i="12"/>
  <c r="M108" i="12"/>
  <c r="M113" i="12"/>
  <c r="M116" i="12"/>
  <c r="M114" i="12"/>
  <c r="N153" i="12"/>
  <c r="N154" i="12" s="1"/>
  <c r="Q23" i="12"/>
  <c r="Q24" i="12"/>
  <c r="N48" i="12"/>
  <c r="N77" i="12"/>
  <c r="N76" i="12"/>
  <c r="N56" i="12"/>
  <c r="Q15" i="12"/>
  <c r="Q16" i="12"/>
  <c r="R150" i="12"/>
  <c r="R105" i="12"/>
  <c r="R25" i="12"/>
  <c r="R26" i="12"/>
  <c r="R22" i="12"/>
  <c r="Q9" i="12"/>
  <c r="Q10" i="12"/>
  <c r="M123" i="12"/>
  <c r="M8" i="12"/>
  <c r="O111" i="12"/>
  <c r="O61" i="12"/>
  <c r="O58" i="12"/>
  <c r="O69" i="12" a="1"/>
  <c r="O69" i="12" s="1"/>
  <c r="O70" i="12" s="1"/>
  <c r="S121" i="12" a="1"/>
  <c r="S121" i="12" s="1"/>
  <c r="S122" i="12" s="1"/>
  <c r="S87" i="12" a="1"/>
  <c r="S87" i="12" s="1"/>
  <c r="S129" i="12" a="1"/>
  <c r="S129" i="12" s="1"/>
  <c r="S130" i="12" s="1"/>
  <c r="S67" i="12" a="1"/>
  <c r="S67" i="12" s="1"/>
  <c r="S68" i="12" s="1" a="1"/>
  <c r="S68" i="12" s="1"/>
  <c r="S85" i="12" a="1"/>
  <c r="S85" i="12" s="1"/>
  <c r="S146" i="12" s="1"/>
  <c r="S84" i="12" a="1"/>
  <c r="S84" i="12" s="1"/>
  <c r="S66" i="12"/>
  <c r="S119" i="12" a="1"/>
  <c r="S119" i="12" s="1"/>
  <c r="S65" i="12" a="1"/>
  <c r="S65" i="12" s="1"/>
  <c r="S125" i="12" a="1"/>
  <c r="S125" i="12" s="1"/>
  <c r="S126" i="12" s="1"/>
  <c r="S55" i="12" a="1"/>
  <c r="S55" i="12" s="1"/>
  <c r="S21" i="12"/>
  <c r="S13" i="12" a="1"/>
  <c r="S13" i="12" s="1"/>
  <c r="S7" i="12" a="1"/>
  <c r="S7" i="12" s="1"/>
  <c r="S103" i="12"/>
  <c r="S64" i="12" a="1"/>
  <c r="S64" i="12" s="1"/>
  <c r="N22" i="12"/>
  <c r="M106" i="12"/>
  <c r="M17" i="12"/>
  <c r="M127" i="12"/>
  <c r="M131" i="12" s="1"/>
  <c r="R106" i="12"/>
  <c r="R18" i="12"/>
  <c r="R14" i="12"/>
  <c r="R17" i="12"/>
  <c r="M150" i="12"/>
  <c r="M26" i="12"/>
  <c r="M22" i="12"/>
  <c r="M105" i="12"/>
  <c r="M25" i="12"/>
  <c r="P9" i="12"/>
  <c r="M32" i="12"/>
  <c r="K891" i="1"/>
  <c r="K878" i="1" s="1"/>
  <c r="K4" i="9"/>
  <c r="J891" i="1"/>
  <c r="J878" i="1" s="1"/>
  <c r="J879" i="1" s="1"/>
  <c r="J880" i="1" s="1"/>
  <c r="J4" i="9"/>
  <c r="J6" i="9" s="1"/>
  <c r="J11" i="9" s="1"/>
  <c r="G891" i="1"/>
  <c r="G878" i="1" s="1"/>
  <c r="G879" i="1" s="1"/>
  <c r="G880" i="1" s="1"/>
  <c r="G4" i="9"/>
  <c r="G6" i="9" s="1"/>
  <c r="G11" i="9" s="1"/>
  <c r="S891" i="1"/>
  <c r="S878" i="1" s="1"/>
  <c r="S879" i="1" s="1"/>
  <c r="S880" i="1" s="1"/>
  <c r="S4" i="9"/>
  <c r="S6" i="9" s="1"/>
  <c r="S11" i="9" s="1"/>
  <c r="Z891" i="1"/>
  <c r="Z878" i="1" s="1"/>
  <c r="Z4" i="9"/>
  <c r="O891" i="1"/>
  <c r="O878" i="1" s="1"/>
  <c r="O879" i="1" s="1"/>
  <c r="O880" i="1" s="1"/>
  <c r="O4" i="9"/>
  <c r="O6" i="9" s="1"/>
  <c r="O11" i="9" s="1"/>
  <c r="P891" i="1"/>
  <c r="P878" i="1" s="1"/>
  <c r="P4" i="9"/>
  <c r="F891" i="1"/>
  <c r="F878" i="1" s="1"/>
  <c r="F4" i="9"/>
  <c r="AL891" i="1"/>
  <c r="AL878" i="1" s="1"/>
  <c r="AL879" i="1" s="1"/>
  <c r="AL4" i="9"/>
  <c r="AL6" i="9" s="1"/>
  <c r="AL11" i="9" s="1"/>
  <c r="AA891" i="1"/>
  <c r="AA878" i="1" s="1"/>
  <c r="AA879" i="1" s="1"/>
  <c r="AA880" i="1" s="1"/>
  <c r="AA4" i="9"/>
  <c r="AA6" i="9" s="1"/>
  <c r="AA11" i="9" s="1"/>
  <c r="AB891" i="1"/>
  <c r="AB878" i="1" s="1"/>
  <c r="AB879" i="1" s="1"/>
  <c r="AB880" i="1" s="1"/>
  <c r="AB4" i="9"/>
  <c r="AB6" i="9" s="1"/>
  <c r="AB11" i="9" s="1"/>
  <c r="E891" i="1"/>
  <c r="E878" i="1" s="1"/>
  <c r="E4" i="9"/>
  <c r="AQ891" i="1"/>
  <c r="AQ878" i="1" s="1"/>
  <c r="AQ879" i="1" s="1"/>
  <c r="AQ4" i="9"/>
  <c r="AQ6" i="9" s="1"/>
  <c r="AQ11" i="9" s="1"/>
  <c r="Y891" i="1"/>
  <c r="Y878" i="1" s="1"/>
  <c r="Y879" i="1" s="1"/>
  <c r="Y880" i="1" s="1"/>
  <c r="Y4" i="9"/>
  <c r="Y6" i="9" s="1"/>
  <c r="Y11" i="9" s="1"/>
  <c r="AM891" i="1"/>
  <c r="AM878" i="1" s="1"/>
  <c r="AM879" i="1" s="1"/>
  <c r="AM4" i="9"/>
  <c r="AM6" i="9" s="1"/>
  <c r="AM11" i="9" s="1"/>
  <c r="AN891" i="1"/>
  <c r="AN878" i="1" s="1"/>
  <c r="AN879" i="1" s="1"/>
  <c r="AN4" i="9"/>
  <c r="AN6" i="9" s="1"/>
  <c r="AN11" i="9" s="1"/>
  <c r="X121" i="9"/>
  <c r="X155" i="9"/>
  <c r="X71" i="9"/>
  <c r="F155" i="9"/>
  <c r="F121" i="9"/>
  <c r="F122" i="9" s="1"/>
  <c r="F71" i="9"/>
  <c r="AS155" i="9"/>
  <c r="AS121" i="9"/>
  <c r="AW122" i="9" s="1"/>
  <c r="AW125" i="9" s="1"/>
  <c r="W134" i="13" s="1"/>
  <c r="AS71" i="9"/>
  <c r="AE891" i="1"/>
  <c r="AE878" i="1" s="1"/>
  <c r="AE4" i="9"/>
  <c r="BE25" i="11"/>
  <c r="AW892" i="1"/>
  <c r="AW878" i="1" s="1"/>
  <c r="AV892" i="1"/>
  <c r="AV878" i="1" s="1"/>
  <c r="BG892" i="1"/>
  <c r="BG878" i="1" s="1"/>
  <c r="S80" i="12" s="1" a="1"/>
  <c r="S80" i="12" s="1"/>
  <c r="BF892" i="1"/>
  <c r="BF878" i="1" s="1"/>
  <c r="R80" i="12" s="1" a="1"/>
  <c r="R80" i="12" s="1"/>
  <c r="BE892" i="1"/>
  <c r="BE878" i="1" s="1"/>
  <c r="Q80" i="12" s="1" a="1"/>
  <c r="Q80" i="12" s="1"/>
  <c r="BD892" i="1"/>
  <c r="BC892" i="1"/>
  <c r="BC878" i="1" s="1"/>
  <c r="BB892" i="1"/>
  <c r="BB878" i="1" s="1"/>
  <c r="BA892" i="1"/>
  <c r="BA878" i="1" s="1"/>
  <c r="AZ892" i="1"/>
  <c r="AZ878" i="1" s="1"/>
  <c r="AY892" i="1"/>
  <c r="AY878" i="1" s="1"/>
  <c r="O80" i="12" s="1" a="1"/>
  <c r="O80" i="12" s="1"/>
  <c r="AX892" i="1"/>
  <c r="AX878" i="1" s="1"/>
  <c r="BE4" i="9"/>
  <c r="BF4" i="9"/>
  <c r="BB4" i="9"/>
  <c r="AX4" i="9"/>
  <c r="BA4" i="9"/>
  <c r="AZ4" i="9"/>
  <c r="BG4" i="9"/>
  <c r="AV4" i="9"/>
  <c r="AW4" i="9"/>
  <c r="BC4" i="9"/>
  <c r="BD4" i="9"/>
  <c r="BE28" i="11"/>
  <c r="AL155" i="9"/>
  <c r="AL121" i="9"/>
  <c r="AL122" i="9" s="1"/>
  <c r="AL71" i="9"/>
  <c r="AZ1021" i="1"/>
  <c r="M891" i="1"/>
  <c r="M878" i="1" s="1"/>
  <c r="M879" i="1" s="1"/>
  <c r="M880" i="1" s="1"/>
  <c r="M4" i="9"/>
  <c r="M6" i="9" s="1"/>
  <c r="M11" i="9" s="1"/>
  <c r="L891" i="1"/>
  <c r="L878" i="1" s="1"/>
  <c r="L879" i="1" s="1"/>
  <c r="L880" i="1" s="1"/>
  <c r="L4" i="9"/>
  <c r="L6" i="9" s="1"/>
  <c r="L11" i="9" s="1"/>
  <c r="AJ155" i="9"/>
  <c r="AJ121" i="9"/>
  <c r="AJ122" i="9" s="1"/>
  <c r="AJ71" i="9"/>
  <c r="BC788" i="1"/>
  <c r="BC23" i="11"/>
  <c r="BE709" i="1"/>
  <c r="BE22" i="11"/>
  <c r="AV1143" i="1"/>
  <c r="AV28" i="11" s="1"/>
  <c r="AV1140" i="1"/>
  <c r="AV25" i="11" s="1"/>
  <c r="AV1142" i="1"/>
  <c r="AV27" i="11" s="1"/>
  <c r="AV1138" i="1"/>
  <c r="AV1139" i="1"/>
  <c r="AV1137" i="1"/>
  <c r="AV1141" i="1"/>
  <c r="S121" i="9"/>
  <c r="S155" i="9"/>
  <c r="S71" i="9"/>
  <c r="BD90" i="9"/>
  <c r="BD630" i="1"/>
  <c r="BD631" i="1" s="1"/>
  <c r="BD638" i="1" s="1"/>
  <c r="BD1029" i="1"/>
  <c r="BD17" i="11"/>
  <c r="BD109" i="11"/>
  <c r="BD1104" i="1"/>
  <c r="BF1142" i="1"/>
  <c r="BF1143" i="1"/>
  <c r="BF1140" i="1"/>
  <c r="BF1137" i="1"/>
  <c r="BF1138" i="1"/>
  <c r="BF1139" i="1"/>
  <c r="BF1141" i="1"/>
  <c r="AY4" i="9"/>
  <c r="AP891" i="1"/>
  <c r="AP878" i="1" s="1"/>
  <c r="AP879" i="1" s="1"/>
  <c r="AP4" i="9"/>
  <c r="AP6" i="9" s="1"/>
  <c r="AP11" i="9" s="1"/>
  <c r="AI891" i="1"/>
  <c r="AI878" i="1" s="1"/>
  <c r="AI879" i="1" s="1"/>
  <c r="AI880" i="1" s="1"/>
  <c r="AI4" i="9"/>
  <c r="AI6" i="9" s="1"/>
  <c r="AI11" i="9" s="1"/>
  <c r="AO891" i="1"/>
  <c r="AO878" i="1" s="1"/>
  <c r="M80" i="12" s="1" a="1"/>
  <c r="M80" i="12" s="1"/>
  <c r="AO4" i="9"/>
  <c r="Y122" i="9"/>
  <c r="U155" i="9"/>
  <c r="U121" i="9"/>
  <c r="U122" i="9" s="1"/>
  <c r="U71" i="9"/>
  <c r="K129" i="9"/>
  <c r="E125" i="9"/>
  <c r="E129" i="9"/>
  <c r="AY24" i="11"/>
  <c r="C1170" i="1"/>
  <c r="AY155" i="9"/>
  <c r="AY121" i="9"/>
  <c r="AY122" i="9" s="1"/>
  <c r="AY125" i="9" s="1"/>
  <c r="Y134" i="13" s="1"/>
  <c r="AP155" i="9"/>
  <c r="AP121" i="9"/>
  <c r="AP71" i="9"/>
  <c r="P125" i="9"/>
  <c r="P129" i="9"/>
  <c r="AY788" i="1"/>
  <c r="O11" i="12" s="1"/>
  <c r="AY23" i="11"/>
  <c r="AF155" i="9"/>
  <c r="AF121" i="9"/>
  <c r="AF71" i="9"/>
  <c r="AA155" i="9"/>
  <c r="AA121" i="9"/>
  <c r="AA122" i="9" s="1"/>
  <c r="AA71" i="9"/>
  <c r="Z155" i="9"/>
  <c r="Z121" i="9"/>
  <c r="Z122" i="9" s="1"/>
  <c r="Z71" i="9"/>
  <c r="O155" i="9"/>
  <c r="O121" i="9"/>
  <c r="O71" i="9"/>
  <c r="N155" i="9"/>
  <c r="N121" i="9"/>
  <c r="N71" i="9"/>
  <c r="AX155" i="9"/>
  <c r="AX121" i="9"/>
  <c r="AX122" i="9" s="1"/>
  <c r="AX125" i="9" s="1"/>
  <c r="X134" i="13" s="1"/>
  <c r="R155" i="9"/>
  <c r="R121" i="9"/>
  <c r="R71" i="9"/>
  <c r="AR155" i="9"/>
  <c r="AR121" i="9"/>
  <c r="AR71" i="9"/>
  <c r="AY26" i="11"/>
  <c r="X891" i="1"/>
  <c r="X878" i="1" s="1"/>
  <c r="X879" i="1" s="1"/>
  <c r="X880" i="1" s="1"/>
  <c r="X4" i="9"/>
  <c r="X6" i="9" s="1"/>
  <c r="X11" i="9" s="1"/>
  <c r="L155" i="9"/>
  <c r="L121" i="9"/>
  <c r="L71" i="9"/>
  <c r="BC709" i="1"/>
  <c r="BC22" i="11"/>
  <c r="AE121" i="9"/>
  <c r="AE122" i="9" s="1"/>
  <c r="AE155" i="9"/>
  <c r="AE71" i="9"/>
  <c r="T155" i="9"/>
  <c r="T121" i="9"/>
  <c r="W122" i="9" s="1"/>
  <c r="T71" i="9"/>
  <c r="AO129" i="9"/>
  <c r="G155" i="9"/>
  <c r="G121" i="9"/>
  <c r="G71" i="9"/>
  <c r="BD1142" i="1"/>
  <c r="BD27" i="11" s="1"/>
  <c r="BD1137" i="1"/>
  <c r="BD1141" i="1"/>
  <c r="BD1138" i="1"/>
  <c r="BD1140" i="1"/>
  <c r="BD1139" i="1"/>
  <c r="BD24" i="11" s="1"/>
  <c r="BD1143" i="1"/>
  <c r="AY28" i="11"/>
  <c r="C155" i="9"/>
  <c r="C121" i="9"/>
  <c r="C122" i="9" s="1"/>
  <c r="C71" i="9"/>
  <c r="BA27" i="11"/>
  <c r="BC24" i="11"/>
  <c r="AD155" i="9"/>
  <c r="AD121" i="9"/>
  <c r="AD71" i="9"/>
  <c r="BB1141" i="1"/>
  <c r="BB1140" i="1"/>
  <c r="BB1138" i="1"/>
  <c r="BB1137" i="1"/>
  <c r="BB1143" i="1"/>
  <c r="BB1142" i="1"/>
  <c r="BB1139" i="1"/>
  <c r="BE27" i="11"/>
  <c r="AY709" i="1"/>
  <c r="AY22" i="11"/>
  <c r="W891" i="1"/>
  <c r="W878" i="1" s="1"/>
  <c r="W879" i="1" s="1"/>
  <c r="W880" i="1" s="1"/>
  <c r="W4" i="9"/>
  <c r="W6" i="9" s="1"/>
  <c r="W11" i="9" s="1"/>
  <c r="AC891" i="1"/>
  <c r="AC878" i="1" s="1"/>
  <c r="AC879" i="1" s="1"/>
  <c r="AC880" i="1" s="1"/>
  <c r="AC4" i="9"/>
  <c r="AC6" i="9" s="1"/>
  <c r="AC11" i="9" s="1"/>
  <c r="H891" i="1"/>
  <c r="H878" i="1" s="1"/>
  <c r="H879" i="1" s="1"/>
  <c r="H880" i="1" s="1"/>
  <c r="H4" i="9"/>
  <c r="H6" i="9" s="1"/>
  <c r="H11" i="9" s="1"/>
  <c r="I891" i="1"/>
  <c r="I878" i="1" s="1"/>
  <c r="I879" i="1" s="1"/>
  <c r="I880" i="1" s="1"/>
  <c r="I4" i="9"/>
  <c r="I6" i="9" s="1"/>
  <c r="I11" i="9" s="1"/>
  <c r="BG25" i="11"/>
  <c r="I155" i="9"/>
  <c r="I121" i="9"/>
  <c r="I71" i="9"/>
  <c r="BC27" i="11"/>
  <c r="D125" i="9"/>
  <c r="D129" i="9"/>
  <c r="AZ1056" i="1"/>
  <c r="AZ1015" i="1"/>
  <c r="AM155" i="9"/>
  <c r="AM121" i="9"/>
  <c r="AM71" i="9"/>
  <c r="BE788" i="1"/>
  <c r="Q11" i="12" s="1"/>
  <c r="BE23" i="11"/>
  <c r="AY25" i="11"/>
  <c r="V891" i="1"/>
  <c r="V878" i="1" s="1"/>
  <c r="V879" i="1" s="1"/>
  <c r="V880" i="1" s="1"/>
  <c r="V4" i="9"/>
  <c r="V6" i="9" s="1"/>
  <c r="V11" i="9" s="1"/>
  <c r="AK891" i="1"/>
  <c r="AK878" i="1" s="1"/>
  <c r="AK879" i="1" s="1"/>
  <c r="AK4" i="9"/>
  <c r="AK6" i="9" s="1"/>
  <c r="AK11" i="9" s="1"/>
  <c r="Q891" i="1"/>
  <c r="Q878" i="1" s="1"/>
  <c r="Q879" i="1" s="1"/>
  <c r="Q880" i="1" s="1"/>
  <c r="Q4" i="9"/>
  <c r="Q6" i="9" s="1"/>
  <c r="Q11" i="9" s="1"/>
  <c r="AD891" i="1"/>
  <c r="AD878" i="1" s="1"/>
  <c r="AD879" i="1" s="1"/>
  <c r="AD880" i="1" s="1"/>
  <c r="AD4" i="9"/>
  <c r="AD6" i="9" s="1"/>
  <c r="AD11" i="9" s="1"/>
  <c r="T891" i="1"/>
  <c r="T878" i="1" s="1"/>
  <c r="T879" i="1" s="1"/>
  <c r="T880" i="1" s="1"/>
  <c r="T4" i="9"/>
  <c r="T6" i="9" s="1"/>
  <c r="T11" i="9" s="1"/>
  <c r="U891" i="1"/>
  <c r="U878" i="1" s="1"/>
  <c r="U4" i="9"/>
  <c r="BG24" i="11"/>
  <c r="H155" i="9"/>
  <c r="H121" i="9"/>
  <c r="H71" i="9"/>
  <c r="BA28" i="11"/>
  <c r="AV122" i="9"/>
  <c r="AV125" i="9" s="1"/>
  <c r="V134" i="13" s="1"/>
  <c r="AQ121" i="9"/>
  <c r="AQ155" i="9"/>
  <c r="AQ71" i="9"/>
  <c r="BE24" i="11"/>
  <c r="AJ891" i="1"/>
  <c r="AJ878" i="1" s="1"/>
  <c r="L80" i="12" s="1" a="1"/>
  <c r="L80" i="12" s="1"/>
  <c r="AJ4" i="9"/>
  <c r="N891" i="1"/>
  <c r="N878" i="1" s="1"/>
  <c r="N879" i="1" s="1"/>
  <c r="N880" i="1" s="1"/>
  <c r="N4" i="9"/>
  <c r="N6" i="9" s="1"/>
  <c r="N11" i="9" s="1"/>
  <c r="AT891" i="1"/>
  <c r="AT878" i="1" s="1"/>
  <c r="N80" i="12" s="1" a="1"/>
  <c r="N80" i="12" s="1"/>
  <c r="AT4" i="9"/>
  <c r="AU891" i="1"/>
  <c r="AU878" i="1" s="1"/>
  <c r="AU4" i="9"/>
  <c r="AU6" i="9" s="1"/>
  <c r="AU11" i="9" s="1"/>
  <c r="R891" i="1"/>
  <c r="R878" i="1" s="1"/>
  <c r="R879" i="1" s="1"/>
  <c r="R880" i="1" s="1"/>
  <c r="R4" i="9"/>
  <c r="R6" i="9" s="1"/>
  <c r="R11" i="9" s="1"/>
  <c r="AF891" i="1"/>
  <c r="AF878" i="1" s="1"/>
  <c r="AF879" i="1" s="1"/>
  <c r="AF880" i="1" s="1"/>
  <c r="AF4" i="9"/>
  <c r="AF6" i="9" s="1"/>
  <c r="AF11" i="9" s="1"/>
  <c r="AG891" i="1"/>
  <c r="AG878" i="1" s="1"/>
  <c r="AG879" i="1" s="1"/>
  <c r="AG880" i="1" s="1"/>
  <c r="AG4" i="9"/>
  <c r="AG6" i="9" s="1"/>
  <c r="AG11" i="9" s="1"/>
  <c r="AZ23" i="11"/>
  <c r="AZ788" i="1"/>
  <c r="BG23" i="11"/>
  <c r="D891" i="1"/>
  <c r="D878" i="1" s="1"/>
  <c r="D4" i="9"/>
  <c r="AH891" i="1"/>
  <c r="AH878" i="1" s="1"/>
  <c r="AH879" i="1" s="1"/>
  <c r="AH880" i="1" s="1"/>
  <c r="AH4" i="9"/>
  <c r="AH6" i="9" s="1"/>
  <c r="AH11" i="9" s="1"/>
  <c r="AR891" i="1"/>
  <c r="AR878" i="1" s="1"/>
  <c r="AR879" i="1" s="1"/>
  <c r="AR4" i="9"/>
  <c r="AR6" i="9" s="1"/>
  <c r="AR11" i="9" s="1"/>
  <c r="AS891" i="1"/>
  <c r="AS878" i="1" s="1"/>
  <c r="AS879" i="1" s="1"/>
  <c r="AS4" i="9"/>
  <c r="AS6" i="9" s="1"/>
  <c r="AS11" i="9" s="1"/>
  <c r="AG155" i="9"/>
  <c r="AG121" i="9"/>
  <c r="AG71" i="9"/>
  <c r="BA788" i="1"/>
  <c r="BA23" i="11"/>
  <c r="AV835" i="1"/>
  <c r="AV836" i="1"/>
  <c r="V174" i="13" s="1"/>
  <c r="V177" i="13" s="1"/>
  <c r="AV834" i="1"/>
  <c r="BD878" i="1"/>
  <c r="P80" i="12" s="1" a="1"/>
  <c r="P80" i="12" s="1"/>
  <c r="AZ24" i="11"/>
  <c r="BG28" i="11"/>
  <c r="AZ824" i="1"/>
  <c r="AZ839" i="1"/>
  <c r="AZ966" i="1"/>
  <c r="AZ132" i="9"/>
  <c r="AZ133" i="9" s="1"/>
  <c r="AZ1074" i="1"/>
  <c r="A35" i="15" l="1"/>
  <c r="G14" i="15"/>
  <c r="G20" i="15" s="1"/>
  <c r="G25" i="15" s="1"/>
  <c r="G26" i="15" s="1"/>
  <c r="D20" i="15"/>
  <c r="BG22" i="11"/>
  <c r="O10" i="12"/>
  <c r="O104" i="13"/>
  <c r="T114" i="13"/>
  <c r="M77" i="12"/>
  <c r="Q25" i="13"/>
  <c r="T126" i="13"/>
  <c r="AF52" i="13"/>
  <c r="N122" i="9"/>
  <c r="AF122" i="9"/>
  <c r="AF129" i="9" s="1"/>
  <c r="AG122" i="9"/>
  <c r="S25" i="13"/>
  <c r="M153" i="12"/>
  <c r="O64" i="13"/>
  <c r="S172" i="13"/>
  <c r="AZ122" i="9"/>
  <c r="AE123" i="13"/>
  <c r="R104" i="13"/>
  <c r="R177" i="13"/>
  <c r="AZ709" i="1"/>
  <c r="V80" i="12"/>
  <c r="I26" i="14"/>
  <c r="F26" i="14"/>
  <c r="BA22" i="11"/>
  <c r="BA709" i="1"/>
  <c r="O40" i="12"/>
  <c r="P140" i="13"/>
  <c r="P29" i="13"/>
  <c r="O170" i="13"/>
  <c r="O172" i="13" s="1"/>
  <c r="O108" i="13"/>
  <c r="O116" i="13" s="1"/>
  <c r="O97" i="13"/>
  <c r="O124" i="13"/>
  <c r="O122" i="13"/>
  <c r="O149" i="13"/>
  <c r="O94" i="13"/>
  <c r="O99" i="13"/>
  <c r="O126" i="13"/>
  <c r="O92" i="13"/>
  <c r="O101" i="13"/>
  <c r="O120" i="13"/>
  <c r="O90" i="13"/>
  <c r="O118" i="13"/>
  <c r="O114" i="13"/>
  <c r="S76" i="13"/>
  <c r="S75" i="13"/>
  <c r="Q6" i="13"/>
  <c r="T120" i="13"/>
  <c r="T177" i="13"/>
  <c r="T173" i="13"/>
  <c r="N153" i="13"/>
  <c r="N48" i="13"/>
  <c r="N2" i="13"/>
  <c r="N137" i="13"/>
  <c r="N84" i="13"/>
  <c r="N32" i="13"/>
  <c r="N87" i="13"/>
  <c r="N36" i="13"/>
  <c r="N13" i="13"/>
  <c r="N85" i="13"/>
  <c r="N70" i="13"/>
  <c r="N9" i="13"/>
  <c r="N82" i="13"/>
  <c r="N150" i="13" s="1"/>
  <c r="N12" i="13"/>
  <c r="N28" i="13"/>
  <c r="N80" i="13"/>
  <c r="N107" i="13"/>
  <c r="N170" i="13" s="1"/>
  <c r="N10" i="13"/>
  <c r="N71" i="13"/>
  <c r="N8" i="13"/>
  <c r="N5" i="13"/>
  <c r="N6" i="13" s="1"/>
  <c r="N181" i="13"/>
  <c r="N69" i="13"/>
  <c r="N67" i="13"/>
  <c r="N81" i="13"/>
  <c r="N152" i="13"/>
  <c r="N79" i="13"/>
  <c r="N7" i="13"/>
  <c r="N11" i="13"/>
  <c r="N174" i="13"/>
  <c r="N55" i="13"/>
  <c r="N49" i="13"/>
  <c r="N171" i="13" s="1"/>
  <c r="N72" i="13"/>
  <c r="N35" i="13"/>
  <c r="N136" i="13"/>
  <c r="N86" i="13"/>
  <c r="N34" i="13"/>
  <c r="N68" i="13" s="1"/>
  <c r="O131" i="13"/>
  <c r="O132" i="13" s="1"/>
  <c r="O26" i="13"/>
  <c r="O142" i="13" s="1"/>
  <c r="O21" i="13"/>
  <c r="O141" i="13"/>
  <c r="O27" i="13"/>
  <c r="S141" i="13"/>
  <c r="S27" i="13"/>
  <c r="S140" i="13"/>
  <c r="S29" i="13"/>
  <c r="O112" i="13"/>
  <c r="O111" i="13"/>
  <c r="O54" i="13"/>
  <c r="O74" i="13"/>
  <c r="O24" i="13"/>
  <c r="O16" i="13"/>
  <c r="T62" i="13"/>
  <c r="T61" i="13"/>
  <c r="T63" i="13"/>
  <c r="R25" i="13"/>
  <c r="R149" i="13"/>
  <c r="R90" i="13"/>
  <c r="R92" i="13"/>
  <c r="R101" i="13"/>
  <c r="R99" i="13"/>
  <c r="R97" i="13"/>
  <c r="R94" i="13"/>
  <c r="R24" i="13"/>
  <c r="O52" i="13"/>
  <c r="O115" i="13" s="1"/>
  <c r="S91" i="13"/>
  <c r="S93" i="13"/>
  <c r="S89" i="13"/>
  <c r="S96" i="13"/>
  <c r="S100" i="13"/>
  <c r="S98" i="13"/>
  <c r="S177" i="13"/>
  <c r="Q141" i="13"/>
  <c r="Q27" i="13"/>
  <c r="T128" i="13"/>
  <c r="P96" i="13"/>
  <c r="P89" i="13"/>
  <c r="P98" i="13"/>
  <c r="P91" i="13"/>
  <c r="P93" i="13"/>
  <c r="P100" i="13"/>
  <c r="O75" i="13"/>
  <c r="O76" i="13"/>
  <c r="K174" i="13"/>
  <c r="K49" i="13"/>
  <c r="K171" i="13" s="1"/>
  <c r="K84" i="13"/>
  <c r="K107" i="13"/>
  <c r="K170" i="13" s="1"/>
  <c r="K86" i="13"/>
  <c r="K7" i="13"/>
  <c r="K87" i="13"/>
  <c r="K34" i="13"/>
  <c r="K68" i="13" s="1"/>
  <c r="K36" i="13"/>
  <c r="K85" i="13"/>
  <c r="K11" i="13"/>
  <c r="K8" i="13"/>
  <c r="K82" i="13"/>
  <c r="K150" i="13" s="1"/>
  <c r="K9" i="13"/>
  <c r="K13" i="13"/>
  <c r="K80" i="13"/>
  <c r="K12" i="13"/>
  <c r="K10" i="13"/>
  <c r="K152" i="13"/>
  <c r="K71" i="13"/>
  <c r="K79" i="13"/>
  <c r="K2" i="13"/>
  <c r="K181" i="13"/>
  <c r="K69" i="13"/>
  <c r="K35" i="13"/>
  <c r="K72" i="13"/>
  <c r="K153" i="13"/>
  <c r="K67" i="13"/>
  <c r="K32" i="13"/>
  <c r="K81" i="13"/>
  <c r="K28" i="13"/>
  <c r="K136" i="13"/>
  <c r="K48" i="13"/>
  <c r="K5" i="13"/>
  <c r="K137" i="13"/>
  <c r="K70" i="13"/>
  <c r="K55" i="13"/>
  <c r="T111" i="13"/>
  <c r="T123" i="13"/>
  <c r="T115" i="13"/>
  <c r="T112" i="13"/>
  <c r="T119" i="13"/>
  <c r="P131" i="13"/>
  <c r="P26" i="13"/>
  <c r="P142" i="13" s="1"/>
  <c r="R140" i="13"/>
  <c r="R29" i="13"/>
  <c r="O18" i="13"/>
  <c r="O110" i="13" s="1"/>
  <c r="O140" i="13"/>
  <c r="O29" i="13"/>
  <c r="O25" i="13"/>
  <c r="Q172" i="13"/>
  <c r="Q76" i="13"/>
  <c r="Q75" i="13"/>
  <c r="P24" i="13"/>
  <c r="R76" i="13"/>
  <c r="R75" i="13"/>
  <c r="AD171" i="13"/>
  <c r="AD52" i="13"/>
  <c r="O100" i="13"/>
  <c r="O98" i="13"/>
  <c r="O96" i="13"/>
  <c r="O93" i="13"/>
  <c r="O89" i="13"/>
  <c r="O91" i="13"/>
  <c r="Q131" i="13"/>
  <c r="Q26" i="13"/>
  <c r="Q142" i="13" s="1"/>
  <c r="R141" i="13"/>
  <c r="R27" i="13"/>
  <c r="S131" i="13"/>
  <c r="S26" i="13"/>
  <c r="S142" i="13" s="1"/>
  <c r="Q74" i="13"/>
  <c r="Q54" i="13"/>
  <c r="P141" i="13"/>
  <c r="P27" i="13"/>
  <c r="P172" i="13"/>
  <c r="P177" i="13" s="1"/>
  <c r="S74" i="13"/>
  <c r="S54" i="13"/>
  <c r="Q140" i="13"/>
  <c r="Q29" i="13"/>
  <c r="Q99" i="13"/>
  <c r="Q97" i="13"/>
  <c r="Q94" i="13"/>
  <c r="Q92" i="13"/>
  <c r="Q90" i="13"/>
  <c r="Q149" i="13"/>
  <c r="Q101" i="13"/>
  <c r="AQ122" i="9"/>
  <c r="P10" i="12"/>
  <c r="P74" i="13"/>
  <c r="P54" i="13"/>
  <c r="P25" i="13"/>
  <c r="R74" i="13"/>
  <c r="R54" i="13"/>
  <c r="R100" i="13"/>
  <c r="R93" i="13"/>
  <c r="R98" i="13"/>
  <c r="R91" i="13"/>
  <c r="R89" i="13"/>
  <c r="R96" i="13"/>
  <c r="M152" i="13"/>
  <c r="M70" i="13"/>
  <c r="M32" i="13"/>
  <c r="M12" i="13"/>
  <c r="M181" i="13"/>
  <c r="M136" i="13"/>
  <c r="M28" i="13"/>
  <c r="M153" i="13"/>
  <c r="M87" i="13"/>
  <c r="M10" i="13"/>
  <c r="M137" i="13"/>
  <c r="M69" i="13"/>
  <c r="M71" i="13"/>
  <c r="M85" i="13"/>
  <c r="M34" i="13"/>
  <c r="M68" i="13" s="1"/>
  <c r="M107" i="13"/>
  <c r="M170" i="13" s="1"/>
  <c r="M172" i="13" s="1"/>
  <c r="M48" i="13"/>
  <c r="M55" i="13"/>
  <c r="M86" i="13"/>
  <c r="M9" i="13"/>
  <c r="M8" i="13"/>
  <c r="M84" i="13"/>
  <c r="M82" i="13"/>
  <c r="M150" i="13" s="1"/>
  <c r="M36" i="13"/>
  <c r="M81" i="13"/>
  <c r="M7" i="13"/>
  <c r="M2" i="13"/>
  <c r="M79" i="13"/>
  <c r="M67" i="13"/>
  <c r="M13" i="13"/>
  <c r="M72" i="13"/>
  <c r="M49" i="13"/>
  <c r="M171" i="13" s="1"/>
  <c r="M5" i="13"/>
  <c r="M174" i="13"/>
  <c r="M80" i="13"/>
  <c r="M35" i="13"/>
  <c r="M11" i="13"/>
  <c r="O22" i="13"/>
  <c r="O184" i="13" s="1"/>
  <c r="O185" i="13" s="1"/>
  <c r="L49" i="13"/>
  <c r="L171" i="13" s="1"/>
  <c r="L12" i="13"/>
  <c r="L107" i="13"/>
  <c r="L170" i="13" s="1"/>
  <c r="L87" i="13"/>
  <c r="L7" i="13"/>
  <c r="L181" i="13"/>
  <c r="L69" i="13"/>
  <c r="L34" i="13"/>
  <c r="L68" i="13" s="1"/>
  <c r="L86" i="13"/>
  <c r="L36" i="13"/>
  <c r="L8" i="13"/>
  <c r="L84" i="13"/>
  <c r="L85" i="13"/>
  <c r="L9" i="13"/>
  <c r="L81" i="13"/>
  <c r="L48" i="13"/>
  <c r="L2" i="13"/>
  <c r="L79" i="13"/>
  <c r="L137" i="13"/>
  <c r="L5" i="13"/>
  <c r="L72" i="13"/>
  <c r="L35" i="13"/>
  <c r="L80" i="13"/>
  <c r="L153" i="13"/>
  <c r="L70" i="13"/>
  <c r="L32" i="13"/>
  <c r="L11" i="13"/>
  <c r="L174" i="13"/>
  <c r="L82" i="13"/>
  <c r="L150" i="13" s="1"/>
  <c r="L28" i="13"/>
  <c r="L71" i="13"/>
  <c r="L152" i="13"/>
  <c r="L55" i="13"/>
  <c r="L10" i="13"/>
  <c r="L136" i="13"/>
  <c r="L67" i="13"/>
  <c r="L13" i="13"/>
  <c r="S104" i="13"/>
  <c r="Q104" i="13"/>
  <c r="P76" i="13"/>
  <c r="P75" i="13"/>
  <c r="P97" i="13"/>
  <c r="P90" i="13"/>
  <c r="P92" i="13"/>
  <c r="P94" i="13"/>
  <c r="P149" i="13"/>
  <c r="P101" i="13"/>
  <c r="P99" i="13"/>
  <c r="R131" i="13"/>
  <c r="R26" i="13"/>
  <c r="R142" i="13" s="1"/>
  <c r="J137" i="13"/>
  <c r="J82" i="13"/>
  <c r="J150" i="13" s="1"/>
  <c r="E3" i="13"/>
  <c r="J80" i="13"/>
  <c r="J12" i="13"/>
  <c r="J28" i="13"/>
  <c r="J136" i="13"/>
  <c r="J71" i="13"/>
  <c r="F3" i="13"/>
  <c r="F148" i="13" s="1"/>
  <c r="J9" i="13"/>
  <c r="J182" i="13"/>
  <c r="J69" i="13"/>
  <c r="J8" i="13"/>
  <c r="J86" i="13"/>
  <c r="J107" i="13"/>
  <c r="I3" i="13"/>
  <c r="J10" i="13"/>
  <c r="J19" i="13" s="1"/>
  <c r="J84" i="13"/>
  <c r="J152" i="13"/>
  <c r="J55" i="13"/>
  <c r="J2" i="13"/>
  <c r="J81" i="13"/>
  <c r="H3" i="13"/>
  <c r="J5" i="13"/>
  <c r="J79" i="13"/>
  <c r="J67" i="13"/>
  <c r="J35" i="13"/>
  <c r="J11" i="13"/>
  <c r="J20" i="13" s="1"/>
  <c r="J72" i="13"/>
  <c r="J49" i="13"/>
  <c r="J171" i="13" s="1"/>
  <c r="G3" i="13"/>
  <c r="J174" i="13"/>
  <c r="J70" i="13"/>
  <c r="J13" i="13"/>
  <c r="J34" i="13"/>
  <c r="J68" i="13" s="1"/>
  <c r="J181" i="13"/>
  <c r="J87" i="13"/>
  <c r="J36" i="13"/>
  <c r="J32" i="13"/>
  <c r="J153" i="13"/>
  <c r="J85" i="13"/>
  <c r="J104" i="13" s="1"/>
  <c r="J48" i="13"/>
  <c r="J51" i="13" s="1"/>
  <c r="J7" i="13"/>
  <c r="J24" i="13" s="1"/>
  <c r="O15" i="13"/>
  <c r="O6" i="13"/>
  <c r="S6" i="13"/>
  <c r="Q100" i="13"/>
  <c r="Q98" i="13"/>
  <c r="Q96" i="13"/>
  <c r="Q93" i="13"/>
  <c r="Q91" i="13"/>
  <c r="Q89" i="13"/>
  <c r="T124" i="13"/>
  <c r="M122" i="9"/>
  <c r="P104" i="13"/>
  <c r="S94" i="13"/>
  <c r="S101" i="13"/>
  <c r="S92" i="13"/>
  <c r="S90" i="13"/>
  <c r="S97" i="13"/>
  <c r="S99" i="13"/>
  <c r="S149" i="13"/>
  <c r="AS880" i="1"/>
  <c r="S148" i="13"/>
  <c r="AF63" i="13"/>
  <c r="G148" i="13"/>
  <c r="AE112" i="13"/>
  <c r="AE111" i="13"/>
  <c r="AG152" i="13"/>
  <c r="AG153" i="13"/>
  <c r="AG87" i="13"/>
  <c r="AG82" i="13"/>
  <c r="AG150" i="13" s="1"/>
  <c r="AG80" i="13"/>
  <c r="AG71" i="13"/>
  <c r="AG70" i="13"/>
  <c r="AG34" i="13"/>
  <c r="AG68" i="13" s="1"/>
  <c r="AG81" i="13"/>
  <c r="AG32" i="13"/>
  <c r="AG28" i="13"/>
  <c r="AG36" i="13"/>
  <c r="AG35" i="13"/>
  <c r="AG9" i="13"/>
  <c r="AG8" i="13"/>
  <c r="AG5" i="13"/>
  <c r="AG15" i="13" s="1"/>
  <c r="AG10" i="13"/>
  <c r="AG19" i="13" s="1"/>
  <c r="AG2" i="13"/>
  <c r="AG79" i="13"/>
  <c r="AG49" i="13"/>
  <c r="AG171" i="13" s="1"/>
  <c r="AF112" i="13"/>
  <c r="AF111" i="13"/>
  <c r="AN880" i="1"/>
  <c r="N148" i="13"/>
  <c r="AM880" i="1"/>
  <c r="M148" i="13"/>
  <c r="AL880" i="1"/>
  <c r="L148" i="13"/>
  <c r="AF25" i="13"/>
  <c r="AF131" i="13"/>
  <c r="AF132" i="13" s="1"/>
  <c r="AF26" i="13"/>
  <c r="AF142" i="13" s="1"/>
  <c r="I148" i="13"/>
  <c r="AK880" i="1"/>
  <c r="K148" i="13"/>
  <c r="AF110" i="13"/>
  <c r="AP880" i="1"/>
  <c r="P148" i="13"/>
  <c r="AQ880" i="1"/>
  <c r="Q148" i="13"/>
  <c r="H148" i="13"/>
  <c r="AR880" i="1"/>
  <c r="R148" i="13"/>
  <c r="AF123" i="13"/>
  <c r="AF122" i="13"/>
  <c r="AF114" i="13"/>
  <c r="AF115" i="13"/>
  <c r="M124" i="12"/>
  <c r="M132" i="12"/>
  <c r="J122" i="9"/>
  <c r="J129" i="9" s="1"/>
  <c r="Q122" i="9"/>
  <c r="Q129" i="9" s="1"/>
  <c r="M56" i="12"/>
  <c r="N58" i="12" s="1"/>
  <c r="O59" i="12" s="1"/>
  <c r="M154" i="12"/>
  <c r="L54" i="12"/>
  <c r="AW788" i="1"/>
  <c r="AW23" i="11"/>
  <c r="AM122" i="9"/>
  <c r="AM129" i="9" s="1"/>
  <c r="AK122" i="9"/>
  <c r="AK129" i="9" s="1"/>
  <c r="AW22" i="11"/>
  <c r="AW709" i="1"/>
  <c r="L82" i="12"/>
  <c r="S150" i="12"/>
  <c r="S26" i="12"/>
  <c r="S22" i="12"/>
  <c r="S25" i="12"/>
  <c r="S105" i="12"/>
  <c r="M140" i="12"/>
  <c r="N9" i="12"/>
  <c r="L114" i="12"/>
  <c r="L116" i="12"/>
  <c r="L145" i="12"/>
  <c r="M147" i="12" s="1"/>
  <c r="L108" i="12"/>
  <c r="L113" i="12"/>
  <c r="L109" i="12"/>
  <c r="L115" i="12"/>
  <c r="L150" i="12"/>
  <c r="L105" i="12"/>
  <c r="L25" i="12"/>
  <c r="M82" i="12"/>
  <c r="M91" i="12"/>
  <c r="L123" i="12"/>
  <c r="L32" i="12"/>
  <c r="S74" i="12"/>
  <c r="L35" i="12"/>
  <c r="L141" i="12" s="1"/>
  <c r="L137" i="12"/>
  <c r="L44" i="12"/>
  <c r="L41" i="12"/>
  <c r="M14" i="12"/>
  <c r="N111" i="12"/>
  <c r="N57" i="12"/>
  <c r="N61" i="12"/>
  <c r="N69" i="12" a="1"/>
  <c r="N69" i="12" s="1"/>
  <c r="N70" i="12" s="1"/>
  <c r="K125" i="12" a="1"/>
  <c r="K125" i="12" s="1"/>
  <c r="L126" i="12" s="1"/>
  <c r="K129" i="12" a="1"/>
  <c r="K129" i="12" s="1"/>
  <c r="L130" i="12" s="1"/>
  <c r="K119" i="12" a="1"/>
  <c r="K119" i="12" s="1"/>
  <c r="K103" i="12"/>
  <c r="K66" i="12"/>
  <c r="K55" i="12" a="1"/>
  <c r="K55" i="12" s="1"/>
  <c r="K151" i="12" a="1"/>
  <c r="K151" i="12" s="1"/>
  <c r="L152" i="12" s="1"/>
  <c r="K85" i="12" a="1"/>
  <c r="K85" i="12" s="1"/>
  <c r="K146" i="12" s="1"/>
  <c r="K142" i="12" a="1"/>
  <c r="K142" i="12" s="1"/>
  <c r="L143" i="12" s="1"/>
  <c r="K121" i="12" a="1"/>
  <c r="K121" i="12" s="1"/>
  <c r="L122" i="12" s="1"/>
  <c r="K80" i="12" a="1"/>
  <c r="K80" i="12" s="1"/>
  <c r="K64" i="12" a="1"/>
  <c r="K64" i="12" s="1"/>
  <c r="K43" i="12" a="1"/>
  <c r="K43" i="12" s="1"/>
  <c r="K81" i="12" s="1"/>
  <c r="K72" i="12" a="1"/>
  <c r="K72" i="12" s="1"/>
  <c r="K52" i="12" a="1"/>
  <c r="K52" i="12" s="1"/>
  <c r="K138" i="12" a="1"/>
  <c r="K138" i="12" s="1"/>
  <c r="L139" i="12" s="1"/>
  <c r="K65" i="12" a="1"/>
  <c r="K65" i="12" s="1"/>
  <c r="K63" i="12" a="1"/>
  <c r="K63" i="12" s="1"/>
  <c r="K83" i="12" a="1"/>
  <c r="K83" i="12" s="1"/>
  <c r="K28" i="12"/>
  <c r="L29" i="12" s="1"/>
  <c r="K87" i="12" a="1"/>
  <c r="K87" i="12" s="1"/>
  <c r="K7" i="12" a="1"/>
  <c r="K7" i="12" s="1"/>
  <c r="K127" i="12" s="1"/>
  <c r="K131" i="12" s="1"/>
  <c r="K34" i="12" a="1"/>
  <c r="K34" i="12" s="1"/>
  <c r="K21" i="12"/>
  <c r="L22" i="12" s="1"/>
  <c r="M23" i="12" s="1"/>
  <c r="K13" i="12" a="1"/>
  <c r="K13" i="12" s="1"/>
  <c r="K67" i="12" a="1"/>
  <c r="K67" i="12" s="1"/>
  <c r="K68" i="12" s="1" a="1"/>
  <c r="K68" i="12" s="1"/>
  <c r="K53" i="12" a="1"/>
  <c r="K53" i="12" s="1"/>
  <c r="K37" i="12" a="1"/>
  <c r="K37" i="12" s="1"/>
  <c r="J5" i="12"/>
  <c r="K84" i="12" a="1"/>
  <c r="K84" i="12" s="1"/>
  <c r="L127" i="12"/>
  <c r="L131" i="12" s="1"/>
  <c r="M128" i="12"/>
  <c r="R23" i="12"/>
  <c r="R24" i="12"/>
  <c r="N82" i="12"/>
  <c r="N91" i="12"/>
  <c r="L106" i="12"/>
  <c r="L17" i="12"/>
  <c r="M148" i="12"/>
  <c r="M149" i="12" s="1"/>
  <c r="M144" i="12"/>
  <c r="N23" i="12"/>
  <c r="P24" i="12"/>
  <c r="O24" i="12"/>
  <c r="O23" i="12"/>
  <c r="M57" i="12"/>
  <c r="M95" i="12" s="1"/>
  <c r="L76" i="12"/>
  <c r="L56" i="12"/>
  <c r="L69" i="12" s="1" a="1"/>
  <c r="L69" i="12" s="1"/>
  <c r="S123" i="12"/>
  <c r="S124" i="12" s="1"/>
  <c r="S8" i="12"/>
  <c r="M29" i="12"/>
  <c r="S106" i="12"/>
  <c r="S18" i="12"/>
  <c r="S14" i="12"/>
  <c r="S17" i="12"/>
  <c r="R9" i="12"/>
  <c r="R10" i="12"/>
  <c r="AU879" i="1"/>
  <c r="U80" i="12"/>
  <c r="R15" i="12"/>
  <c r="R16" i="12"/>
  <c r="S145" i="12"/>
  <c r="S147" i="12" s="1"/>
  <c r="S109" i="12"/>
  <c r="M48" i="12"/>
  <c r="L74" i="12"/>
  <c r="L73" i="12"/>
  <c r="M129" i="9"/>
  <c r="M125" i="9"/>
  <c r="AV5" i="9"/>
  <c r="AV6" i="9" s="1"/>
  <c r="AV11" i="9" s="1"/>
  <c r="AW836" i="1"/>
  <c r="W174" i="13" s="1"/>
  <c r="W177" i="13" s="1"/>
  <c r="AY884" i="1"/>
  <c r="AY882" i="1"/>
  <c r="AW835" i="1"/>
  <c r="AX835" i="1" s="1"/>
  <c r="AZ835" i="1" s="1"/>
  <c r="AZ840" i="1" s="1"/>
  <c r="BB788" i="1"/>
  <c r="BB23" i="11"/>
  <c r="T122" i="9"/>
  <c r="AO882" i="1"/>
  <c r="AO884" i="1"/>
  <c r="AO879" i="1"/>
  <c r="O148" i="13" s="1"/>
  <c r="BF28" i="11"/>
  <c r="F125" i="9"/>
  <c r="F129" i="9"/>
  <c r="F884" i="1"/>
  <c r="F879" i="1"/>
  <c r="F882" i="1"/>
  <c r="U6" i="9"/>
  <c r="U145" i="9"/>
  <c r="U147" i="9"/>
  <c r="BB25" i="11"/>
  <c r="R122" i="9"/>
  <c r="BF27" i="11"/>
  <c r="P6" i="9"/>
  <c r="P147" i="9"/>
  <c r="P145" i="9"/>
  <c r="BB26" i="11"/>
  <c r="C125" i="9"/>
  <c r="C129" i="9"/>
  <c r="BD28" i="11"/>
  <c r="AH122" i="9"/>
  <c r="AP122" i="9"/>
  <c r="AL125" i="9"/>
  <c r="L134" i="13" s="1"/>
  <c r="AL129" i="9"/>
  <c r="P884" i="1"/>
  <c r="P882" i="1"/>
  <c r="P879" i="1"/>
  <c r="AQ129" i="9"/>
  <c r="AQ125" i="9"/>
  <c r="Q134" i="13" s="1"/>
  <c r="AT884" i="1"/>
  <c r="AT879" i="1"/>
  <c r="T148" i="13" s="1"/>
  <c r="AT882" i="1"/>
  <c r="C891" i="1"/>
  <c r="C878" i="1" s="1"/>
  <c r="C4" i="9"/>
  <c r="V122" i="9"/>
  <c r="AJ125" i="9"/>
  <c r="J134" i="13" s="1"/>
  <c r="AJ129" i="9"/>
  <c r="AE147" i="9"/>
  <c r="AE145" i="9"/>
  <c r="AE6" i="9"/>
  <c r="E147" i="9"/>
  <c r="E145" i="9"/>
  <c r="E6" i="9"/>
  <c r="U879" i="1"/>
  <c r="U882" i="1"/>
  <c r="U884" i="1"/>
  <c r="AG129" i="9"/>
  <c r="AG125" i="9"/>
  <c r="BD25" i="11"/>
  <c r="AC122" i="9"/>
  <c r="AE882" i="1"/>
  <c r="AE884" i="1"/>
  <c r="AE879" i="1"/>
  <c r="E882" i="1"/>
  <c r="E884" i="1"/>
  <c r="E879" i="1"/>
  <c r="AT6" i="9"/>
  <c r="AT147" i="9"/>
  <c r="AT145" i="9"/>
  <c r="BD788" i="1"/>
  <c r="P11" i="12" s="1"/>
  <c r="BD23" i="11"/>
  <c r="W125" i="9"/>
  <c r="W129" i="9"/>
  <c r="AE125" i="9"/>
  <c r="AE129" i="9"/>
  <c r="AY145" i="9"/>
  <c r="S122" i="9"/>
  <c r="Z6" i="9"/>
  <c r="Z145" i="9"/>
  <c r="Z147" i="9"/>
  <c r="AK125" i="9"/>
  <c r="K134" i="13" s="1"/>
  <c r="AJ6" i="9"/>
  <c r="AJ145" i="9"/>
  <c r="AJ147" i="9"/>
  <c r="AD122" i="9"/>
  <c r="BD26" i="11"/>
  <c r="AI122" i="9"/>
  <c r="Y125" i="9"/>
  <c r="Y129" i="9"/>
  <c r="AV26" i="11"/>
  <c r="AS122" i="9"/>
  <c r="X122" i="9"/>
  <c r="Z882" i="1"/>
  <c r="Z884" i="1"/>
  <c r="Z879" i="1"/>
  <c r="AJ879" i="1"/>
  <c r="J148" i="13" s="1"/>
  <c r="AJ884" i="1"/>
  <c r="AJ882" i="1"/>
  <c r="BD709" i="1"/>
  <c r="BD22" i="11"/>
  <c r="N129" i="9"/>
  <c r="N125" i="9"/>
  <c r="O122" i="9"/>
  <c r="AF125" i="9"/>
  <c r="BF26" i="11"/>
  <c r="AV709" i="1"/>
  <c r="AV22" i="11"/>
  <c r="AV879" i="1"/>
  <c r="BB24" i="11"/>
  <c r="AU122" i="9"/>
  <c r="BF24" i="11"/>
  <c r="AB122" i="9"/>
  <c r="AV24" i="11"/>
  <c r="AV829" i="1"/>
  <c r="AW834" i="1"/>
  <c r="AV846" i="1"/>
  <c r="V181" i="13" s="1"/>
  <c r="D879" i="1"/>
  <c r="D884" i="1"/>
  <c r="D882" i="1"/>
  <c r="AN122" i="9"/>
  <c r="BB27" i="11"/>
  <c r="AA125" i="9"/>
  <c r="AA129" i="9"/>
  <c r="BF788" i="1"/>
  <c r="R11" i="12" s="1"/>
  <c r="BF23" i="11"/>
  <c r="AV788" i="1"/>
  <c r="AV23" i="11"/>
  <c r="D147" i="9"/>
  <c r="D145" i="9"/>
  <c r="D6" i="9"/>
  <c r="BA1011" i="1"/>
  <c r="AZ1014" i="1"/>
  <c r="BB28" i="11"/>
  <c r="AR122" i="9"/>
  <c r="Z129" i="9"/>
  <c r="Z125" i="9"/>
  <c r="BF709" i="1"/>
  <c r="BF22" i="11"/>
  <c r="K147" i="9"/>
  <c r="K6" i="9"/>
  <c r="K145" i="9"/>
  <c r="BB709" i="1"/>
  <c r="BB22" i="11"/>
  <c r="L122" i="9"/>
  <c r="U129" i="9"/>
  <c r="U125" i="9"/>
  <c r="AO147" i="9"/>
  <c r="AO145" i="9"/>
  <c r="AO6" i="9"/>
  <c r="BF25" i="11"/>
  <c r="BA1017" i="1"/>
  <c r="AZ1020" i="1"/>
  <c r="F147" i="9"/>
  <c r="F145" i="9"/>
  <c r="F6" i="9"/>
  <c r="K882" i="1"/>
  <c r="K879" i="1"/>
  <c r="K884" i="1"/>
  <c r="AZ89" i="9"/>
  <c r="AZ853" i="1"/>
  <c r="AZ76" i="9"/>
  <c r="E148" i="13" l="1"/>
  <c r="M6" i="13"/>
  <c r="K25" i="13"/>
  <c r="L77" i="12"/>
  <c r="O128" i="13"/>
  <c r="L172" i="13"/>
  <c r="L177" i="13" s="1"/>
  <c r="J52" i="13"/>
  <c r="J62" i="13" s="1"/>
  <c r="L104" i="13"/>
  <c r="K24" i="13"/>
  <c r="M69" i="12" a="1"/>
  <c r="M69" i="12" s="1"/>
  <c r="M70" i="12" s="1"/>
  <c r="Q125" i="9"/>
  <c r="M134" i="12"/>
  <c r="H84" i="13"/>
  <c r="H49" i="13"/>
  <c r="H7" i="13"/>
  <c r="H81" i="13"/>
  <c r="H8" i="13"/>
  <c r="H28" i="13"/>
  <c r="H79" i="13"/>
  <c r="H13" i="13"/>
  <c r="H9" i="13"/>
  <c r="H174" i="13"/>
  <c r="H72" i="13"/>
  <c r="H67" i="13"/>
  <c r="H10" i="13"/>
  <c r="H153" i="13"/>
  <c r="H70" i="13"/>
  <c r="H87" i="13"/>
  <c r="H2" i="13"/>
  <c r="H136" i="13"/>
  <c r="H48" i="13"/>
  <c r="H5" i="13"/>
  <c r="H181" i="13"/>
  <c r="H85" i="13"/>
  <c r="H12" i="13"/>
  <c r="H152" i="13"/>
  <c r="H69" i="13"/>
  <c r="H35" i="13"/>
  <c r="H137" i="13"/>
  <c r="H80" i="13"/>
  <c r="H11" i="13"/>
  <c r="H107" i="13"/>
  <c r="H36" i="13"/>
  <c r="H82" i="13"/>
  <c r="H150" i="13" s="1"/>
  <c r="H71" i="13"/>
  <c r="H34" i="13"/>
  <c r="H68" i="13" s="1"/>
  <c r="H86" i="13"/>
  <c r="H55" i="13"/>
  <c r="H32" i="13"/>
  <c r="J16" i="13"/>
  <c r="L24" i="13"/>
  <c r="M131" i="13"/>
  <c r="M26" i="13"/>
  <c r="M142" i="13" s="1"/>
  <c r="Q177" i="13"/>
  <c r="K75" i="13"/>
  <c r="K76" i="13"/>
  <c r="K100" i="13"/>
  <c r="K98" i="13"/>
  <c r="K96" i="13"/>
  <c r="K93" i="13"/>
  <c r="K91" i="13"/>
  <c r="K89" i="13"/>
  <c r="K172" i="13"/>
  <c r="K177" i="13" s="1"/>
  <c r="N24" i="13"/>
  <c r="N96" i="13"/>
  <c r="N100" i="13"/>
  <c r="N98" i="13"/>
  <c r="N89" i="13"/>
  <c r="N91" i="13"/>
  <c r="N93" i="13"/>
  <c r="J22" i="13"/>
  <c r="J140" i="13"/>
  <c r="J29" i="13"/>
  <c r="J61" i="13"/>
  <c r="J74" i="13"/>
  <c r="J54" i="13"/>
  <c r="K29" i="13"/>
  <c r="K140" i="13"/>
  <c r="J92" i="13"/>
  <c r="J94" i="13"/>
  <c r="J90" i="13"/>
  <c r="J101" i="13"/>
  <c r="J149" i="13"/>
  <c r="J99" i="13"/>
  <c r="J97" i="13"/>
  <c r="J184" i="13"/>
  <c r="J185" i="13" s="1"/>
  <c r="L149" i="13"/>
  <c r="L94" i="13"/>
  <c r="L101" i="13"/>
  <c r="L99" i="13"/>
  <c r="L97" i="13"/>
  <c r="L90" i="13"/>
  <c r="L92" i="13"/>
  <c r="M140" i="13"/>
  <c r="M29" i="13"/>
  <c r="K131" i="13"/>
  <c r="K26" i="13"/>
  <c r="K142" i="13" s="1"/>
  <c r="N141" i="13"/>
  <c r="N27" i="13"/>
  <c r="O127" i="13"/>
  <c r="O59" i="13"/>
  <c r="O143" i="13" s="1"/>
  <c r="J18" i="13"/>
  <c r="J110" i="13" s="1"/>
  <c r="J131" i="13"/>
  <c r="J132" i="13" s="1"/>
  <c r="J26" i="13"/>
  <c r="J142" i="13" s="1"/>
  <c r="L131" i="13"/>
  <c r="L26" i="13"/>
  <c r="L142" i="13" s="1"/>
  <c r="L141" i="13"/>
  <c r="L27" i="13"/>
  <c r="M75" i="13"/>
  <c r="M76" i="13"/>
  <c r="AD112" i="13"/>
  <c r="AD123" i="13"/>
  <c r="AD115" i="13"/>
  <c r="AD63" i="13"/>
  <c r="N149" i="13"/>
  <c r="N101" i="13"/>
  <c r="N99" i="13"/>
  <c r="N97" i="13"/>
  <c r="N90" i="13"/>
  <c r="N92" i="13"/>
  <c r="N94" i="13"/>
  <c r="O123" i="13"/>
  <c r="G80" i="13"/>
  <c r="G84" i="13"/>
  <c r="G48" i="13"/>
  <c r="G51" i="13" s="1"/>
  <c r="G64" i="13" s="1"/>
  <c r="G71" i="13"/>
  <c r="G69" i="13"/>
  <c r="G10" i="13"/>
  <c r="G181" i="13"/>
  <c r="G107" i="13"/>
  <c r="G35" i="13"/>
  <c r="G2" i="13"/>
  <c r="G153" i="13"/>
  <c r="G86" i="13"/>
  <c r="G32" i="13"/>
  <c r="G5" i="13"/>
  <c r="G136" i="13"/>
  <c r="G81" i="13"/>
  <c r="G28" i="13"/>
  <c r="G174" i="13"/>
  <c r="G72" i="13"/>
  <c r="G11" i="13"/>
  <c r="G134" i="13"/>
  <c r="G55" i="13"/>
  <c r="G70" i="13"/>
  <c r="G152" i="13"/>
  <c r="G67" i="13"/>
  <c r="G12" i="13"/>
  <c r="G137" i="13"/>
  <c r="G49" i="13"/>
  <c r="G79" i="13"/>
  <c r="G87" i="13"/>
  <c r="G34" i="13"/>
  <c r="G68" i="13" s="1"/>
  <c r="G7" i="13"/>
  <c r="G85" i="13"/>
  <c r="G104" i="13" s="1"/>
  <c r="G36" i="13"/>
  <c r="G13" i="13"/>
  <c r="G82" i="13"/>
  <c r="G150" i="13" s="1"/>
  <c r="G9" i="13"/>
  <c r="G8" i="13"/>
  <c r="F82" i="13"/>
  <c r="F150" i="13" s="1"/>
  <c r="F8" i="13"/>
  <c r="F5" i="13"/>
  <c r="F80" i="13"/>
  <c r="F34" i="13"/>
  <c r="F68" i="13" s="1"/>
  <c r="F13" i="13"/>
  <c r="F152" i="13"/>
  <c r="F71" i="13"/>
  <c r="F11" i="13"/>
  <c r="F20" i="13" s="1"/>
  <c r="F9" i="13"/>
  <c r="F181" i="13"/>
  <c r="F84" i="13"/>
  <c r="F49" i="13"/>
  <c r="F2" i="13"/>
  <c r="F153" i="13"/>
  <c r="F69" i="13"/>
  <c r="F79" i="13"/>
  <c r="F134" i="13"/>
  <c r="F48" i="13"/>
  <c r="F51" i="13" s="1"/>
  <c r="F12" i="13"/>
  <c r="F174" i="13"/>
  <c r="F72" i="13"/>
  <c r="F36" i="13"/>
  <c r="F137" i="13"/>
  <c r="F70" i="13"/>
  <c r="F35" i="13"/>
  <c r="F107" i="13"/>
  <c r="F67" i="13"/>
  <c r="F32" i="13"/>
  <c r="F136" i="13"/>
  <c r="F86" i="13"/>
  <c r="F81" i="13"/>
  <c r="F87" i="13"/>
  <c r="F55" i="13"/>
  <c r="F28" i="13"/>
  <c r="F85" i="13"/>
  <c r="F104" i="13" s="1"/>
  <c r="F10" i="13"/>
  <c r="F19" i="13" s="1"/>
  <c r="F7" i="13"/>
  <c r="L140" i="13"/>
  <c r="L29" i="13"/>
  <c r="M177" i="13"/>
  <c r="K54" i="13"/>
  <c r="K74" i="13"/>
  <c r="N76" i="13"/>
  <c r="N75" i="13"/>
  <c r="N131" i="13"/>
  <c r="R132" i="13" s="1"/>
  <c r="R135" i="13" s="1"/>
  <c r="N26" i="13"/>
  <c r="N142" i="13" s="1"/>
  <c r="T178" i="13"/>
  <c r="T179" i="13"/>
  <c r="J64" i="13"/>
  <c r="L75" i="13"/>
  <c r="L76" i="13"/>
  <c r="M27" i="13"/>
  <c r="M141" i="13"/>
  <c r="K6" i="13"/>
  <c r="N74" i="13"/>
  <c r="N54" i="13"/>
  <c r="L100" i="13"/>
  <c r="L98" i="13"/>
  <c r="L96" i="13"/>
  <c r="L93" i="13"/>
  <c r="L89" i="13"/>
  <c r="L91" i="13"/>
  <c r="L25" i="13"/>
  <c r="M24" i="13"/>
  <c r="M104" i="13"/>
  <c r="K104" i="13"/>
  <c r="N104" i="13"/>
  <c r="O177" i="13"/>
  <c r="O173" i="13"/>
  <c r="O176" i="13" s="1"/>
  <c r="M90" i="13"/>
  <c r="M149" i="13"/>
  <c r="M101" i="13"/>
  <c r="M99" i="13"/>
  <c r="M97" i="13"/>
  <c r="M92" i="13"/>
  <c r="M94" i="13"/>
  <c r="N140" i="13"/>
  <c r="N29" i="13"/>
  <c r="AG52" i="13"/>
  <c r="AG63" i="13" s="1"/>
  <c r="I153" i="13"/>
  <c r="I67" i="13"/>
  <c r="I81" i="13"/>
  <c r="I10" i="13"/>
  <c r="I87" i="13"/>
  <c r="I35" i="13"/>
  <c r="I2" i="13"/>
  <c r="I85" i="13"/>
  <c r="I21" i="13"/>
  <c r="I32" i="13"/>
  <c r="I82" i="13"/>
  <c r="I150" i="13" s="1"/>
  <c r="I34" i="13"/>
  <c r="I68" i="13" s="1"/>
  <c r="I28" i="13"/>
  <c r="I5" i="13"/>
  <c r="I80" i="13"/>
  <c r="I12" i="13"/>
  <c r="I86" i="13"/>
  <c r="I152" i="13"/>
  <c r="I71" i="13"/>
  <c r="I11" i="13"/>
  <c r="I69" i="13"/>
  <c r="I18" i="13"/>
  <c r="I181" i="13"/>
  <c r="I84" i="13"/>
  <c r="I103" i="13" s="1"/>
  <c r="I144" i="13" s="1"/>
  <c r="I72" i="13"/>
  <c r="I17" i="13"/>
  <c r="I79" i="13"/>
  <c r="I49" i="13"/>
  <c r="I171" i="13" s="1"/>
  <c r="I136" i="13"/>
  <c r="I48" i="13"/>
  <c r="I36" i="13"/>
  <c r="I137" i="13"/>
  <c r="I55" i="13"/>
  <c r="I13" i="13"/>
  <c r="I174" i="13"/>
  <c r="I52" i="13"/>
  <c r="I9" i="13"/>
  <c r="I107" i="13"/>
  <c r="I170" i="13" s="1"/>
  <c r="I70" i="13"/>
  <c r="I7" i="13"/>
  <c r="I24" i="13" s="1"/>
  <c r="I8" i="13"/>
  <c r="J21" i="13"/>
  <c r="J141" i="13"/>
  <c r="J27" i="13"/>
  <c r="N25" i="13"/>
  <c r="AG25" i="13"/>
  <c r="J75" i="13"/>
  <c r="J76" i="13"/>
  <c r="J170" i="13"/>
  <c r="J172" i="13" s="1"/>
  <c r="J108" i="13"/>
  <c r="J124" i="13" s="1"/>
  <c r="J100" i="13"/>
  <c r="J98" i="13"/>
  <c r="J89" i="13"/>
  <c r="J91" i="13"/>
  <c r="J96" i="13"/>
  <c r="J93" i="13"/>
  <c r="L6" i="13"/>
  <c r="L15" i="13"/>
  <c r="M89" i="13"/>
  <c r="M100" i="13"/>
  <c r="M98" i="13"/>
  <c r="M93" i="13"/>
  <c r="M96" i="13"/>
  <c r="M91" i="13"/>
  <c r="M74" i="13"/>
  <c r="M54" i="13"/>
  <c r="K149" i="13"/>
  <c r="K151" i="13" s="1"/>
  <c r="K154" i="13" s="1"/>
  <c r="K101" i="13"/>
  <c r="K99" i="13"/>
  <c r="K97" i="13"/>
  <c r="K94" i="13"/>
  <c r="K92" i="13"/>
  <c r="K90" i="13"/>
  <c r="L74" i="13"/>
  <c r="L54" i="13"/>
  <c r="O62" i="13"/>
  <c r="O61" i="13"/>
  <c r="O63" i="13"/>
  <c r="D148" i="13"/>
  <c r="L153" i="12"/>
  <c r="J6" i="13"/>
  <c r="J15" i="13"/>
  <c r="J168" i="13" s="1"/>
  <c r="J25" i="13"/>
  <c r="E136" i="13"/>
  <c r="E80" i="13"/>
  <c r="D3" i="13"/>
  <c r="O39" i="13" s="1"/>
  <c r="O43" i="13" s="1"/>
  <c r="E153" i="13"/>
  <c r="E181" i="13"/>
  <c r="E182" i="13" s="1"/>
  <c r="E85" i="13"/>
  <c r="E104" i="13" s="1"/>
  <c r="E8" i="13"/>
  <c r="E174" i="13"/>
  <c r="E107" i="13"/>
  <c r="E13" i="13"/>
  <c r="E7" i="13"/>
  <c r="E152" i="13"/>
  <c r="E87" i="13"/>
  <c r="E34" i="13"/>
  <c r="E68" i="13" s="1"/>
  <c r="E9" i="13"/>
  <c r="E137" i="13"/>
  <c r="E49" i="13"/>
  <c r="E11" i="13"/>
  <c r="E20" i="13" s="1"/>
  <c r="E2" i="13"/>
  <c r="E67" i="13"/>
  <c r="E82" i="13"/>
  <c r="E150" i="13" s="1"/>
  <c r="E134" i="13"/>
  <c r="E10" i="13"/>
  <c r="E19" i="13" s="1"/>
  <c r="E86" i="13"/>
  <c r="E71" i="13"/>
  <c r="E36" i="13"/>
  <c r="E84" i="13"/>
  <c r="E48" i="13"/>
  <c r="E51" i="13" s="1"/>
  <c r="E17" i="13"/>
  <c r="E81" i="13"/>
  <c r="E55" i="13"/>
  <c r="E22" i="13"/>
  <c r="E79" i="13"/>
  <c r="E35" i="13"/>
  <c r="E5" i="13"/>
  <c r="E72" i="13"/>
  <c r="E32" i="13"/>
  <c r="E69" i="13"/>
  <c r="E70" i="13"/>
  <c r="E28" i="13"/>
  <c r="E12" i="13"/>
  <c r="M25" i="13"/>
  <c r="K141" i="13"/>
  <c r="K27" i="13"/>
  <c r="N172" i="13"/>
  <c r="N177" i="13" s="1"/>
  <c r="O119" i="13"/>
  <c r="J17" i="13"/>
  <c r="F167" i="13"/>
  <c r="O168" i="13"/>
  <c r="O166" i="13"/>
  <c r="O151" i="13"/>
  <c r="O154" i="13" s="1"/>
  <c r="O167" i="13"/>
  <c r="S151" i="13"/>
  <c r="S154" i="13" s="1"/>
  <c r="S167" i="13"/>
  <c r="R167" i="13"/>
  <c r="R151" i="13"/>
  <c r="R154" i="13" s="1"/>
  <c r="Q151" i="13"/>
  <c r="Q154" i="13" s="1"/>
  <c r="Q167" i="13"/>
  <c r="T168" i="13"/>
  <c r="T166" i="13"/>
  <c r="T151" i="13"/>
  <c r="T154" i="13" s="1"/>
  <c r="T167" i="13"/>
  <c r="T176" i="13"/>
  <c r="P167" i="13"/>
  <c r="P151" i="13"/>
  <c r="P154" i="13" s="1"/>
  <c r="H167" i="13"/>
  <c r="AG131" i="13"/>
  <c r="AG132" i="13" s="1"/>
  <c r="AG26" i="13"/>
  <c r="AG142" i="13" s="1"/>
  <c r="AV880" i="1"/>
  <c r="V148" i="13"/>
  <c r="J166" i="13"/>
  <c r="J151" i="13"/>
  <c r="J154" i="13" s="1"/>
  <c r="J167" i="13"/>
  <c r="AU880" i="1"/>
  <c r="U148" i="13"/>
  <c r="G167" i="13"/>
  <c r="K167" i="13"/>
  <c r="N167" i="13"/>
  <c r="N151" i="13"/>
  <c r="N154" i="13" s="1"/>
  <c r="I167" i="13"/>
  <c r="L168" i="13"/>
  <c r="L151" i="13"/>
  <c r="L154" i="13" s="1"/>
  <c r="L167" i="13"/>
  <c r="AG17" i="13"/>
  <c r="AG122" i="13" s="1"/>
  <c r="AG38" i="13"/>
  <c r="AG42" i="13" s="1"/>
  <c r="M167" i="13"/>
  <c r="M151" i="13"/>
  <c r="M154" i="13" s="1"/>
  <c r="AG18" i="13"/>
  <c r="AG110" i="13" s="1"/>
  <c r="AY835" i="1"/>
  <c r="M111" i="12"/>
  <c r="L124" i="12"/>
  <c r="AM125" i="9"/>
  <c r="M134" i="13" s="1"/>
  <c r="L128" i="12"/>
  <c r="M61" i="12"/>
  <c r="N94" i="12"/>
  <c r="N86" i="12"/>
  <c r="N88" i="12" s="1"/>
  <c r="N96" i="12"/>
  <c r="K116" i="12"/>
  <c r="K114" i="12"/>
  <c r="K115" i="12"/>
  <c r="K113" i="12"/>
  <c r="K109" i="12"/>
  <c r="K108" i="12"/>
  <c r="K145" i="12"/>
  <c r="L147" i="12" s="1"/>
  <c r="L144" i="12"/>
  <c r="J151" i="12" a="1"/>
  <c r="J151" i="12" s="1"/>
  <c r="K152" i="12" s="1"/>
  <c r="J142" i="12" a="1"/>
  <c r="J142" i="12" s="1"/>
  <c r="K143" i="12" s="1"/>
  <c r="J138" i="12" a="1"/>
  <c r="J138" i="12" s="1"/>
  <c r="K139" i="12" s="1"/>
  <c r="J83" i="12" a="1"/>
  <c r="J83" i="12" s="1"/>
  <c r="J103" i="12"/>
  <c r="J66" i="12"/>
  <c r="J52" i="12" a="1"/>
  <c r="J52" i="12" s="1"/>
  <c r="J125" i="12" a="1"/>
  <c r="J125" i="12" s="1"/>
  <c r="K126" i="12" s="1"/>
  <c r="K128" i="12" s="1"/>
  <c r="J67" i="12" a="1"/>
  <c r="J67" i="12" s="1"/>
  <c r="J68" i="12" s="1" a="1"/>
  <c r="J68" i="12" s="1"/>
  <c r="J53" i="12" a="1"/>
  <c r="J53" i="12" s="1"/>
  <c r="J55" i="12" a="1"/>
  <c r="J55" i="12" s="1"/>
  <c r="J13" i="12" a="1"/>
  <c r="J13" i="12" s="1"/>
  <c r="K18" i="12" s="1"/>
  <c r="J121" i="12" a="1"/>
  <c r="J121" i="12" s="1"/>
  <c r="K122" i="12" s="1"/>
  <c r="J64" i="12" a="1"/>
  <c r="J64" i="12" s="1"/>
  <c r="J85" i="12" a="1"/>
  <c r="J85" i="12" s="1"/>
  <c r="J146" i="12" s="1"/>
  <c r="J34" i="12" a="1"/>
  <c r="J34" i="12" s="1"/>
  <c r="J84" i="12" a="1"/>
  <c r="J84" i="12" s="1"/>
  <c r="J129" i="12" a="1"/>
  <c r="J129" i="12" s="1"/>
  <c r="K130" i="12" s="1"/>
  <c r="K132" i="12" s="1"/>
  <c r="J65" i="12" a="1"/>
  <c r="J65" i="12" s="1"/>
  <c r="J63" i="12" a="1"/>
  <c r="J63" i="12" s="1"/>
  <c r="J119" i="12" a="1"/>
  <c r="J119" i="12" s="1"/>
  <c r="J87" i="12" a="1"/>
  <c r="J87" i="12" s="1"/>
  <c r="J37" i="12" a="1"/>
  <c r="J37" i="12" s="1"/>
  <c r="K38" i="12" s="1"/>
  <c r="J7" i="12" a="1"/>
  <c r="J7" i="12" s="1"/>
  <c r="K8" i="12" s="1"/>
  <c r="J72" i="12" a="1"/>
  <c r="J72" i="12" s="1"/>
  <c r="J73" i="12" s="1"/>
  <c r="J21" i="12"/>
  <c r="J80" i="12" a="1"/>
  <c r="J80" i="12" s="1"/>
  <c r="J43" i="12" a="1"/>
  <c r="J43" i="12" s="1"/>
  <c r="J81" i="12" s="1"/>
  <c r="J28" i="12"/>
  <c r="I5" i="12"/>
  <c r="N95" i="12"/>
  <c r="U91" i="12"/>
  <c r="U82" i="12"/>
  <c r="U95" i="12"/>
  <c r="M30" i="12"/>
  <c r="N31" i="12"/>
  <c r="N30" i="12"/>
  <c r="O31" i="12"/>
  <c r="K137" i="12"/>
  <c r="K44" i="12"/>
  <c r="K91" i="12" s="1"/>
  <c r="K41" i="12"/>
  <c r="L148" i="12"/>
  <c r="L149" i="12" s="1"/>
  <c r="K74" i="12"/>
  <c r="L154" i="12"/>
  <c r="K54" i="12"/>
  <c r="L8" i="12"/>
  <c r="S23" i="12"/>
  <c r="S24" i="12"/>
  <c r="N15" i="12"/>
  <c r="O16" i="12"/>
  <c r="K106" i="12"/>
  <c r="K17" i="12"/>
  <c r="K73" i="12"/>
  <c r="S9" i="12"/>
  <c r="S10" i="12"/>
  <c r="M58" i="12"/>
  <c r="L14" i="12"/>
  <c r="K105" i="12"/>
  <c r="K150" i="12"/>
  <c r="K25" i="12"/>
  <c r="L18" i="12"/>
  <c r="K35" i="12"/>
  <c r="K141" i="12" s="1"/>
  <c r="L132" i="12"/>
  <c r="K123" i="12"/>
  <c r="K82" i="12"/>
  <c r="L38" i="12"/>
  <c r="M94" i="12"/>
  <c r="M86" i="12"/>
  <c r="M88" i="12" s="1"/>
  <c r="M96" i="12"/>
  <c r="L94" i="12"/>
  <c r="L96" i="12"/>
  <c r="L86" i="12"/>
  <c r="L88" i="12" s="1"/>
  <c r="L48" i="12"/>
  <c r="L91" i="12"/>
  <c r="K32" i="12"/>
  <c r="K29" i="12"/>
  <c r="M31" i="12" s="1"/>
  <c r="L111" i="12"/>
  <c r="L61" i="12"/>
  <c r="L57" i="12"/>
  <c r="L95" i="12" s="1"/>
  <c r="L70" i="12"/>
  <c r="L140" i="12"/>
  <c r="M45" i="12"/>
  <c r="S15" i="12"/>
  <c r="S16" i="12"/>
  <c r="N24" i="12"/>
  <c r="L26" i="12"/>
  <c r="X129" i="9"/>
  <c r="X125" i="9"/>
  <c r="AJ148" i="9"/>
  <c r="AJ11" i="9"/>
  <c r="AT148" i="9"/>
  <c r="AT11" i="9"/>
  <c r="K11" i="9"/>
  <c r="K148" i="9"/>
  <c r="AN125" i="9"/>
  <c r="N134" i="13" s="1"/>
  <c r="AN129" i="9"/>
  <c r="AS125" i="9"/>
  <c r="S134" i="13" s="1"/>
  <c r="AS129" i="9"/>
  <c r="E880" i="1"/>
  <c r="E885" i="1"/>
  <c r="AE148" i="9"/>
  <c r="AE11" i="9"/>
  <c r="AT885" i="1"/>
  <c r="AT880" i="1"/>
  <c r="AO885" i="1"/>
  <c r="AO880" i="1"/>
  <c r="BA835" i="1"/>
  <c r="BB835" i="1" s="1"/>
  <c r="BC835" i="1" s="1"/>
  <c r="BE835" i="1" s="1"/>
  <c r="BF835" i="1" s="1"/>
  <c r="BG835" i="1" s="1"/>
  <c r="AZ830" i="1"/>
  <c r="D880" i="1"/>
  <c r="D885" i="1"/>
  <c r="AB125" i="9"/>
  <c r="AB129" i="9"/>
  <c r="AE885" i="1"/>
  <c r="AE880" i="1"/>
  <c r="Z11" i="9"/>
  <c r="Z148" i="9"/>
  <c r="U148" i="9"/>
  <c r="U11" i="9"/>
  <c r="T125" i="9"/>
  <c r="T129" i="9"/>
  <c r="AI129" i="9"/>
  <c r="AI125" i="9"/>
  <c r="I134" i="13" s="1"/>
  <c r="V125" i="9"/>
  <c r="V129" i="9"/>
  <c r="AO148" i="9"/>
  <c r="AO11" i="9"/>
  <c r="AV985" i="1"/>
  <c r="AV1079" i="1" s="1"/>
  <c r="AV1082" i="1" s="1"/>
  <c r="V86" i="13" s="1"/>
  <c r="AV92" i="9"/>
  <c r="AV93" i="9" s="1"/>
  <c r="AV100" i="9" s="1"/>
  <c r="AV156" i="9" s="1"/>
  <c r="AV1104" i="1"/>
  <c r="U880" i="1"/>
  <c r="U885" i="1"/>
  <c r="C147" i="9"/>
  <c r="C145" i="9"/>
  <c r="C6" i="9"/>
  <c r="P880" i="1"/>
  <c r="P885" i="1"/>
  <c r="P11" i="9"/>
  <c r="P148" i="9"/>
  <c r="AW5" i="9"/>
  <c r="AX836" i="1"/>
  <c r="X174" i="13" s="1"/>
  <c r="X177" i="13" s="1"/>
  <c r="AW879" i="1"/>
  <c r="AX834" i="1"/>
  <c r="AW846" i="1"/>
  <c r="W181" i="13" s="1"/>
  <c r="W182" i="13" s="1"/>
  <c r="AW829" i="1"/>
  <c r="AJ885" i="1"/>
  <c r="AJ880" i="1"/>
  <c r="C879" i="1"/>
  <c r="C882" i="1"/>
  <c r="C884" i="1"/>
  <c r="F880" i="1"/>
  <c r="F885" i="1"/>
  <c r="AV102" i="9"/>
  <c r="AV139" i="9"/>
  <c r="AV138" i="9"/>
  <c r="AV141" i="9"/>
  <c r="AV103" i="9"/>
  <c r="AV105" i="9" s="1"/>
  <c r="AV140" i="9"/>
  <c r="AV142" i="9"/>
  <c r="AV71" i="9"/>
  <c r="K885" i="1"/>
  <c r="K880" i="1"/>
  <c r="O125" i="9"/>
  <c r="O129" i="9"/>
  <c r="Z885" i="1"/>
  <c r="Z880" i="1"/>
  <c r="AD125" i="9"/>
  <c r="AD129" i="9"/>
  <c r="AP129" i="9"/>
  <c r="AP125" i="9"/>
  <c r="P134" i="13" s="1"/>
  <c r="AR129" i="9"/>
  <c r="AR125" i="9"/>
  <c r="R134" i="13" s="1"/>
  <c r="BA1012" i="1"/>
  <c r="BA1025" i="1" s="1"/>
  <c r="AU125" i="9"/>
  <c r="U134" i="13" s="1"/>
  <c r="AU129" i="9"/>
  <c r="AC125" i="9"/>
  <c r="AC129" i="9"/>
  <c r="E148" i="9"/>
  <c r="E11" i="9"/>
  <c r="AH125" i="9"/>
  <c r="H134" i="13" s="1"/>
  <c r="AH129" i="9"/>
  <c r="R125" i="9"/>
  <c r="R129" i="9"/>
  <c r="F148" i="9"/>
  <c r="F11" i="9"/>
  <c r="L125" i="9"/>
  <c r="L129" i="9"/>
  <c r="D11" i="9"/>
  <c r="D148" i="9"/>
  <c r="S129" i="9"/>
  <c r="S125" i="9"/>
  <c r="AZ113" i="9"/>
  <c r="AZ91" i="9"/>
  <c r="AZ116" i="9"/>
  <c r="AZ117" i="9" s="1"/>
  <c r="AZ154" i="9"/>
  <c r="E167" i="13" l="1"/>
  <c r="E166" i="13"/>
  <c r="K14" i="12"/>
  <c r="E25" i="13"/>
  <c r="I16" i="13"/>
  <c r="I51" i="13"/>
  <c r="O135" i="13"/>
  <c r="E184" i="13"/>
  <c r="E185" i="13" s="1"/>
  <c r="AG123" i="13"/>
  <c r="O57" i="13"/>
  <c r="I20" i="13"/>
  <c r="J120" i="13"/>
  <c r="I15" i="13"/>
  <c r="I168" i="13" s="1"/>
  <c r="I19" i="13"/>
  <c r="J116" i="13"/>
  <c r="O58" i="13"/>
  <c r="O40" i="13"/>
  <c r="O44" i="13" s="1"/>
  <c r="V182" i="13"/>
  <c r="H104" i="13"/>
  <c r="E18" i="13"/>
  <c r="E110" i="13" s="1"/>
  <c r="E131" i="13"/>
  <c r="E132" i="13" s="1"/>
  <c r="E26" i="13"/>
  <c r="E142" i="13" s="1"/>
  <c r="M16" i="13"/>
  <c r="U173" i="13"/>
  <c r="U132" i="13"/>
  <c r="U135" i="13" s="1"/>
  <c r="AA17" i="13"/>
  <c r="AB15" i="13"/>
  <c r="Z22" i="13"/>
  <c r="W132" i="13"/>
  <c r="Z15" i="13"/>
  <c r="Z18" i="13"/>
  <c r="Z52" i="13"/>
  <c r="Z16" i="13"/>
  <c r="W173" i="13"/>
  <c r="K182" i="13"/>
  <c r="D72" i="13"/>
  <c r="D5" i="13"/>
  <c r="D15" i="13" s="1"/>
  <c r="D168" i="13" s="1"/>
  <c r="X52" i="13"/>
  <c r="X16" i="13"/>
  <c r="W22" i="13"/>
  <c r="S132" i="13"/>
  <c r="S135" i="13" s="1"/>
  <c r="S108" i="13"/>
  <c r="Q17" i="13"/>
  <c r="W18" i="13"/>
  <c r="U108" i="13"/>
  <c r="K51" i="13"/>
  <c r="K64" i="13" s="1"/>
  <c r="K22" i="13"/>
  <c r="K166" i="13" s="1"/>
  <c r="K18" i="13"/>
  <c r="W17" i="13"/>
  <c r="Q51" i="13"/>
  <c r="Q64" i="13" s="1"/>
  <c r="K15" i="13"/>
  <c r="N17" i="13"/>
  <c r="AE38" i="13"/>
  <c r="AE42" i="13" s="1"/>
  <c r="AB132" i="13"/>
  <c r="Z21" i="13"/>
  <c r="D87" i="13"/>
  <c r="D70" i="13"/>
  <c r="X132" i="13"/>
  <c r="V22" i="13"/>
  <c r="Y59" i="13"/>
  <c r="Y143" i="13" s="1"/>
  <c r="S21" i="13"/>
  <c r="S17" i="13"/>
  <c r="Q18" i="13"/>
  <c r="U103" i="13"/>
  <c r="U144" i="13" s="1"/>
  <c r="N22" i="13"/>
  <c r="N166" i="13" s="1"/>
  <c r="M52" i="13"/>
  <c r="W52" i="13"/>
  <c r="N15" i="13"/>
  <c r="K20" i="13"/>
  <c r="L18" i="13"/>
  <c r="W16" i="13"/>
  <c r="N19" i="13"/>
  <c r="L16" i="13"/>
  <c r="M15" i="13"/>
  <c r="D85" i="13"/>
  <c r="D36" i="13"/>
  <c r="D49" i="13"/>
  <c r="D171" i="13" s="1"/>
  <c r="V16" i="13"/>
  <c r="T103" i="13"/>
  <c r="T144" i="13" s="1"/>
  <c r="Q108" i="13"/>
  <c r="S16" i="13"/>
  <c r="S19" i="13"/>
  <c r="R51" i="13"/>
  <c r="R64" i="13" s="1"/>
  <c r="Y40" i="13"/>
  <c r="Y44" i="13" s="1"/>
  <c r="P51" i="13"/>
  <c r="P64" i="13" s="1"/>
  <c r="M21" i="13"/>
  <c r="M182" i="13"/>
  <c r="AC18" i="13"/>
  <c r="R15" i="13"/>
  <c r="Z51" i="13"/>
  <c r="Z64" i="13" s="1"/>
  <c r="AB18" i="13"/>
  <c r="AB110" i="13" s="1"/>
  <c r="AC19" i="13"/>
  <c r="AB52" i="13"/>
  <c r="Z108" i="13"/>
  <c r="L17" i="13"/>
  <c r="I132" i="13"/>
  <c r="I135" i="13" s="1"/>
  <c r="D82" i="13"/>
  <c r="D150" i="13" s="1"/>
  <c r="D48" i="13"/>
  <c r="D51" i="13" s="1"/>
  <c r="D64" i="13" s="1"/>
  <c r="X108" i="13"/>
  <c r="V15" i="13"/>
  <c r="Q103" i="13"/>
  <c r="Q144" i="13" s="1"/>
  <c r="S52" i="13"/>
  <c r="U16" i="13"/>
  <c r="S22" i="13"/>
  <c r="S166" i="13" s="1"/>
  <c r="Q21" i="13"/>
  <c r="R182" i="13"/>
  <c r="M22" i="13"/>
  <c r="M166" i="13" s="1"/>
  <c r="U182" i="13"/>
  <c r="AA19" i="13"/>
  <c r="AA111" i="13" s="1"/>
  <c r="Z17" i="13"/>
  <c r="AA18" i="13"/>
  <c r="K19" i="13"/>
  <c r="M18" i="13"/>
  <c r="AD38" i="13"/>
  <c r="AD42" i="13" s="1"/>
  <c r="K52" i="13"/>
  <c r="D181" i="13"/>
  <c r="D80" i="13"/>
  <c r="D55" i="13"/>
  <c r="X21" i="13"/>
  <c r="X19" i="13"/>
  <c r="Y58" i="13"/>
  <c r="U51" i="13"/>
  <c r="U64" i="13" s="1"/>
  <c r="T39" i="13"/>
  <c r="T43" i="13" s="1"/>
  <c r="W108" i="13"/>
  <c r="R21" i="13"/>
  <c r="M17" i="13"/>
  <c r="M161" i="13" s="1"/>
  <c r="N20" i="13"/>
  <c r="N103" i="13"/>
  <c r="N144" i="13" s="1"/>
  <c r="P19" i="13"/>
  <c r="N108" i="13"/>
  <c r="K103" i="13"/>
  <c r="K144" i="13" s="1"/>
  <c r="P21" i="13"/>
  <c r="AB19" i="13"/>
  <c r="L19" i="13"/>
  <c r="P132" i="13"/>
  <c r="P135" i="13" s="1"/>
  <c r="AB17" i="13"/>
  <c r="AA15" i="13"/>
  <c r="AA132" i="13"/>
  <c r="D182" i="13"/>
  <c r="D71" i="13"/>
  <c r="D12" i="13"/>
  <c r="D35" i="13"/>
  <c r="V19" i="13"/>
  <c r="X22" i="13"/>
  <c r="P52" i="13"/>
  <c r="T59" i="13"/>
  <c r="T143" i="13" s="1"/>
  <c r="V17" i="13"/>
  <c r="U22" i="13"/>
  <c r="S15" i="13"/>
  <c r="N51" i="13"/>
  <c r="N64" i="13" s="1"/>
  <c r="N18" i="13"/>
  <c r="L108" i="13"/>
  <c r="J103" i="13"/>
  <c r="J144" i="13" s="1"/>
  <c r="P108" i="13"/>
  <c r="Q15" i="13"/>
  <c r="AA52" i="13"/>
  <c r="K16" i="13"/>
  <c r="Z20" i="13"/>
  <c r="D174" i="13"/>
  <c r="D69" i="13"/>
  <c r="D34" i="13"/>
  <c r="D68" i="13" s="1"/>
  <c r="X20" i="13"/>
  <c r="V20" i="13"/>
  <c r="V173" i="13"/>
  <c r="P17" i="13"/>
  <c r="P161" i="13" s="1"/>
  <c r="T40" i="13"/>
  <c r="T44" i="13" s="1"/>
  <c r="V108" i="13"/>
  <c r="Y38" i="13"/>
  <c r="Y42" i="13" s="1"/>
  <c r="AC52" i="13"/>
  <c r="AC15" i="13"/>
  <c r="K108" i="13"/>
  <c r="P20" i="13"/>
  <c r="U21" i="13"/>
  <c r="N173" i="13"/>
  <c r="L182" i="13"/>
  <c r="Z19" i="13"/>
  <c r="Z132" i="13"/>
  <c r="I108" i="13"/>
  <c r="D152" i="13"/>
  <c r="D134" i="13"/>
  <c r="D10" i="13"/>
  <c r="D19" i="13" s="1"/>
  <c r="D32" i="13"/>
  <c r="X182" i="13"/>
  <c r="X184" i="13" s="1"/>
  <c r="X185" i="13" s="1"/>
  <c r="V52" i="13"/>
  <c r="Q16" i="13"/>
  <c r="R52" i="13"/>
  <c r="P103" i="13"/>
  <c r="P144" i="13" s="1"/>
  <c r="T38" i="13"/>
  <c r="T42" i="13" s="1"/>
  <c r="T45" i="13" s="1"/>
  <c r="V21" i="13"/>
  <c r="AC17" i="13"/>
  <c r="R16" i="13"/>
  <c r="Q22" i="13"/>
  <c r="Q166" i="13" s="1"/>
  <c r="M103" i="13"/>
  <c r="M144" i="13" s="1"/>
  <c r="P18" i="13"/>
  <c r="V132" i="13"/>
  <c r="V135" i="13" s="1"/>
  <c r="N52" i="13"/>
  <c r="O38" i="13"/>
  <c r="O42" i="13" s="1"/>
  <c r="O45" i="13" s="1"/>
  <c r="D136" i="13"/>
  <c r="D86" i="13"/>
  <c r="D67" i="13"/>
  <c r="D28" i="13"/>
  <c r="X173" i="13"/>
  <c r="X17" i="13"/>
  <c r="S20" i="13"/>
  <c r="U20" i="13"/>
  <c r="S182" i="13"/>
  <c r="Q182" i="13"/>
  <c r="Y57" i="13"/>
  <c r="U17" i="13"/>
  <c r="R22" i="13"/>
  <c r="R166" i="13" s="1"/>
  <c r="W20" i="13"/>
  <c r="N132" i="13"/>
  <c r="N135" i="13" s="1"/>
  <c r="N16" i="13"/>
  <c r="R17" i="13"/>
  <c r="T135" i="13"/>
  <c r="M108" i="13"/>
  <c r="Q132" i="13"/>
  <c r="Q135" i="13" s="1"/>
  <c r="D153" i="13"/>
  <c r="D84" i="13"/>
  <c r="D13" i="13"/>
  <c r="D8" i="13"/>
  <c r="D25" i="13" s="1"/>
  <c r="X51" i="13"/>
  <c r="X64" i="13" s="1"/>
  <c r="V18" i="13"/>
  <c r="V110" i="13" s="1"/>
  <c r="Y39" i="13"/>
  <c r="Y43" i="13" s="1"/>
  <c r="T57" i="13"/>
  <c r="S103" i="13"/>
  <c r="S144" i="13" s="1"/>
  <c r="R20" i="13"/>
  <c r="W15" i="13"/>
  <c r="Q19" i="13"/>
  <c r="W19" i="13"/>
  <c r="P16" i="13"/>
  <c r="N21" i="13"/>
  <c r="R108" i="13"/>
  <c r="P182" i="13"/>
  <c r="U18" i="13"/>
  <c r="U110" i="13" s="1"/>
  <c r="M20" i="13"/>
  <c r="Z173" i="13"/>
  <c r="D137" i="13"/>
  <c r="D81" i="13"/>
  <c r="D2" i="13"/>
  <c r="D7" i="13"/>
  <c r="X18" i="13"/>
  <c r="X110" i="13" s="1"/>
  <c r="V51" i="13"/>
  <c r="V64" i="13" s="1"/>
  <c r="P22" i="13"/>
  <c r="P166" i="13" s="1"/>
  <c r="P15" i="13"/>
  <c r="S51" i="13"/>
  <c r="S64" i="13" s="1"/>
  <c r="S173" i="13"/>
  <c r="U19" i="13"/>
  <c r="U15" i="13"/>
  <c r="U168" i="13" s="1"/>
  <c r="R18" i="13"/>
  <c r="L20" i="13"/>
  <c r="W51" i="13"/>
  <c r="W64" i="13" s="1"/>
  <c r="AC182" i="13"/>
  <c r="Q20" i="13"/>
  <c r="P173" i="13"/>
  <c r="AF38" i="13"/>
  <c r="AF42" i="13" s="1"/>
  <c r="L51" i="13"/>
  <c r="L64" i="13" s="1"/>
  <c r="D107" i="13"/>
  <c r="D170" i="13" s="1"/>
  <c r="D172" i="13" s="1"/>
  <c r="D79" i="13"/>
  <c r="D11" i="13"/>
  <c r="D20" i="13" s="1"/>
  <c r="D9" i="13"/>
  <c r="D18" i="13" s="1"/>
  <c r="D110" i="13" s="1"/>
  <c r="X15" i="13"/>
  <c r="O103" i="13"/>
  <c r="O144" i="13" s="1"/>
  <c r="O145" i="13" s="1"/>
  <c r="R103" i="13"/>
  <c r="R144" i="13" s="1"/>
  <c r="R19" i="13"/>
  <c r="T58" i="13"/>
  <c r="S18" i="13"/>
  <c r="U52" i="13"/>
  <c r="L103" i="13"/>
  <c r="L144" i="13" s="1"/>
  <c r="K21" i="13"/>
  <c r="R173" i="13"/>
  <c r="Q52" i="13"/>
  <c r="W21" i="13"/>
  <c r="L52" i="13"/>
  <c r="N182" i="13"/>
  <c r="N184" i="13" s="1"/>
  <c r="N185" i="13" s="1"/>
  <c r="M19" i="13"/>
  <c r="M51" i="13"/>
  <c r="M64" i="13" s="1"/>
  <c r="F103" i="13"/>
  <c r="F144" i="13" s="1"/>
  <c r="I172" i="13"/>
  <c r="F182" i="13"/>
  <c r="G18" i="13"/>
  <c r="G131" i="13"/>
  <c r="G132" i="13" s="1"/>
  <c r="G135" i="13" s="1"/>
  <c r="G26" i="13"/>
  <c r="G142" i="13" s="1"/>
  <c r="G76" i="13"/>
  <c r="G75" i="13"/>
  <c r="G96" i="13"/>
  <c r="G91" i="13"/>
  <c r="G93" i="13"/>
  <c r="G89" i="13"/>
  <c r="G100" i="13"/>
  <c r="G98" i="13"/>
  <c r="Q173" i="13"/>
  <c r="H6" i="13"/>
  <c r="H15" i="13"/>
  <c r="H18" i="13"/>
  <c r="H131" i="13"/>
  <c r="H26" i="13"/>
  <c r="H142" i="13" s="1"/>
  <c r="E74" i="13"/>
  <c r="E54" i="13"/>
  <c r="J57" i="13" s="1"/>
  <c r="E100" i="13"/>
  <c r="E98" i="13"/>
  <c r="E96" i="13"/>
  <c r="E93" i="13"/>
  <c r="E91" i="13"/>
  <c r="E89" i="13"/>
  <c r="J177" i="13"/>
  <c r="J173" i="13"/>
  <c r="I131" i="13"/>
  <c r="L132" i="13" s="1"/>
  <c r="L135" i="13" s="1"/>
  <c r="I26" i="13"/>
  <c r="I142" i="13" s="1"/>
  <c r="F18" i="13"/>
  <c r="F110" i="13" s="1"/>
  <c r="F131" i="13"/>
  <c r="F132" i="13" s="1"/>
  <c r="F135" i="13" s="1"/>
  <c r="F26" i="13"/>
  <c r="F142" i="13" s="1"/>
  <c r="V184" i="13"/>
  <c r="V185" i="13" s="1"/>
  <c r="H51" i="13"/>
  <c r="H64" i="13" s="1"/>
  <c r="H140" i="13"/>
  <c r="H29" i="13"/>
  <c r="H22" i="13"/>
  <c r="I58" i="13"/>
  <c r="I38" i="13"/>
  <c r="I42" i="13" s="1"/>
  <c r="I39" i="13"/>
  <c r="I43" i="13" s="1"/>
  <c r="I59" i="13"/>
  <c r="I143" i="13" s="1"/>
  <c r="I40" i="13"/>
  <c r="I44" i="13" s="1"/>
  <c r="I104" i="13"/>
  <c r="G140" i="13"/>
  <c r="G29" i="13"/>
  <c r="G22" i="13"/>
  <c r="G166" i="13" s="1"/>
  <c r="H170" i="13"/>
  <c r="H108" i="13"/>
  <c r="H120" i="13" s="1"/>
  <c r="I63" i="13"/>
  <c r="I62" i="13"/>
  <c r="I61" i="13"/>
  <c r="I141" i="13"/>
  <c r="I27" i="13"/>
  <c r="F101" i="13"/>
  <c r="F99" i="13"/>
  <c r="F97" i="13"/>
  <c r="F94" i="13"/>
  <c r="F149" i="13"/>
  <c r="F151" i="13" s="1"/>
  <c r="F154" i="13" s="1"/>
  <c r="F157" i="13" s="1"/>
  <c r="F92" i="13"/>
  <c r="F90" i="13"/>
  <c r="F21" i="13"/>
  <c r="F141" i="13"/>
  <c r="F27" i="13"/>
  <c r="H20" i="13"/>
  <c r="E24" i="13"/>
  <c r="E16" i="13"/>
  <c r="L57" i="13"/>
  <c r="L59" i="13"/>
  <c r="L143" i="13" s="1"/>
  <c r="L58" i="13"/>
  <c r="L38" i="13"/>
  <c r="L42" i="13" s="1"/>
  <c r="I173" i="13"/>
  <c r="F64" i="13"/>
  <c r="H100" i="13"/>
  <c r="H98" i="13"/>
  <c r="H89" i="13"/>
  <c r="H93" i="13"/>
  <c r="H96" i="13"/>
  <c r="H91" i="13"/>
  <c r="H17" i="13"/>
  <c r="H122" i="13" s="1"/>
  <c r="H25" i="13"/>
  <c r="J115" i="13"/>
  <c r="J112" i="13"/>
  <c r="J111" i="13"/>
  <c r="J119" i="13"/>
  <c r="J118" i="13"/>
  <c r="E140" i="13"/>
  <c r="E29" i="13"/>
  <c r="L22" i="13"/>
  <c r="L166" i="13" s="1"/>
  <c r="I140" i="13"/>
  <c r="I29" i="13"/>
  <c r="I111" i="13"/>
  <c r="I112" i="13"/>
  <c r="I96" i="13"/>
  <c r="I91" i="13"/>
  <c r="I89" i="13"/>
  <c r="I100" i="13"/>
  <c r="I93" i="13"/>
  <c r="I98" i="13"/>
  <c r="F140" i="13"/>
  <c r="F29" i="13"/>
  <c r="F22" i="13"/>
  <c r="F166" i="13" s="1"/>
  <c r="G24" i="13"/>
  <c r="G16" i="13"/>
  <c r="G20" i="13"/>
  <c r="G170" i="13"/>
  <c r="G108" i="13"/>
  <c r="G116" i="13" s="1"/>
  <c r="H99" i="13"/>
  <c r="H124" i="13"/>
  <c r="H94" i="13"/>
  <c r="H92" i="13"/>
  <c r="H90" i="13"/>
  <c r="H97" i="13"/>
  <c r="H101" i="13"/>
  <c r="H149" i="13"/>
  <c r="H151" i="13" s="1"/>
  <c r="H154" i="13" s="1"/>
  <c r="H156" i="13" s="1"/>
  <c r="H128" i="13"/>
  <c r="L134" i="12"/>
  <c r="E6" i="13"/>
  <c r="E15" i="13"/>
  <c r="J63" i="13"/>
  <c r="J59" i="13"/>
  <c r="J143" i="13" s="1"/>
  <c r="J39" i="13"/>
  <c r="J43" i="13" s="1"/>
  <c r="J40" i="13"/>
  <c r="J44" i="13" s="1"/>
  <c r="J58" i="13"/>
  <c r="J38" i="13"/>
  <c r="J42" i="13" s="1"/>
  <c r="L45" i="12"/>
  <c r="E170" i="13"/>
  <c r="E108" i="13"/>
  <c r="E120" i="13" s="1"/>
  <c r="I22" i="13"/>
  <c r="I166" i="13" s="1"/>
  <c r="I182" i="13"/>
  <c r="J128" i="13"/>
  <c r="G182" i="13"/>
  <c r="H16" i="13"/>
  <c r="H24" i="13"/>
  <c r="W184" i="13"/>
  <c r="W185" i="13" s="1"/>
  <c r="E75" i="13"/>
  <c r="E76" i="13"/>
  <c r="I6" i="13"/>
  <c r="G19" i="13"/>
  <c r="L145" i="13"/>
  <c r="F76" i="13"/>
  <c r="F75" i="13"/>
  <c r="F74" i="13"/>
  <c r="F54" i="13"/>
  <c r="F93" i="13"/>
  <c r="F89" i="13"/>
  <c r="F98" i="13"/>
  <c r="F96" i="13"/>
  <c r="F100" i="13"/>
  <c r="F91" i="13"/>
  <c r="J114" i="13"/>
  <c r="H54" i="13"/>
  <c r="H74" i="13"/>
  <c r="H171" i="13"/>
  <c r="H52" i="13"/>
  <c r="I126" i="13"/>
  <c r="I149" i="13"/>
  <c r="I151" i="13" s="1"/>
  <c r="I154" i="13" s="1"/>
  <c r="I162" i="13" s="1"/>
  <c r="I123" i="13"/>
  <c r="I120" i="13"/>
  <c r="I118" i="13"/>
  <c r="I114" i="13"/>
  <c r="I101" i="13"/>
  <c r="I127" i="13"/>
  <c r="I99" i="13"/>
  <c r="I124" i="13"/>
  <c r="I97" i="13"/>
  <c r="I122" i="13"/>
  <c r="I94" i="13"/>
  <c r="I119" i="13"/>
  <c r="I92" i="13"/>
  <c r="I116" i="13"/>
  <c r="I115" i="13"/>
  <c r="I128" i="13"/>
  <c r="I90" i="13"/>
  <c r="F170" i="13"/>
  <c r="F108" i="13"/>
  <c r="F120" i="13" s="1"/>
  <c r="F6" i="13"/>
  <c r="F15" i="13"/>
  <c r="G74" i="13"/>
  <c r="G54" i="13"/>
  <c r="J127" i="13"/>
  <c r="H19" i="13"/>
  <c r="K153" i="12"/>
  <c r="E149" i="13"/>
  <c r="E151" i="13" s="1"/>
  <c r="E154" i="13" s="1"/>
  <c r="E164" i="13" s="1"/>
  <c r="E92" i="13"/>
  <c r="E124" i="13"/>
  <c r="E126" i="13"/>
  <c r="E118" i="13"/>
  <c r="E90" i="13"/>
  <c r="E122" i="13"/>
  <c r="E114" i="13"/>
  <c r="E101" i="13"/>
  <c r="E99" i="13"/>
  <c r="E97" i="13"/>
  <c r="E94" i="13"/>
  <c r="K17" i="13"/>
  <c r="K161" i="13" s="1"/>
  <c r="I25" i="13"/>
  <c r="I110" i="13"/>
  <c r="I76" i="13"/>
  <c r="I75" i="13"/>
  <c r="O179" i="13"/>
  <c r="O178" i="13"/>
  <c r="F16" i="13"/>
  <c r="F24" i="13"/>
  <c r="F17" i="13"/>
  <c r="F123" i="13" s="1"/>
  <c r="F25" i="13"/>
  <c r="G171" i="13"/>
  <c r="G52" i="13"/>
  <c r="G101" i="13"/>
  <c r="G90" i="13"/>
  <c r="G99" i="13"/>
  <c r="G97" i="13"/>
  <c r="G149" i="13"/>
  <c r="G151" i="13" s="1"/>
  <c r="G154" i="13" s="1"/>
  <c r="G94" i="13"/>
  <c r="G124" i="13"/>
  <c r="G92" i="13"/>
  <c r="J123" i="13"/>
  <c r="H21" i="13"/>
  <c r="H141" i="13"/>
  <c r="H27" i="13"/>
  <c r="H75" i="13"/>
  <c r="H76" i="13"/>
  <c r="E141" i="13"/>
  <c r="E27" i="13"/>
  <c r="E21" i="13"/>
  <c r="I74" i="13"/>
  <c r="I54" i="13"/>
  <c r="F171" i="13"/>
  <c r="F52" i="13"/>
  <c r="J126" i="13"/>
  <c r="E111" i="13"/>
  <c r="E171" i="13"/>
  <c r="E52" i="13"/>
  <c r="E123" i="13" s="1"/>
  <c r="E64" i="13"/>
  <c r="I64" i="13"/>
  <c r="G25" i="13"/>
  <c r="G17" i="13"/>
  <c r="G115" i="13" s="1"/>
  <c r="G141" i="13"/>
  <c r="G27" i="13"/>
  <c r="G21" i="13"/>
  <c r="G6" i="13"/>
  <c r="G15" i="13"/>
  <c r="G103" i="13"/>
  <c r="G144" i="13" s="1"/>
  <c r="J135" i="13"/>
  <c r="J122" i="13"/>
  <c r="H103" i="13"/>
  <c r="H144" i="13" s="1"/>
  <c r="H182" i="13"/>
  <c r="L21" i="13"/>
  <c r="P162" i="13"/>
  <c r="P157" i="13"/>
  <c r="P164" i="13"/>
  <c r="P159" i="13"/>
  <c r="P163" i="13"/>
  <c r="P158" i="13"/>
  <c r="AG115" i="13"/>
  <c r="N162" i="13"/>
  <c r="N157" i="13"/>
  <c r="N156" i="13"/>
  <c r="N161" i="13"/>
  <c r="N158" i="13"/>
  <c r="N164" i="13"/>
  <c r="N159" i="13"/>
  <c r="N163" i="13"/>
  <c r="K162" i="13"/>
  <c r="K157" i="13"/>
  <c r="K164" i="13"/>
  <c r="K159" i="13"/>
  <c r="K163" i="13"/>
  <c r="K158" i="13"/>
  <c r="U167" i="13"/>
  <c r="U151" i="13"/>
  <c r="U154" i="13" s="1"/>
  <c r="U166" i="13"/>
  <c r="U176" i="13"/>
  <c r="V168" i="13"/>
  <c r="V166" i="13"/>
  <c r="V151" i="13"/>
  <c r="V154" i="13" s="1"/>
  <c r="V167" i="13"/>
  <c r="H164" i="13"/>
  <c r="R162" i="13"/>
  <c r="R157" i="13"/>
  <c r="R161" i="13"/>
  <c r="R156" i="13"/>
  <c r="R164" i="13"/>
  <c r="R159" i="13"/>
  <c r="R163" i="13"/>
  <c r="R158" i="13"/>
  <c r="V94" i="13"/>
  <c r="V100" i="13"/>
  <c r="V98" i="13"/>
  <c r="V93" i="13"/>
  <c r="V101" i="13"/>
  <c r="V91" i="13"/>
  <c r="V92" i="13"/>
  <c r="V99" i="13"/>
  <c r="V103" i="13"/>
  <c r="V144" i="13" s="1"/>
  <c r="M162" i="13"/>
  <c r="M157" i="13"/>
  <c r="M156" i="13"/>
  <c r="M158" i="13"/>
  <c r="M163" i="13"/>
  <c r="M164" i="13"/>
  <c r="M159" i="13"/>
  <c r="AW880" i="1"/>
  <c r="W148" i="13"/>
  <c r="L161" i="13"/>
  <c r="L156" i="13"/>
  <c r="L157" i="13"/>
  <c r="L162" i="13"/>
  <c r="L163" i="13"/>
  <c r="L158" i="13"/>
  <c r="L164" i="13"/>
  <c r="L159" i="13"/>
  <c r="J161" i="13"/>
  <c r="J156" i="13"/>
  <c r="J162" i="13"/>
  <c r="J157" i="13"/>
  <c r="J163" i="13"/>
  <c r="J158" i="13"/>
  <c r="J159" i="13"/>
  <c r="J164" i="13"/>
  <c r="T161" i="13"/>
  <c r="T156" i="13"/>
  <c r="T162" i="13"/>
  <c r="T157" i="13"/>
  <c r="T163" i="13"/>
  <c r="T158" i="13"/>
  <c r="T159" i="13"/>
  <c r="T164" i="13"/>
  <c r="S161" i="13"/>
  <c r="S156" i="13"/>
  <c r="S162" i="13"/>
  <c r="S157" i="13"/>
  <c r="S164" i="13"/>
  <c r="S159" i="13"/>
  <c r="S163" i="13"/>
  <c r="S158" i="13"/>
  <c r="O161" i="13"/>
  <c r="O156" i="13"/>
  <c r="O162" i="13"/>
  <c r="O157" i="13"/>
  <c r="O159" i="13"/>
  <c r="O164" i="13"/>
  <c r="O163" i="13"/>
  <c r="O158" i="13"/>
  <c r="Q161" i="13"/>
  <c r="Q156" i="13"/>
  <c r="Q162" i="13"/>
  <c r="Q157" i="13"/>
  <c r="Q159" i="13"/>
  <c r="Q163" i="13"/>
  <c r="Q158" i="13"/>
  <c r="Q164" i="13"/>
  <c r="AG111" i="13"/>
  <c r="AG112" i="13"/>
  <c r="AG114" i="13"/>
  <c r="K154" i="12"/>
  <c r="K140" i="12"/>
  <c r="J35" i="12"/>
  <c r="J141" i="12" s="1"/>
  <c r="M16" i="12"/>
  <c r="J127" i="12"/>
  <c r="J131" i="12" s="1"/>
  <c r="L39" i="12"/>
  <c r="N40" i="12"/>
  <c r="M40" i="12"/>
  <c r="M39" i="12"/>
  <c r="O60" i="12"/>
  <c r="M15" i="12"/>
  <c r="I129" i="12" a="1"/>
  <c r="I129" i="12" s="1"/>
  <c r="J130" i="12" s="1"/>
  <c r="J132" i="12" s="1"/>
  <c r="I151" i="12" a="1"/>
  <c r="I151" i="12" s="1"/>
  <c r="J152" i="12" s="1"/>
  <c r="I142" i="12" a="1"/>
  <c r="I142" i="12" s="1"/>
  <c r="J143" i="12" s="1"/>
  <c r="I125" i="12" a="1"/>
  <c r="I125" i="12" s="1"/>
  <c r="J126" i="12" s="1"/>
  <c r="I138" i="12" a="1"/>
  <c r="I138" i="12" s="1"/>
  <c r="J139" i="12" s="1"/>
  <c r="I85" i="12" a="1"/>
  <c r="I85" i="12" s="1"/>
  <c r="I146" i="12" s="1"/>
  <c r="I121" i="12" a="1"/>
  <c r="I121" i="12" s="1"/>
  <c r="J122" i="12" s="1"/>
  <c r="I80" i="12" a="1"/>
  <c r="I80" i="12" s="1"/>
  <c r="I103" i="12"/>
  <c r="I65" i="12" a="1"/>
  <c r="I65" i="12" s="1"/>
  <c r="I83" i="12" a="1"/>
  <c r="I83" i="12" s="1"/>
  <c r="I119" i="12" a="1"/>
  <c r="I119" i="12" s="1"/>
  <c r="I87" i="12" a="1"/>
  <c r="I87" i="12" s="1"/>
  <c r="I37" i="12" a="1"/>
  <c r="I37" i="12" s="1"/>
  <c r="J38" i="12" s="1"/>
  <c r="I67" i="12" a="1"/>
  <c r="I67" i="12" s="1"/>
  <c r="I68" i="12" s="1" a="1"/>
  <c r="I68" i="12" s="1"/>
  <c r="H5" i="12"/>
  <c r="I53" i="12" a="1"/>
  <c r="I53" i="12" s="1"/>
  <c r="I84" i="12" a="1"/>
  <c r="I84" i="12" s="1"/>
  <c r="I34" i="12" a="1"/>
  <c r="I34" i="12" s="1"/>
  <c r="I55" i="12" a="1"/>
  <c r="I55" i="12" s="1"/>
  <c r="I43" i="12" a="1"/>
  <c r="I43" i="12" s="1"/>
  <c r="I81" i="12" s="1"/>
  <c r="I64" i="12" a="1"/>
  <c r="I64" i="12" s="1"/>
  <c r="I7" i="12" a="1"/>
  <c r="I7" i="12" s="1"/>
  <c r="I127" i="12" s="1"/>
  <c r="I131" i="12" s="1"/>
  <c r="I52" i="12" a="1"/>
  <c r="I52" i="12" s="1"/>
  <c r="I21" i="12"/>
  <c r="I72" i="12" a="1"/>
  <c r="I72" i="12" s="1"/>
  <c r="I73" i="12" s="1"/>
  <c r="I13" i="12" a="1"/>
  <c r="I13" i="12" s="1"/>
  <c r="I66" i="12"/>
  <c r="I28" i="12"/>
  <c r="I63" i="12" a="1"/>
  <c r="I63" i="12" s="1"/>
  <c r="J54" i="12"/>
  <c r="J32" i="12"/>
  <c r="J145" i="12"/>
  <c r="K147" i="12" s="1"/>
  <c r="J108" i="12"/>
  <c r="J109" i="12"/>
  <c r="J114" i="12"/>
  <c r="J116" i="12"/>
  <c r="J115" i="12"/>
  <c r="J113" i="12"/>
  <c r="U94" i="12"/>
  <c r="U96" i="12"/>
  <c r="U86" i="12"/>
  <c r="U88" i="12" s="1"/>
  <c r="J82" i="12"/>
  <c r="J150" i="12"/>
  <c r="J105" i="12"/>
  <c r="J25" i="12"/>
  <c r="J22" i="12"/>
  <c r="K26" i="12"/>
  <c r="K56" i="12"/>
  <c r="K77" i="12"/>
  <c r="K76" i="12"/>
  <c r="K96" i="12" s="1"/>
  <c r="K124" i="12"/>
  <c r="K134" i="12" s="1"/>
  <c r="K148" i="12"/>
  <c r="K149" i="12" s="1"/>
  <c r="L90" i="12"/>
  <c r="L99" i="12"/>
  <c r="L98" i="12"/>
  <c r="L92" i="12"/>
  <c r="L100" i="12"/>
  <c r="L93" i="12"/>
  <c r="L9" i="12"/>
  <c r="N10" i="12"/>
  <c r="M9" i="12"/>
  <c r="M10" i="12"/>
  <c r="J106" i="12"/>
  <c r="J17" i="12"/>
  <c r="N59" i="12"/>
  <c r="M90" i="12"/>
  <c r="M98" i="12"/>
  <c r="M92" i="12"/>
  <c r="M99" i="12"/>
  <c r="M100" i="12"/>
  <c r="M93" i="12"/>
  <c r="K22" i="12"/>
  <c r="J123" i="12"/>
  <c r="J137" i="12"/>
  <c r="J41" i="12"/>
  <c r="J44" i="12"/>
  <c r="J74" i="12"/>
  <c r="N92" i="12"/>
  <c r="N100" i="12"/>
  <c r="N98" i="12"/>
  <c r="N99" i="12"/>
  <c r="N93" i="12"/>
  <c r="N90" i="12"/>
  <c r="K94" i="12"/>
  <c r="K86" i="12"/>
  <c r="K88" i="12" s="1"/>
  <c r="M46" i="12"/>
  <c r="N47" i="12"/>
  <c r="N46" i="12"/>
  <c r="L15" i="12"/>
  <c r="N16" i="12"/>
  <c r="K48" i="12"/>
  <c r="L30" i="12"/>
  <c r="K144" i="12"/>
  <c r="AW92" i="9"/>
  <c r="AW93" i="9" s="1"/>
  <c r="AW100" i="9" s="1"/>
  <c r="AW156" i="9" s="1"/>
  <c r="AW1104" i="1"/>
  <c r="AW985" i="1"/>
  <c r="AW1079" i="1" s="1"/>
  <c r="AV111" i="9"/>
  <c r="AV118" i="9"/>
  <c r="AV119" i="9" s="1"/>
  <c r="AV1084" i="1"/>
  <c r="AV1086" i="1" s="1"/>
  <c r="U149" i="9"/>
  <c r="U146" i="9"/>
  <c r="AT886" i="1"/>
  <c r="AT883" i="1"/>
  <c r="AE146" i="9"/>
  <c r="AE149" i="9"/>
  <c r="K886" i="1"/>
  <c r="K883" i="1"/>
  <c r="F886" i="1"/>
  <c r="F883" i="1"/>
  <c r="AX829" i="1"/>
  <c r="AZ834" i="1"/>
  <c r="AX846" i="1"/>
  <c r="P149" i="9"/>
  <c r="P146" i="9"/>
  <c r="K149" i="9"/>
  <c r="K146" i="9"/>
  <c r="D886" i="1"/>
  <c r="D883" i="1"/>
  <c r="D149" i="9"/>
  <c r="D146" i="9"/>
  <c r="BA1018" i="1"/>
  <c r="BA799" i="1"/>
  <c r="BA1050" i="1"/>
  <c r="AA55" i="13" s="1"/>
  <c r="P883" i="1"/>
  <c r="P886" i="1"/>
  <c r="Z146" i="9"/>
  <c r="Z149" i="9"/>
  <c r="E886" i="1"/>
  <c r="E883" i="1"/>
  <c r="AT149" i="9"/>
  <c r="AT146" i="9"/>
  <c r="F149" i="9"/>
  <c r="F146" i="9"/>
  <c r="C880" i="1"/>
  <c r="C885" i="1"/>
  <c r="C148" i="9"/>
  <c r="C11" i="9"/>
  <c r="BD835" i="1"/>
  <c r="AJ146" i="9"/>
  <c r="AJ149" i="9"/>
  <c r="E149" i="9"/>
  <c r="E146" i="9"/>
  <c r="AE883" i="1"/>
  <c r="AE886" i="1"/>
  <c r="AO886" i="1"/>
  <c r="AO883" i="1"/>
  <c r="U886" i="1"/>
  <c r="U883" i="1"/>
  <c r="AY834" i="1"/>
  <c r="AY829" i="1" s="1"/>
  <c r="Z886" i="1"/>
  <c r="Z883" i="1"/>
  <c r="AJ883" i="1"/>
  <c r="AJ886" i="1"/>
  <c r="AX5" i="9"/>
  <c r="AX879" i="1"/>
  <c r="AZ836" i="1"/>
  <c r="Z174" i="13" s="1"/>
  <c r="Z177" i="13" s="1"/>
  <c r="AY836" i="1"/>
  <c r="AO149" i="9"/>
  <c r="AO146" i="9"/>
  <c r="AW140" i="9"/>
  <c r="AW139" i="9"/>
  <c r="AW141" i="9"/>
  <c r="AW138" i="9"/>
  <c r="AW102" i="9"/>
  <c r="AW142" i="9"/>
  <c r="AW103" i="9"/>
  <c r="AW105" i="9" s="1"/>
  <c r="AW71" i="9"/>
  <c r="AW6" i="9"/>
  <c r="AW11" i="9" s="1"/>
  <c r="E163" i="13" l="1"/>
  <c r="K184" i="13"/>
  <c r="K185" i="13" s="1"/>
  <c r="J128" i="12"/>
  <c r="H163" i="13"/>
  <c r="I45" i="13"/>
  <c r="D52" i="13"/>
  <c r="V43" i="12"/>
  <c r="V44" i="12" s="1"/>
  <c r="H161" i="13"/>
  <c r="G122" i="13"/>
  <c r="J145" i="13"/>
  <c r="K156" i="13"/>
  <c r="G184" i="13"/>
  <c r="G185" i="13" s="1"/>
  <c r="H172" i="13"/>
  <c r="G118" i="13"/>
  <c r="G161" i="13"/>
  <c r="S110" i="13"/>
  <c r="I156" i="13"/>
  <c r="E112" i="13"/>
  <c r="S184" i="13"/>
  <c r="S185" i="13" s="1"/>
  <c r="P110" i="13"/>
  <c r="T145" i="13"/>
  <c r="D104" i="13"/>
  <c r="G114" i="13"/>
  <c r="P156" i="13"/>
  <c r="G110" i="13"/>
  <c r="G120" i="13"/>
  <c r="E128" i="13"/>
  <c r="R110" i="13"/>
  <c r="F164" i="13"/>
  <c r="H158" i="13"/>
  <c r="E157" i="13"/>
  <c r="H162" i="13"/>
  <c r="G158" i="13"/>
  <c r="E156" i="13"/>
  <c r="H157" i="13"/>
  <c r="F162" i="13"/>
  <c r="E162" i="13"/>
  <c r="E161" i="13"/>
  <c r="G164" i="13"/>
  <c r="G162" i="13"/>
  <c r="I158" i="13"/>
  <c r="G159" i="13"/>
  <c r="I159" i="13"/>
  <c r="G163" i="13"/>
  <c r="F158" i="13"/>
  <c r="I163" i="13"/>
  <c r="G156" i="13"/>
  <c r="F163" i="13"/>
  <c r="I164" i="13"/>
  <c r="F159" i="13"/>
  <c r="I161" i="13"/>
  <c r="E158" i="13"/>
  <c r="F161" i="13"/>
  <c r="I157" i="13"/>
  <c r="E159" i="13"/>
  <c r="I54" i="12"/>
  <c r="I56" i="12" s="1"/>
  <c r="H159" i="13"/>
  <c r="F63" i="13"/>
  <c r="F62" i="13"/>
  <c r="F61" i="13"/>
  <c r="I145" i="13"/>
  <c r="F116" i="13"/>
  <c r="Q179" i="13"/>
  <c r="Q178" i="13"/>
  <c r="Q176" i="13"/>
  <c r="F184" i="13"/>
  <c r="F185" i="13" s="1"/>
  <c r="R178" i="13"/>
  <c r="R176" i="13"/>
  <c r="R179" i="13"/>
  <c r="AC112" i="13"/>
  <c r="AC111" i="13"/>
  <c r="AC123" i="13"/>
  <c r="AC115" i="13"/>
  <c r="AC114" i="13"/>
  <c r="AC122" i="13"/>
  <c r="V128" i="13"/>
  <c r="V124" i="13"/>
  <c r="V116" i="13"/>
  <c r="V120" i="13"/>
  <c r="AA62" i="13"/>
  <c r="AA63" i="13"/>
  <c r="X128" i="13"/>
  <c r="X120" i="13"/>
  <c r="X116" i="13"/>
  <c r="X124" i="13"/>
  <c r="AC110" i="13"/>
  <c r="Z58" i="13"/>
  <c r="Z39" i="13"/>
  <c r="Z43" i="13" s="1"/>
  <c r="Z38" i="13"/>
  <c r="Z42" i="13" s="1"/>
  <c r="Z40" i="13"/>
  <c r="Z44" i="13" s="1"/>
  <c r="F124" i="13"/>
  <c r="H177" i="13"/>
  <c r="D177" i="13"/>
  <c r="D173" i="13"/>
  <c r="S179" i="13"/>
  <c r="S178" i="13"/>
  <c r="S176" i="13"/>
  <c r="D76" i="13"/>
  <c r="D75" i="13"/>
  <c r="Q57" i="13"/>
  <c r="Q168" i="13"/>
  <c r="Q58" i="13"/>
  <c r="Q39" i="13"/>
  <c r="Q43" i="13" s="1"/>
  <c r="Q40" i="13"/>
  <c r="Q44" i="13" s="1"/>
  <c r="Q59" i="13"/>
  <c r="Q143" i="13" s="1"/>
  <c r="Q145" i="13" s="1"/>
  <c r="Q38" i="13"/>
  <c r="Q42" i="13" s="1"/>
  <c r="Z111" i="13"/>
  <c r="Z112" i="13"/>
  <c r="Z115" i="13"/>
  <c r="Z114" i="13"/>
  <c r="Z122" i="13"/>
  <c r="Z123" i="13"/>
  <c r="M184" i="13"/>
  <c r="M185" i="13" s="1"/>
  <c r="Q110" i="13"/>
  <c r="N112" i="13"/>
  <c r="N122" i="13"/>
  <c r="N126" i="13"/>
  <c r="N123" i="13"/>
  <c r="N118" i="13"/>
  <c r="N115" i="13"/>
  <c r="N119" i="13"/>
  <c r="N114" i="13"/>
  <c r="N127" i="13"/>
  <c r="N111" i="13"/>
  <c r="E119" i="13"/>
  <c r="E103" i="13"/>
  <c r="E144" i="13" s="1"/>
  <c r="D167" i="13"/>
  <c r="P119" i="13"/>
  <c r="P123" i="13"/>
  <c r="P127" i="13"/>
  <c r="P114" i="13"/>
  <c r="P111" i="13"/>
  <c r="P112" i="13"/>
  <c r="P115" i="13"/>
  <c r="P122" i="13"/>
  <c r="P118" i="13"/>
  <c r="P126" i="13"/>
  <c r="P120" i="13"/>
  <c r="P124" i="13"/>
  <c r="P116" i="13"/>
  <c r="P128" i="13"/>
  <c r="N124" i="13"/>
  <c r="N128" i="13"/>
  <c r="N120" i="13"/>
  <c r="N116" i="13"/>
  <c r="D17" i="13"/>
  <c r="D127" i="13" s="1"/>
  <c r="M39" i="13"/>
  <c r="M43" i="13" s="1"/>
  <c r="M40" i="13"/>
  <c r="M44" i="13" s="1"/>
  <c r="M38" i="13"/>
  <c r="M42" i="13" s="1"/>
  <c r="M45" i="13" s="1"/>
  <c r="M59" i="13"/>
  <c r="M143" i="13" s="1"/>
  <c r="M145" i="13" s="1"/>
  <c r="M57" i="13"/>
  <c r="M168" i="13"/>
  <c r="M58" i="13"/>
  <c r="S112" i="13"/>
  <c r="S111" i="13"/>
  <c r="S127" i="13"/>
  <c r="S115" i="13"/>
  <c r="S122" i="13"/>
  <c r="S119" i="13"/>
  <c r="S114" i="13"/>
  <c r="S126" i="13"/>
  <c r="S118" i="13"/>
  <c r="S123" i="13"/>
  <c r="K40" i="13"/>
  <c r="K44" i="13" s="1"/>
  <c r="K59" i="13"/>
  <c r="K143" i="13" s="1"/>
  <c r="K145" i="13" s="1"/>
  <c r="K39" i="13"/>
  <c r="K43" i="13" s="1"/>
  <c r="K57" i="13"/>
  <c r="K38" i="13"/>
  <c r="K42" i="13" s="1"/>
  <c r="K58" i="13"/>
  <c r="K168" i="13"/>
  <c r="F156" i="13"/>
  <c r="G119" i="13"/>
  <c r="G112" i="13"/>
  <c r="G111" i="13"/>
  <c r="G123" i="13"/>
  <c r="G128" i="13"/>
  <c r="E116" i="13"/>
  <c r="I177" i="13"/>
  <c r="U63" i="13"/>
  <c r="U62" i="13"/>
  <c r="U61" i="13"/>
  <c r="P38" i="13"/>
  <c r="P42" i="13" s="1"/>
  <c r="P168" i="13"/>
  <c r="P40" i="13"/>
  <c r="P44" i="13" s="1"/>
  <c r="P58" i="13"/>
  <c r="P59" i="13"/>
  <c r="P143" i="13" s="1"/>
  <c r="P145" i="13" s="1"/>
  <c r="P57" i="13"/>
  <c r="P39" i="13"/>
  <c r="P43" i="13" s="1"/>
  <c r="P184" i="13"/>
  <c r="P185" i="13" s="1"/>
  <c r="L184" i="13"/>
  <c r="L185" i="13" s="1"/>
  <c r="V179" i="13"/>
  <c r="V178" i="13"/>
  <c r="V176" i="13"/>
  <c r="D27" i="13"/>
  <c r="D21" i="13"/>
  <c r="U184" i="13"/>
  <c r="U185" i="13" s="1"/>
  <c r="L39" i="13"/>
  <c r="L43" i="13" s="1"/>
  <c r="L45" i="13" s="1"/>
  <c r="L40" i="13"/>
  <c r="L44" i="13" s="1"/>
  <c r="X63" i="13"/>
  <c r="X62" i="13"/>
  <c r="X61" i="13"/>
  <c r="AB38" i="13"/>
  <c r="AB42" i="13" s="1"/>
  <c r="E115" i="13"/>
  <c r="R128" i="13"/>
  <c r="R116" i="13"/>
  <c r="R124" i="13"/>
  <c r="R120" i="13"/>
  <c r="U115" i="13"/>
  <c r="U127" i="13"/>
  <c r="U114" i="13"/>
  <c r="U122" i="13"/>
  <c r="U111" i="13"/>
  <c r="U112" i="13"/>
  <c r="U119" i="13"/>
  <c r="U126" i="13"/>
  <c r="U123" i="13"/>
  <c r="U118" i="13"/>
  <c r="M173" i="13"/>
  <c r="R62" i="13"/>
  <c r="R61" i="13"/>
  <c r="R63" i="13"/>
  <c r="N178" i="13"/>
  <c r="N176" i="13"/>
  <c r="N179" i="13"/>
  <c r="L120" i="13"/>
  <c r="L116" i="13"/>
  <c r="L128" i="13"/>
  <c r="L124" i="13"/>
  <c r="D91" i="13"/>
  <c r="D93" i="13"/>
  <c r="D98" i="13"/>
  <c r="D96" i="13"/>
  <c r="D89" i="13"/>
  <c r="D100" i="13"/>
  <c r="W122" i="13"/>
  <c r="W114" i="13"/>
  <c r="W119" i="13"/>
  <c r="W123" i="13"/>
  <c r="W115" i="13"/>
  <c r="W126" i="13"/>
  <c r="W127" i="13"/>
  <c r="W118" i="13"/>
  <c r="W111" i="13"/>
  <c r="W112" i="13"/>
  <c r="D6" i="13"/>
  <c r="AA122" i="13"/>
  <c r="AA114" i="13"/>
  <c r="AA123" i="13"/>
  <c r="AA115" i="13"/>
  <c r="AA112" i="13"/>
  <c r="J124" i="12"/>
  <c r="J134" i="12" s="1"/>
  <c r="G126" i="13"/>
  <c r="E127" i="13"/>
  <c r="H63" i="13"/>
  <c r="H61" i="13"/>
  <c r="H62" i="13"/>
  <c r="E39" i="13"/>
  <c r="E43" i="13" s="1"/>
  <c r="E168" i="13"/>
  <c r="E59" i="13"/>
  <c r="E143" i="13" s="1"/>
  <c r="E38" i="13"/>
  <c r="E42" i="13" s="1"/>
  <c r="E58" i="13"/>
  <c r="E40" i="13"/>
  <c r="E44" i="13" s="1"/>
  <c r="F118" i="13"/>
  <c r="P178" i="13"/>
  <c r="P176" i="13"/>
  <c r="P179" i="13"/>
  <c r="D29" i="13"/>
  <c r="D22" i="13"/>
  <c r="N110" i="13"/>
  <c r="R184" i="13"/>
  <c r="R185" i="13" s="1"/>
  <c r="L114" i="13"/>
  <c r="L122" i="13"/>
  <c r="L127" i="13"/>
  <c r="L115" i="13"/>
  <c r="L126" i="13"/>
  <c r="L112" i="13"/>
  <c r="L111" i="13"/>
  <c r="L118" i="13"/>
  <c r="L123" i="13"/>
  <c r="L119" i="13"/>
  <c r="K110" i="13"/>
  <c r="G157" i="13"/>
  <c r="G127" i="13"/>
  <c r="G62" i="13"/>
  <c r="G61" i="13"/>
  <c r="G63" i="13"/>
  <c r="K122" i="13"/>
  <c r="K126" i="13"/>
  <c r="K114" i="13"/>
  <c r="K118" i="13"/>
  <c r="K123" i="13"/>
  <c r="K119" i="13"/>
  <c r="K115" i="13"/>
  <c r="K127" i="13"/>
  <c r="F168" i="13"/>
  <c r="F59" i="13"/>
  <c r="F143" i="13" s="1"/>
  <c r="F145" i="13" s="1"/>
  <c r="F39" i="13"/>
  <c r="F43" i="13" s="1"/>
  <c r="F57" i="13"/>
  <c r="F38" i="13"/>
  <c r="F42" i="13" s="1"/>
  <c r="F45" i="13" s="1"/>
  <c r="F58" i="13"/>
  <c r="F40" i="13"/>
  <c r="F44" i="13" s="1"/>
  <c r="I184" i="13"/>
  <c r="I185" i="13" s="1"/>
  <c r="H116" i="13"/>
  <c r="I178" i="13"/>
  <c r="I179" i="13"/>
  <c r="I176" i="13"/>
  <c r="F122" i="13"/>
  <c r="Q184" i="13"/>
  <c r="Q185" i="13" s="1"/>
  <c r="N62" i="13"/>
  <c r="N63" i="13"/>
  <c r="N61" i="13"/>
  <c r="V63" i="13"/>
  <c r="V61" i="13"/>
  <c r="V62" i="13"/>
  <c r="M126" i="13"/>
  <c r="M111" i="13"/>
  <c r="M112" i="13"/>
  <c r="M119" i="13"/>
  <c r="M118" i="13"/>
  <c r="M115" i="13"/>
  <c r="M127" i="13"/>
  <c r="M122" i="13"/>
  <c r="M114" i="13"/>
  <c r="M123" i="13"/>
  <c r="K112" i="13"/>
  <c r="K62" i="13"/>
  <c r="K61" i="13"/>
  <c r="K63" i="13"/>
  <c r="Z116" i="13"/>
  <c r="Z124" i="13"/>
  <c r="L110" i="13"/>
  <c r="D108" i="13"/>
  <c r="D128" i="13" s="1"/>
  <c r="U178" i="13"/>
  <c r="U179" i="13"/>
  <c r="E61" i="13"/>
  <c r="E62" i="13"/>
  <c r="E63" i="13"/>
  <c r="D24" i="13"/>
  <c r="D16" i="13"/>
  <c r="K124" i="13"/>
  <c r="K120" i="13"/>
  <c r="K116" i="13"/>
  <c r="K128" i="13"/>
  <c r="S40" i="13"/>
  <c r="S44" i="13" s="1"/>
  <c r="S58" i="13"/>
  <c r="S59" i="13"/>
  <c r="S143" i="13" s="1"/>
  <c r="S145" i="13" s="1"/>
  <c r="S57" i="13"/>
  <c r="S38" i="13"/>
  <c r="S42" i="13" s="1"/>
  <c r="S39" i="13"/>
  <c r="S43" i="13" s="1"/>
  <c r="S168" i="13"/>
  <c r="AA58" i="13"/>
  <c r="AA38" i="13"/>
  <c r="AA42" i="13" s="1"/>
  <c r="AB63" i="13"/>
  <c r="D61" i="13"/>
  <c r="D63" i="13"/>
  <c r="D62" i="13"/>
  <c r="I57" i="13"/>
  <c r="G172" i="13"/>
  <c r="M132" i="13"/>
  <c r="M135" i="13" s="1"/>
  <c r="K132" i="13"/>
  <c r="K135" i="13" s="1"/>
  <c r="H132" i="13"/>
  <c r="H135" i="13" s="1"/>
  <c r="AC38" i="13"/>
  <c r="AC42" i="13" s="1"/>
  <c r="D54" i="13"/>
  <c r="E57" i="13" s="1"/>
  <c r="D74" i="13"/>
  <c r="AB111" i="13"/>
  <c r="AB112" i="13"/>
  <c r="AB114" i="13"/>
  <c r="AB123" i="13"/>
  <c r="AB122" i="13"/>
  <c r="AB115" i="13"/>
  <c r="W124" i="13"/>
  <c r="W128" i="13"/>
  <c r="W120" i="13"/>
  <c r="W116" i="13"/>
  <c r="L173" i="13"/>
  <c r="Q124" i="13"/>
  <c r="Q116" i="13"/>
  <c r="Q120" i="13"/>
  <c r="Q128" i="13"/>
  <c r="N58" i="13"/>
  <c r="N59" i="13"/>
  <c r="N143" i="13" s="1"/>
  <c r="N145" i="13" s="1"/>
  <c r="N57" i="13"/>
  <c r="N39" i="13"/>
  <c r="N43" i="13" s="1"/>
  <c r="N38" i="13"/>
  <c r="N42" i="13" s="1"/>
  <c r="N40" i="13"/>
  <c r="N44" i="13" s="1"/>
  <c r="N168" i="13"/>
  <c r="U116" i="13"/>
  <c r="U128" i="13"/>
  <c r="U120" i="13"/>
  <c r="U124" i="13"/>
  <c r="W178" i="13"/>
  <c r="W179" i="13"/>
  <c r="F119" i="13"/>
  <c r="F126" i="13"/>
  <c r="F115" i="13"/>
  <c r="F114" i="13"/>
  <c r="F111" i="13"/>
  <c r="F112" i="13"/>
  <c r="F172" i="13"/>
  <c r="E172" i="13"/>
  <c r="F128" i="13"/>
  <c r="J178" i="13"/>
  <c r="J176" i="13"/>
  <c r="J179" i="13"/>
  <c r="H110" i="13"/>
  <c r="L62" i="13"/>
  <c r="L61" i="13"/>
  <c r="L63" i="13"/>
  <c r="X58" i="13"/>
  <c r="X59" i="13"/>
  <c r="X143" i="13" s="1"/>
  <c r="X40" i="13"/>
  <c r="X44" i="13" s="1"/>
  <c r="X57" i="13"/>
  <c r="X38" i="13"/>
  <c r="X42" i="13" s="1"/>
  <c r="X39" i="13"/>
  <c r="X43" i="13" s="1"/>
  <c r="D99" i="13"/>
  <c r="D90" i="13"/>
  <c r="D149" i="13"/>
  <c r="D151" i="13" s="1"/>
  <c r="D154" i="13" s="1"/>
  <c r="D97" i="13"/>
  <c r="D116" i="13"/>
  <c r="D92" i="13"/>
  <c r="D118" i="13"/>
  <c r="D119" i="13"/>
  <c r="D94" i="13"/>
  <c r="D115" i="13"/>
  <c r="D126" i="13"/>
  <c r="D114" i="13"/>
  <c r="D101" i="13"/>
  <c r="W59" i="13"/>
  <c r="W143" i="13" s="1"/>
  <c r="W57" i="13"/>
  <c r="W39" i="13"/>
  <c r="W43" i="13" s="1"/>
  <c r="W38" i="13"/>
  <c r="W42" i="13" s="1"/>
  <c r="W58" i="13"/>
  <c r="W40" i="13"/>
  <c r="W44" i="13" s="1"/>
  <c r="M120" i="13"/>
  <c r="M116" i="13"/>
  <c r="M124" i="13"/>
  <c r="M128" i="13"/>
  <c r="V112" i="13"/>
  <c r="V111" i="13"/>
  <c r="V118" i="13"/>
  <c r="V119" i="13"/>
  <c r="V126" i="13"/>
  <c r="V123" i="13"/>
  <c r="V127" i="13"/>
  <c r="V114" i="13"/>
  <c r="V122" i="13"/>
  <c r="V115" i="13"/>
  <c r="M110" i="13"/>
  <c r="S62" i="13"/>
  <c r="S61" i="13"/>
  <c r="S63" i="13"/>
  <c r="W62" i="13"/>
  <c r="W63" i="13"/>
  <c r="W61" i="13"/>
  <c r="W110" i="13"/>
  <c r="E135" i="13"/>
  <c r="G40" i="13"/>
  <c r="G44" i="13" s="1"/>
  <c r="G58" i="13"/>
  <c r="G38" i="13"/>
  <c r="G42" i="13" s="1"/>
  <c r="G39" i="13"/>
  <c r="G43" i="13" s="1"/>
  <c r="G57" i="13"/>
  <c r="G59" i="13"/>
  <c r="G143" i="13" s="1"/>
  <c r="G145" i="13" s="1"/>
  <c r="G168" i="13"/>
  <c r="H118" i="13"/>
  <c r="H112" i="13"/>
  <c r="H114" i="13"/>
  <c r="H126" i="13"/>
  <c r="H115" i="13"/>
  <c r="H123" i="13"/>
  <c r="H127" i="13"/>
  <c r="H111" i="13"/>
  <c r="H119" i="13"/>
  <c r="F127" i="13"/>
  <c r="H168" i="13"/>
  <c r="H59" i="13"/>
  <c r="H143" i="13" s="1"/>
  <c r="H145" i="13" s="1"/>
  <c r="H57" i="13"/>
  <c r="H39" i="13"/>
  <c r="H43" i="13" s="1"/>
  <c r="H58" i="13"/>
  <c r="H40" i="13"/>
  <c r="H44" i="13" s="1"/>
  <c r="H38" i="13"/>
  <c r="H42" i="13" s="1"/>
  <c r="D131" i="13"/>
  <c r="D132" i="13" s="1"/>
  <c r="D26" i="13"/>
  <c r="X112" i="13"/>
  <c r="X111" i="13"/>
  <c r="X126" i="13"/>
  <c r="X118" i="13"/>
  <c r="X127" i="13"/>
  <c r="X114" i="13"/>
  <c r="X123" i="13"/>
  <c r="X122" i="13"/>
  <c r="X119" i="13"/>
  <c r="X115" i="13"/>
  <c r="AC63" i="13"/>
  <c r="K111" i="13"/>
  <c r="M61" i="13"/>
  <c r="M62" i="13"/>
  <c r="M63" i="13"/>
  <c r="Q112" i="13"/>
  <c r="Q111" i="13"/>
  <c r="Q127" i="13"/>
  <c r="Q126" i="13"/>
  <c r="Q122" i="13"/>
  <c r="Q123" i="13"/>
  <c r="Q118" i="13"/>
  <c r="Q119" i="13"/>
  <c r="Q114" i="13"/>
  <c r="Q115" i="13"/>
  <c r="Z63" i="13"/>
  <c r="Z62" i="13"/>
  <c r="Z61" i="13"/>
  <c r="J45" i="13"/>
  <c r="H184" i="13"/>
  <c r="H185" i="13" s="1"/>
  <c r="H166" i="13"/>
  <c r="Q63" i="13"/>
  <c r="Q61" i="13"/>
  <c r="Q62" i="13"/>
  <c r="U58" i="13"/>
  <c r="U38" i="13"/>
  <c r="U42" i="13" s="1"/>
  <c r="U40" i="13"/>
  <c r="U44" i="13" s="1"/>
  <c r="U57" i="13"/>
  <c r="U39" i="13"/>
  <c r="U43" i="13" s="1"/>
  <c r="U59" i="13"/>
  <c r="U143" i="13" s="1"/>
  <c r="U145" i="13" s="1"/>
  <c r="Z178" i="13"/>
  <c r="Z179" i="13"/>
  <c r="R118" i="13"/>
  <c r="R114" i="13"/>
  <c r="R119" i="13"/>
  <c r="R127" i="13"/>
  <c r="R112" i="13"/>
  <c r="R111" i="13"/>
  <c r="R122" i="13"/>
  <c r="R126" i="13"/>
  <c r="R123" i="13"/>
  <c r="R115" i="13"/>
  <c r="X178" i="13"/>
  <c r="X179" i="13"/>
  <c r="Y45" i="13"/>
  <c r="P63" i="13"/>
  <c r="P61" i="13"/>
  <c r="P62" i="13"/>
  <c r="AA110" i="13"/>
  <c r="V59" i="13"/>
  <c r="V143" i="13" s="1"/>
  <c r="V145" i="13" s="1"/>
  <c r="V57" i="13"/>
  <c r="V58" i="13"/>
  <c r="V38" i="13"/>
  <c r="V42" i="13" s="1"/>
  <c r="V45" i="13" s="1"/>
  <c r="V39" i="13"/>
  <c r="V43" i="13" s="1"/>
  <c r="V40" i="13"/>
  <c r="V44" i="13" s="1"/>
  <c r="R40" i="13"/>
  <c r="R44" i="13" s="1"/>
  <c r="R168" i="13"/>
  <c r="R59" i="13"/>
  <c r="R143" i="13" s="1"/>
  <c r="R145" i="13" s="1"/>
  <c r="R57" i="13"/>
  <c r="R39" i="13"/>
  <c r="R43" i="13" s="1"/>
  <c r="R58" i="13"/>
  <c r="R38" i="13"/>
  <c r="R42" i="13" s="1"/>
  <c r="R45" i="13" s="1"/>
  <c r="S124" i="13"/>
  <c r="S116" i="13"/>
  <c r="S120" i="13"/>
  <c r="S128" i="13"/>
  <c r="Z110" i="13"/>
  <c r="V161" i="13"/>
  <c r="V156" i="13"/>
  <c r="V157" i="13"/>
  <c r="V162" i="13"/>
  <c r="V164" i="13"/>
  <c r="V163" i="13"/>
  <c r="V158" i="13"/>
  <c r="V159" i="13"/>
  <c r="O43" i="12" a="1"/>
  <c r="O43" i="12" s="1"/>
  <c r="O81" i="12" s="1"/>
  <c r="O82" i="12" s="1"/>
  <c r="Y174" i="13"/>
  <c r="Y177" i="13" s="1"/>
  <c r="AX880" i="1"/>
  <c r="X148" i="13"/>
  <c r="U162" i="13"/>
  <c r="U157" i="13"/>
  <c r="U161" i="13"/>
  <c r="U156" i="13"/>
  <c r="U158" i="13"/>
  <c r="U163" i="13"/>
  <c r="U164" i="13"/>
  <c r="U159" i="13"/>
  <c r="W168" i="13"/>
  <c r="W166" i="13"/>
  <c r="W151" i="13"/>
  <c r="W154" i="13" s="1"/>
  <c r="W176" i="13"/>
  <c r="AY1111" i="1"/>
  <c r="X181" i="13"/>
  <c r="L40" i="12"/>
  <c r="K39" i="12"/>
  <c r="J140" i="12"/>
  <c r="K111" i="12"/>
  <c r="K57" i="12"/>
  <c r="K95" i="12" s="1"/>
  <c r="K61" i="12"/>
  <c r="K69" i="12" a="1"/>
  <c r="K69" i="12" s="1"/>
  <c r="K70" i="12" s="1"/>
  <c r="L58" i="12"/>
  <c r="U100" i="12"/>
  <c r="U93" i="12"/>
  <c r="U90" i="12"/>
  <c r="U99" i="12"/>
  <c r="U92" i="12"/>
  <c r="U98" i="12"/>
  <c r="J56" i="12"/>
  <c r="K58" i="12" s="1"/>
  <c r="J77" i="12"/>
  <c r="J76" i="12"/>
  <c r="J96" i="12" s="1"/>
  <c r="I35" i="12"/>
  <c r="I141" i="12" s="1"/>
  <c r="J48" i="12"/>
  <c r="J45" i="12"/>
  <c r="I145" i="12"/>
  <c r="J147" i="12" s="1"/>
  <c r="J148" i="12" s="1"/>
  <c r="J149" i="12" s="1"/>
  <c r="I115" i="12"/>
  <c r="I114" i="12"/>
  <c r="I108" i="12"/>
  <c r="I116" i="12"/>
  <c r="I113" i="12"/>
  <c r="I109" i="12"/>
  <c r="I82" i="12"/>
  <c r="K98" i="12"/>
  <c r="K92" i="12"/>
  <c r="K93" i="12"/>
  <c r="K100" i="12"/>
  <c r="K90" i="12"/>
  <c r="K99" i="12"/>
  <c r="J26" i="12"/>
  <c r="K45" i="12"/>
  <c r="H125" i="12" a="1"/>
  <c r="H125" i="12" s="1"/>
  <c r="I126" i="12" s="1"/>
  <c r="I128" i="12" s="1"/>
  <c r="H129" i="12" a="1"/>
  <c r="H129" i="12" s="1"/>
  <c r="I130" i="12" s="1"/>
  <c r="I132" i="12" s="1"/>
  <c r="H103" i="12"/>
  <c r="H151" i="12" a="1"/>
  <c r="H151" i="12" s="1"/>
  <c r="I152" i="12" s="1"/>
  <c r="H119" i="12" a="1"/>
  <c r="H119" i="12" s="1"/>
  <c r="H87" i="12" a="1"/>
  <c r="H87" i="12" s="1"/>
  <c r="H84" i="12" a="1"/>
  <c r="H84" i="12" s="1"/>
  <c r="H72" i="12" a="1"/>
  <c r="H72" i="12" s="1"/>
  <c r="H121" i="12" a="1"/>
  <c r="H121" i="12" s="1"/>
  <c r="I122" i="12" s="1"/>
  <c r="H142" i="12" a="1"/>
  <c r="H142" i="12" s="1"/>
  <c r="I143" i="12" s="1"/>
  <c r="H83" i="12" a="1"/>
  <c r="H83" i="12" s="1"/>
  <c r="H63" i="12" a="1"/>
  <c r="H63" i="12" s="1"/>
  <c r="H55" i="12" a="1"/>
  <c r="H55" i="12" s="1"/>
  <c r="H43" i="12" a="1"/>
  <c r="H43" i="12" s="1"/>
  <c r="H81" i="12" s="1"/>
  <c r="H138" i="12" a="1"/>
  <c r="H138" i="12" s="1"/>
  <c r="I139" i="12" s="1"/>
  <c r="H66" i="12"/>
  <c r="H85" i="12" a="1"/>
  <c r="H85" i="12" s="1"/>
  <c r="H146" i="12" s="1"/>
  <c r="G5" i="12"/>
  <c r="H67" i="12" a="1"/>
  <c r="H67" i="12" s="1"/>
  <c r="H68" i="12" s="1" a="1"/>
  <c r="H68" i="12" s="1"/>
  <c r="H53" i="12" a="1"/>
  <c r="H53" i="12" s="1"/>
  <c r="H80" i="12" a="1"/>
  <c r="H80" i="12" s="1"/>
  <c r="H28" i="12"/>
  <c r="H21" i="12"/>
  <c r="I22" i="12" s="1"/>
  <c r="H64" i="12" a="1"/>
  <c r="H64" i="12" s="1"/>
  <c r="H34" i="12" a="1"/>
  <c r="H34" i="12" s="1"/>
  <c r="H35" i="12" s="1"/>
  <c r="H7" i="12" a="1"/>
  <c r="H7" i="12" s="1"/>
  <c r="H127" i="12" s="1"/>
  <c r="H131" i="12" s="1"/>
  <c r="H52" i="12" a="1"/>
  <c r="H52" i="12" s="1"/>
  <c r="H65" i="12" a="1"/>
  <c r="H65" i="12" s="1"/>
  <c r="H13" i="12" a="1"/>
  <c r="H13" i="12" s="1"/>
  <c r="I14" i="12" s="1"/>
  <c r="H37" i="12" a="1"/>
  <c r="H37" i="12" s="1"/>
  <c r="I106" i="12"/>
  <c r="I17" i="12"/>
  <c r="J8" i="12"/>
  <c r="J14" i="12"/>
  <c r="I29" i="12"/>
  <c r="I32" i="12"/>
  <c r="J18" i="12"/>
  <c r="I105" i="12"/>
  <c r="I150" i="12"/>
  <c r="I25" i="12"/>
  <c r="I41" i="12"/>
  <c r="I44" i="12"/>
  <c r="I137" i="12"/>
  <c r="I76" i="12"/>
  <c r="J153" i="12"/>
  <c r="J154" i="12" s="1"/>
  <c r="J144" i="12"/>
  <c r="I123" i="12"/>
  <c r="K23" i="12"/>
  <c r="M24" i="12"/>
  <c r="L23" i="12"/>
  <c r="L24" i="12"/>
  <c r="J91" i="12"/>
  <c r="J29" i="12"/>
  <c r="J94" i="12"/>
  <c r="J86" i="12"/>
  <c r="J88" i="12" s="1"/>
  <c r="I74" i="12"/>
  <c r="AY879" i="1"/>
  <c r="Y148" i="13" s="1"/>
  <c r="AY5" i="9"/>
  <c r="C883" i="1"/>
  <c r="C886" i="1"/>
  <c r="AX985" i="1"/>
  <c r="AX1079" i="1" s="1"/>
  <c r="AX92" i="9"/>
  <c r="AX93" i="9" s="1"/>
  <c r="AX100" i="9" s="1"/>
  <c r="AX156" i="9" s="1"/>
  <c r="AX1104" i="1"/>
  <c r="AW1082" i="1"/>
  <c r="W86" i="13" s="1"/>
  <c r="W167" i="13" s="1"/>
  <c r="BA836" i="1"/>
  <c r="AA174" i="13" s="1"/>
  <c r="AZ5" i="9"/>
  <c r="AZ879" i="1"/>
  <c r="Z148" i="13" s="1"/>
  <c r="AZ831" i="1"/>
  <c r="AZ77" i="9" s="1"/>
  <c r="AZ106" i="9" s="1"/>
  <c r="AZ829" i="1"/>
  <c r="BA834" i="1"/>
  <c r="AZ846" i="1"/>
  <c r="Z181" i="13" s="1"/>
  <c r="AX102" i="9"/>
  <c r="AX139" i="9"/>
  <c r="AX142" i="9"/>
  <c r="AX140" i="9"/>
  <c r="AX138" i="9"/>
  <c r="AX103" i="9"/>
  <c r="AX105" i="9" s="1"/>
  <c r="AX141" i="9"/>
  <c r="AX71" i="9"/>
  <c r="AX6" i="9"/>
  <c r="AX11" i="9" s="1"/>
  <c r="BA1015" i="1"/>
  <c r="BA1024" i="1"/>
  <c r="BA800" i="1"/>
  <c r="AA48" i="13" s="1"/>
  <c r="AA51" i="13" s="1"/>
  <c r="BA1053" i="1"/>
  <c r="BA1026" i="1"/>
  <c r="C149" i="9"/>
  <c r="C146" i="9"/>
  <c r="AV120" i="9"/>
  <c r="V136" i="13" s="1"/>
  <c r="AV128" i="9"/>
  <c r="AV129" i="9" s="1"/>
  <c r="O57" i="12" l="1"/>
  <c r="O95" i="12" s="1"/>
  <c r="V57" i="12"/>
  <c r="V95" i="12" s="1"/>
  <c r="V81" i="12"/>
  <c r="V82" i="12" s="1"/>
  <c r="V94" i="12" s="1"/>
  <c r="D123" i="13"/>
  <c r="BA60" i="9"/>
  <c r="D122" i="13"/>
  <c r="E145" i="13"/>
  <c r="D120" i="13"/>
  <c r="D124" i="13"/>
  <c r="Z182" i="13"/>
  <c r="Z184" i="13" s="1"/>
  <c r="Z185" i="13" s="1"/>
  <c r="AA64" i="13"/>
  <c r="AA61" i="13"/>
  <c r="U45" i="13"/>
  <c r="Z45" i="13"/>
  <c r="G45" i="13"/>
  <c r="D159" i="13"/>
  <c r="D163" i="13"/>
  <c r="D158" i="13"/>
  <c r="D164" i="13"/>
  <c r="D162" i="13"/>
  <c r="D157" i="13"/>
  <c r="D161" i="13"/>
  <c r="D156" i="13"/>
  <c r="E45" i="13"/>
  <c r="P45" i="13"/>
  <c r="D112" i="13"/>
  <c r="D111" i="13"/>
  <c r="G177" i="13"/>
  <c r="G173" i="13"/>
  <c r="H45" i="13"/>
  <c r="D166" i="13"/>
  <c r="D184" i="13"/>
  <c r="D185" i="13" s="1"/>
  <c r="K45" i="13"/>
  <c r="W45" i="13"/>
  <c r="X45" i="13"/>
  <c r="K173" i="13"/>
  <c r="H73" i="12"/>
  <c r="E177" i="13"/>
  <c r="E173" i="13"/>
  <c r="Q45" i="13"/>
  <c r="D178" i="13"/>
  <c r="D176" i="13"/>
  <c r="D179" i="13"/>
  <c r="F177" i="13"/>
  <c r="F173" i="13"/>
  <c r="L179" i="13"/>
  <c r="L178" i="13"/>
  <c r="L176" i="13"/>
  <c r="S45" i="13"/>
  <c r="M179" i="13"/>
  <c r="M176" i="13"/>
  <c r="M178" i="13"/>
  <c r="H173" i="13"/>
  <c r="N45" i="13"/>
  <c r="W162" i="13"/>
  <c r="W157" i="13"/>
  <c r="W161" i="13"/>
  <c r="W156" i="13"/>
  <c r="W164" i="13"/>
  <c r="W159" i="13"/>
  <c r="W163" i="13"/>
  <c r="W158" i="13"/>
  <c r="X168" i="13"/>
  <c r="X166" i="13"/>
  <c r="X151" i="13"/>
  <c r="X154" i="13" s="1"/>
  <c r="X176" i="13"/>
  <c r="Z168" i="13"/>
  <c r="Z166" i="13"/>
  <c r="Z176" i="13"/>
  <c r="Y166" i="13"/>
  <c r="Y168" i="13"/>
  <c r="Y151" i="13"/>
  <c r="Y154" i="13" s="1"/>
  <c r="Y176" i="13"/>
  <c r="O44" i="12"/>
  <c r="O48" i="12" s="1"/>
  <c r="W93" i="13"/>
  <c r="W91" i="13"/>
  <c r="W101" i="13"/>
  <c r="W99" i="13"/>
  <c r="W94" i="13"/>
  <c r="W92" i="13"/>
  <c r="W100" i="13"/>
  <c r="W98" i="13"/>
  <c r="W103" i="13"/>
  <c r="W144" i="13" s="1"/>
  <c r="W145" i="13" s="1"/>
  <c r="W135" i="13"/>
  <c r="I124" i="12"/>
  <c r="I134" i="12" s="1"/>
  <c r="H54" i="12"/>
  <c r="H76" i="12" s="1"/>
  <c r="I26" i="12"/>
  <c r="I144" i="12"/>
  <c r="I8" i="12"/>
  <c r="J9" i="12" s="1"/>
  <c r="J23" i="12"/>
  <c r="I48" i="12"/>
  <c r="O45" i="12"/>
  <c r="O91" i="12"/>
  <c r="L59" i="12"/>
  <c r="N60" i="12"/>
  <c r="M60" i="12"/>
  <c r="M59" i="12"/>
  <c r="H123" i="12"/>
  <c r="O96" i="12"/>
  <c r="O86" i="12"/>
  <c r="O88" i="12" s="1"/>
  <c r="O94" i="12"/>
  <c r="K9" i="12"/>
  <c r="L10" i="12"/>
  <c r="H74" i="12"/>
  <c r="I77" i="12"/>
  <c r="H150" i="12"/>
  <c r="H141" i="12"/>
  <c r="H105" i="12"/>
  <c r="H25" i="12"/>
  <c r="I91" i="12"/>
  <c r="J30" i="12"/>
  <c r="L31" i="12"/>
  <c r="K30" i="12"/>
  <c r="K31" i="12"/>
  <c r="J15" i="12"/>
  <c r="K15" i="12"/>
  <c r="K16" i="12"/>
  <c r="L16" i="12"/>
  <c r="I111" i="12"/>
  <c r="I57" i="12"/>
  <c r="I95" i="12" s="1"/>
  <c r="I61" i="12"/>
  <c r="I18" i="12"/>
  <c r="H32" i="12"/>
  <c r="K46" i="12"/>
  <c r="L46" i="12"/>
  <c r="L47" i="12"/>
  <c r="M47" i="12"/>
  <c r="I96" i="12"/>
  <c r="I86" i="12"/>
  <c r="I88" i="12" s="1"/>
  <c r="I94" i="12"/>
  <c r="J61" i="12"/>
  <c r="J58" i="12"/>
  <c r="K59" i="12" s="1"/>
  <c r="J111" i="12"/>
  <c r="J57" i="12"/>
  <c r="J95" i="12" s="1"/>
  <c r="J69" i="12" a="1"/>
  <c r="J69" i="12" s="1"/>
  <c r="J70" i="12" s="1"/>
  <c r="H56" i="12"/>
  <c r="H82" i="12"/>
  <c r="I153" i="12"/>
  <c r="I154" i="12" s="1"/>
  <c r="H137" i="12"/>
  <c r="H44" i="12"/>
  <c r="I45" i="12" s="1"/>
  <c r="J46" i="12" s="1"/>
  <c r="H41" i="12"/>
  <c r="V96" i="12"/>
  <c r="I140" i="12"/>
  <c r="V48" i="12"/>
  <c r="V91" i="12"/>
  <c r="I38" i="12"/>
  <c r="G151" i="12" a="1"/>
  <c r="G151" i="12" s="1"/>
  <c r="H152" i="12" s="1"/>
  <c r="G129" i="12" a="1"/>
  <c r="G129" i="12" s="1"/>
  <c r="H130" i="12" s="1"/>
  <c r="H132" i="12" s="1"/>
  <c r="G83" i="12" a="1"/>
  <c r="G83" i="12" s="1"/>
  <c r="G67" i="12" a="1"/>
  <c r="G67" i="12" s="1"/>
  <c r="G68" i="12" s="1" a="1"/>
  <c r="G68" i="12" s="1"/>
  <c r="G84" i="12" a="1"/>
  <c r="G84" i="12" s="1"/>
  <c r="G125" i="12" a="1"/>
  <c r="G125" i="12" s="1"/>
  <c r="H126" i="12" s="1"/>
  <c r="H128" i="12" s="1"/>
  <c r="G80" i="12" a="1"/>
  <c r="G80" i="12" s="1"/>
  <c r="G55" i="12" a="1"/>
  <c r="G55" i="12" s="1"/>
  <c r="G119" i="12" a="1"/>
  <c r="G119" i="12" s="1"/>
  <c r="G87" i="12" a="1"/>
  <c r="G87" i="12" s="1"/>
  <c r="G72" i="12" a="1"/>
  <c r="G72" i="12" s="1"/>
  <c r="G64" i="12" a="1"/>
  <c r="G64" i="12" s="1"/>
  <c r="G52" i="12" a="1"/>
  <c r="G52" i="12" s="1"/>
  <c r="G54" i="12" s="1"/>
  <c r="G138" i="12" a="1"/>
  <c r="G138" i="12" s="1"/>
  <c r="H139" i="12" s="1"/>
  <c r="G85" i="12" a="1"/>
  <c r="G85" i="12" s="1"/>
  <c r="G146" i="12" s="1"/>
  <c r="G53" i="12" a="1"/>
  <c r="G53" i="12" s="1"/>
  <c r="G142" i="12" a="1"/>
  <c r="G142" i="12" s="1"/>
  <c r="H143" i="12" s="1"/>
  <c r="G34" i="12" a="1"/>
  <c r="G34" i="12" s="1"/>
  <c r="G28" i="12"/>
  <c r="G21" i="12"/>
  <c r="H22" i="12" s="1"/>
  <c r="G103" i="12"/>
  <c r="G121" i="12" a="1"/>
  <c r="G121" i="12" s="1"/>
  <c r="H122" i="12" s="1"/>
  <c r="G13" i="12" a="1"/>
  <c r="G13" i="12" s="1"/>
  <c r="G66" i="12"/>
  <c r="G7" i="12" a="1"/>
  <c r="G7" i="12" s="1"/>
  <c r="H8" i="12" s="1"/>
  <c r="G65" i="12" a="1"/>
  <c r="G65" i="12" s="1"/>
  <c r="G63" i="12" a="1"/>
  <c r="G63" i="12" s="1"/>
  <c r="G37" i="12" a="1"/>
  <c r="G37" i="12" s="1"/>
  <c r="H38" i="12" s="1"/>
  <c r="G43" i="12" a="1"/>
  <c r="G43" i="12" s="1"/>
  <c r="G81" i="12" s="1"/>
  <c r="F5" i="12"/>
  <c r="K24" i="12"/>
  <c r="J100" i="12"/>
  <c r="J99" i="12"/>
  <c r="J93" i="12"/>
  <c r="J98" i="12"/>
  <c r="J92" i="12"/>
  <c r="J90" i="12"/>
  <c r="H106" i="12"/>
  <c r="H17" i="12"/>
  <c r="H116" i="12"/>
  <c r="H114" i="12"/>
  <c r="H115" i="12"/>
  <c r="H109" i="12"/>
  <c r="H145" i="12"/>
  <c r="I147" i="12" s="1"/>
  <c r="I148" i="12" s="1"/>
  <c r="I149" i="12" s="1"/>
  <c r="H108" i="12"/>
  <c r="H113" i="12"/>
  <c r="I69" i="12" a="1"/>
  <c r="I69" i="12" s="1"/>
  <c r="I70" i="12" s="1"/>
  <c r="BA1021" i="1"/>
  <c r="AZ92" i="9"/>
  <c r="AZ93" i="9" s="1"/>
  <c r="AZ100" i="9" s="1"/>
  <c r="AZ985" i="1"/>
  <c r="AZ989" i="1" s="1"/>
  <c r="AZ992" i="1" s="1"/>
  <c r="AZ995" i="1" s="1"/>
  <c r="AZ1104" i="1"/>
  <c r="AZ854" i="1"/>
  <c r="AZ855" i="1" s="1"/>
  <c r="AZ856" i="1" s="1"/>
  <c r="BB1011" i="1"/>
  <c r="BA1014" i="1"/>
  <c r="BA846" i="1"/>
  <c r="AA181" i="13" s="1"/>
  <c r="AA182" i="13" s="1"/>
  <c r="BB834" i="1"/>
  <c r="BA795" i="1"/>
  <c r="BA1056" i="1"/>
  <c r="AZ71" i="9"/>
  <c r="AZ138" i="9"/>
  <c r="AZ139" i="9"/>
  <c r="AZ6" i="9"/>
  <c r="AZ140" i="9"/>
  <c r="AZ102" i="9"/>
  <c r="AZ141" i="9"/>
  <c r="AZ142" i="9"/>
  <c r="AZ103" i="9"/>
  <c r="AZ105" i="9" s="1"/>
  <c r="BA16" i="11"/>
  <c r="BA19" i="11" s="1"/>
  <c r="BB836" i="1"/>
  <c r="AB174" i="13" s="1"/>
  <c r="BA5" i="9"/>
  <c r="BA879" i="1"/>
  <c r="AA148" i="13" s="1"/>
  <c r="AY1079" i="1"/>
  <c r="AX1082" i="1"/>
  <c r="X86" i="13" s="1"/>
  <c r="X167" i="13" s="1"/>
  <c r="AY139" i="9"/>
  <c r="AY140" i="9"/>
  <c r="AY138" i="9"/>
  <c r="AY141" i="9"/>
  <c r="AY102" i="9"/>
  <c r="AY147" i="9" s="1"/>
  <c r="AY142" i="9"/>
  <c r="AY103" i="9"/>
  <c r="AY105" i="9" s="1"/>
  <c r="AY71" i="9"/>
  <c r="AY6" i="9"/>
  <c r="BA951" i="1"/>
  <c r="AW111" i="9"/>
  <c r="AW118" i="9"/>
  <c r="AW119" i="9" s="1"/>
  <c r="AW1084" i="1"/>
  <c r="AW1086" i="1" s="1"/>
  <c r="AY880" i="1"/>
  <c r="AY885" i="1"/>
  <c r="K10" i="12" l="1"/>
  <c r="H179" i="13"/>
  <c r="H178" i="13"/>
  <c r="H176" i="13"/>
  <c r="G178" i="13"/>
  <c r="G176" i="13"/>
  <c r="G179" i="13"/>
  <c r="E179" i="13"/>
  <c r="E176" i="13"/>
  <c r="E178" i="13"/>
  <c r="K178" i="13"/>
  <c r="K176" i="13"/>
  <c r="K179" i="13"/>
  <c r="H91" i="12"/>
  <c r="F178" i="13"/>
  <c r="F179" i="13"/>
  <c r="F176" i="13"/>
  <c r="X161" i="13"/>
  <c r="X156" i="13"/>
  <c r="X157" i="13"/>
  <c r="X162" i="13"/>
  <c r="X163" i="13"/>
  <c r="X158" i="13"/>
  <c r="X164" i="13"/>
  <c r="X159" i="13"/>
  <c r="Y162" i="13"/>
  <c r="Y157" i="13"/>
  <c r="Y156" i="13"/>
  <c r="Y161" i="13"/>
  <c r="Y164" i="13"/>
  <c r="Y159" i="13"/>
  <c r="Y163" i="13"/>
  <c r="Y158" i="13"/>
  <c r="X100" i="13"/>
  <c r="X98" i="13"/>
  <c r="X93" i="13"/>
  <c r="X91" i="13"/>
  <c r="X92" i="13"/>
  <c r="X99" i="13"/>
  <c r="X94" i="13"/>
  <c r="X101" i="13"/>
  <c r="X103" i="13"/>
  <c r="X144" i="13" s="1"/>
  <c r="X145" i="13" s="1"/>
  <c r="X135" i="13"/>
  <c r="AZ156" i="9"/>
  <c r="AA168" i="13"/>
  <c r="H18" i="12"/>
  <c r="H77" i="12"/>
  <c r="H14" i="12"/>
  <c r="I15" i="12" s="1"/>
  <c r="J24" i="12"/>
  <c r="I23" i="12"/>
  <c r="J10" i="12"/>
  <c r="O93" i="12"/>
  <c r="O90" i="12"/>
  <c r="O92" i="12"/>
  <c r="O100" i="12"/>
  <c r="O99" i="12"/>
  <c r="O98" i="12"/>
  <c r="G73" i="12"/>
  <c r="I39" i="12"/>
  <c r="J39" i="12"/>
  <c r="J40" i="12"/>
  <c r="K40" i="12"/>
  <c r="H94" i="12"/>
  <c r="H96" i="12"/>
  <c r="H86" i="12"/>
  <c r="H88" i="12" s="1"/>
  <c r="I98" i="12"/>
  <c r="I92" i="12"/>
  <c r="I99" i="12"/>
  <c r="I100" i="12"/>
  <c r="I93" i="12"/>
  <c r="I90" i="12"/>
  <c r="O46" i="12"/>
  <c r="O47" i="12"/>
  <c r="H111" i="12"/>
  <c r="H61" i="12"/>
  <c r="H57" i="12"/>
  <c r="H95" i="12" s="1"/>
  <c r="G32" i="12"/>
  <c r="H26" i="12"/>
  <c r="G82" i="12"/>
  <c r="G74" i="12"/>
  <c r="G35" i="12"/>
  <c r="G141" i="12" s="1"/>
  <c r="G137" i="12"/>
  <c r="G44" i="12"/>
  <c r="G91" i="12" s="1"/>
  <c r="G41" i="12"/>
  <c r="H153" i="12"/>
  <c r="H154" i="12" s="1"/>
  <c r="K47" i="12"/>
  <c r="I9" i="12"/>
  <c r="G150" i="12"/>
  <c r="G105" i="12"/>
  <c r="G25" i="12"/>
  <c r="F151" i="12" a="1"/>
  <c r="F151" i="12" s="1"/>
  <c r="G152" i="12" s="1"/>
  <c r="F129" i="12" a="1"/>
  <c r="F129" i="12" s="1"/>
  <c r="G130" i="12" s="1"/>
  <c r="F119" i="12" a="1"/>
  <c r="F119" i="12" s="1"/>
  <c r="F142" i="12" a="1"/>
  <c r="F142" i="12" s="1"/>
  <c r="G143" i="12" s="1"/>
  <c r="F125" i="12" a="1"/>
  <c r="F125" i="12" s="1"/>
  <c r="G126" i="12" s="1"/>
  <c r="F138" i="12" a="1"/>
  <c r="F138" i="12" s="1"/>
  <c r="G139" i="12" s="1"/>
  <c r="F121" i="12" a="1"/>
  <c r="F121" i="12" s="1"/>
  <c r="G122" i="12" s="1"/>
  <c r="F67" i="12" a="1"/>
  <c r="F67" i="12" s="1"/>
  <c r="F68" i="12" s="1" a="1"/>
  <c r="F68" i="12" s="1"/>
  <c r="F53" i="12" a="1"/>
  <c r="F53" i="12" s="1"/>
  <c r="F87" i="12" a="1"/>
  <c r="F87" i="12" s="1"/>
  <c r="F84" i="12" a="1"/>
  <c r="F84" i="12" s="1"/>
  <c r="F63" i="12" a="1"/>
  <c r="F63" i="12" s="1"/>
  <c r="F80" i="12" a="1"/>
  <c r="F80" i="12" s="1"/>
  <c r="F65" i="12" a="1"/>
  <c r="F65" i="12" s="1"/>
  <c r="F28" i="12"/>
  <c r="G29" i="12" s="1"/>
  <c r="F103" i="12"/>
  <c r="F72" i="12" a="1"/>
  <c r="F72" i="12" s="1"/>
  <c r="F73" i="12" s="1"/>
  <c r="F64" i="12" a="1"/>
  <c r="F64" i="12" s="1"/>
  <c r="F52" i="12" a="1"/>
  <c r="F52" i="12" s="1"/>
  <c r="F37" i="12" a="1"/>
  <c r="F37" i="12" s="1"/>
  <c r="G38" i="12" s="1"/>
  <c r="F66" i="12"/>
  <c r="F85" i="12" a="1"/>
  <c r="F85" i="12" s="1"/>
  <c r="F146" i="12" s="1"/>
  <c r="F55" i="12" a="1"/>
  <c r="F55" i="12" s="1"/>
  <c r="F34" i="12" a="1"/>
  <c r="F34" i="12" s="1"/>
  <c r="F21" i="12"/>
  <c r="F83" i="12" a="1"/>
  <c r="F83" i="12" s="1"/>
  <c r="F7" i="12" a="1"/>
  <c r="F7" i="12" s="1"/>
  <c r="F13" i="12" a="1"/>
  <c r="F13" i="12" s="1"/>
  <c r="F43" i="12" a="1"/>
  <c r="F43" i="12" s="1"/>
  <c r="F81" i="12" s="1"/>
  <c r="E5" i="12"/>
  <c r="G145" i="12"/>
  <c r="H147" i="12" s="1"/>
  <c r="H148" i="12" s="1"/>
  <c r="H149" i="12" s="1"/>
  <c r="G115" i="12"/>
  <c r="G109" i="12"/>
  <c r="G114" i="12"/>
  <c r="G113" i="12"/>
  <c r="G116" i="12"/>
  <c r="G108" i="12"/>
  <c r="L60" i="12"/>
  <c r="H144" i="12"/>
  <c r="G123" i="12"/>
  <c r="I58" i="12"/>
  <c r="J59" i="12" s="1"/>
  <c r="H29" i="12"/>
  <c r="H48" i="12"/>
  <c r="G106" i="12"/>
  <c r="G17" i="12"/>
  <c r="G76" i="12"/>
  <c r="G56" i="12"/>
  <c r="G69" i="12" s="1" a="1"/>
  <c r="G69" i="12" s="1"/>
  <c r="H140" i="12"/>
  <c r="H124" i="12"/>
  <c r="H134" i="12" s="1"/>
  <c r="G127" i="12"/>
  <c r="G131" i="12" s="1"/>
  <c r="H69" i="12" a="1"/>
  <c r="H69" i="12" s="1"/>
  <c r="H70" i="12" s="1"/>
  <c r="AX111" i="9"/>
  <c r="AX118" i="9"/>
  <c r="AX119" i="9" s="1"/>
  <c r="AX1084" i="1"/>
  <c r="AX1086" i="1" s="1"/>
  <c r="BB846" i="1"/>
  <c r="AB181" i="13" s="1"/>
  <c r="AB182" i="13" s="1"/>
  <c r="BC834" i="1"/>
  <c r="BD834" i="1" s="1"/>
  <c r="AY1082" i="1"/>
  <c r="AZ1079" i="1"/>
  <c r="AZ1082" i="1" s="1"/>
  <c r="Z86" i="13" s="1"/>
  <c r="BA985" i="1"/>
  <c r="BA989" i="1" s="1"/>
  <c r="BA92" i="9"/>
  <c r="BA1104" i="1"/>
  <c r="AY11" i="9"/>
  <c r="AY148" i="9"/>
  <c r="BB1012" i="1"/>
  <c r="BB1025" i="1" s="1"/>
  <c r="AZ1034" i="1"/>
  <c r="BA994" i="1"/>
  <c r="AY883" i="1"/>
  <c r="AY886" i="1"/>
  <c r="BB1017" i="1"/>
  <c r="BA1020" i="1"/>
  <c r="AW120" i="9"/>
  <c r="W136" i="13" s="1"/>
  <c r="AW128" i="9"/>
  <c r="AW129" i="9" s="1"/>
  <c r="BA139" i="9"/>
  <c r="BA138" i="9"/>
  <c r="BA6" i="9"/>
  <c r="BA790" i="1"/>
  <c r="BA713" i="1"/>
  <c r="BB879" i="1"/>
  <c r="AB148" i="13" s="1"/>
  <c r="BB5" i="9"/>
  <c r="BC836" i="1"/>
  <c r="G26" i="12" l="1"/>
  <c r="G77" i="12"/>
  <c r="AB168" i="13"/>
  <c r="AZ997" i="1"/>
  <c r="Z67" i="13"/>
  <c r="Z91" i="13"/>
  <c r="Z101" i="13"/>
  <c r="Z99" i="13"/>
  <c r="Z98" i="13"/>
  <c r="Z92" i="13"/>
  <c r="Z100" i="13"/>
  <c r="Z93" i="13"/>
  <c r="Z94" i="13"/>
  <c r="Z135" i="13"/>
  <c r="Z167" i="13"/>
  <c r="O138" i="12" a="1"/>
  <c r="O138" i="12" s="1"/>
  <c r="O115" i="12" s="1"/>
  <c r="Y86" i="13"/>
  <c r="BD836" i="1"/>
  <c r="BD5" i="9" s="1"/>
  <c r="AC174" i="13"/>
  <c r="J16" i="12"/>
  <c r="G153" i="12"/>
  <c r="G154" i="12" s="1"/>
  <c r="I40" i="12"/>
  <c r="H39" i="12"/>
  <c r="G144" i="12"/>
  <c r="H45" i="12"/>
  <c r="F54" i="12"/>
  <c r="G22" i="12"/>
  <c r="H58" i="12"/>
  <c r="J60" i="12" s="1"/>
  <c r="H100" i="12"/>
  <c r="H90" i="12"/>
  <c r="H92" i="12"/>
  <c r="H93" i="12"/>
  <c r="H99" i="12"/>
  <c r="H98" i="12"/>
  <c r="E125" i="12" a="1"/>
  <c r="E125" i="12" s="1"/>
  <c r="F126" i="12" s="1"/>
  <c r="E138" i="12" a="1"/>
  <c r="E138" i="12" s="1"/>
  <c r="F139" i="12" s="1"/>
  <c r="E121" i="12" a="1"/>
  <c r="E121" i="12" s="1"/>
  <c r="F122" i="12" s="1"/>
  <c r="E72" i="12" a="1"/>
  <c r="E72" i="12" s="1"/>
  <c r="E85" i="12" a="1"/>
  <c r="E85" i="12" s="1"/>
  <c r="E146" i="12" s="1"/>
  <c r="E87" i="12" a="1"/>
  <c r="E87" i="12" s="1"/>
  <c r="E84" i="12" a="1"/>
  <c r="E84" i="12" s="1"/>
  <c r="E63" i="12" a="1"/>
  <c r="E63" i="12" s="1"/>
  <c r="E80" i="12" a="1"/>
  <c r="E80" i="12" s="1"/>
  <c r="E65" i="12" a="1"/>
  <c r="E65" i="12" s="1"/>
  <c r="E142" i="12" a="1"/>
  <c r="E142" i="12" s="1"/>
  <c r="F143" i="12" s="1"/>
  <c r="E119" i="12" a="1"/>
  <c r="E119" i="12" s="1"/>
  <c r="E64" i="12" a="1"/>
  <c r="E64" i="12" s="1"/>
  <c r="E43" i="12" a="1"/>
  <c r="E43" i="12" s="1"/>
  <c r="E81" i="12" s="1"/>
  <c r="E151" i="12" a="1"/>
  <c r="E151" i="12" s="1"/>
  <c r="F152" i="12" s="1"/>
  <c r="E129" i="12" a="1"/>
  <c r="E129" i="12" s="1"/>
  <c r="F130" i="12" s="1"/>
  <c r="E83" i="12" a="1"/>
  <c r="E83" i="12" s="1"/>
  <c r="E53" i="12" a="1"/>
  <c r="E53" i="12" s="1"/>
  <c r="E7" i="12" a="1"/>
  <c r="E7" i="12" s="1"/>
  <c r="E127" i="12" s="1"/>
  <c r="E131" i="12" s="1"/>
  <c r="D5" i="12"/>
  <c r="E37" i="12" a="1"/>
  <c r="E37" i="12" s="1"/>
  <c r="E55" i="12" a="1"/>
  <c r="E55" i="12" s="1"/>
  <c r="E103" i="12"/>
  <c r="E21" i="12"/>
  <c r="E67" i="12" a="1"/>
  <c r="E67" i="12" s="1"/>
  <c r="E68" i="12" s="1" a="1"/>
  <c r="E68" i="12" s="1"/>
  <c r="E52" i="12" a="1"/>
  <c r="E52" i="12" s="1"/>
  <c r="E34" i="12" a="1"/>
  <c r="E34" i="12" s="1"/>
  <c r="E66" i="12"/>
  <c r="E28" i="12"/>
  <c r="E13" i="12" a="1"/>
  <c r="E13" i="12" s="1"/>
  <c r="F14" i="12" s="1"/>
  <c r="G124" i="12"/>
  <c r="G86" i="12"/>
  <c r="G88" i="12" s="1"/>
  <c r="G94" i="12"/>
  <c r="G96" i="12"/>
  <c r="H30" i="12"/>
  <c r="I31" i="12"/>
  <c r="J31" i="12"/>
  <c r="I30" i="12"/>
  <c r="F106" i="12"/>
  <c r="F18" i="12"/>
  <c r="F17" i="12"/>
  <c r="G128" i="12"/>
  <c r="F150" i="12"/>
  <c r="F105" i="12"/>
  <c r="F25" i="12"/>
  <c r="F82" i="12"/>
  <c r="G111" i="12"/>
  <c r="G57" i="12"/>
  <c r="G95" i="12" s="1"/>
  <c r="G70" i="12"/>
  <c r="G61" i="12"/>
  <c r="F123" i="12"/>
  <c r="F8" i="12"/>
  <c r="I59" i="12"/>
  <c r="F35" i="12"/>
  <c r="F141" i="12" s="1"/>
  <c r="F127" i="12"/>
  <c r="F131" i="12" s="1"/>
  <c r="G14" i="12"/>
  <c r="G8" i="12"/>
  <c r="F74" i="12"/>
  <c r="F114" i="12"/>
  <c r="F113" i="12"/>
  <c r="F116" i="12"/>
  <c r="F108" i="12"/>
  <c r="F145" i="12"/>
  <c r="G147" i="12" s="1"/>
  <c r="G148" i="12" s="1"/>
  <c r="G149" i="12" s="1"/>
  <c r="F115" i="12"/>
  <c r="F109" i="12"/>
  <c r="G132" i="12"/>
  <c r="F32" i="12"/>
  <c r="G18" i="12"/>
  <c r="G48" i="12"/>
  <c r="K60" i="12"/>
  <c r="F137" i="12"/>
  <c r="F38" i="12"/>
  <c r="F44" i="12"/>
  <c r="F91" i="12" s="1"/>
  <c r="F41" i="12"/>
  <c r="G140" i="12"/>
  <c r="BD879" i="1"/>
  <c r="AD148" i="13" s="1"/>
  <c r="BA55" i="9"/>
  <c r="BA705" i="1"/>
  <c r="BA706" i="1"/>
  <c r="BA791" i="1"/>
  <c r="AY118" i="9"/>
  <c r="AY119" i="9" s="1"/>
  <c r="AY111" i="9"/>
  <c r="AY1084" i="1"/>
  <c r="AY1086" i="1" s="1"/>
  <c r="AZ859" i="1"/>
  <c r="V83" i="12" s="1"/>
  <c r="AZ1043" i="1"/>
  <c r="BE836" i="1"/>
  <c r="BC5" i="9"/>
  <c r="BC879" i="1"/>
  <c r="AC148" i="13" s="1"/>
  <c r="BB139" i="9"/>
  <c r="BB138" i="9"/>
  <c r="BB6" i="9"/>
  <c r="BB1018" i="1"/>
  <c r="BB799" i="1"/>
  <c r="BB1050" i="1"/>
  <c r="AB55" i="13" s="1"/>
  <c r="BC846" i="1"/>
  <c r="AC181" i="13" s="1"/>
  <c r="BE834" i="1"/>
  <c r="BB985" i="1"/>
  <c r="BB989" i="1" s="1"/>
  <c r="BB92" i="9"/>
  <c r="BB1104" i="1"/>
  <c r="AY146" i="9"/>
  <c r="AY149" i="9"/>
  <c r="AX120" i="9"/>
  <c r="X136" i="13" s="1"/>
  <c r="AX128" i="9"/>
  <c r="AX129" i="9" s="1"/>
  <c r="BB1026" i="1"/>
  <c r="AZ118" i="9"/>
  <c r="AZ119" i="9" s="1"/>
  <c r="AZ120" i="9" s="1"/>
  <c r="Z136" i="13" s="1"/>
  <c r="AZ1084" i="1"/>
  <c r="E74" i="12" l="1"/>
  <c r="AB62" i="13"/>
  <c r="AB58" i="13"/>
  <c r="AB48" i="13"/>
  <c r="AB51" i="13" s="1"/>
  <c r="G45" i="12"/>
  <c r="BA708" i="1"/>
  <c r="AA7" i="13"/>
  <c r="AD168" i="13"/>
  <c r="Q43" i="12" a="1"/>
  <c r="Q43" i="12" s="1"/>
  <c r="Q81" i="12" s="1"/>
  <c r="Q82" i="12" s="1"/>
  <c r="Q94" i="12" s="1"/>
  <c r="AE174" i="13"/>
  <c r="O139" i="12"/>
  <c r="O148" i="12" s="1"/>
  <c r="O149" i="12" s="1"/>
  <c r="O113" i="12"/>
  <c r="O116" i="12"/>
  <c r="AZ1057" i="1"/>
  <c r="Z84" i="13" s="1"/>
  <c r="Z69" i="13"/>
  <c r="P43" i="12" a="1"/>
  <c r="P43" i="12" s="1"/>
  <c r="P81" i="12" s="1"/>
  <c r="P82" i="12" s="1"/>
  <c r="P94" i="12" s="1"/>
  <c r="AD174" i="13"/>
  <c r="Y91" i="13"/>
  <c r="Y92" i="13"/>
  <c r="Y100" i="13"/>
  <c r="Y98" i="13"/>
  <c r="Y93" i="13"/>
  <c r="Y94" i="13"/>
  <c r="Y99" i="13"/>
  <c r="Y101" i="13"/>
  <c r="Y135" i="13"/>
  <c r="Y103" i="13"/>
  <c r="Y144" i="13" s="1"/>
  <c r="Y145" i="13" s="1"/>
  <c r="Y167" i="13"/>
  <c r="Z76" i="13"/>
  <c r="Z75" i="13"/>
  <c r="Z149" i="13"/>
  <c r="Z151" i="13" s="1"/>
  <c r="Z154" i="13" s="1"/>
  <c r="Z159" i="13" s="1"/>
  <c r="Z126" i="13"/>
  <c r="Z118" i="13"/>
  <c r="Z127" i="13"/>
  <c r="Z119" i="13"/>
  <c r="Z120" i="13"/>
  <c r="Z128" i="13"/>
  <c r="AC168" i="13"/>
  <c r="F153" i="12"/>
  <c r="F154" i="12" s="1"/>
  <c r="F144" i="12"/>
  <c r="E150" i="12"/>
  <c r="E105" i="12"/>
  <c r="E25" i="12"/>
  <c r="F124" i="12"/>
  <c r="H46" i="12"/>
  <c r="I47" i="12"/>
  <c r="I46" i="12"/>
  <c r="J47" i="12"/>
  <c r="F128" i="12"/>
  <c r="V108" i="12"/>
  <c r="V86" i="12"/>
  <c r="V88" i="12" s="1"/>
  <c r="F48" i="12"/>
  <c r="F22" i="12"/>
  <c r="G93" i="12"/>
  <c r="G92" i="12"/>
  <c r="G98" i="12"/>
  <c r="G99" i="12"/>
  <c r="G100" i="12"/>
  <c r="G90" i="12"/>
  <c r="F26" i="12"/>
  <c r="E137" i="12"/>
  <c r="E44" i="12"/>
  <c r="E91" i="12" s="1"/>
  <c r="E41" i="12"/>
  <c r="F140" i="12"/>
  <c r="G134" i="12"/>
  <c r="D129" i="12" a="1"/>
  <c r="D129" i="12" s="1"/>
  <c r="D119" i="12" a="1"/>
  <c r="D119" i="12" s="1"/>
  <c r="D142" i="12" a="1"/>
  <c r="D142" i="12" s="1"/>
  <c r="E143" i="12" s="1"/>
  <c r="D52" i="12" a="1"/>
  <c r="D52" i="12" s="1"/>
  <c r="D66" i="12"/>
  <c r="D151" i="12" a="1"/>
  <c r="D151" i="12" s="1"/>
  <c r="E152" i="12" s="1"/>
  <c r="D64" i="12" a="1"/>
  <c r="D64" i="12" s="1"/>
  <c r="D13" i="12" a="1"/>
  <c r="D13" i="12" s="1"/>
  <c r="D83" i="12" a="1"/>
  <c r="D83" i="12" s="1"/>
  <c r="D53" i="12" a="1"/>
  <c r="D53" i="12" s="1"/>
  <c r="X53" i="12" s="1"/>
  <c r="D103" i="12"/>
  <c r="X103" i="12" s="1"/>
  <c r="D121" i="12" a="1"/>
  <c r="D121" i="12" s="1"/>
  <c r="D138" i="12" a="1"/>
  <c r="D138" i="12" s="1"/>
  <c r="E139" i="12" s="1"/>
  <c r="D34" i="12" a="1"/>
  <c r="D34" i="12" s="1"/>
  <c r="D125" i="12" a="1"/>
  <c r="D125" i="12" s="1"/>
  <c r="D72" i="12" a="1"/>
  <c r="D72" i="12" s="1"/>
  <c r="D73" i="12" s="1"/>
  <c r="D84" i="12" a="1"/>
  <c r="D84" i="12" s="1"/>
  <c r="D67" i="12" a="1"/>
  <c r="D67" i="12" s="1"/>
  <c r="D68" i="12" s="1" a="1"/>
  <c r="D68" i="12" s="1"/>
  <c r="D37" i="12" a="1"/>
  <c r="D37" i="12" s="1"/>
  <c r="D43" i="12" a="1"/>
  <c r="D43" i="12" s="1"/>
  <c r="D28" i="12"/>
  <c r="E29" i="12" s="1"/>
  <c r="D87" i="12" a="1"/>
  <c r="D87" i="12" s="1"/>
  <c r="D63" i="12" a="1"/>
  <c r="D63" i="12" s="1"/>
  <c r="D55" i="12" a="1"/>
  <c r="D55" i="12" s="1"/>
  <c r="D21" i="12"/>
  <c r="E22" i="12" s="1"/>
  <c r="G24" i="12" s="1"/>
  <c r="D80" i="12" a="1"/>
  <c r="D80" i="12" s="1"/>
  <c r="D65" i="12" a="1"/>
  <c r="D65" i="12" s="1"/>
  <c r="D85" i="12" a="1"/>
  <c r="D85" i="12" s="1"/>
  <c r="D146" i="12" s="1"/>
  <c r="D7" i="12" a="1"/>
  <c r="D7" i="12" s="1"/>
  <c r="E106" i="12"/>
  <c r="E17" i="12"/>
  <c r="E14" i="12"/>
  <c r="F15" i="12" s="1"/>
  <c r="E123" i="12"/>
  <c r="E82" i="12"/>
  <c r="H40" i="12"/>
  <c r="E32" i="12"/>
  <c r="F94" i="12"/>
  <c r="F86" i="12"/>
  <c r="F88" i="12" s="1"/>
  <c r="E113" i="12"/>
  <c r="E108" i="12"/>
  <c r="E145" i="12"/>
  <c r="F147" i="12" s="1"/>
  <c r="F148" i="12" s="1"/>
  <c r="F149" i="12" s="1"/>
  <c r="E115" i="12"/>
  <c r="E109" i="12"/>
  <c r="E114" i="12"/>
  <c r="E116" i="12"/>
  <c r="G39" i="12"/>
  <c r="G9" i="12"/>
  <c r="H10" i="12"/>
  <c r="I10" i="12"/>
  <c r="H9" i="12"/>
  <c r="E35" i="12"/>
  <c r="E141" i="12" s="1"/>
  <c r="F132" i="12"/>
  <c r="F29" i="12"/>
  <c r="G15" i="12"/>
  <c r="G16" i="12"/>
  <c r="I16" i="12"/>
  <c r="H16" i="12"/>
  <c r="H15" i="12"/>
  <c r="E54" i="12"/>
  <c r="G23" i="12"/>
  <c r="H23" i="12"/>
  <c r="H24" i="12"/>
  <c r="I24" i="12"/>
  <c r="E73" i="12"/>
  <c r="F56" i="12"/>
  <c r="F77" i="12"/>
  <c r="F76" i="12"/>
  <c r="F96" i="12" s="1"/>
  <c r="BE846" i="1"/>
  <c r="BF834" i="1"/>
  <c r="BE5" i="9"/>
  <c r="BF836" i="1"/>
  <c r="BE879" i="1"/>
  <c r="AE148" i="13" s="1"/>
  <c r="AY120" i="9"/>
  <c r="Y136" i="13" s="1"/>
  <c r="AY128" i="9"/>
  <c r="AY129" i="9" s="1"/>
  <c r="BC92" i="9"/>
  <c r="BC985" i="1"/>
  <c r="BC989" i="1" s="1"/>
  <c r="BD1110" i="1" s="1"/>
  <c r="BC1104" i="1"/>
  <c r="BD1111" i="1"/>
  <c r="BC139" i="9"/>
  <c r="BC138" i="9"/>
  <c r="BC6" i="9"/>
  <c r="BB1024" i="1"/>
  <c r="BB800" i="1"/>
  <c r="BB951" i="1" s="1"/>
  <c r="BB1053" i="1"/>
  <c r="AZ7" i="9"/>
  <c r="AZ11" i="9" s="1"/>
  <c r="AZ1091" i="1"/>
  <c r="BA868" i="1"/>
  <c r="AZ864" i="1"/>
  <c r="BD139" i="9"/>
  <c r="BD6" i="9"/>
  <c r="BD138" i="9"/>
  <c r="BB1015" i="1"/>
  <c r="BA707" i="1"/>
  <c r="BA1103" i="1"/>
  <c r="BA58" i="9"/>
  <c r="BA80" i="9"/>
  <c r="X106" i="12"/>
  <c r="X17" i="12"/>
  <c r="X113" i="12"/>
  <c r="X108" i="12"/>
  <c r="X105" i="12"/>
  <c r="X25" i="12"/>
  <c r="X91" i="12"/>
  <c r="X115" i="12"/>
  <c r="X109" i="12"/>
  <c r="X114" i="12"/>
  <c r="X41" i="12"/>
  <c r="X116" i="12"/>
  <c r="X32" i="12"/>
  <c r="O140" i="12" l="1"/>
  <c r="AA24" i="13"/>
  <c r="AA16" i="13"/>
  <c r="AA6" i="13"/>
  <c r="AB64" i="13"/>
  <c r="AB61" i="13"/>
  <c r="Z164" i="13"/>
  <c r="Z74" i="13"/>
  <c r="Z54" i="13"/>
  <c r="Z57" i="13" s="1"/>
  <c r="AE168" i="13"/>
  <c r="R43" i="12" a="1"/>
  <c r="R43" i="12" s="1"/>
  <c r="R81" i="12" s="1"/>
  <c r="R82" i="12" s="1"/>
  <c r="R94" i="12" s="1"/>
  <c r="AF174" i="13"/>
  <c r="Z89" i="13"/>
  <c r="Z90" i="13"/>
  <c r="Z97" i="13"/>
  <c r="Z96" i="13"/>
  <c r="Z104" i="13"/>
  <c r="Z59" i="13"/>
  <c r="Z143" i="13" s="1"/>
  <c r="Z103" i="13"/>
  <c r="Z144" i="13" s="1"/>
  <c r="Q63" i="12" a="1"/>
  <c r="Q63" i="12" s="1"/>
  <c r="AE181" i="13"/>
  <c r="AE182" i="13" s="1"/>
  <c r="AZ1086" i="1"/>
  <c r="AZ123" i="9"/>
  <c r="AZ124" i="9" s="1"/>
  <c r="AZ125" i="9" s="1"/>
  <c r="Z134" i="13" s="1"/>
  <c r="Z162" i="13"/>
  <c r="Z157" i="13"/>
  <c r="Z156" i="13"/>
  <c r="Z161" i="13"/>
  <c r="Z163" i="13"/>
  <c r="Z158" i="13"/>
  <c r="BB795" i="1"/>
  <c r="BB60" i="9"/>
  <c r="E144" i="12"/>
  <c r="F30" i="12"/>
  <c r="G31" i="12"/>
  <c r="H31" i="12"/>
  <c r="G30" i="12"/>
  <c r="D44" i="12"/>
  <c r="D91" i="12" s="1"/>
  <c r="D41" i="12"/>
  <c r="D137" i="12"/>
  <c r="X37" i="12"/>
  <c r="D106" i="12"/>
  <c r="D17" i="12"/>
  <c r="X13" i="12"/>
  <c r="D123" i="12"/>
  <c r="X7" i="12"/>
  <c r="D109" i="12"/>
  <c r="D145" i="12"/>
  <c r="E147" i="12" s="1"/>
  <c r="E148" i="12" s="1"/>
  <c r="E149" i="12" s="1"/>
  <c r="D108" i="12"/>
  <c r="D116" i="12"/>
  <c r="D115" i="12"/>
  <c r="D114" i="12"/>
  <c r="D113" i="12"/>
  <c r="F23" i="12"/>
  <c r="F134" i="12"/>
  <c r="E48" i="12"/>
  <c r="F45" i="12"/>
  <c r="D54" i="12"/>
  <c r="X52" i="12"/>
  <c r="E140" i="12"/>
  <c r="D105" i="12"/>
  <c r="D150" i="12"/>
  <c r="D25" i="12"/>
  <c r="X21" i="12"/>
  <c r="D126" i="12"/>
  <c r="E126" i="12"/>
  <c r="E128" i="12" s="1"/>
  <c r="E153" i="12"/>
  <c r="E154" i="12" s="1"/>
  <c r="E38" i="12"/>
  <c r="V90" i="12"/>
  <c r="V98" i="12"/>
  <c r="V100" i="12"/>
  <c r="V93" i="12"/>
  <c r="V99" i="12"/>
  <c r="V92" i="12"/>
  <c r="E76" i="12"/>
  <c r="E96" i="12" s="1"/>
  <c r="E77" i="12"/>
  <c r="E56" i="12"/>
  <c r="F58" i="12" s="1"/>
  <c r="E86" i="12"/>
  <c r="E88" i="12" s="1"/>
  <c r="E94" i="12"/>
  <c r="D74" i="12"/>
  <c r="X55" i="12"/>
  <c r="D35" i="12"/>
  <c r="D141" i="12" s="1"/>
  <c r="X34" i="12"/>
  <c r="E8" i="12"/>
  <c r="E130" i="12"/>
  <c r="E132" i="12" s="1"/>
  <c r="D130" i="12"/>
  <c r="E122" i="12"/>
  <c r="E124" i="12" s="1"/>
  <c r="D122" i="12"/>
  <c r="D127" i="12"/>
  <c r="D131" i="12" s="1"/>
  <c r="F98" i="12"/>
  <c r="F100" i="12"/>
  <c r="F90" i="12"/>
  <c r="F99" i="12"/>
  <c r="F93" i="12"/>
  <c r="F92" i="12"/>
  <c r="D32" i="12"/>
  <c r="X28" i="12"/>
  <c r="F111" i="12"/>
  <c r="F61" i="12"/>
  <c r="F57" i="12"/>
  <c r="F95" i="12" s="1"/>
  <c r="G58" i="12"/>
  <c r="F69" i="12" a="1"/>
  <c r="F69" i="12" s="1"/>
  <c r="F70" i="12" s="1"/>
  <c r="D81" i="12"/>
  <c r="D82" i="12" s="1"/>
  <c r="X43" i="12"/>
  <c r="BA870" i="1"/>
  <c r="BA808" i="1"/>
  <c r="AA11" i="13" s="1"/>
  <c r="AA20" i="13" s="1"/>
  <c r="BB790" i="1"/>
  <c r="BB713" i="1"/>
  <c r="BF879" i="1"/>
  <c r="AF148" i="13" s="1"/>
  <c r="BG836" i="1"/>
  <c r="C24" i="14" s="1"/>
  <c r="BF5" i="9"/>
  <c r="BB1021" i="1"/>
  <c r="BE138" i="9"/>
  <c r="BE139" i="9"/>
  <c r="BE6" i="9"/>
  <c r="BC1011" i="1"/>
  <c r="BB1014" i="1"/>
  <c r="BB1056" i="1"/>
  <c r="BF846" i="1"/>
  <c r="BG834" i="1"/>
  <c r="BG846" i="1" s="1"/>
  <c r="BA152" i="9"/>
  <c r="BA83" i="9"/>
  <c r="BA62" i="9"/>
  <c r="BA85" i="9" s="1"/>
  <c r="BE92" i="9"/>
  <c r="BE985" i="1"/>
  <c r="BE989" i="1" s="1"/>
  <c r="BE1104" i="1"/>
  <c r="AZ109" i="9"/>
  <c r="AZ126" i="9"/>
  <c r="AZ127" i="9" s="1"/>
  <c r="AZ128" i="9" s="1"/>
  <c r="AZ129" i="9" s="1"/>
  <c r="AZ880" i="1"/>
  <c r="AZ110" i="9"/>
  <c r="AZ111" i="9"/>
  <c r="BB16" i="11"/>
  <c r="BB19" i="11" s="1"/>
  <c r="X48" i="12"/>
  <c r="X96" i="12"/>
  <c r="X94" i="12"/>
  <c r="I24" i="14" l="1"/>
  <c r="F24" i="14"/>
  <c r="AA40" i="13"/>
  <c r="AA44" i="13" s="1"/>
  <c r="AA39" i="13"/>
  <c r="AA43" i="13" s="1"/>
  <c r="AZ134" i="9"/>
  <c r="AZ135" i="9" s="1"/>
  <c r="Z137" i="13" s="1"/>
  <c r="S43" i="12" a="1"/>
  <c r="S43" i="12" s="1"/>
  <c r="S81" i="12" s="1"/>
  <c r="S82" i="12" s="1"/>
  <c r="AG174" i="13"/>
  <c r="AF168" i="13"/>
  <c r="S63" i="12" a="1"/>
  <c r="S63" i="12" s="1"/>
  <c r="AG181" i="13"/>
  <c r="AG182" i="13" s="1"/>
  <c r="R63" i="12" a="1"/>
  <c r="R63" i="12" s="1"/>
  <c r="AF181" i="13"/>
  <c r="AF182" i="13" s="1"/>
  <c r="Z145" i="13"/>
  <c r="E134" i="12"/>
  <c r="D94" i="12"/>
  <c r="D86" i="12"/>
  <c r="D88" i="12" s="1"/>
  <c r="G59" i="12"/>
  <c r="I60" i="12"/>
  <c r="H60" i="12"/>
  <c r="H59" i="12"/>
  <c r="F39" i="12"/>
  <c r="G40" i="12"/>
  <c r="S94" i="12"/>
  <c r="E100" i="12"/>
  <c r="E98" i="12"/>
  <c r="E90" i="12"/>
  <c r="E99" i="12"/>
  <c r="E93" i="12"/>
  <c r="E92" i="12"/>
  <c r="D48" i="12"/>
  <c r="X44" i="12"/>
  <c r="D56" i="12"/>
  <c r="D76" i="12"/>
  <c r="X76" i="12" s="1"/>
  <c r="D77" i="12"/>
  <c r="X77" i="12" s="1"/>
  <c r="X54" i="12"/>
  <c r="E57" i="12"/>
  <c r="E95" i="12" s="1"/>
  <c r="E61" i="12"/>
  <c r="E111" i="12"/>
  <c r="E69" i="12" a="1"/>
  <c r="E69" i="12" s="1"/>
  <c r="E70" i="12" s="1"/>
  <c r="G46" i="12"/>
  <c r="H47" i="12"/>
  <c r="E45" i="12"/>
  <c r="F46" i="12" s="1"/>
  <c r="F9" i="12"/>
  <c r="G10" i="12"/>
  <c r="BC1017" i="1"/>
  <c r="BB1020" i="1"/>
  <c r="BA811" i="1"/>
  <c r="AA12" i="13" s="1"/>
  <c r="BA63" i="9"/>
  <c r="BA65" i="9" s="1"/>
  <c r="BA873" i="1"/>
  <c r="BA871" i="1"/>
  <c r="BG92" i="9"/>
  <c r="BG1104" i="1"/>
  <c r="BG985" i="1"/>
  <c r="BG989" i="1" s="1"/>
  <c r="BC1012" i="1"/>
  <c r="BC1025" i="1" s="1"/>
  <c r="BD1025" i="1" s="1"/>
  <c r="BF138" i="9"/>
  <c r="BF139" i="9"/>
  <c r="BF6" i="9"/>
  <c r="BF92" i="9"/>
  <c r="BF1104" i="1"/>
  <c r="BF985" i="1"/>
  <c r="BF989" i="1" s="1"/>
  <c r="BG5" i="9"/>
  <c r="BG879" i="1"/>
  <c r="AG148" i="13" s="1"/>
  <c r="BB55" i="9"/>
  <c r="BB706" i="1"/>
  <c r="BB791" i="1"/>
  <c r="BB705" i="1"/>
  <c r="X100" i="12"/>
  <c r="X98" i="12"/>
  <c r="X92" i="12"/>
  <c r="X90" i="12"/>
  <c r="X95" i="12"/>
  <c r="X99" i="12"/>
  <c r="X61" i="12"/>
  <c r="X93" i="12"/>
  <c r="X111" i="12"/>
  <c r="AA45" i="13" l="1"/>
  <c r="BB708" i="1"/>
  <c r="AB7" i="13"/>
  <c r="AA141" i="13"/>
  <c r="AA27" i="13"/>
  <c r="AA21" i="13"/>
  <c r="AG168" i="13"/>
  <c r="G47" i="12"/>
  <c r="D61" i="12"/>
  <c r="D111" i="12"/>
  <c r="D57" i="12"/>
  <c r="X56" i="12"/>
  <c r="D69" i="12" a="1"/>
  <c r="D69" i="12" s="1"/>
  <c r="D70" i="12" s="1"/>
  <c r="E58" i="12"/>
  <c r="D99" i="12"/>
  <c r="D93" i="12"/>
  <c r="D100" i="12"/>
  <c r="D90" i="12"/>
  <c r="D92" i="12"/>
  <c r="D98" i="12"/>
  <c r="D96" i="12"/>
  <c r="BA813" i="1"/>
  <c r="BA814" i="1"/>
  <c r="BA956" i="1" s="1"/>
  <c r="BA1063" i="1" s="1"/>
  <c r="BA1066" i="1" s="1"/>
  <c r="AA72" i="13" s="1"/>
  <c r="BB80" i="9"/>
  <c r="BB58" i="9"/>
  <c r="BC1018" i="1"/>
  <c r="BC1026" i="1" s="1"/>
  <c r="BD1026" i="1" s="1"/>
  <c r="BC799" i="1"/>
  <c r="BD1012" i="1"/>
  <c r="BC1050" i="1"/>
  <c r="AC55" i="13" s="1"/>
  <c r="BB707" i="1"/>
  <c r="BB1103" i="1"/>
  <c r="BG138" i="9"/>
  <c r="BG139" i="9"/>
  <c r="BG6" i="9"/>
  <c r="AB6" i="13" l="1"/>
  <c r="AB24" i="13"/>
  <c r="AB16" i="13"/>
  <c r="AC58" i="13"/>
  <c r="AC62" i="13"/>
  <c r="AC48" i="13"/>
  <c r="BA66" i="9"/>
  <c r="BA70" i="9" s="1"/>
  <c r="BA121" i="9" s="1"/>
  <c r="BA122" i="9" s="1"/>
  <c r="G60" i="12"/>
  <c r="F59" i="12"/>
  <c r="D95" i="12"/>
  <c r="X57" i="12"/>
  <c r="BD1050" i="1"/>
  <c r="AD55" i="13" s="1"/>
  <c r="BC1015" i="1"/>
  <c r="BC1014" i="1" s="1"/>
  <c r="BD799" i="1"/>
  <c r="BC1024" i="1"/>
  <c r="BD1024" i="1" s="1"/>
  <c r="BC800" i="1"/>
  <c r="BD800" i="1" s="1"/>
  <c r="BD1018" i="1"/>
  <c r="BC1053" i="1"/>
  <c r="BB152" i="9"/>
  <c r="BB83" i="9"/>
  <c r="BB62" i="9"/>
  <c r="BB85" i="9" s="1"/>
  <c r="BA815" i="1"/>
  <c r="BA132" i="9"/>
  <c r="BA133" i="9" s="1"/>
  <c r="BA1074" i="1"/>
  <c r="AA85" i="13" s="1"/>
  <c r="AD62" i="13" l="1"/>
  <c r="AD58" i="13"/>
  <c r="AB40" i="13"/>
  <c r="AB44" i="13" s="1"/>
  <c r="AB39" i="13"/>
  <c r="AB43" i="13" s="1"/>
  <c r="AB45" i="13" s="1"/>
  <c r="P72" i="12" a="1"/>
  <c r="P72" i="12" s="1"/>
  <c r="P73" i="12" s="1"/>
  <c r="AD48" i="13"/>
  <c r="BA71" i="9"/>
  <c r="BD60" i="9"/>
  <c r="BD1028" i="1"/>
  <c r="BD16" i="11"/>
  <c r="BD19" i="11" s="1"/>
  <c r="BC795" i="1"/>
  <c r="BA950" i="1"/>
  <c r="BA819" i="1"/>
  <c r="BC16" i="11"/>
  <c r="BC19" i="11" s="1"/>
  <c r="BC951" i="1"/>
  <c r="BD951" i="1" s="1"/>
  <c r="BC60" i="9"/>
  <c r="BD1053" i="1"/>
  <c r="BC1021" i="1"/>
  <c r="BC1020" i="1" s="1"/>
  <c r="BC1056" i="1"/>
  <c r="BD1015" i="1"/>
  <c r="AD51" i="13" l="1"/>
  <c r="AC51" i="13"/>
  <c r="BD1021" i="1"/>
  <c r="BA959" i="1"/>
  <c r="BA1079" i="1"/>
  <c r="BA1082" i="1" s="1"/>
  <c r="AA86" i="13" s="1"/>
  <c r="BD1014" i="1"/>
  <c r="BE1011" i="1"/>
  <c r="BC790" i="1"/>
  <c r="BC713" i="1"/>
  <c r="BD795" i="1"/>
  <c r="BD713" i="1" s="1"/>
  <c r="BD1056" i="1"/>
  <c r="BA821" i="1"/>
  <c r="BA829" i="1"/>
  <c r="BA155" i="9"/>
  <c r="AC64" i="13" l="1"/>
  <c r="AC61" i="13"/>
  <c r="AD64" i="13"/>
  <c r="AD61" i="13"/>
  <c r="AA94" i="13"/>
  <c r="AA101" i="13"/>
  <c r="AA92" i="13"/>
  <c r="AA99" i="13"/>
  <c r="AA100" i="13"/>
  <c r="AA98" i="13"/>
  <c r="AA93" i="13"/>
  <c r="AA91" i="13"/>
  <c r="AA135" i="13"/>
  <c r="AA167" i="13"/>
  <c r="BA830" i="1"/>
  <c r="BA824" i="1"/>
  <c r="AA13" i="13" s="1"/>
  <c r="BC55" i="9"/>
  <c r="BC706" i="1"/>
  <c r="BC791" i="1"/>
  <c r="BC705" i="1"/>
  <c r="BD790" i="1"/>
  <c r="BA118" i="9"/>
  <c r="BA119" i="9" s="1"/>
  <c r="BA1084" i="1"/>
  <c r="BE1012" i="1"/>
  <c r="BE1025" i="1"/>
  <c r="BA966" i="1"/>
  <c r="BA839" i="1"/>
  <c r="BE1017" i="1"/>
  <c r="BD1020" i="1"/>
  <c r="BC708" i="1" l="1"/>
  <c r="AC7" i="13"/>
  <c r="BA992" i="1"/>
  <c r="BA995" i="1" s="1"/>
  <c r="BB994" i="1" s="1"/>
  <c r="AA107" i="13"/>
  <c r="AA140" i="13"/>
  <c r="AA29" i="13"/>
  <c r="AA22" i="13"/>
  <c r="BD55" i="9"/>
  <c r="BD706" i="1"/>
  <c r="AD7" i="13" s="1"/>
  <c r="BD791" i="1"/>
  <c r="BD705" i="1"/>
  <c r="BC80" i="9"/>
  <c r="BC58" i="9"/>
  <c r="BC707" i="1"/>
  <c r="BC1103" i="1"/>
  <c r="BA840" i="1"/>
  <c r="BA853" i="1"/>
  <c r="BA854" i="1" s="1"/>
  <c r="BA855" i="1" s="1"/>
  <c r="BA856" i="1" s="1"/>
  <c r="BA89" i="9"/>
  <c r="BA831" i="1"/>
  <c r="BA77" i="9" s="1"/>
  <c r="BA106" i="9" s="1"/>
  <c r="BA76" i="9"/>
  <c r="BE1018" i="1"/>
  <c r="BE1026" i="1" s="1"/>
  <c r="BE799" i="1"/>
  <c r="BE1050" i="1"/>
  <c r="AE55" i="13" s="1"/>
  <c r="BA1034" i="1" l="1"/>
  <c r="AA67" i="13" s="1"/>
  <c r="AA119" i="13" s="1"/>
  <c r="AE62" i="13"/>
  <c r="AE58" i="13"/>
  <c r="AD16" i="13"/>
  <c r="AD24" i="13"/>
  <c r="AD6" i="13"/>
  <c r="AC16" i="13"/>
  <c r="AC24" i="13"/>
  <c r="AC6" i="13"/>
  <c r="AA166" i="13"/>
  <c r="AA184" i="13"/>
  <c r="AA185" i="13" s="1"/>
  <c r="AA170" i="13"/>
  <c r="AA172" i="13" s="1"/>
  <c r="AA108" i="13"/>
  <c r="Q72" i="12" a="1"/>
  <c r="Q72" i="12" s="1"/>
  <c r="Q73" i="12" s="1"/>
  <c r="BD708" i="1"/>
  <c r="P127" i="12"/>
  <c r="BC152" i="9"/>
  <c r="BC83" i="9"/>
  <c r="BC62" i="9"/>
  <c r="BC85" i="9" s="1"/>
  <c r="BD707" i="1"/>
  <c r="BD1103" i="1"/>
  <c r="BA1043" i="1"/>
  <c r="BA859" i="1"/>
  <c r="BE1015" i="1"/>
  <c r="BE1024" i="1"/>
  <c r="BE800" i="1"/>
  <c r="BE60" i="9" s="1"/>
  <c r="BE1053" i="1"/>
  <c r="BA141" i="9"/>
  <c r="BA91" i="9"/>
  <c r="BA102" i="9"/>
  <c r="BA113" i="9"/>
  <c r="BA140" i="9"/>
  <c r="BA116" i="9"/>
  <c r="BA117" i="9" s="1"/>
  <c r="BA120" i="9" s="1"/>
  <c r="AA136" i="13" s="1"/>
  <c r="BA154" i="9"/>
  <c r="BD80" i="9"/>
  <c r="BD58" i="9"/>
  <c r="AA127" i="13" l="1"/>
  <c r="AA118" i="13"/>
  <c r="AA75" i="13"/>
  <c r="AA76" i="13"/>
  <c r="BA997" i="1"/>
  <c r="AA120" i="13"/>
  <c r="AA126" i="13"/>
  <c r="AA149" i="13"/>
  <c r="AA151" i="13" s="1"/>
  <c r="AA154" i="13" s="1"/>
  <c r="AA159" i="13" s="1"/>
  <c r="AC39" i="13"/>
  <c r="AC43" i="13" s="1"/>
  <c r="AC40" i="13"/>
  <c r="AC44" i="13" s="1"/>
  <c r="AD39" i="13"/>
  <c r="AD43" i="13" s="1"/>
  <c r="AD40" i="13"/>
  <c r="AD44" i="13" s="1"/>
  <c r="AE48" i="13"/>
  <c r="AE51" i="13" s="1"/>
  <c r="AA128" i="13"/>
  <c r="AA124" i="13"/>
  <c r="AA116" i="13"/>
  <c r="AA177" i="13"/>
  <c r="AA173" i="13"/>
  <c r="BA1057" i="1"/>
  <c r="AA84" i="13" s="1"/>
  <c r="AA69" i="13"/>
  <c r="BE795" i="1"/>
  <c r="BE16" i="11"/>
  <c r="BE19" i="11" s="1"/>
  <c r="P131" i="12"/>
  <c r="P132" i="12" s="1"/>
  <c r="P128" i="12"/>
  <c r="BA7" i="9"/>
  <c r="BA11" i="9" s="1"/>
  <c r="BB868" i="1"/>
  <c r="BA1091" i="1"/>
  <c r="BA864" i="1"/>
  <c r="BA103" i="9"/>
  <c r="BA105" i="9" s="1"/>
  <c r="BA142" i="9"/>
  <c r="BA93" i="9"/>
  <c r="BA100" i="9" s="1"/>
  <c r="BA156" i="9" s="1"/>
  <c r="BE790" i="1"/>
  <c r="BE713" i="1"/>
  <c r="BE1021" i="1"/>
  <c r="BE951" i="1"/>
  <c r="BD152" i="9"/>
  <c r="BD83" i="9"/>
  <c r="BD62" i="9"/>
  <c r="BD85" i="9" s="1"/>
  <c r="BE1014" i="1"/>
  <c r="BF1011" i="1"/>
  <c r="BE1056" i="1"/>
  <c r="AA163" i="13" l="1"/>
  <c r="AA158" i="13"/>
  <c r="AA164" i="13"/>
  <c r="AA157" i="13"/>
  <c r="AA156" i="13"/>
  <c r="AA162" i="13"/>
  <c r="AA161" i="13"/>
  <c r="BA123" i="9"/>
  <c r="BA124" i="9" s="1"/>
  <c r="BA125" i="9" s="1"/>
  <c r="AA134" i="13" s="1"/>
  <c r="BA1086" i="1"/>
  <c r="AE64" i="13"/>
  <c r="AE61" i="13"/>
  <c r="AD45" i="13"/>
  <c r="AC45" i="13"/>
  <c r="AA179" i="13"/>
  <c r="AA178" i="13"/>
  <c r="AA176" i="13"/>
  <c r="AA54" i="13"/>
  <c r="AA57" i="13" s="1"/>
  <c r="AA74" i="13"/>
  <c r="AA89" i="13"/>
  <c r="AA90" i="13"/>
  <c r="AA96" i="13"/>
  <c r="AA97" i="13"/>
  <c r="AA103" i="13"/>
  <c r="AA144" i="13" s="1"/>
  <c r="AA59" i="13"/>
  <c r="AA143" i="13" s="1"/>
  <c r="AA104" i="13"/>
  <c r="P134" i="12"/>
  <c r="BF1012" i="1"/>
  <c r="BF1025" i="1" s="1"/>
  <c r="BA109" i="9"/>
  <c r="BA111" i="9"/>
  <c r="BA880" i="1"/>
  <c r="BA126" i="9"/>
  <c r="BA127" i="9" s="1"/>
  <c r="BA128" i="9" s="1"/>
  <c r="BA129" i="9" s="1"/>
  <c r="BA110" i="9"/>
  <c r="BE55" i="9"/>
  <c r="BE791" i="1"/>
  <c r="BE705" i="1"/>
  <c r="BE706" i="1"/>
  <c r="AE7" i="13" s="1"/>
  <c r="BE1020" i="1"/>
  <c r="BF1017" i="1"/>
  <c r="BB808" i="1"/>
  <c r="AB11" i="13" s="1"/>
  <c r="AB20" i="13" s="1"/>
  <c r="BB870" i="1"/>
  <c r="BA134" i="9" l="1"/>
  <c r="BA135" i="9" s="1"/>
  <c r="AA137" i="13" s="1"/>
  <c r="AE24" i="13"/>
  <c r="AE16" i="13"/>
  <c r="AE6" i="13"/>
  <c r="AA145" i="13"/>
  <c r="BE708" i="1"/>
  <c r="Q127" i="12"/>
  <c r="BE80" i="9"/>
  <c r="BE58" i="9"/>
  <c r="BE707" i="1"/>
  <c r="BE1103" i="1"/>
  <c r="BB871" i="1"/>
  <c r="BB873" i="1"/>
  <c r="BB63" i="9"/>
  <c r="BB65" i="9" s="1"/>
  <c r="BB811" i="1"/>
  <c r="AB12" i="13" s="1"/>
  <c r="BF1018" i="1"/>
  <c r="BF1026" i="1" s="1"/>
  <c r="BF799" i="1"/>
  <c r="BF1050" i="1"/>
  <c r="AF55" i="13" s="1"/>
  <c r="AF48" i="13" l="1"/>
  <c r="AF51" i="13" s="1"/>
  <c r="AF62" i="13"/>
  <c r="AF58" i="13"/>
  <c r="AE39" i="13"/>
  <c r="AE43" i="13" s="1"/>
  <c r="AE40" i="13"/>
  <c r="AE44" i="13" s="1"/>
  <c r="AB141" i="13"/>
  <c r="AB27" i="13"/>
  <c r="AB21" i="13"/>
  <c r="R72" i="12" a="1"/>
  <c r="R72" i="12" s="1"/>
  <c r="R73" i="12" s="1"/>
  <c r="Q131" i="12"/>
  <c r="Q132" i="12" s="1"/>
  <c r="Q128" i="12"/>
  <c r="BF1024" i="1"/>
  <c r="BF800" i="1"/>
  <c r="BF60" i="9" s="1"/>
  <c r="BF1053" i="1"/>
  <c r="BF1056" i="1" s="1"/>
  <c r="BB813" i="1"/>
  <c r="BB814" i="1"/>
  <c r="BB956" i="1" s="1"/>
  <c r="BB1063" i="1" s="1"/>
  <c r="BB1066" i="1" s="1"/>
  <c r="AB72" i="13" s="1"/>
  <c r="BE152" i="9"/>
  <c r="BE83" i="9"/>
  <c r="BE62" i="9"/>
  <c r="BE85" i="9" s="1"/>
  <c r="BF1015" i="1"/>
  <c r="Q134" i="12" l="1"/>
  <c r="BB66" i="9"/>
  <c r="BB70" i="9" s="1"/>
  <c r="BB121" i="9" s="1"/>
  <c r="BB122" i="9" s="1"/>
  <c r="AE45" i="13"/>
  <c r="AF64" i="13"/>
  <c r="AF61" i="13"/>
  <c r="BB815" i="1"/>
  <c r="BB950" i="1" s="1"/>
  <c r="BF1014" i="1"/>
  <c r="BG1011" i="1"/>
  <c r="BF16" i="11"/>
  <c r="BF19" i="11" s="1"/>
  <c r="BB819" i="1"/>
  <c r="BF951" i="1"/>
  <c r="BF1021" i="1"/>
  <c r="BF795" i="1"/>
  <c r="BB132" i="9"/>
  <c r="BB133" i="9" s="1"/>
  <c r="BB1074" i="1"/>
  <c r="AB85" i="13" s="1"/>
  <c r="BB71" i="9" l="1"/>
  <c r="BF1020" i="1"/>
  <c r="BG1017" i="1"/>
  <c r="BB959" i="1"/>
  <c r="BB1079" i="1"/>
  <c r="BB1082" i="1" s="1"/>
  <c r="AB86" i="13" s="1"/>
  <c r="BG1012" i="1"/>
  <c r="BG1025" i="1" s="1"/>
  <c r="BF790" i="1"/>
  <c r="BF713" i="1"/>
  <c r="BB829" i="1"/>
  <c r="BB821" i="1"/>
  <c r="BB155" i="9"/>
  <c r="AB101" i="13" l="1"/>
  <c r="AB99" i="13"/>
  <c r="AB93" i="13"/>
  <c r="AB92" i="13"/>
  <c r="AB100" i="13"/>
  <c r="AB91" i="13"/>
  <c r="AB94" i="13"/>
  <c r="AB98" i="13"/>
  <c r="AB135" i="13"/>
  <c r="AB167" i="13"/>
  <c r="BF55" i="9"/>
  <c r="BF791" i="1"/>
  <c r="BF705" i="1"/>
  <c r="BF706" i="1"/>
  <c r="AF7" i="13" s="1"/>
  <c r="BG1018" i="1"/>
  <c r="BG799" i="1"/>
  <c r="BG1050" i="1"/>
  <c r="AG55" i="13" s="1"/>
  <c r="BB118" i="9"/>
  <c r="BB119" i="9" s="1"/>
  <c r="BB1084" i="1"/>
  <c r="BB966" i="1"/>
  <c r="BB839" i="1"/>
  <c r="BB824" i="1"/>
  <c r="AB13" i="13" s="1"/>
  <c r="BB830" i="1"/>
  <c r="AG58" i="13" l="1"/>
  <c r="AG62" i="13"/>
  <c r="AF24" i="13"/>
  <c r="AF16" i="13"/>
  <c r="AF6" i="13"/>
  <c r="AB140" i="13"/>
  <c r="AB29" i="13"/>
  <c r="AB22" i="13"/>
  <c r="BB992" i="1"/>
  <c r="BB995" i="1" s="1"/>
  <c r="BC994" i="1" s="1"/>
  <c r="AB107" i="13"/>
  <c r="S72" i="12" a="1"/>
  <c r="S72" i="12" s="1"/>
  <c r="S73" i="12" s="1"/>
  <c r="BF708" i="1"/>
  <c r="R127" i="12"/>
  <c r="BB853" i="1"/>
  <c r="BB854" i="1" s="1"/>
  <c r="BB855" i="1" s="1"/>
  <c r="BB856" i="1" s="1"/>
  <c r="BB840" i="1"/>
  <c r="BB89" i="9"/>
  <c r="BG1015" i="1"/>
  <c r="BG1014" i="1" s="1"/>
  <c r="BG16" i="11"/>
  <c r="BG19" i="11" s="1"/>
  <c r="BG795" i="1"/>
  <c r="BG1024" i="1"/>
  <c r="BG800" i="1"/>
  <c r="AG48" i="13" s="1"/>
  <c r="AG51" i="13" s="1"/>
  <c r="BG1053" i="1"/>
  <c r="BG1021" i="1" s="1"/>
  <c r="BG1020" i="1" s="1"/>
  <c r="BB76" i="9"/>
  <c r="BB831" i="1"/>
  <c r="BB77" i="9" s="1"/>
  <c r="BB106" i="9" s="1"/>
  <c r="BF707" i="1"/>
  <c r="BF1103" i="1"/>
  <c r="BG1026" i="1"/>
  <c r="BF58" i="9"/>
  <c r="BF80" i="9"/>
  <c r="BG951" i="1" l="1"/>
  <c r="BG60" i="9"/>
  <c r="BG1056" i="1"/>
  <c r="AF39" i="13"/>
  <c r="AF43" i="13" s="1"/>
  <c r="AF40" i="13"/>
  <c r="AF44" i="13" s="1"/>
  <c r="AG64" i="13"/>
  <c r="AG61" i="13"/>
  <c r="BB1034" i="1"/>
  <c r="AB67" i="13" s="1"/>
  <c r="AB76" i="13" s="1"/>
  <c r="AB170" i="13"/>
  <c r="AB172" i="13" s="1"/>
  <c r="AB108" i="13"/>
  <c r="AB120" i="13" s="1"/>
  <c r="AB184" i="13"/>
  <c r="AB185" i="13" s="1"/>
  <c r="AB166" i="13"/>
  <c r="R131" i="12"/>
  <c r="R132" i="12" s="1"/>
  <c r="R128" i="12"/>
  <c r="BG790" i="1"/>
  <c r="BG713" i="1"/>
  <c r="A796" i="1"/>
  <c r="BF152" i="9"/>
  <c r="BF83" i="9"/>
  <c r="BF62" i="9"/>
  <c r="BF85" i="9" s="1"/>
  <c r="BB140" i="9"/>
  <c r="BB116" i="9"/>
  <c r="BB117" i="9" s="1"/>
  <c r="BB120" i="9" s="1"/>
  <c r="AB136" i="13" s="1"/>
  <c r="BB154" i="9"/>
  <c r="BB102" i="9"/>
  <c r="BB141" i="9"/>
  <c r="BB113" i="9"/>
  <c r="BB91" i="9"/>
  <c r="BB1043" i="1" l="1"/>
  <c r="AF45" i="13"/>
  <c r="BB997" i="1"/>
  <c r="AB127" i="13"/>
  <c r="AB149" i="13"/>
  <c r="AB151" i="13" s="1"/>
  <c r="AB154" i="13" s="1"/>
  <c r="AB161" i="13" s="1"/>
  <c r="B13" i="12" a="1"/>
  <c r="B13" i="12" s="1"/>
  <c r="A8" i="13"/>
  <c r="A17" i="13" s="1"/>
  <c r="R134" i="12"/>
  <c r="AB126" i="13"/>
  <c r="BB859" i="1"/>
  <c r="BB864" i="1" s="1"/>
  <c r="AB118" i="13"/>
  <c r="AB119" i="13"/>
  <c r="AB75" i="13"/>
  <c r="AB164" i="13"/>
  <c r="AB124" i="13"/>
  <c r="AB116" i="13"/>
  <c r="BB1057" i="1"/>
  <c r="AB84" i="13" s="1"/>
  <c r="AB69" i="13"/>
  <c r="AB128" i="13"/>
  <c r="AB177" i="13"/>
  <c r="AB173" i="13"/>
  <c r="BB142" i="9"/>
  <c r="BB93" i="9"/>
  <c r="BB100" i="9" s="1"/>
  <c r="BB156" i="9" s="1"/>
  <c r="BB103" i="9"/>
  <c r="BB105" i="9" s="1"/>
  <c r="A74" i="9"/>
  <c r="A1128" i="1"/>
  <c r="A797" i="1"/>
  <c r="B19" i="12" s="1"/>
  <c r="A8" i="11"/>
  <c r="A714" i="1"/>
  <c r="A84" i="9" s="1"/>
  <c r="BG55" i="9"/>
  <c r="BG791" i="1"/>
  <c r="BG705" i="1"/>
  <c r="C8" i="14" s="1"/>
  <c r="BG706" i="1"/>
  <c r="AG7" i="13" s="1"/>
  <c r="AB159" i="13" l="1"/>
  <c r="AB158" i="13"/>
  <c r="AB162" i="13"/>
  <c r="AB163" i="13"/>
  <c r="AB157" i="13"/>
  <c r="I8" i="14"/>
  <c r="F8" i="14"/>
  <c r="C12" i="14"/>
  <c r="BB1091" i="1"/>
  <c r="BB7" i="9"/>
  <c r="BB11" i="9" s="1"/>
  <c r="AB156" i="13"/>
  <c r="AG24" i="13"/>
  <c r="AG6" i="13"/>
  <c r="AG16" i="13"/>
  <c r="BC868" i="1"/>
  <c r="BC808" i="1" s="1"/>
  <c r="AC11" i="13" s="1"/>
  <c r="AB74" i="13"/>
  <c r="AB54" i="13"/>
  <c r="AB57" i="13" s="1"/>
  <c r="AB97" i="13"/>
  <c r="AB89" i="13"/>
  <c r="AB90" i="13"/>
  <c r="AB96" i="13"/>
  <c r="AB103" i="13"/>
  <c r="AB144" i="13" s="1"/>
  <c r="AB59" i="13"/>
  <c r="AB143" i="13" s="1"/>
  <c r="AB104" i="13"/>
  <c r="BB1086" i="1"/>
  <c r="BB123" i="9"/>
  <c r="BB124" i="9" s="1"/>
  <c r="BB125" i="9" s="1"/>
  <c r="AB134" i="13" s="1"/>
  <c r="AB178" i="13"/>
  <c r="AB176" i="13"/>
  <c r="AB179" i="13"/>
  <c r="BG708" i="1"/>
  <c r="S127" i="12"/>
  <c r="A1139" i="1"/>
  <c r="BA797" i="1" s="1"/>
  <c r="BA715" i="1" s="1"/>
  <c r="AW797" i="1"/>
  <c r="AW715" i="1" s="1"/>
  <c r="BF797" i="1"/>
  <c r="BG707" i="1"/>
  <c r="BG1103" i="1"/>
  <c r="BD868" i="1"/>
  <c r="BC870" i="1"/>
  <c r="BG58" i="9"/>
  <c r="BG80" i="9"/>
  <c r="BB880" i="1"/>
  <c r="BB109" i="9"/>
  <c r="BB126" i="9"/>
  <c r="BB127" i="9" s="1"/>
  <c r="BB128" i="9" s="1"/>
  <c r="BB129" i="9" s="1"/>
  <c r="BB110" i="9"/>
  <c r="BB111" i="9"/>
  <c r="BC797" i="1" l="1"/>
  <c r="BC715" i="1" s="1"/>
  <c r="BE797" i="1"/>
  <c r="AX797" i="1"/>
  <c r="AX715" i="1" s="1"/>
  <c r="BD797" i="1"/>
  <c r="I12" i="14"/>
  <c r="F12" i="14"/>
  <c r="C13" i="14"/>
  <c r="C15" i="14" s="1"/>
  <c r="C18" i="14" s="1"/>
  <c r="BB134" i="9"/>
  <c r="BB135" i="9" s="1"/>
  <c r="AB137" i="13" s="1"/>
  <c r="F13" i="14"/>
  <c r="F15" i="14" s="1"/>
  <c r="F18" i="14" s="1"/>
  <c r="I13" i="14"/>
  <c r="I15" i="14" s="1"/>
  <c r="I18" i="14" s="1"/>
  <c r="AV797" i="1"/>
  <c r="AV715" i="1" s="1"/>
  <c r="BB797" i="1"/>
  <c r="BB715" i="1" s="1"/>
  <c r="AY797" i="1"/>
  <c r="O19" i="12" s="1"/>
  <c r="AZ797" i="1"/>
  <c r="AZ715" i="1" s="1"/>
  <c r="AG39" i="13"/>
  <c r="AG43" i="13" s="1"/>
  <c r="AG40" i="13"/>
  <c r="AG44" i="13" s="1"/>
  <c r="BG797" i="1"/>
  <c r="BG715" i="1" s="1"/>
  <c r="AB145" i="13"/>
  <c r="S131" i="12"/>
  <c r="S132" i="12" s="1"/>
  <c r="S128" i="12"/>
  <c r="S134" i="12" s="1"/>
  <c r="BF715" i="1"/>
  <c r="R19" i="12"/>
  <c r="BE715" i="1"/>
  <c r="Q19" i="12"/>
  <c r="BD715" i="1"/>
  <c r="P19" i="12"/>
  <c r="BG152" i="9"/>
  <c r="BG83" i="9"/>
  <c r="BG62" i="9"/>
  <c r="BG85" i="9" s="1"/>
  <c r="BC871" i="1"/>
  <c r="BC873" i="1"/>
  <c r="BD870" i="1"/>
  <c r="BC63" i="9"/>
  <c r="BC65" i="9" s="1"/>
  <c r="BC811" i="1"/>
  <c r="AC12" i="13" s="1"/>
  <c r="BD808" i="1"/>
  <c r="AD11" i="13" s="1"/>
  <c r="AZ843" i="1"/>
  <c r="BD841" i="1"/>
  <c r="AV805" i="1"/>
  <c r="AV723" i="1" s="1"/>
  <c r="AV843" i="1"/>
  <c r="AY841" i="1"/>
  <c r="AX841" i="1"/>
  <c r="AV841" i="1"/>
  <c r="BE832" i="1"/>
  <c r="Q49" i="12" s="1"/>
  <c r="A24" i="11"/>
  <c r="AW832" i="1"/>
  <c r="BC805" i="1"/>
  <c r="BC723" i="1" s="1"/>
  <c r="AX805" i="1"/>
  <c r="AX723" i="1" s="1"/>
  <c r="AW843" i="1"/>
  <c r="AX843" i="1"/>
  <c r="AW805" i="1"/>
  <c r="AW723" i="1" s="1"/>
  <c r="BC832" i="1"/>
  <c r="BA805" i="1"/>
  <c r="BA723" i="1" s="1"/>
  <c r="AW841" i="1"/>
  <c r="BC843" i="1"/>
  <c r="AX832" i="1"/>
  <c r="BA832" i="1"/>
  <c r="BG832" i="1"/>
  <c r="S49" i="12" s="1"/>
  <c r="BE805" i="1"/>
  <c r="BE723" i="1" s="1"/>
  <c r="AY832" i="1"/>
  <c r="O49" i="12" s="1"/>
  <c r="BE841" i="1"/>
  <c r="AZ805" i="1"/>
  <c r="AZ723" i="1" s="1"/>
  <c r="AZ841" i="1"/>
  <c r="BC841" i="1"/>
  <c r="BE843" i="1"/>
  <c r="BA841" i="1"/>
  <c r="BG805" i="1"/>
  <c r="BG723" i="1" s="1"/>
  <c r="BA843" i="1"/>
  <c r="BG843" i="1"/>
  <c r="BG841" i="1"/>
  <c r="AZ832" i="1"/>
  <c r="AY805" i="1"/>
  <c r="AY723" i="1" s="1"/>
  <c r="AY843" i="1"/>
  <c r="AV832" i="1"/>
  <c r="BD832" i="1"/>
  <c r="P49" i="12" s="1"/>
  <c r="BB843" i="1"/>
  <c r="BF805" i="1"/>
  <c r="BF723" i="1" s="1"/>
  <c r="BB832" i="1"/>
  <c r="BF843" i="1"/>
  <c r="BB805" i="1"/>
  <c r="BB723" i="1" s="1"/>
  <c r="BF832" i="1"/>
  <c r="R49" i="12" s="1"/>
  <c r="BF841" i="1"/>
  <c r="BD843" i="1"/>
  <c r="BD805" i="1"/>
  <c r="BD723" i="1" s="1"/>
  <c r="BB841" i="1"/>
  <c r="S19" i="12" l="1"/>
  <c r="AY715" i="1"/>
  <c r="AG45" i="13"/>
  <c r="AD20" i="13"/>
  <c r="AC20" i="13"/>
  <c r="AC141" i="13"/>
  <c r="AC27" i="13"/>
  <c r="BD63" i="9"/>
  <c r="BD65" i="9" s="1"/>
  <c r="BD811" i="1"/>
  <c r="H16" i="15" s="1"/>
  <c r="BC814" i="1"/>
  <c r="BC813" i="1"/>
  <c r="BD873" i="1"/>
  <c r="BD871" i="1"/>
  <c r="P28" i="12" l="1"/>
  <c r="P29" i="12" s="1"/>
  <c r="AD12" i="13"/>
  <c r="BC815" i="1"/>
  <c r="BC66" i="9"/>
  <c r="BC70" i="9" s="1"/>
  <c r="BD813" i="1"/>
  <c r="BC956" i="1"/>
  <c r="BD814" i="1"/>
  <c r="BD827" i="1" s="1"/>
  <c r="P34" i="12" l="1" a="1"/>
  <c r="P34" i="12" s="1"/>
  <c r="P35" i="12" s="1"/>
  <c r="P141" i="12" s="1"/>
  <c r="H17" i="15"/>
  <c r="H18" i="15" s="1"/>
  <c r="H19" i="15" s="1"/>
  <c r="P32" i="12"/>
  <c r="AD141" i="13"/>
  <c r="AD27" i="13"/>
  <c r="AD21" i="13"/>
  <c r="AC21" i="13"/>
  <c r="P31" i="12"/>
  <c r="P30" i="12"/>
  <c r="BD956" i="1"/>
  <c r="BC1063" i="1"/>
  <c r="BC1066" i="1" s="1"/>
  <c r="AC72" i="13" s="1"/>
  <c r="BD815" i="1"/>
  <c r="BD826" i="1"/>
  <c r="AD28" i="13" s="1"/>
  <c r="AD131" i="13" s="1"/>
  <c r="BD66" i="9"/>
  <c r="BD70" i="9" s="1"/>
  <c r="BC121" i="9"/>
  <c r="BC122" i="9" s="1"/>
  <c r="BC71" i="9"/>
  <c r="BC819" i="1"/>
  <c r="BC155" i="9" s="1"/>
  <c r="BC950" i="1"/>
  <c r="AD132" i="13" l="1"/>
  <c r="AC132" i="13"/>
  <c r="BC959" i="1"/>
  <c r="BD950" i="1"/>
  <c r="BC1079" i="1"/>
  <c r="BC821" i="1"/>
  <c r="BC829" i="1"/>
  <c r="BD819" i="1"/>
  <c r="BD1105" i="1"/>
  <c r="BC1074" i="1"/>
  <c r="AC85" i="13" s="1"/>
  <c r="BC132" i="9"/>
  <c r="BC133" i="9" s="1"/>
  <c r="BD155" i="9"/>
  <c r="BD71" i="9"/>
  <c r="BD121" i="9"/>
  <c r="BD122" i="9" s="1"/>
  <c r="BD959" i="1" l="1"/>
  <c r="P52" i="12" s="1" a="1"/>
  <c r="P52" i="12" s="1"/>
  <c r="H10" i="15"/>
  <c r="BD821" i="1"/>
  <c r="BD829" i="1"/>
  <c r="BC830" i="1"/>
  <c r="BC824" i="1"/>
  <c r="AC13" i="13" s="1"/>
  <c r="BD1079" i="1"/>
  <c r="BD1082" i="1" s="1"/>
  <c r="BC1082" i="1"/>
  <c r="AC86" i="13" s="1"/>
  <c r="BD966" i="1"/>
  <c r="BD839" i="1"/>
  <c r="BC966" i="1"/>
  <c r="AC107" i="13" s="1"/>
  <c r="AC170" i="13" s="1"/>
  <c r="AC172" i="13" s="1"/>
  <c r="AC177" i="13" s="1"/>
  <c r="BC839" i="1"/>
  <c r="BD1107" i="1"/>
  <c r="AD107" i="13" l="1"/>
  <c r="AD170" i="13" s="1"/>
  <c r="AD172" i="13" s="1"/>
  <c r="H30" i="15"/>
  <c r="H24" i="15" s="1"/>
  <c r="H13" i="15"/>
  <c r="H14" i="15" s="1"/>
  <c r="H20" i="15" s="1"/>
  <c r="H25" i="15" s="1"/>
  <c r="H26" i="15" s="1"/>
  <c r="AD108" i="13"/>
  <c r="AC108" i="13"/>
  <c r="AC140" i="13"/>
  <c r="AC29" i="13"/>
  <c r="P138" i="12" a="1"/>
  <c r="P138" i="12" s="1"/>
  <c r="P113" i="12" s="1"/>
  <c r="AD86" i="13"/>
  <c r="AC92" i="13"/>
  <c r="AC100" i="13"/>
  <c r="AC98" i="13"/>
  <c r="AC93" i="13"/>
  <c r="AC91" i="13"/>
  <c r="AC101" i="13"/>
  <c r="AC99" i="13"/>
  <c r="AC94" i="13"/>
  <c r="AC167" i="13"/>
  <c r="BD1084" i="1"/>
  <c r="AC135" i="13"/>
  <c r="BD992" i="1"/>
  <c r="P53" i="12" a="1"/>
  <c r="P53" i="12" s="1"/>
  <c r="P54" i="12" s="1"/>
  <c r="BD118" i="9"/>
  <c r="BD119" i="9" s="1"/>
  <c r="BC853" i="1"/>
  <c r="BC854" i="1" s="1"/>
  <c r="BC855" i="1" s="1"/>
  <c r="BC856" i="1" s="1"/>
  <c r="BC840" i="1"/>
  <c r="BC89" i="9"/>
  <c r="BD89" i="9"/>
  <c r="BD840" i="1"/>
  <c r="BD884" i="1" s="1"/>
  <c r="BD853" i="1"/>
  <c r="BC831" i="1"/>
  <c r="BC77" i="9" s="1"/>
  <c r="BC106" i="9" s="1"/>
  <c r="BC76" i="9"/>
  <c r="BC992" i="1"/>
  <c r="BC995" i="1" s="1"/>
  <c r="BC1034" i="1" s="1"/>
  <c r="BD1108" i="1"/>
  <c r="BC118" i="9"/>
  <c r="BC119" i="9" s="1"/>
  <c r="BC1084" i="1"/>
  <c r="BD830" i="1"/>
  <c r="BD824" i="1"/>
  <c r="P139" i="12" l="1"/>
  <c r="P148" i="12" s="1"/>
  <c r="P149" i="12" s="1"/>
  <c r="AD93" i="13"/>
  <c r="AD92" i="13"/>
  <c r="AD100" i="13"/>
  <c r="AD101" i="13"/>
  <c r="AD99" i="13"/>
  <c r="AD91" i="13"/>
  <c r="AD94" i="13"/>
  <c r="AD98" i="13"/>
  <c r="AD167" i="13"/>
  <c r="AD135" i="13"/>
  <c r="P115" i="12"/>
  <c r="AC124" i="13"/>
  <c r="AC116" i="13"/>
  <c r="BC859" i="1"/>
  <c r="AC67" i="13"/>
  <c r="AD124" i="13"/>
  <c r="AD116" i="13"/>
  <c r="P37" i="12" a="1"/>
  <c r="P37" i="12" s="1"/>
  <c r="P137" i="12" s="1"/>
  <c r="P140" i="12" s="1"/>
  <c r="AD13" i="13"/>
  <c r="AD177" i="13"/>
  <c r="AD173" i="13"/>
  <c r="AC173" i="13"/>
  <c r="P77" i="12"/>
  <c r="P76" i="12"/>
  <c r="P96" i="12" s="1"/>
  <c r="P56" i="12"/>
  <c r="BD995" i="1"/>
  <c r="BE994" i="1" s="1"/>
  <c r="P69" i="12" a="1"/>
  <c r="P69" i="12" s="1"/>
  <c r="BD1106" i="1"/>
  <c r="BD1034" i="1"/>
  <c r="BC1043" i="1"/>
  <c r="BC997" i="1"/>
  <c r="BD113" i="9"/>
  <c r="BD141" i="9"/>
  <c r="BD91" i="9"/>
  <c r="BD102" i="9"/>
  <c r="BD147" i="9" s="1"/>
  <c r="BC140" i="9"/>
  <c r="BC154" i="9"/>
  <c r="BC116" i="9"/>
  <c r="BC117" i="9" s="1"/>
  <c r="BC120" i="9" s="1"/>
  <c r="AC136" i="13" s="1"/>
  <c r="BC102" i="9"/>
  <c r="BC91" i="9"/>
  <c r="BC141" i="9"/>
  <c r="BC113" i="9"/>
  <c r="BD854" i="1"/>
  <c r="BD855" i="1" s="1"/>
  <c r="BD856" i="1" s="1"/>
  <c r="BD885" i="1"/>
  <c r="BD76" i="9"/>
  <c r="BD831" i="1"/>
  <c r="BC864" i="1"/>
  <c r="BC1091" i="1"/>
  <c r="BC7" i="9"/>
  <c r="BC11" i="9" s="1"/>
  <c r="BD869" i="1"/>
  <c r="P38" i="12" l="1"/>
  <c r="AC179" i="13"/>
  <c r="AC178" i="13"/>
  <c r="AC176" i="13"/>
  <c r="AD178" i="13"/>
  <c r="AD176" i="13"/>
  <c r="AD179" i="13"/>
  <c r="P41" i="12"/>
  <c r="AD140" i="13"/>
  <c r="AD29" i="13"/>
  <c r="AD22" i="13"/>
  <c r="AC22" i="13"/>
  <c r="BD1043" i="1"/>
  <c r="AD67" i="13"/>
  <c r="AC75" i="13"/>
  <c r="AC76" i="13"/>
  <c r="AC149" i="13"/>
  <c r="AC151" i="13" s="1"/>
  <c r="AC154" i="13" s="1"/>
  <c r="AC159" i="13" s="1"/>
  <c r="AC118" i="13"/>
  <c r="AC128" i="13"/>
  <c r="AC126" i="13"/>
  <c r="AC120" i="13"/>
  <c r="AC127" i="13"/>
  <c r="AC119" i="13"/>
  <c r="AC164" i="13"/>
  <c r="BC1057" i="1"/>
  <c r="BC1086" i="1" s="1"/>
  <c r="AC69" i="13"/>
  <c r="P44" i="12"/>
  <c r="P48" i="12" s="1"/>
  <c r="P45" i="12"/>
  <c r="P91" i="12"/>
  <c r="BD859" i="1"/>
  <c r="P83" i="12" s="1" a="1"/>
  <c r="P83" i="12" s="1"/>
  <c r="P61" i="12"/>
  <c r="P58" i="12"/>
  <c r="P111" i="12"/>
  <c r="P70" i="12"/>
  <c r="P57" i="12"/>
  <c r="P95" i="12" s="1"/>
  <c r="P39" i="12"/>
  <c r="P40" i="12"/>
  <c r="BD997" i="1"/>
  <c r="BD154" i="9"/>
  <c r="BD116" i="9"/>
  <c r="BD117" i="9" s="1"/>
  <c r="BD120" i="9" s="1"/>
  <c r="AD136" i="13" s="1"/>
  <c r="BD140" i="9"/>
  <c r="BD77" i="9"/>
  <c r="BD882" i="1"/>
  <c r="BD93" i="9"/>
  <c r="BD100" i="9" s="1"/>
  <c r="BD156" i="9" s="1"/>
  <c r="BD103" i="9"/>
  <c r="BD105" i="9" s="1"/>
  <c r="BD148" i="9"/>
  <c r="BD142" i="9"/>
  <c r="BC142" i="9"/>
  <c r="BC93" i="9"/>
  <c r="BC100" i="9" s="1"/>
  <c r="BC156" i="9" s="1"/>
  <c r="BC103" i="9"/>
  <c r="BC105" i="9" s="1"/>
  <c r="BC126" i="9"/>
  <c r="BC127" i="9" s="1"/>
  <c r="BC128" i="9" s="1"/>
  <c r="BC129" i="9" s="1"/>
  <c r="BC110" i="9"/>
  <c r="BC109" i="9"/>
  <c r="BC111" i="9"/>
  <c r="BC880" i="1"/>
  <c r="BD1057" i="1" l="1"/>
  <c r="AD69" i="13"/>
  <c r="AC184" i="13"/>
  <c r="AC185" i="13" s="1"/>
  <c r="AC166" i="13"/>
  <c r="AD184" i="13"/>
  <c r="AD185" i="13" s="1"/>
  <c r="AD166" i="13"/>
  <c r="AC161" i="13"/>
  <c r="AC156" i="13"/>
  <c r="AC162" i="13"/>
  <c r="AC157" i="13"/>
  <c r="AC163" i="13"/>
  <c r="AC158" i="13"/>
  <c r="BD1091" i="1"/>
  <c r="BD7" i="9"/>
  <c r="BD11" i="9" s="1"/>
  <c r="BD146" i="9" s="1"/>
  <c r="AC74" i="13"/>
  <c r="AC54" i="13"/>
  <c r="AC57" i="13" s="1"/>
  <c r="BC123" i="9"/>
  <c r="BC124" i="9" s="1"/>
  <c r="AC84" i="13"/>
  <c r="AD76" i="13"/>
  <c r="AD75" i="13"/>
  <c r="AD118" i="13"/>
  <c r="AD119" i="13"/>
  <c r="AD149" i="13"/>
  <c r="AD151" i="13" s="1"/>
  <c r="AD154" i="13" s="1"/>
  <c r="AD164" i="13" s="1"/>
  <c r="AD120" i="13"/>
  <c r="AD128" i="13"/>
  <c r="AD126" i="13"/>
  <c r="AD127" i="13"/>
  <c r="P59" i="12"/>
  <c r="P60" i="12"/>
  <c r="P116" i="12"/>
  <c r="P108" i="12"/>
  <c r="P86" i="12"/>
  <c r="P88" i="12" s="1"/>
  <c r="P46" i="12"/>
  <c r="P47" i="12"/>
  <c r="BE868" i="1"/>
  <c r="BE808" i="1" s="1"/>
  <c r="AE11" i="13" s="1"/>
  <c r="AE20" i="13" s="1"/>
  <c r="BD864" i="1"/>
  <c r="BD874" i="1" s="1"/>
  <c r="BD106" i="9"/>
  <c r="BD145" i="9"/>
  <c r="BD111" i="9" l="1"/>
  <c r="BD149" i="9"/>
  <c r="AD159" i="13"/>
  <c r="AC90" i="13"/>
  <c r="AC96" i="13"/>
  <c r="AC89" i="13"/>
  <c r="AC97" i="13"/>
  <c r="AC103" i="13"/>
  <c r="AC144" i="13" s="1"/>
  <c r="AC59" i="13"/>
  <c r="AC143" i="13" s="1"/>
  <c r="AC104" i="13"/>
  <c r="BC134" i="9"/>
  <c r="BC135" i="9" s="1"/>
  <c r="AC137" i="13" s="1"/>
  <c r="BC125" i="9"/>
  <c r="AC134" i="13" s="1"/>
  <c r="AD74" i="13"/>
  <c r="AD54" i="13"/>
  <c r="AD57" i="13" s="1"/>
  <c r="BD109" i="9"/>
  <c r="AD162" i="13"/>
  <c r="AD157" i="13"/>
  <c r="AD161" i="13"/>
  <c r="AD156" i="13"/>
  <c r="AD163" i="13"/>
  <c r="AD158" i="13"/>
  <c r="P142" i="12" a="1"/>
  <c r="P142" i="12" s="1"/>
  <c r="AD84" i="13"/>
  <c r="BD123" i="9"/>
  <c r="BD124" i="9" s="1"/>
  <c r="BD1086" i="1"/>
  <c r="BD875" i="1"/>
  <c r="BD110" i="9"/>
  <c r="BD126" i="9"/>
  <c r="BD127" i="9" s="1"/>
  <c r="BD128" i="9" s="1"/>
  <c r="BD129" i="9" s="1"/>
  <c r="P99" i="12"/>
  <c r="P93" i="12"/>
  <c r="P92" i="12"/>
  <c r="P90" i="12"/>
  <c r="P100" i="12"/>
  <c r="P98" i="12"/>
  <c r="BE870" i="1"/>
  <c r="BE871" i="1" s="1"/>
  <c r="BD880" i="1"/>
  <c r="BD883" i="1" s="1"/>
  <c r="BE63" i="9"/>
  <c r="BE65" i="9" s="1"/>
  <c r="BE811" i="1"/>
  <c r="I16" i="15" s="1"/>
  <c r="BE873" i="1" l="1"/>
  <c r="Q28" i="12"/>
  <c r="Q32" i="12" s="1"/>
  <c r="AE12" i="13"/>
  <c r="BD134" i="9"/>
  <c r="BD135" i="9" s="1"/>
  <c r="AD137" i="13" s="1"/>
  <c r="BD125" i="9"/>
  <c r="AD134" i="13" s="1"/>
  <c r="AD104" i="13"/>
  <c r="AD90" i="13"/>
  <c r="AD96" i="13"/>
  <c r="AD97" i="13"/>
  <c r="AD89" i="13"/>
  <c r="AD59" i="13"/>
  <c r="AD143" i="13" s="1"/>
  <c r="AD103" i="13"/>
  <c r="AD144" i="13" s="1"/>
  <c r="P114" i="12"/>
  <c r="P143" i="12"/>
  <c r="AC145" i="13"/>
  <c r="BD886" i="1"/>
  <c r="BE813" i="1"/>
  <c r="I17" i="15" s="1"/>
  <c r="I18" i="15" s="1"/>
  <c r="I19" i="15" s="1"/>
  <c r="BE814" i="1"/>
  <c r="BE956" i="1" s="1"/>
  <c r="BE1063" i="1" s="1"/>
  <c r="Q29" i="12" l="1"/>
  <c r="P153" i="12"/>
  <c r="P154" i="12" s="1"/>
  <c r="P144" i="12"/>
  <c r="AD145" i="13"/>
  <c r="BE815" i="1"/>
  <c r="BE819" i="1" s="1"/>
  <c r="AE141" i="13"/>
  <c r="AE27" i="13"/>
  <c r="AE21" i="13"/>
  <c r="Q30" i="12"/>
  <c r="Q31" i="12"/>
  <c r="BE66" i="9"/>
  <c r="BE70" i="9" s="1"/>
  <c r="BE71" i="9" s="1"/>
  <c r="Q34" i="12" a="1"/>
  <c r="Q34" i="12" s="1"/>
  <c r="Q35" i="12" s="1"/>
  <c r="Q141" i="12" s="1"/>
  <c r="BE1066" i="1"/>
  <c r="Q151" i="12" l="1" a="1"/>
  <c r="Q151" i="12" s="1"/>
  <c r="Q152" i="12" s="1"/>
  <c r="AE72" i="13"/>
  <c r="BE950" i="1"/>
  <c r="I10" i="15" s="1"/>
  <c r="BE121" i="9"/>
  <c r="BE122" i="9" s="1"/>
  <c r="BE132" i="9"/>
  <c r="BE133" i="9" s="1"/>
  <c r="BE1074" i="1"/>
  <c r="AE85" i="13" s="1"/>
  <c r="BE821" i="1"/>
  <c r="BE829" i="1"/>
  <c r="BE959" i="1"/>
  <c r="Q52" i="12" s="1" a="1"/>
  <c r="Q52" i="12" s="1"/>
  <c r="BE1079" i="1"/>
  <c r="BE155" i="9"/>
  <c r="I13" i="15" l="1"/>
  <c r="I14" i="15" s="1"/>
  <c r="I20" i="15" s="1"/>
  <c r="BE1082" i="1"/>
  <c r="BE830" i="1"/>
  <c r="BE824" i="1"/>
  <c r="BE966" i="1"/>
  <c r="BE839" i="1"/>
  <c r="AE107" i="13" l="1"/>
  <c r="AE170" i="13" s="1"/>
  <c r="AE172" i="13" s="1"/>
  <c r="I30" i="15"/>
  <c r="I24" i="15" s="1"/>
  <c r="I25" i="15" s="1"/>
  <c r="Q37" i="12" a="1"/>
  <c r="Q37" i="12" s="1"/>
  <c r="Q38" i="12" s="1"/>
  <c r="AE13" i="13"/>
  <c r="Q138" i="12" a="1"/>
  <c r="Q138" i="12" s="1"/>
  <c r="Q115" i="12" s="1"/>
  <c r="AE86" i="13"/>
  <c r="BE992" i="1"/>
  <c r="Q53" i="12" a="1"/>
  <c r="Q53" i="12" s="1"/>
  <c r="Q54" i="12" s="1"/>
  <c r="BE89" i="9"/>
  <c r="BE853" i="1"/>
  <c r="BE840" i="1"/>
  <c r="BE884" i="1" s="1"/>
  <c r="BE831" i="1"/>
  <c r="BE76" i="9"/>
  <c r="BE118" i="9"/>
  <c r="BE119" i="9" s="1"/>
  <c r="BE1084" i="1"/>
  <c r="I28" i="15" l="1"/>
  <c r="I26" i="15"/>
  <c r="Q44" i="12"/>
  <c r="AE108" i="13"/>
  <c r="Q113" i="12"/>
  <c r="AE140" i="13"/>
  <c r="AE29" i="13"/>
  <c r="AE22" i="13"/>
  <c r="Q139" i="12"/>
  <c r="Q148" i="12" s="1"/>
  <c r="Q149" i="12" s="1"/>
  <c r="AE94" i="13"/>
  <c r="AE93" i="13"/>
  <c r="AE91" i="13"/>
  <c r="AE99" i="13"/>
  <c r="AE101" i="13"/>
  <c r="AE92" i="13"/>
  <c r="AE100" i="13"/>
  <c r="AE98" i="13"/>
  <c r="AE135" i="13"/>
  <c r="AE167" i="13"/>
  <c r="AE116" i="13"/>
  <c r="AE124" i="13"/>
  <c r="Q41" i="12"/>
  <c r="Q137" i="12"/>
  <c r="Q140" i="12" s="1"/>
  <c r="AE177" i="13"/>
  <c r="AE173" i="13"/>
  <c r="Q40" i="12"/>
  <c r="Q39" i="12"/>
  <c r="Q48" i="12"/>
  <c r="Q45" i="12"/>
  <c r="Q91" i="12"/>
  <c r="Q77" i="12"/>
  <c r="Q76" i="12"/>
  <c r="Q96" i="12" s="1"/>
  <c r="Q56" i="12"/>
  <c r="BE995" i="1"/>
  <c r="Q69" i="12" a="1"/>
  <c r="Q69" i="12" s="1"/>
  <c r="BE154" i="9"/>
  <c r="BE116" i="9"/>
  <c r="BE117" i="9" s="1"/>
  <c r="BE120" i="9" s="1"/>
  <c r="AE136" i="13" s="1"/>
  <c r="BE140" i="9"/>
  <c r="BE854" i="1"/>
  <c r="BE855" i="1" s="1"/>
  <c r="BE856" i="1" s="1"/>
  <c r="BE885" i="1"/>
  <c r="BE77" i="9"/>
  <c r="BE882" i="1"/>
  <c r="BE102" i="9"/>
  <c r="BE147" i="9" s="1"/>
  <c r="BE113" i="9"/>
  <c r="BE91" i="9"/>
  <c r="BE141" i="9"/>
  <c r="AE178" i="13" l="1"/>
  <c r="AE176" i="13"/>
  <c r="AE179" i="13"/>
  <c r="AE166" i="13"/>
  <c r="AE184" i="13"/>
  <c r="AE185" i="13" s="1"/>
  <c r="Q70" i="12"/>
  <c r="Q58" i="12"/>
  <c r="Q61" i="12"/>
  <c r="Q111" i="12"/>
  <c r="Q57" i="12"/>
  <c r="Q95" i="12" s="1"/>
  <c r="BE1034" i="1"/>
  <c r="AE67" i="13" s="1"/>
  <c r="BF994" i="1"/>
  <c r="Q46" i="12"/>
  <c r="Q47" i="12"/>
  <c r="BE93" i="9"/>
  <c r="BE100" i="9" s="1"/>
  <c r="BE156" i="9" s="1"/>
  <c r="BE103" i="9"/>
  <c r="BE105" i="9" s="1"/>
  <c r="BE148" i="9"/>
  <c r="BE142" i="9"/>
  <c r="BE106" i="9"/>
  <c r="BE145" i="9"/>
  <c r="AE76" i="13" l="1"/>
  <c r="AE75" i="13"/>
  <c r="AE119" i="13"/>
  <c r="AE128" i="13"/>
  <c r="AE118" i="13"/>
  <c r="AE149" i="13"/>
  <c r="AE151" i="13" s="1"/>
  <c r="AE154" i="13" s="1"/>
  <c r="AE164" i="13" s="1"/>
  <c r="AE126" i="13"/>
  <c r="AE120" i="13"/>
  <c r="AE127" i="13"/>
  <c r="BE997" i="1"/>
  <c r="BE859" i="1"/>
  <c r="BE1043" i="1"/>
  <c r="Q59" i="12"/>
  <c r="Q60" i="12"/>
  <c r="AE159" i="13" l="1"/>
  <c r="AE161" i="13"/>
  <c r="AE156" i="13"/>
  <c r="AE162" i="13"/>
  <c r="AE157" i="13"/>
  <c r="AE163" i="13"/>
  <c r="AE158" i="13"/>
  <c r="BE1057" i="1"/>
  <c r="AE84" i="13" s="1"/>
  <c r="AE69" i="13"/>
  <c r="Q142" i="12" a="1"/>
  <c r="Q142" i="12" s="1"/>
  <c r="BE1086" i="1"/>
  <c r="BE123" i="9"/>
  <c r="BE124" i="9" s="1"/>
  <c r="Q83" i="12" a="1"/>
  <c r="Q83" i="12" s="1"/>
  <c r="BE1091" i="1"/>
  <c r="BE7" i="9"/>
  <c r="BE11" i="9" s="1"/>
  <c r="BE864" i="1"/>
  <c r="BF868" i="1"/>
  <c r="AE97" i="13" l="1"/>
  <c r="AE89" i="13"/>
  <c r="AE96" i="13"/>
  <c r="AE90" i="13"/>
  <c r="AE103" i="13"/>
  <c r="AE144" i="13" s="1"/>
  <c r="AE59" i="13"/>
  <c r="AE143" i="13" s="1"/>
  <c r="AE104" i="13"/>
  <c r="AE74" i="13"/>
  <c r="AE54" i="13"/>
  <c r="AE57" i="13" s="1"/>
  <c r="BF808" i="1"/>
  <c r="AF11" i="13" s="1"/>
  <c r="AF20" i="13" s="1"/>
  <c r="BF870" i="1"/>
  <c r="BE880" i="1"/>
  <c r="BE875" i="1"/>
  <c r="BE110" i="9"/>
  <c r="BE111" i="9"/>
  <c r="BE126" i="9"/>
  <c r="BE127" i="9" s="1"/>
  <c r="BE128" i="9" s="1"/>
  <c r="BE129" i="9" s="1"/>
  <c r="BE109" i="9"/>
  <c r="BE874" i="1"/>
  <c r="Q108" i="12"/>
  <c r="Q116" i="12"/>
  <c r="Q86" i="12"/>
  <c r="Q88" i="12" s="1"/>
  <c r="BE125" i="9"/>
  <c r="AE134" i="13" s="1"/>
  <c r="BE134" i="9"/>
  <c r="BE135" i="9" s="1"/>
  <c r="AE137" i="13" s="1"/>
  <c r="BE146" i="9"/>
  <c r="BE149" i="9"/>
  <c r="Q114" i="12"/>
  <c r="Q143" i="12"/>
  <c r="AE145" i="13" l="1"/>
  <c r="Q153" i="12"/>
  <c r="Q154" i="12" s="1"/>
  <c r="Q144" i="12"/>
  <c r="BE883" i="1"/>
  <c r="BE886" i="1"/>
  <c r="BF873" i="1"/>
  <c r="BF871" i="1"/>
  <c r="Q99" i="12"/>
  <c r="Q90" i="12"/>
  <c r="Q93" i="12"/>
  <c r="Q100" i="12"/>
  <c r="Q98" i="12"/>
  <c r="Q92" i="12"/>
  <c r="BF63" i="9"/>
  <c r="BF65" i="9" s="1"/>
  <c r="BF811" i="1"/>
  <c r="AF12" i="13" l="1"/>
  <c r="AF141" i="13" s="1"/>
  <c r="J16" i="15"/>
  <c r="R28" i="12"/>
  <c r="BF813" i="1"/>
  <c r="J17" i="15" s="1"/>
  <c r="J18" i="15" s="1"/>
  <c r="J19" i="15" s="1"/>
  <c r="BF814" i="1"/>
  <c r="BF956" i="1" s="1"/>
  <c r="BF1063" i="1" s="1"/>
  <c r="BF1066" i="1" s="1"/>
  <c r="BF1074" i="1" s="1"/>
  <c r="AF85" i="13" s="1"/>
  <c r="BF132" i="9"/>
  <c r="BF133" i="9" s="1"/>
  <c r="AF27" i="13" l="1"/>
  <c r="AF21" i="13"/>
  <c r="R151" i="12" a="1"/>
  <c r="R151" i="12" s="1"/>
  <c r="R152" i="12" s="1"/>
  <c r="AF72" i="13"/>
  <c r="BF815" i="1"/>
  <c r="BF819" i="1" s="1"/>
  <c r="BF66" i="9"/>
  <c r="BF70" i="9" s="1"/>
  <c r="R34" i="12" a="1"/>
  <c r="R34" i="12" s="1"/>
  <c r="R35" i="12" s="1"/>
  <c r="R141" i="12" s="1"/>
  <c r="R32" i="12"/>
  <c r="R29" i="12"/>
  <c r="BF950" i="1" l="1"/>
  <c r="J10" i="15" s="1"/>
  <c r="R30" i="12"/>
  <c r="R31" i="12"/>
  <c r="BF121" i="9"/>
  <c r="BF122" i="9" s="1"/>
  <c r="BF71" i="9"/>
  <c r="BF155" i="9"/>
  <c r="BF959" i="1"/>
  <c r="BF1079" i="1"/>
  <c r="BF1082" i="1" s="1"/>
  <c r="BF821" i="1"/>
  <c r="BF829" i="1"/>
  <c r="BF118" i="9"/>
  <c r="BF119" i="9" s="1"/>
  <c r="J13" i="15" l="1"/>
  <c r="J14" i="15" s="1"/>
  <c r="J20" i="15" s="1"/>
  <c r="R138" i="12" a="1"/>
  <c r="R138" i="12" s="1"/>
  <c r="R113" i="12" s="1"/>
  <c r="AF86" i="13"/>
  <c r="R52" i="12" a="1"/>
  <c r="R52" i="12" s="1"/>
  <c r="BF966" i="1"/>
  <c r="BF839" i="1"/>
  <c r="BF830" i="1"/>
  <c r="BF824" i="1"/>
  <c r="AF13" i="13" s="1"/>
  <c r="BF1084" i="1"/>
  <c r="AF107" i="13" l="1"/>
  <c r="J30" i="15"/>
  <c r="J24" i="15" s="1"/>
  <c r="J25" i="15" s="1"/>
  <c r="AF140" i="13"/>
  <c r="AF29" i="13"/>
  <c r="AF22" i="13"/>
  <c r="AF170" i="13"/>
  <c r="AF172" i="13" s="1"/>
  <c r="AF108" i="13"/>
  <c r="R115" i="12"/>
  <c r="R139" i="12"/>
  <c r="R148" i="12" s="1"/>
  <c r="R149" i="12" s="1"/>
  <c r="AF98" i="13"/>
  <c r="AF94" i="13"/>
  <c r="AF91" i="13"/>
  <c r="AF101" i="13"/>
  <c r="AF93" i="13"/>
  <c r="AF92" i="13"/>
  <c r="AF100" i="13"/>
  <c r="AF99" i="13"/>
  <c r="AF135" i="13"/>
  <c r="AF167" i="13"/>
  <c r="R37" i="12" a="1"/>
  <c r="R37" i="12" s="1"/>
  <c r="BF831" i="1"/>
  <c r="BF76" i="9"/>
  <c r="BF89" i="9"/>
  <c r="BF853" i="1"/>
  <c r="BF840" i="1"/>
  <c r="BF884" i="1" s="1"/>
  <c r="BF992" i="1"/>
  <c r="R53" i="12" a="1"/>
  <c r="R53" i="12" s="1"/>
  <c r="R54" i="12" s="1"/>
  <c r="J28" i="15" l="1"/>
  <c r="J26" i="15"/>
  <c r="AF124" i="13"/>
  <c r="AF116" i="13"/>
  <c r="AF177" i="13"/>
  <c r="AF173" i="13"/>
  <c r="AF166" i="13"/>
  <c r="AF184" i="13"/>
  <c r="AF185" i="13" s="1"/>
  <c r="R56" i="12"/>
  <c r="R77" i="12"/>
  <c r="R76" i="12"/>
  <c r="R96" i="12" s="1"/>
  <c r="BF854" i="1"/>
  <c r="BF855" i="1" s="1"/>
  <c r="BF856" i="1" s="1"/>
  <c r="BF885" i="1"/>
  <c r="BF102" i="9"/>
  <c r="BF147" i="9" s="1"/>
  <c r="BF113" i="9"/>
  <c r="BF141" i="9"/>
  <c r="BF91" i="9"/>
  <c r="BF116" i="9"/>
  <c r="BF117" i="9" s="1"/>
  <c r="BF120" i="9" s="1"/>
  <c r="AF136" i="13" s="1"/>
  <c r="BF154" i="9"/>
  <c r="BF140" i="9"/>
  <c r="BF995" i="1"/>
  <c r="R69" i="12" a="1"/>
  <c r="R69" i="12" s="1"/>
  <c r="BF77" i="9"/>
  <c r="BF882" i="1"/>
  <c r="R137" i="12"/>
  <c r="R140" i="12" s="1"/>
  <c r="R44" i="12"/>
  <c r="R38" i="12"/>
  <c r="R41" i="12"/>
  <c r="AF179" i="13" l="1"/>
  <c r="AF178" i="13"/>
  <c r="AF176" i="13"/>
  <c r="R40" i="12"/>
  <c r="R39" i="12"/>
  <c r="BF142" i="9"/>
  <c r="BF103" i="9"/>
  <c r="BF105" i="9" s="1"/>
  <c r="BF93" i="9"/>
  <c r="BF100" i="9" s="1"/>
  <c r="BF156" i="9" s="1"/>
  <c r="BF148" i="9"/>
  <c r="R48" i="12"/>
  <c r="R45" i="12"/>
  <c r="R91" i="12"/>
  <c r="BF106" i="9"/>
  <c r="BF145" i="9"/>
  <c r="BG994" i="1"/>
  <c r="BF1034" i="1"/>
  <c r="AF67" i="13" s="1"/>
  <c r="R61" i="12"/>
  <c r="R70" i="12"/>
  <c r="R58" i="12"/>
  <c r="R111" i="12"/>
  <c r="R57" i="12"/>
  <c r="R95" i="12" s="1"/>
  <c r="AF75" i="13" l="1"/>
  <c r="AF76" i="13"/>
  <c r="AF119" i="13"/>
  <c r="AF120" i="13"/>
  <c r="AF128" i="13"/>
  <c r="AF149" i="13"/>
  <c r="AF151" i="13" s="1"/>
  <c r="AF154" i="13" s="1"/>
  <c r="AF159" i="13" s="1"/>
  <c r="AF126" i="13"/>
  <c r="AF118" i="13"/>
  <c r="AF127" i="13"/>
  <c r="R46" i="12"/>
  <c r="R47" i="12"/>
  <c r="BF997" i="1"/>
  <c r="BF1043" i="1"/>
  <c r="BF859" i="1"/>
  <c r="R59" i="12"/>
  <c r="R60" i="12"/>
  <c r="AF164" i="13" l="1"/>
  <c r="AF161" i="13"/>
  <c r="AF156" i="13"/>
  <c r="AF162" i="13"/>
  <c r="AF157" i="13"/>
  <c r="AF163" i="13"/>
  <c r="AF158" i="13"/>
  <c r="BF1057" i="1"/>
  <c r="AF84" i="13" s="1"/>
  <c r="AF69" i="13"/>
  <c r="R142" i="12" a="1"/>
  <c r="R142" i="12" s="1"/>
  <c r="BF123" i="9"/>
  <c r="BF124" i="9" s="1"/>
  <c r="BF1086" i="1"/>
  <c r="R83" i="12" a="1"/>
  <c r="R83" i="12" s="1"/>
  <c r="BF7" i="9"/>
  <c r="BF11" i="9" s="1"/>
  <c r="BG868" i="1"/>
  <c r="BF1091" i="1"/>
  <c r="BF864" i="1"/>
  <c r="AF54" i="13" l="1"/>
  <c r="AF57" i="13" s="1"/>
  <c r="AF74" i="13"/>
  <c r="AF103" i="13"/>
  <c r="AF144" i="13" s="1"/>
  <c r="AF59" i="13"/>
  <c r="AF143" i="13" s="1"/>
  <c r="AF89" i="13"/>
  <c r="AF97" i="13"/>
  <c r="AF96" i="13"/>
  <c r="AF90" i="13"/>
  <c r="AF104" i="13"/>
  <c r="BF874" i="1"/>
  <c r="BF880" i="1"/>
  <c r="BF110" i="9"/>
  <c r="BF126" i="9"/>
  <c r="BF127" i="9" s="1"/>
  <c r="BF128" i="9" s="1"/>
  <c r="BF129" i="9" s="1"/>
  <c r="BF875" i="1"/>
  <c r="BF111" i="9"/>
  <c r="BF109" i="9"/>
  <c r="BG870" i="1"/>
  <c r="BG808" i="1"/>
  <c r="AG11" i="13" s="1"/>
  <c r="AG20" i="13" s="1"/>
  <c r="R108" i="12"/>
  <c r="R116" i="12"/>
  <c r="R86" i="12"/>
  <c r="R88" i="12" s="1"/>
  <c r="BF146" i="9"/>
  <c r="BF149" i="9"/>
  <c r="BF134" i="9"/>
  <c r="BF135" i="9" s="1"/>
  <c r="AF137" i="13" s="1"/>
  <c r="BF125" i="9"/>
  <c r="AF134" i="13" s="1"/>
  <c r="R114" i="12"/>
  <c r="R143" i="12"/>
  <c r="AF145" i="13" l="1"/>
  <c r="R153" i="12"/>
  <c r="R154" i="12" s="1"/>
  <c r="R144" i="12"/>
  <c r="R100" i="12"/>
  <c r="R98" i="12"/>
  <c r="R90" i="12"/>
  <c r="R99" i="12"/>
  <c r="R93" i="12"/>
  <c r="R92" i="12"/>
  <c r="BG63" i="9"/>
  <c r="BG65" i="9" s="1"/>
  <c r="BG811" i="1"/>
  <c r="BG871" i="1"/>
  <c r="BG873" i="1"/>
  <c r="BF886" i="1"/>
  <c r="BF883" i="1"/>
  <c r="AG12" i="13" l="1"/>
  <c r="AG141" i="13" s="1"/>
  <c r="K16" i="15"/>
  <c r="S28" i="12"/>
  <c r="BG814" i="1"/>
  <c r="BG956" i="1" s="1"/>
  <c r="BG1063" i="1" s="1"/>
  <c r="BG1066" i="1" s="1"/>
  <c r="AG72" i="13" s="1"/>
  <c r="BG813" i="1"/>
  <c r="AG27" i="13" l="1"/>
  <c r="BG815" i="1"/>
  <c r="K17" i="15"/>
  <c r="K18" i="15" s="1"/>
  <c r="K19" i="15" s="1"/>
  <c r="AG21" i="13"/>
  <c r="BG66" i="9"/>
  <c r="BG70" i="9" s="1"/>
  <c r="S34" i="12" a="1"/>
  <c r="S34" i="12" s="1"/>
  <c r="S35" i="12" s="1"/>
  <c r="S141" i="12" s="1"/>
  <c r="BG819" i="1"/>
  <c r="BG950" i="1"/>
  <c r="K10" i="15" s="1"/>
  <c r="S151" i="12" a="1"/>
  <c r="S151" i="12" s="1"/>
  <c r="S152" i="12" s="1"/>
  <c r="BG1074" i="1"/>
  <c r="AG85" i="13" s="1"/>
  <c r="BG132" i="9"/>
  <c r="BG133" i="9" s="1"/>
  <c r="S29" i="12"/>
  <c r="S32" i="12"/>
  <c r="K13" i="15" l="1"/>
  <c r="K14" i="15" s="1"/>
  <c r="K20" i="15" s="1"/>
  <c r="S30" i="12"/>
  <c r="S31" i="12"/>
  <c r="BG959" i="1"/>
  <c r="BG1079" i="1"/>
  <c r="BG1082" i="1" s="1"/>
  <c r="AG86" i="13" s="1"/>
  <c r="BG829" i="1"/>
  <c r="BG821" i="1"/>
  <c r="BG71" i="9"/>
  <c r="BG121" i="9"/>
  <c r="BG122" i="9" s="1"/>
  <c r="BG155" i="9"/>
  <c r="AG101" i="13" l="1"/>
  <c r="AG91" i="13"/>
  <c r="AG99" i="13"/>
  <c r="AG93" i="13"/>
  <c r="AG94" i="13"/>
  <c r="AG100" i="13"/>
  <c r="AG92" i="13"/>
  <c r="AG98" i="13"/>
  <c r="AG135" i="13"/>
  <c r="AG167" i="13"/>
  <c r="BG830" i="1"/>
  <c r="BG824" i="1"/>
  <c r="AG13" i="13" s="1"/>
  <c r="S138" i="12" a="1"/>
  <c r="S138" i="12" s="1"/>
  <c r="BG1084" i="1"/>
  <c r="BG118" i="9"/>
  <c r="BG119" i="9" s="1"/>
  <c r="S52" i="12" a="1"/>
  <c r="S52" i="12" s="1"/>
  <c r="BG839" i="1"/>
  <c r="BG966" i="1"/>
  <c r="AG107" i="13" l="1"/>
  <c r="AG170" i="13" s="1"/>
  <c r="AG172" i="13" s="1"/>
  <c r="K30" i="15"/>
  <c r="K24" i="15" s="1"/>
  <c r="K25" i="15" s="1"/>
  <c r="AG140" i="13"/>
  <c r="AG29" i="13"/>
  <c r="AG22" i="13"/>
  <c r="S115" i="12"/>
  <c r="S113" i="12"/>
  <c r="S139" i="12"/>
  <c r="S148" i="12" s="1"/>
  <c r="S149" i="12" s="1"/>
  <c r="BG992" i="1"/>
  <c r="S53" i="12" a="1"/>
  <c r="S53" i="12" s="1"/>
  <c r="S54" i="12" s="1"/>
  <c r="S37" i="12" a="1"/>
  <c r="S37" i="12" s="1"/>
  <c r="BG831" i="1"/>
  <c r="BG76" i="9"/>
  <c r="BG840" i="1"/>
  <c r="BG884" i="1" s="1"/>
  <c r="BG89" i="9"/>
  <c r="BG853" i="1"/>
  <c r="AG108" i="13" l="1"/>
  <c r="K26" i="15"/>
  <c r="B40" i="15" s="1"/>
  <c r="K28" i="15"/>
  <c r="B35" i="15"/>
  <c r="AG184" i="13"/>
  <c r="AG185" i="13" s="1"/>
  <c r="AG166" i="13"/>
  <c r="AG124" i="13"/>
  <c r="AG116" i="13"/>
  <c r="AG177" i="13"/>
  <c r="AG173" i="13"/>
  <c r="S56" i="12"/>
  <c r="S76" i="12"/>
  <c r="S96" i="12" s="1"/>
  <c r="S77" i="12"/>
  <c r="BG885" i="1"/>
  <c r="BG854" i="1"/>
  <c r="BG855" i="1" s="1"/>
  <c r="BG856" i="1" s="1"/>
  <c r="BG154" i="9"/>
  <c r="BG116" i="9"/>
  <c r="BG117" i="9" s="1"/>
  <c r="BG120" i="9" s="1"/>
  <c r="AG136" i="13" s="1"/>
  <c r="BG140" i="9"/>
  <c r="S137" i="12"/>
  <c r="S140" i="12" s="1"/>
  <c r="S44" i="12"/>
  <c r="S38" i="12"/>
  <c r="S41" i="12"/>
  <c r="BG995" i="1"/>
  <c r="BG1034" i="1" s="1"/>
  <c r="AG67" i="13" s="1"/>
  <c r="S69" i="12" a="1"/>
  <c r="S69" i="12" s="1"/>
  <c r="BG77" i="9"/>
  <c r="BG882" i="1"/>
  <c r="BG102" i="9"/>
  <c r="BG147" i="9" s="1"/>
  <c r="BG113" i="9"/>
  <c r="BG91" i="9"/>
  <c r="BG141" i="9"/>
  <c r="B41" i="15" l="1"/>
  <c r="B42" i="15" s="1"/>
  <c r="B37" i="15"/>
  <c r="AG76" i="13"/>
  <c r="AG75" i="13"/>
  <c r="AG127" i="13"/>
  <c r="AG119" i="13"/>
  <c r="AG149" i="13"/>
  <c r="AG151" i="13" s="1"/>
  <c r="AG154" i="13" s="1"/>
  <c r="AG159" i="13" s="1"/>
  <c r="AG128" i="13"/>
  <c r="AG126" i="13"/>
  <c r="AG120" i="13"/>
  <c r="AG164" i="13"/>
  <c r="AG118" i="13"/>
  <c r="AG178" i="13"/>
  <c r="AG176" i="13"/>
  <c r="AG179" i="13"/>
  <c r="S48" i="12"/>
  <c r="S45" i="12"/>
  <c r="S91" i="12"/>
  <c r="S40" i="12"/>
  <c r="S39" i="12"/>
  <c r="BG103" i="9"/>
  <c r="BG105" i="9" s="1"/>
  <c r="BG142" i="9"/>
  <c r="BG93" i="9"/>
  <c r="BG100" i="9" s="1"/>
  <c r="BG156" i="9" s="1"/>
  <c r="BG148" i="9"/>
  <c r="BG106" i="9"/>
  <c r="BG145" i="9"/>
  <c r="BG997" i="1"/>
  <c r="BG1043" i="1"/>
  <c r="BG859" i="1"/>
  <c r="C19" i="14" s="1"/>
  <c r="S57" i="12"/>
  <c r="S95" i="12" s="1"/>
  <c r="S111" i="12"/>
  <c r="S70" i="12"/>
  <c r="S61" i="12"/>
  <c r="S58" i="12"/>
  <c r="B51" i="15" l="1"/>
  <c r="B55" i="15" s="1"/>
  <c r="B58" i="15" s="1"/>
  <c r="A58" i="15" s="1"/>
  <c r="C42" i="15"/>
  <c r="C40" i="15"/>
  <c r="C41" i="15"/>
  <c r="I19" i="14"/>
  <c r="I22" i="14" s="1"/>
  <c r="I23" i="14" s="1"/>
  <c r="I25" i="14" s="1"/>
  <c r="F19" i="14"/>
  <c r="F22" i="14" s="1"/>
  <c r="F23" i="14" s="1"/>
  <c r="F25" i="14" s="1"/>
  <c r="C22" i="14"/>
  <c r="C23" i="14" s="1"/>
  <c r="C25" i="14" s="1"/>
  <c r="AG162" i="13"/>
  <c r="AG157" i="13"/>
  <c r="AG161" i="13"/>
  <c r="AG156" i="13"/>
  <c r="AG158" i="13"/>
  <c r="AG163" i="13"/>
  <c r="BG1057" i="1"/>
  <c r="AG84" i="13" s="1"/>
  <c r="AG69" i="13"/>
  <c r="S60" i="12"/>
  <c r="S59" i="12"/>
  <c r="S47" i="12"/>
  <c r="S46" i="12"/>
  <c r="S83" i="12" a="1"/>
  <c r="S83" i="12" s="1"/>
  <c r="BG7" i="9"/>
  <c r="BG11" i="9" s="1"/>
  <c r="BG1091" i="1"/>
  <c r="BG864" i="1"/>
  <c r="C30" i="14" l="1"/>
  <c r="C27" i="14"/>
  <c r="S142" i="12" a="1"/>
  <c r="S142" i="12" s="1"/>
  <c r="F30" i="14"/>
  <c r="F27" i="14"/>
  <c r="BG123" i="9"/>
  <c r="BG124" i="9" s="1"/>
  <c r="BG125" i="9" s="1"/>
  <c r="AG134" i="13" s="1"/>
  <c r="I30" i="14"/>
  <c r="I27" i="14"/>
  <c r="AG74" i="13"/>
  <c r="AG54" i="13"/>
  <c r="AG57" i="13" s="1"/>
  <c r="AG103" i="13"/>
  <c r="AG144" i="13" s="1"/>
  <c r="AG96" i="13"/>
  <c r="AG97" i="13"/>
  <c r="AG89" i="13"/>
  <c r="AG59" i="13"/>
  <c r="AG143" i="13" s="1"/>
  <c r="AG90" i="13"/>
  <c r="AG104" i="13"/>
  <c r="BG1086" i="1"/>
  <c r="BG146" i="9"/>
  <c r="BG149" i="9"/>
  <c r="BG111" i="9"/>
  <c r="BG110" i="9"/>
  <c r="BG109" i="9"/>
  <c r="BG126" i="9"/>
  <c r="BG127" i="9" s="1"/>
  <c r="BG128" i="9" s="1"/>
  <c r="BG129" i="9" s="1"/>
  <c r="BG875" i="1"/>
  <c r="BG874" i="1"/>
  <c r="BG880" i="1"/>
  <c r="S116" i="12"/>
  <c r="S108" i="12"/>
  <c r="S86" i="12"/>
  <c r="S88" i="12" s="1"/>
  <c r="S114" i="12"/>
  <c r="S143" i="12"/>
  <c r="BG134" i="9" l="1"/>
  <c r="BG135" i="9" s="1"/>
  <c r="AG137" i="13" s="1"/>
  <c r="AG145" i="13"/>
  <c r="BG883" i="1"/>
  <c r="BG886" i="1"/>
  <c r="S153" i="12"/>
  <c r="S154" i="12" s="1"/>
  <c r="S144" i="12"/>
  <c r="S99" i="12"/>
  <c r="S93" i="12"/>
  <c r="S100" i="12"/>
  <c r="S98" i="12"/>
  <c r="S92" i="12"/>
  <c r="S90"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Canalyst (CW)</author>
    <author>Canalyst (PZ)</author>
    <author>Canalyst (SJ)</author>
    <author>Canalyst (AN)</author>
    <author>Canalyst (JiF)</author>
    <author>Canalyst (AlD)</author>
    <author>Canalyst (YiL)</author>
  </authors>
  <commentList>
    <comment ref="AA2" authorId="0" shapeId="0" xr:uid="{79453005-6B62-41EC-9A4D-33CB3FD6281C}">
      <text>
        <r>
          <rPr>
            <b/>
            <sz val="9"/>
            <rFont val="Tahoma"/>
            <family val="2"/>
          </rPr>
          <t>Canalyst (CW):</t>
        </r>
        <r>
          <rPr>
            <sz val="9"/>
            <rFont val="Tahoma"/>
            <family val="2"/>
          </rPr>
          <t xml:space="preserve">
Restated for the adoption of new accounting policies during Q1-2018.</t>
        </r>
      </text>
    </comment>
    <comment ref="AB2" authorId="0" shapeId="0" xr:uid="{77FFB05C-22FA-406E-B25C-EA3CDE8705C5}">
      <text>
        <r>
          <rPr>
            <b/>
            <sz val="9"/>
            <rFont val="Tahoma"/>
            <family val="2"/>
          </rPr>
          <t>Canalyst (CW):</t>
        </r>
        <r>
          <rPr>
            <sz val="9"/>
            <rFont val="Tahoma"/>
            <family val="2"/>
          </rPr>
          <t xml:space="preserve">
Restated for the adoption of new accounting policies during Q1-2018.</t>
        </r>
      </text>
    </comment>
    <comment ref="AC2" authorId="0" shapeId="0" xr:uid="{A091B1F0-98F0-4F0D-808F-4CC902E8FF44}">
      <text>
        <r>
          <rPr>
            <b/>
            <sz val="9"/>
            <rFont val="Tahoma"/>
            <family val="2"/>
          </rPr>
          <t>Canalyst (CW):</t>
        </r>
        <r>
          <rPr>
            <sz val="9"/>
            <rFont val="Tahoma"/>
            <family val="2"/>
          </rPr>
          <t xml:space="preserve">
Restated for the adoption of new accounting policies during Q1-2018.</t>
        </r>
      </text>
    </comment>
    <comment ref="AD2" authorId="0" shapeId="0" xr:uid="{45389E29-7B16-4355-BA7E-A38ACDDF5984}">
      <text>
        <r>
          <rPr>
            <b/>
            <sz val="9"/>
            <rFont val="Tahoma"/>
            <family val="2"/>
          </rPr>
          <t>Canalyst (CW):</t>
        </r>
        <r>
          <rPr>
            <sz val="9"/>
            <rFont val="Tahoma"/>
            <family val="2"/>
          </rPr>
          <t xml:space="preserve">
Restated for the adoption of new accounting policies during Q1-2018.</t>
        </r>
      </text>
    </comment>
    <comment ref="AE2" authorId="0" shapeId="0" xr:uid="{F3A9C519-0450-44C1-81E0-EE6A1F0605E8}">
      <text>
        <r>
          <rPr>
            <b/>
            <sz val="9"/>
            <rFont val="Tahoma"/>
            <family val="2"/>
          </rPr>
          <t>Canalyst (CW):</t>
        </r>
        <r>
          <rPr>
            <sz val="9"/>
            <rFont val="Tahoma"/>
            <family val="2"/>
          </rPr>
          <t xml:space="preserve">
Restated for the adoption of new accounting policies during Q1-2018.</t>
        </r>
      </text>
    </comment>
    <comment ref="AK2" authorId="1" shapeId="0" xr:uid="{FFC42590-30DB-471D-81E7-6BD1559D4076}">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L2" authorId="1" shapeId="0" xr:uid="{BB1805CD-D683-4897-B014-F14DDD502F2F}">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M2" authorId="1" shapeId="0" xr:uid="{F3F0BA88-34D9-4320-BFD3-E8B2FF828448}">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N2" authorId="1" shapeId="0" xr:uid="{91E442B1-457C-4673-8F6B-AE911D873357}">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O2" authorId="1" shapeId="0" xr:uid="{F94B718F-8AA4-4E1D-90FC-6255A27A3A62}">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P2" authorId="2" shapeId="0" xr:uid="{A6A0A12F-26B3-4EB0-B878-A50B177009BB}">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Q2" authorId="2" shapeId="0" xr:uid="{0A16060A-1DD0-4EF1-A008-52234379A997}">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R2" authorId="2" shapeId="0" xr:uid="{C1A04371-7790-4648-9B2E-9BF87631FF4F}">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S2" authorId="2" shapeId="0" xr:uid="{CF1846EE-3F90-4068-BE51-8E0544146D6D}">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T2" authorId="2" shapeId="0" xr:uid="{B518A4B5-3C2A-465A-ABD7-835210D07F72}">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P8" authorId="1" shapeId="0" xr:uid="{77856C39-C5C8-4180-B486-F5C9036DC6C8}">
      <text>
        <r>
          <rPr>
            <b/>
            <sz val="9"/>
            <rFont val="Tahoma"/>
            <family val="2"/>
            <charset val="1"/>
          </rPr>
          <t>Canalyst (PZ):</t>
        </r>
        <r>
          <rPr>
            <sz val="9"/>
            <rFont val="Tahoma"/>
            <family val="2"/>
            <charset val="1"/>
          </rPr>
          <t xml:space="preserve">
Started reporting adjusted EBITDA during this period.</t>
        </r>
      </text>
    </comment>
    <comment ref="AD9" authorId="3" shapeId="0" xr:uid="{00000000-0006-0000-0100-00004C000000}">
      <text>
        <r>
          <rPr>
            <b/>
            <sz val="9"/>
            <rFont val="Tahoma"/>
            <family val="2"/>
          </rPr>
          <t>Canalyst (AN):</t>
        </r>
        <r>
          <rPr>
            <sz val="9"/>
            <rFont val="Tahoma"/>
            <family val="2"/>
          </rPr>
          <t xml:space="preserve">
Reported as $2.10</t>
        </r>
      </text>
    </comment>
    <comment ref="A16" authorId="4" shapeId="0" xr:uid="{00000000-0006-0000-0100-000023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16" authorId="4" shapeId="0" xr:uid="{1164C1CA-295B-44A5-BFF4-4EE735E62507}">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16" authorId="4" shapeId="0" xr:uid="{8794C5F5-2DBB-411D-B2C9-77FE131B3708}">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16" authorId="4" shapeId="0" xr:uid="{27BEC9F2-E58F-4694-A5BC-33C358F0668A}">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16" authorId="4" shapeId="0" xr:uid="{3FF1F193-7A23-4A30-9647-6F73DD9A7B38}">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16" authorId="4" shapeId="0" xr:uid="{0EC5A612-2AB8-4F6D-84A9-E4843BE89F02}">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16" authorId="4" shapeId="0" xr:uid="{393EC11E-8270-4E9F-B9C6-FD597CEAD6DF}">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16" authorId="4" shapeId="0" xr:uid="{AD601526-68BD-4DD8-881E-A4DADD1E04F3}">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16" authorId="4" shapeId="0" xr:uid="{00000000-0006-0000-0100-00002C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16" authorId="4" shapeId="0" xr:uid="{00000000-0006-0000-0100-00002D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16" authorId="4" shapeId="0" xr:uid="{00000000-0006-0000-0100-00002E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V30" authorId="5" shapeId="0" xr:uid="{40F6CB95-7E32-4145-9973-8A3D24288E50}">
      <text>
        <r>
          <rPr>
            <b/>
            <sz val="9"/>
            <rFont val="Tahoma"/>
            <family val="2"/>
          </rPr>
          <t>Canalyst (AlD):</t>
        </r>
        <r>
          <rPr>
            <sz val="9"/>
            <rFont val="Tahoma"/>
            <family val="2"/>
          </rPr>
          <t xml:space="preserve">
backfilled from PR released on 05/30/2019</t>
        </r>
      </text>
    </comment>
    <comment ref="W30" authorId="5" shapeId="0" xr:uid="{D7D6304E-33BC-42B5-A64A-00DDA86CAE7D}">
      <text>
        <r>
          <rPr>
            <b/>
            <sz val="9"/>
            <rFont val="Tahoma"/>
            <family val="2"/>
          </rPr>
          <t>Canalyst (AlD):</t>
        </r>
        <r>
          <rPr>
            <sz val="9"/>
            <rFont val="Tahoma"/>
            <family val="2"/>
          </rPr>
          <t xml:space="preserve">
backfilled from PR released on 05/30/2019</t>
        </r>
      </text>
    </comment>
    <comment ref="X30" authorId="5" shapeId="0" xr:uid="{DAAAD2A8-9714-49BA-AB0B-D308D536A44B}">
      <text>
        <r>
          <rPr>
            <b/>
            <sz val="9"/>
            <rFont val="Tahoma"/>
            <family val="2"/>
          </rPr>
          <t>Canalyst (AlD):</t>
        </r>
        <r>
          <rPr>
            <sz val="9"/>
            <rFont val="Tahoma"/>
            <family val="2"/>
          </rPr>
          <t xml:space="preserve">
backfilled from PR released on 05/30/2019</t>
        </r>
      </text>
    </comment>
    <comment ref="Y30" authorId="5" shapeId="0" xr:uid="{5B3256D8-E7F7-41BA-906A-29A44180FC54}">
      <text>
        <r>
          <rPr>
            <b/>
            <sz val="9"/>
            <rFont val="Tahoma"/>
            <family val="2"/>
          </rPr>
          <t>Canalyst (AlD):</t>
        </r>
        <r>
          <rPr>
            <sz val="9"/>
            <rFont val="Tahoma"/>
            <family val="2"/>
          </rPr>
          <t xml:space="preserve">
backfilled from PR released on 05/30/2019</t>
        </r>
      </text>
    </comment>
    <comment ref="Z30" authorId="5" shapeId="0" xr:uid="{0FCFB45E-5DDD-4D8C-BC4B-317017AEC453}">
      <text>
        <r>
          <rPr>
            <b/>
            <sz val="9"/>
            <rFont val="Tahoma"/>
            <family val="2"/>
          </rPr>
          <t>Canalyst (AlD):</t>
        </r>
        <r>
          <rPr>
            <sz val="9"/>
            <rFont val="Tahoma"/>
            <family val="2"/>
          </rPr>
          <t xml:space="preserve">
backfilled from PR released on 05/30/2019</t>
        </r>
      </text>
    </comment>
    <comment ref="AA30" authorId="5" shapeId="0" xr:uid="{8A5F10C8-21A2-4129-BBC5-5F4ABD2E5F7D}">
      <text>
        <r>
          <rPr>
            <b/>
            <sz val="9"/>
            <rFont val="Tahoma"/>
            <family val="2"/>
          </rPr>
          <t>Canalyst (AlD):</t>
        </r>
        <r>
          <rPr>
            <sz val="9"/>
            <rFont val="Tahoma"/>
            <family val="2"/>
          </rPr>
          <t xml:space="preserve">
backfilled from PR released on 05/30/2019</t>
        </r>
      </text>
    </comment>
    <comment ref="AB30" authorId="5" shapeId="0" xr:uid="{D0A3D4C6-E343-41C8-8545-E9DD7AC054EA}">
      <text>
        <r>
          <rPr>
            <b/>
            <sz val="9"/>
            <rFont val="Tahoma"/>
            <family val="2"/>
          </rPr>
          <t>Canalyst (AlD):</t>
        </r>
        <r>
          <rPr>
            <sz val="9"/>
            <rFont val="Tahoma"/>
            <family val="2"/>
          </rPr>
          <t xml:space="preserve">
backfilled from PR released on 05/30/2019</t>
        </r>
      </text>
    </comment>
    <comment ref="AC30" authorId="5" shapeId="0" xr:uid="{1FE6F600-9B24-4536-AB81-2404B070B077}">
      <text>
        <r>
          <rPr>
            <b/>
            <sz val="9"/>
            <rFont val="Tahoma"/>
            <family val="2"/>
          </rPr>
          <t>Canalyst (AlD):</t>
        </r>
        <r>
          <rPr>
            <sz val="9"/>
            <rFont val="Tahoma"/>
            <family val="2"/>
          </rPr>
          <t xml:space="preserve">
backfilled from PR released on 05/30/2019</t>
        </r>
      </text>
    </comment>
    <comment ref="AD30" authorId="5" shapeId="0" xr:uid="{DB9EE277-20E8-430A-9D8D-EC0068E85B21}">
      <text>
        <r>
          <rPr>
            <b/>
            <sz val="9"/>
            <rFont val="Tahoma"/>
            <family val="2"/>
          </rPr>
          <t>Canalyst (AlD):</t>
        </r>
        <r>
          <rPr>
            <sz val="9"/>
            <rFont val="Tahoma"/>
            <family val="2"/>
          </rPr>
          <t xml:space="preserve">
backfilled from PR released on 05/30/2019</t>
        </r>
      </text>
    </comment>
    <comment ref="AE30" authorId="5" shapeId="0" xr:uid="{86E843AD-575E-48A1-B0A7-6333F7DB707E}">
      <text>
        <r>
          <rPr>
            <b/>
            <sz val="9"/>
            <rFont val="Tahoma"/>
            <family val="2"/>
          </rPr>
          <t>Canalyst (AlD):</t>
        </r>
        <r>
          <rPr>
            <sz val="9"/>
            <rFont val="Tahoma"/>
            <family val="2"/>
          </rPr>
          <t xml:space="preserve">
backfilled from PR released on 05/30/2019</t>
        </r>
      </text>
    </comment>
    <comment ref="AF30" authorId="5" shapeId="0" xr:uid="{5CEB60F6-4862-4379-B1B7-D49CE856E55B}">
      <text>
        <r>
          <rPr>
            <b/>
            <sz val="9"/>
            <rFont val="Tahoma"/>
            <family val="2"/>
          </rPr>
          <t>Canalyst (AlD):</t>
        </r>
        <r>
          <rPr>
            <sz val="9"/>
            <rFont val="Tahoma"/>
            <family val="2"/>
          </rPr>
          <t xml:space="preserve">
backfilled from PR released on 05/30/2019</t>
        </r>
      </text>
    </comment>
    <comment ref="AG30" authorId="5" shapeId="0" xr:uid="{9E9A37DF-97AA-4EC4-B5E4-EC9486BA7D92}">
      <text>
        <r>
          <rPr>
            <b/>
            <sz val="9"/>
            <rFont val="Tahoma"/>
            <family val="2"/>
          </rPr>
          <t>Canalyst (AlD):</t>
        </r>
        <r>
          <rPr>
            <sz val="9"/>
            <rFont val="Tahoma"/>
            <family val="2"/>
          </rPr>
          <t xml:space="preserve">
backfilled from PR released on 05/30/2019</t>
        </r>
      </text>
    </comment>
    <comment ref="AH30" authorId="5" shapeId="0" xr:uid="{CB86BDA0-319A-452F-A683-2DFE637F7658}">
      <text>
        <r>
          <rPr>
            <b/>
            <sz val="9"/>
            <rFont val="Tahoma"/>
            <family val="2"/>
          </rPr>
          <t>Canalyst (AlD):</t>
        </r>
        <r>
          <rPr>
            <sz val="9"/>
            <rFont val="Tahoma"/>
            <family val="2"/>
          </rPr>
          <t xml:space="preserve">
backfilled from PR released on 05/30/2019</t>
        </r>
      </text>
    </comment>
    <comment ref="AI30" authorId="5" shapeId="0" xr:uid="{E439B353-FD5C-472B-9FAC-256DE3B5B788}">
      <text>
        <r>
          <rPr>
            <b/>
            <sz val="9"/>
            <rFont val="Tahoma"/>
            <family val="2"/>
          </rPr>
          <t>Canalyst (AlD):</t>
        </r>
        <r>
          <rPr>
            <sz val="9"/>
            <rFont val="Tahoma"/>
            <family val="2"/>
          </rPr>
          <t xml:space="preserve">
backfilled from PR released on 05/30/2019</t>
        </r>
      </text>
    </comment>
    <comment ref="AJ30" authorId="5" shapeId="0" xr:uid="{C9C44D7B-2909-4EAE-AF5A-D9E54711F165}">
      <text>
        <r>
          <rPr>
            <b/>
            <sz val="9"/>
            <rFont val="Tahoma"/>
            <family val="2"/>
          </rPr>
          <t>Canalyst (AlD):</t>
        </r>
        <r>
          <rPr>
            <sz val="9"/>
            <rFont val="Tahoma"/>
            <family val="2"/>
          </rPr>
          <t xml:space="preserve">
backfilled from PR released on 05/30/2019</t>
        </r>
      </text>
    </comment>
    <comment ref="AK30" authorId="5" shapeId="0" xr:uid="{0E7A6AE9-E3E1-40A9-9DBC-63731DF1B29D}">
      <text>
        <r>
          <rPr>
            <b/>
            <sz val="9"/>
            <rFont val="Tahoma"/>
            <family val="2"/>
          </rPr>
          <t>Canalyst (AlD):</t>
        </r>
        <r>
          <rPr>
            <sz val="9"/>
            <rFont val="Tahoma"/>
            <family val="2"/>
          </rPr>
          <t xml:space="preserve">
backfilled from PR released on 05/30/2019</t>
        </r>
      </text>
    </comment>
    <comment ref="AV39" authorId="2" shapeId="0" xr:uid="{9CE9B764-7BAF-485A-918A-178E43C479C5}">
      <text>
        <r>
          <rPr>
            <b/>
            <sz val="9"/>
            <rFont val="Tahoma"/>
            <family val="2"/>
          </rPr>
          <t>Canalyst (SJ):</t>
        </r>
        <r>
          <rPr>
            <sz val="9"/>
            <rFont val="Tahoma"/>
            <family val="2"/>
          </rPr>
          <t xml:space="preserve">
Hardcoded due to 2020 restatement</t>
        </r>
      </text>
    </comment>
    <comment ref="AW39" authorId="2" shapeId="0" xr:uid="{E5DA8412-A994-417A-8135-1940B86E95F2}">
      <text>
        <r>
          <rPr>
            <b/>
            <sz val="9"/>
            <rFont val="Tahoma"/>
            <family val="2"/>
          </rPr>
          <t>Canalyst (SJ):</t>
        </r>
        <r>
          <rPr>
            <sz val="9"/>
            <rFont val="Tahoma"/>
            <family val="2"/>
          </rPr>
          <t xml:space="preserve">
Hardcoded due to 2020 restatement</t>
        </r>
      </text>
    </comment>
    <comment ref="AX39" authorId="2" shapeId="0" xr:uid="{92F15C12-69C6-401D-B93D-1452390486DF}">
      <text>
        <r>
          <rPr>
            <b/>
            <sz val="9"/>
            <rFont val="Tahoma"/>
            <family val="2"/>
          </rPr>
          <t>Canalyst (SJ):</t>
        </r>
        <r>
          <rPr>
            <sz val="9"/>
            <rFont val="Tahoma"/>
            <family val="2"/>
          </rPr>
          <t xml:space="preserve">
Hardcoded due to 2020 restatement</t>
        </r>
      </text>
    </comment>
    <comment ref="AN40" authorId="6" shapeId="0" xr:uid="{5613A88F-15E5-4957-86D0-8813A4438A80}">
      <text>
        <r>
          <rPr>
            <b/>
            <sz val="9"/>
            <rFont val="Tahoma"/>
            <family val="2"/>
          </rPr>
          <t>Canalyst (YiL):</t>
        </r>
        <r>
          <rPr>
            <sz val="9"/>
            <rFont val="Tahoma"/>
            <family val="2"/>
          </rPr>
          <t xml:space="preserve">
As restated</t>
        </r>
      </text>
    </comment>
    <comment ref="AS40" authorId="1" shapeId="0" xr:uid="{5F257102-22E8-4EA8-BA5B-2A83E1FF00A4}">
      <text>
        <r>
          <rPr>
            <b/>
            <sz val="9"/>
            <rFont val="Tahoma"/>
            <family val="2"/>
            <charset val="1"/>
          </rPr>
          <t>Canalyst (PZ):</t>
        </r>
        <r>
          <rPr>
            <sz val="9"/>
            <rFont val="Tahoma"/>
            <family val="2"/>
            <charset val="1"/>
          </rPr>
          <t xml:space="preserve">
As reported.</t>
        </r>
      </text>
    </comment>
    <comment ref="AV41" authorId="2" shapeId="0" xr:uid="{A3EC1923-2093-4C2A-A7E5-D49B1147E116}">
      <text>
        <r>
          <rPr>
            <b/>
            <sz val="9"/>
            <rFont val="Tahoma"/>
            <family val="2"/>
          </rPr>
          <t>Canalyst (SJ):</t>
        </r>
        <r>
          <rPr>
            <sz val="9"/>
            <rFont val="Tahoma"/>
            <family val="2"/>
          </rPr>
          <t xml:space="preserve">
Hardcoded due to 2020 restatement</t>
        </r>
      </text>
    </comment>
    <comment ref="AW41" authorId="2" shapeId="0" xr:uid="{9C759582-FC81-4D83-B0A6-D11C119CBAD4}">
      <text>
        <r>
          <rPr>
            <b/>
            <sz val="9"/>
            <rFont val="Tahoma"/>
            <family val="2"/>
          </rPr>
          <t>Canalyst (SJ):</t>
        </r>
        <r>
          <rPr>
            <sz val="9"/>
            <rFont val="Tahoma"/>
            <family val="2"/>
          </rPr>
          <t xml:space="preserve">
Hardcoded due to 2020 restatement</t>
        </r>
      </text>
    </comment>
    <comment ref="AX41" authorId="2" shapeId="0" xr:uid="{3BF2F3E2-B09D-441D-AC86-8519818CCECB}">
      <text>
        <r>
          <rPr>
            <b/>
            <sz val="9"/>
            <rFont val="Tahoma"/>
            <family val="2"/>
          </rPr>
          <t>Canalyst (SJ):</t>
        </r>
        <r>
          <rPr>
            <sz val="9"/>
            <rFont val="Tahoma"/>
            <family val="2"/>
          </rPr>
          <t xml:space="preserve">
Hardcoded due to 2020 restatement</t>
        </r>
      </text>
    </comment>
    <comment ref="AK42" authorId="6" shapeId="0" xr:uid="{3C5227D1-DA63-450F-A784-B2CF8D6F5296}">
      <text>
        <r>
          <rPr>
            <b/>
            <sz val="9"/>
            <rFont val="Tahoma"/>
            <family val="2"/>
            <charset val="1"/>
          </rPr>
          <t>Canalyst (YiL):</t>
        </r>
        <r>
          <rPr>
            <sz val="9"/>
            <rFont val="Tahoma"/>
            <family val="2"/>
            <charset val="1"/>
          </rPr>
          <t xml:space="preserve">
Not meaningful due to realignment</t>
        </r>
      </text>
    </comment>
    <comment ref="AL42" authorId="6" shapeId="0" xr:uid="{519A08B6-436F-4DFC-B28B-96204B7DC026}">
      <text>
        <r>
          <rPr>
            <b/>
            <sz val="9"/>
            <rFont val="Tahoma"/>
            <family val="2"/>
            <charset val="1"/>
          </rPr>
          <t>Canalyst (YiL):</t>
        </r>
        <r>
          <rPr>
            <sz val="9"/>
            <rFont val="Tahoma"/>
            <family val="2"/>
            <charset val="1"/>
          </rPr>
          <t xml:space="preserve">
Not meaningful due to realignment</t>
        </r>
      </text>
    </comment>
    <comment ref="AM42" authorId="6" shapeId="0" xr:uid="{E3F3BBCC-9BF0-4980-AF81-DF95C044B138}">
      <text>
        <r>
          <rPr>
            <b/>
            <sz val="9"/>
            <rFont val="Tahoma"/>
            <family val="2"/>
            <charset val="1"/>
          </rPr>
          <t>Canalyst (YiL):</t>
        </r>
        <r>
          <rPr>
            <sz val="9"/>
            <rFont val="Tahoma"/>
            <family val="2"/>
            <charset val="1"/>
          </rPr>
          <t xml:space="preserve">
Not meaningful due to realignment</t>
        </r>
      </text>
    </comment>
    <comment ref="AN42" authorId="6" shapeId="0" xr:uid="{DF92B217-1F02-4F7D-82AB-6F9FDD50A43B}">
      <text>
        <r>
          <rPr>
            <b/>
            <sz val="9"/>
            <rFont val="Tahoma"/>
            <family val="2"/>
            <charset val="1"/>
          </rPr>
          <t>Canalyst (YiL):</t>
        </r>
        <r>
          <rPr>
            <sz val="9"/>
            <rFont val="Tahoma"/>
            <family val="2"/>
            <charset val="1"/>
          </rPr>
          <t xml:space="preserve">
Not meaningful due to realignment</t>
        </r>
      </text>
    </comment>
    <comment ref="AO42" authorId="6" shapeId="0" xr:uid="{A29E9DD7-3B84-4134-BA37-4E5181DD7D0D}">
      <text>
        <r>
          <rPr>
            <b/>
            <sz val="9"/>
            <rFont val="Tahoma"/>
            <family val="2"/>
            <charset val="1"/>
          </rPr>
          <t>Canalyst (YiL):</t>
        </r>
        <r>
          <rPr>
            <sz val="9"/>
            <rFont val="Tahoma"/>
            <family val="2"/>
            <charset val="1"/>
          </rPr>
          <t xml:space="preserve">
Not meaningful due to realignment</t>
        </r>
      </text>
    </comment>
    <comment ref="AU42" authorId="2" shapeId="0" xr:uid="{59C4E894-E6C8-49AA-AFC0-C0C66BE8DDA5}">
      <text>
        <r>
          <rPr>
            <b/>
            <sz val="9"/>
            <rFont val="Tahoma"/>
            <family val="2"/>
          </rPr>
          <t>Canalyst (SJ):</t>
        </r>
        <r>
          <rPr>
            <sz val="9"/>
            <rFont val="Tahoma"/>
            <family val="2"/>
          </rPr>
          <t xml:space="preserve">
NMF</t>
        </r>
      </text>
    </comment>
    <comment ref="AV50" authorId="2" shapeId="0" xr:uid="{BC6BA746-CDAC-44CC-8D5A-CE903626BFC1}">
      <text>
        <r>
          <rPr>
            <b/>
            <sz val="9"/>
            <rFont val="Tahoma"/>
            <family val="2"/>
          </rPr>
          <t>Canalyst (SJ):</t>
        </r>
        <r>
          <rPr>
            <sz val="9"/>
            <rFont val="Tahoma"/>
            <family val="2"/>
          </rPr>
          <t xml:space="preserve">
Hardcoded due to 2020 restatement</t>
        </r>
      </text>
    </comment>
    <comment ref="AW50" authorId="2" shapeId="0" xr:uid="{9E953CD4-AE40-456A-984C-FC59E7CA53C5}">
      <text>
        <r>
          <rPr>
            <b/>
            <sz val="9"/>
            <rFont val="Tahoma"/>
            <family val="2"/>
          </rPr>
          <t>Canalyst (SJ):</t>
        </r>
        <r>
          <rPr>
            <sz val="9"/>
            <rFont val="Tahoma"/>
            <family val="2"/>
          </rPr>
          <t xml:space="preserve">
Hardcoded due to 2020 restatement</t>
        </r>
      </text>
    </comment>
    <comment ref="AX50" authorId="2" shapeId="0" xr:uid="{DD25161D-ED3F-4C7A-9A84-C74EC0994982}">
      <text>
        <r>
          <rPr>
            <b/>
            <sz val="9"/>
            <rFont val="Tahoma"/>
            <family val="2"/>
          </rPr>
          <t>Canalyst (SJ):</t>
        </r>
        <r>
          <rPr>
            <sz val="9"/>
            <rFont val="Tahoma"/>
            <family val="2"/>
          </rPr>
          <t xml:space="preserve">
Hardcoded due to 2020 restatement</t>
        </r>
      </text>
    </comment>
    <comment ref="AN51" authorId="6" shapeId="0" xr:uid="{E7C7E311-C04A-48F3-8911-6FDC165EEEBF}">
      <text>
        <r>
          <rPr>
            <b/>
            <sz val="9"/>
            <rFont val="Tahoma"/>
            <family val="2"/>
          </rPr>
          <t>Canalyst (YiL):</t>
        </r>
        <r>
          <rPr>
            <sz val="9"/>
            <rFont val="Tahoma"/>
            <family val="2"/>
          </rPr>
          <t xml:space="preserve">
As restated</t>
        </r>
      </text>
    </comment>
    <comment ref="AS51" authorId="1" shapeId="0" xr:uid="{2AAB13C0-2960-4E35-95E0-BEA059D5C945}">
      <text>
        <r>
          <rPr>
            <b/>
            <sz val="9"/>
            <rFont val="Tahoma"/>
            <family val="2"/>
            <charset val="1"/>
          </rPr>
          <t>Canalyst (PZ):</t>
        </r>
        <r>
          <rPr>
            <sz val="9"/>
            <rFont val="Tahoma"/>
            <family val="2"/>
            <charset val="1"/>
          </rPr>
          <t xml:space="preserve">
As reported.</t>
        </r>
      </text>
    </comment>
    <comment ref="AV52" authorId="2" shapeId="0" xr:uid="{E6E6D75A-31A0-4142-A89B-7D9DDDFACC77}">
      <text>
        <r>
          <rPr>
            <b/>
            <sz val="9"/>
            <rFont val="Tahoma"/>
            <family val="2"/>
          </rPr>
          <t>Canalyst (SJ):</t>
        </r>
        <r>
          <rPr>
            <sz val="9"/>
            <rFont val="Tahoma"/>
            <family val="2"/>
          </rPr>
          <t xml:space="preserve">
Hardcoded due to 2020 restatement</t>
        </r>
      </text>
    </comment>
    <comment ref="AW52" authorId="2" shapeId="0" xr:uid="{C8347551-8ECF-4EF3-A8CA-C00297FD8334}">
      <text>
        <r>
          <rPr>
            <b/>
            <sz val="9"/>
            <rFont val="Tahoma"/>
            <family val="2"/>
          </rPr>
          <t>Canalyst (SJ):</t>
        </r>
        <r>
          <rPr>
            <sz val="9"/>
            <rFont val="Tahoma"/>
            <family val="2"/>
          </rPr>
          <t xml:space="preserve">
Hardcoded due to 2020 restatement</t>
        </r>
      </text>
    </comment>
    <comment ref="AX52" authorId="2" shapeId="0" xr:uid="{B6021251-3297-4D97-8D8E-769C8EDF25A1}">
      <text>
        <r>
          <rPr>
            <b/>
            <sz val="9"/>
            <rFont val="Tahoma"/>
            <family val="2"/>
          </rPr>
          <t>Canalyst (SJ):</t>
        </r>
        <r>
          <rPr>
            <sz val="9"/>
            <rFont val="Tahoma"/>
            <family val="2"/>
          </rPr>
          <t xml:space="preserve">
Hardcoded due to 2020 restatement</t>
        </r>
      </text>
    </comment>
    <comment ref="AK53" authorId="6" shapeId="0" xr:uid="{CACC8135-3CA1-4CE5-86A1-60127CA688FE}">
      <text>
        <r>
          <rPr>
            <b/>
            <sz val="9"/>
            <rFont val="Tahoma"/>
            <family val="2"/>
            <charset val="1"/>
          </rPr>
          <t>Canalyst (YiL):</t>
        </r>
        <r>
          <rPr>
            <sz val="9"/>
            <rFont val="Tahoma"/>
            <family val="2"/>
            <charset val="1"/>
          </rPr>
          <t xml:space="preserve">
Not meaningful due to realignment</t>
        </r>
      </text>
    </comment>
    <comment ref="AL53" authorId="6" shapeId="0" xr:uid="{4E206C03-BDA1-4ADA-983B-A18653F53933}">
      <text>
        <r>
          <rPr>
            <b/>
            <sz val="9"/>
            <rFont val="Tahoma"/>
            <family val="2"/>
            <charset val="1"/>
          </rPr>
          <t>Canalyst (YiL):</t>
        </r>
        <r>
          <rPr>
            <sz val="9"/>
            <rFont val="Tahoma"/>
            <family val="2"/>
            <charset val="1"/>
          </rPr>
          <t xml:space="preserve">
Not meaningful due to realignment</t>
        </r>
      </text>
    </comment>
    <comment ref="AM53" authorId="6" shapeId="0" xr:uid="{0B791E1C-510A-4222-93A3-15827DF5F736}">
      <text>
        <r>
          <rPr>
            <b/>
            <sz val="9"/>
            <rFont val="Tahoma"/>
            <family val="2"/>
            <charset val="1"/>
          </rPr>
          <t>Canalyst (YiL):</t>
        </r>
        <r>
          <rPr>
            <sz val="9"/>
            <rFont val="Tahoma"/>
            <family val="2"/>
            <charset val="1"/>
          </rPr>
          <t xml:space="preserve">
Not meaningful due to realignment</t>
        </r>
      </text>
    </comment>
    <comment ref="AN53" authorId="6" shapeId="0" xr:uid="{3E6944D6-7634-47F2-8E96-342C32FE4163}">
      <text>
        <r>
          <rPr>
            <b/>
            <sz val="9"/>
            <rFont val="Tahoma"/>
            <family val="2"/>
            <charset val="1"/>
          </rPr>
          <t>Canalyst (YiL):</t>
        </r>
        <r>
          <rPr>
            <sz val="9"/>
            <rFont val="Tahoma"/>
            <family val="2"/>
            <charset val="1"/>
          </rPr>
          <t xml:space="preserve">
Not meaningful due to realignment</t>
        </r>
      </text>
    </comment>
    <comment ref="AO53" authorId="6" shapeId="0" xr:uid="{2B5FE435-D38E-4C84-8015-85D7935150A4}">
      <text>
        <r>
          <rPr>
            <b/>
            <sz val="9"/>
            <rFont val="Tahoma"/>
            <family val="2"/>
            <charset val="1"/>
          </rPr>
          <t>Canalyst (YiL):</t>
        </r>
        <r>
          <rPr>
            <sz val="9"/>
            <rFont val="Tahoma"/>
            <family val="2"/>
            <charset val="1"/>
          </rPr>
          <t xml:space="preserve">
Not meaningful due to realignment</t>
        </r>
      </text>
    </comment>
    <comment ref="AU53" authorId="2" shapeId="0" xr:uid="{B7D756D5-AFA8-4A5A-9790-C02E43AE2AF7}">
      <text>
        <r>
          <rPr>
            <b/>
            <sz val="9"/>
            <rFont val="Tahoma"/>
            <family val="2"/>
          </rPr>
          <t>Canalyst (SJ):</t>
        </r>
        <r>
          <rPr>
            <sz val="9"/>
            <rFont val="Tahoma"/>
            <family val="2"/>
          </rPr>
          <t xml:space="preserve">
NMF</t>
        </r>
      </text>
    </comment>
    <comment ref="AN57" authorId="5" shapeId="0" xr:uid="{6FC6F7B2-A047-40FE-AB2C-1816C8218D26}">
      <text>
        <r>
          <rPr>
            <b/>
            <sz val="9"/>
            <rFont val="Tahoma"/>
            <family val="2"/>
            <charset val="1"/>
          </rPr>
          <t>Canalyst (AlD):</t>
        </r>
        <r>
          <rPr>
            <sz val="9"/>
            <rFont val="Tahoma"/>
            <family val="2"/>
            <charset val="1"/>
          </rPr>
          <t xml:space="preserve">
acquisition of Acelity</t>
        </r>
      </text>
    </comment>
    <comment ref="AP57" authorId="5" shapeId="0" xr:uid="{D65E8402-D94C-4F3A-89DE-F8875A61EA69}">
      <text>
        <r>
          <rPr>
            <b/>
            <sz val="9"/>
            <rFont val="Tahoma"/>
            <family val="2"/>
            <charset val="1"/>
          </rPr>
          <t>Canalyst (AlD):</t>
        </r>
        <r>
          <rPr>
            <sz val="9"/>
            <rFont val="Tahoma"/>
            <family val="2"/>
            <charset val="1"/>
          </rPr>
          <t xml:space="preserve">
acquisition of Acelity</t>
        </r>
      </text>
    </comment>
    <comment ref="AV61" authorId="2" shapeId="0" xr:uid="{CC7F96F8-5822-4317-8A3A-BE0F1B4ED9FB}">
      <text>
        <r>
          <rPr>
            <b/>
            <sz val="9"/>
            <rFont val="Tahoma"/>
            <family val="2"/>
          </rPr>
          <t>Canalyst (SJ):</t>
        </r>
        <r>
          <rPr>
            <sz val="9"/>
            <rFont val="Tahoma"/>
            <family val="2"/>
          </rPr>
          <t xml:space="preserve">
Hardcoded due to 2020 restatement</t>
        </r>
      </text>
    </comment>
    <comment ref="AW61" authorId="2" shapeId="0" xr:uid="{1D053273-9F25-4DFE-8D7F-9BD509539F6E}">
      <text>
        <r>
          <rPr>
            <b/>
            <sz val="9"/>
            <rFont val="Tahoma"/>
            <family val="2"/>
          </rPr>
          <t>Canalyst (SJ):</t>
        </r>
        <r>
          <rPr>
            <sz val="9"/>
            <rFont val="Tahoma"/>
            <family val="2"/>
          </rPr>
          <t xml:space="preserve">
Hardcoded due to 2020 restatement</t>
        </r>
      </text>
    </comment>
    <comment ref="AX61" authorId="2" shapeId="0" xr:uid="{2B9A30AF-D6CC-4BBF-AD38-80A5DCFC76D4}">
      <text>
        <r>
          <rPr>
            <b/>
            <sz val="9"/>
            <rFont val="Tahoma"/>
            <family val="2"/>
          </rPr>
          <t>Canalyst (SJ):</t>
        </r>
        <r>
          <rPr>
            <sz val="9"/>
            <rFont val="Tahoma"/>
            <family val="2"/>
          </rPr>
          <t xml:space="preserve">
Hardcoded due to 2020 restatement</t>
        </r>
      </text>
    </comment>
    <comment ref="AS62" authorId="1" shapeId="0" xr:uid="{081AC6A3-13DD-476C-A6DD-AB00AEB55C9E}">
      <text>
        <r>
          <rPr>
            <b/>
            <sz val="9"/>
            <rFont val="Tahoma"/>
            <family val="2"/>
            <charset val="1"/>
          </rPr>
          <t>Canalyst (PZ):</t>
        </r>
        <r>
          <rPr>
            <sz val="9"/>
            <rFont val="Tahoma"/>
            <family val="2"/>
            <charset val="1"/>
          </rPr>
          <t xml:space="preserve">
As reported.</t>
        </r>
      </text>
    </comment>
    <comment ref="AV63" authorId="2" shapeId="0" xr:uid="{875BE170-92CC-4E22-866E-8CADF0BF9A78}">
      <text>
        <r>
          <rPr>
            <b/>
            <sz val="9"/>
            <rFont val="Tahoma"/>
            <family val="2"/>
          </rPr>
          <t>Canalyst (SJ):</t>
        </r>
        <r>
          <rPr>
            <sz val="9"/>
            <rFont val="Tahoma"/>
            <family val="2"/>
          </rPr>
          <t xml:space="preserve">
Hardcoded due to 2020 restatement</t>
        </r>
      </text>
    </comment>
    <comment ref="AW63" authorId="2" shapeId="0" xr:uid="{0FB5623F-F4D5-4029-91F8-36329EEB4BAD}">
      <text>
        <r>
          <rPr>
            <b/>
            <sz val="9"/>
            <rFont val="Tahoma"/>
            <family val="2"/>
          </rPr>
          <t>Canalyst (SJ):</t>
        </r>
        <r>
          <rPr>
            <sz val="9"/>
            <rFont val="Tahoma"/>
            <family val="2"/>
          </rPr>
          <t xml:space="preserve">
Hardcoded due to 2020 restatement</t>
        </r>
      </text>
    </comment>
    <comment ref="AX63" authorId="2" shapeId="0" xr:uid="{8EAC2708-9176-4CFF-9796-0BB4190CA153}">
      <text>
        <r>
          <rPr>
            <b/>
            <sz val="9"/>
            <rFont val="Tahoma"/>
            <family val="2"/>
          </rPr>
          <t>Canalyst (SJ):</t>
        </r>
        <r>
          <rPr>
            <sz val="9"/>
            <rFont val="Tahoma"/>
            <family val="2"/>
          </rPr>
          <t xml:space="preserve">
Hardcoded due to 2020 restatement</t>
        </r>
      </text>
    </comment>
    <comment ref="AU64" authorId="2" shapeId="0" xr:uid="{D258BAB6-1563-456E-A48D-4BE8EFA5A667}">
      <text>
        <r>
          <rPr>
            <b/>
            <sz val="9"/>
            <rFont val="Tahoma"/>
            <family val="2"/>
          </rPr>
          <t>Canalyst (SJ):</t>
        </r>
        <r>
          <rPr>
            <sz val="9"/>
            <rFont val="Tahoma"/>
            <family val="2"/>
          </rPr>
          <t xml:space="preserve">
NMF</t>
        </r>
      </text>
    </comment>
    <comment ref="AV72" authorId="2" shapeId="0" xr:uid="{9F43860E-3CD0-4C5B-AAE8-E84DEDF6EEE7}">
      <text>
        <r>
          <rPr>
            <b/>
            <sz val="9"/>
            <rFont val="Tahoma"/>
            <family val="2"/>
          </rPr>
          <t>Canalyst (SJ):</t>
        </r>
        <r>
          <rPr>
            <sz val="9"/>
            <rFont val="Tahoma"/>
            <family val="2"/>
          </rPr>
          <t xml:space="preserve">
Hardcoded due to 2020 restatement</t>
        </r>
      </text>
    </comment>
    <comment ref="AW72" authorId="2" shapeId="0" xr:uid="{3BF9C189-7871-4903-8FD2-A94C7ABE6001}">
      <text>
        <r>
          <rPr>
            <b/>
            <sz val="9"/>
            <rFont val="Tahoma"/>
            <family val="2"/>
          </rPr>
          <t>Canalyst (SJ):</t>
        </r>
        <r>
          <rPr>
            <sz val="9"/>
            <rFont val="Tahoma"/>
            <family val="2"/>
          </rPr>
          <t xml:space="preserve">
Hardcoded due to 2020 restatement</t>
        </r>
      </text>
    </comment>
    <comment ref="AX72" authorId="2" shapeId="0" xr:uid="{8FAFA8AC-9B13-4608-BF97-634C8234D4E5}">
      <text>
        <r>
          <rPr>
            <b/>
            <sz val="9"/>
            <rFont val="Tahoma"/>
            <family val="2"/>
          </rPr>
          <t>Canalyst (SJ):</t>
        </r>
        <r>
          <rPr>
            <sz val="9"/>
            <rFont val="Tahoma"/>
            <family val="2"/>
          </rPr>
          <t xml:space="preserve">
Hardcoded due to 2020 restatement</t>
        </r>
      </text>
    </comment>
    <comment ref="AN73" authorId="6" shapeId="0" xr:uid="{27DD3278-E343-495C-AF0C-C8AEB8BA53FB}">
      <text>
        <r>
          <rPr>
            <b/>
            <sz val="9"/>
            <rFont val="Tahoma"/>
            <family val="2"/>
          </rPr>
          <t>Canalyst (YiL):</t>
        </r>
        <r>
          <rPr>
            <sz val="9"/>
            <rFont val="Tahoma"/>
            <family val="2"/>
          </rPr>
          <t xml:space="preserve">
As restated</t>
        </r>
      </text>
    </comment>
    <comment ref="AS73" authorId="1" shapeId="0" xr:uid="{10D5414B-5359-4E08-BE7C-76735DBEF363}">
      <text>
        <r>
          <rPr>
            <b/>
            <sz val="9"/>
            <rFont val="Tahoma"/>
            <family val="2"/>
            <charset val="1"/>
          </rPr>
          <t>Canalyst (PZ):</t>
        </r>
        <r>
          <rPr>
            <sz val="9"/>
            <rFont val="Tahoma"/>
            <family val="2"/>
            <charset val="1"/>
          </rPr>
          <t xml:space="preserve">
As reported.</t>
        </r>
      </text>
    </comment>
    <comment ref="AV74" authorId="2" shapeId="0" xr:uid="{41395878-767E-4DC4-9428-FF2DEA3F41AC}">
      <text>
        <r>
          <rPr>
            <b/>
            <sz val="9"/>
            <rFont val="Tahoma"/>
            <family val="2"/>
          </rPr>
          <t>Canalyst (SJ):</t>
        </r>
        <r>
          <rPr>
            <sz val="9"/>
            <rFont val="Tahoma"/>
            <family val="2"/>
          </rPr>
          <t xml:space="preserve">
Hardcoded due to 2020 restatement</t>
        </r>
      </text>
    </comment>
    <comment ref="AW74" authorId="2" shapeId="0" xr:uid="{147255AF-E223-403A-AF7E-CEA5BF063957}">
      <text>
        <r>
          <rPr>
            <b/>
            <sz val="9"/>
            <rFont val="Tahoma"/>
            <family val="2"/>
          </rPr>
          <t>Canalyst (SJ):</t>
        </r>
        <r>
          <rPr>
            <sz val="9"/>
            <rFont val="Tahoma"/>
            <family val="2"/>
          </rPr>
          <t xml:space="preserve">
Hardcoded due to 2020 restatement</t>
        </r>
      </text>
    </comment>
    <comment ref="AX74" authorId="2" shapeId="0" xr:uid="{C08DD3FF-C807-4304-84DE-9D0A9B29BC00}">
      <text>
        <r>
          <rPr>
            <b/>
            <sz val="9"/>
            <rFont val="Tahoma"/>
            <family val="2"/>
          </rPr>
          <t>Canalyst (SJ):</t>
        </r>
        <r>
          <rPr>
            <sz val="9"/>
            <rFont val="Tahoma"/>
            <family val="2"/>
          </rPr>
          <t xml:space="preserve">
Hardcoded due to 2020 restatement</t>
        </r>
      </text>
    </comment>
    <comment ref="AK75" authorId="6" shapeId="0" xr:uid="{E2097A0D-01B5-4116-830C-311186D2A70A}">
      <text>
        <r>
          <rPr>
            <b/>
            <sz val="9"/>
            <rFont val="Tahoma"/>
            <family val="2"/>
            <charset val="1"/>
          </rPr>
          <t>Canalyst (YiL):</t>
        </r>
        <r>
          <rPr>
            <sz val="9"/>
            <rFont val="Tahoma"/>
            <family val="2"/>
            <charset val="1"/>
          </rPr>
          <t xml:space="preserve">
Not meaningful due to realignment</t>
        </r>
      </text>
    </comment>
    <comment ref="AL75" authorId="6" shapeId="0" xr:uid="{CF8D8D3C-5FF0-4B92-9FE0-4FE55C302753}">
      <text>
        <r>
          <rPr>
            <b/>
            <sz val="9"/>
            <rFont val="Tahoma"/>
            <family val="2"/>
            <charset val="1"/>
          </rPr>
          <t>Canalyst (YiL):</t>
        </r>
        <r>
          <rPr>
            <sz val="9"/>
            <rFont val="Tahoma"/>
            <family val="2"/>
            <charset val="1"/>
          </rPr>
          <t xml:space="preserve">
Not meaningful due to realignment</t>
        </r>
      </text>
    </comment>
    <comment ref="AM75" authorId="6" shapeId="0" xr:uid="{02AA8828-77B6-4067-B31B-2A827BD23E44}">
      <text>
        <r>
          <rPr>
            <b/>
            <sz val="9"/>
            <rFont val="Tahoma"/>
            <family val="2"/>
            <charset val="1"/>
          </rPr>
          <t>Canalyst (YiL):</t>
        </r>
        <r>
          <rPr>
            <sz val="9"/>
            <rFont val="Tahoma"/>
            <family val="2"/>
            <charset val="1"/>
          </rPr>
          <t xml:space="preserve">
Not meaningful due to realignment</t>
        </r>
      </text>
    </comment>
    <comment ref="AN75" authorId="6" shapeId="0" xr:uid="{2082C0C4-4EDF-4A07-BBF2-68471392AE4C}">
      <text>
        <r>
          <rPr>
            <b/>
            <sz val="9"/>
            <rFont val="Tahoma"/>
            <family val="2"/>
            <charset val="1"/>
          </rPr>
          <t>Canalyst (YiL):</t>
        </r>
        <r>
          <rPr>
            <sz val="9"/>
            <rFont val="Tahoma"/>
            <family val="2"/>
            <charset val="1"/>
          </rPr>
          <t xml:space="preserve">
Not meaningful due to realignment</t>
        </r>
      </text>
    </comment>
    <comment ref="AO75" authorId="6" shapeId="0" xr:uid="{04D4C88B-1E06-4905-AA82-514FD1267905}">
      <text>
        <r>
          <rPr>
            <b/>
            <sz val="9"/>
            <rFont val="Tahoma"/>
            <family val="2"/>
            <charset val="1"/>
          </rPr>
          <t>Canalyst (YiL):</t>
        </r>
        <r>
          <rPr>
            <sz val="9"/>
            <rFont val="Tahoma"/>
            <family val="2"/>
            <charset val="1"/>
          </rPr>
          <t xml:space="preserve">
Not meaningful due to realignment</t>
        </r>
      </text>
    </comment>
    <comment ref="AU75" authorId="2" shapeId="0" xr:uid="{BB625B04-FAEE-4493-AE02-41F6B16A30B7}">
      <text>
        <r>
          <rPr>
            <b/>
            <sz val="9"/>
            <rFont val="Tahoma"/>
            <family val="2"/>
          </rPr>
          <t>Canalyst (SJ):</t>
        </r>
        <r>
          <rPr>
            <sz val="9"/>
            <rFont val="Tahoma"/>
            <family val="2"/>
          </rPr>
          <t xml:space="preserve">
NMF</t>
        </r>
      </text>
    </comment>
    <comment ref="AN79" authorId="6" shapeId="0" xr:uid="{DDA2DEEA-618B-47D7-9E83-539452904B4C}">
      <text>
        <r>
          <rPr>
            <b/>
            <sz val="9"/>
            <rFont val="Tahoma"/>
            <family val="2"/>
          </rPr>
          <t>Canalyst (YiL):</t>
        </r>
        <r>
          <rPr>
            <sz val="9"/>
            <rFont val="Tahoma"/>
            <family val="2"/>
          </rPr>
          <t xml:space="preserve">
As restated</t>
        </r>
      </text>
    </comment>
    <comment ref="AS79" authorId="1" shapeId="0" xr:uid="{0FBAAFD4-A747-48AE-87A5-647C88E3A95C}">
      <text>
        <r>
          <rPr>
            <b/>
            <sz val="9"/>
            <rFont val="Tahoma"/>
            <family val="2"/>
            <charset val="1"/>
          </rPr>
          <t>Canalyst (PZ):</t>
        </r>
        <r>
          <rPr>
            <sz val="9"/>
            <rFont val="Tahoma"/>
            <family val="2"/>
            <charset val="1"/>
          </rPr>
          <t xml:space="preserve">
As reported.</t>
        </r>
      </text>
    </comment>
    <comment ref="AV87" authorId="4" shapeId="0" xr:uid="{6E83DF34-28AF-49A9-BE54-0EE6B7DCC95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87" authorId="4" shapeId="0" xr:uid="{AB54D190-7B17-4494-AF71-0C8FB123107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87" authorId="4" shapeId="0" xr:uid="{AA968A6E-4D29-4A0D-BD4D-90225C11DE22}">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87" authorId="4" shapeId="0" xr:uid="{45BE3386-AE8B-4733-8AFF-12A8CE78EC1D}">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87" authorId="4" shapeId="0" xr:uid="{C55D11D7-2BE7-4214-82FC-C31BE1498EB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87" authorId="4" shapeId="0" xr:uid="{D36CC15E-4F03-4457-94B4-DDA465CBE31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87" authorId="4" shapeId="0" xr:uid="{C89515A3-8818-4D5E-9361-82AD611E1757}">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87" authorId="4" shapeId="0" xr:uid="{00000000-0006-0000-0100-000013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87" authorId="4" shapeId="0" xr:uid="{00000000-0006-0000-0100-000014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87" authorId="4" shapeId="0" xr:uid="{00000000-0006-0000-0100-000015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88" authorId="4" shapeId="0" xr:uid="{AD000BAB-C592-4A0B-8BDB-5B25D19C624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88" authorId="4" shapeId="0" xr:uid="{8BB827EE-65FD-42FF-A8E0-61AA587535DE}">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88" authorId="4" shapeId="0" xr:uid="{20A04849-02CB-4BDA-BED7-F8C2CFDF823A}">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88" authorId="4" shapeId="0" xr:uid="{98A482B4-A9C3-4BD2-B8C3-A9D917124E7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88" authorId="4" shapeId="0" xr:uid="{8F10CEC5-C9DF-40AD-B8B8-68D7668B90C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88" authorId="4" shapeId="0" xr:uid="{6D5287B4-E179-4193-885C-6B192F9FE5DD}">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88" authorId="4" shapeId="0" xr:uid="{C20C0DC0-CDF2-487D-8033-F8D8B2EF9CFE}">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88" authorId="4" shapeId="0" xr:uid="{00000000-0006-0000-0100-00001E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88" authorId="4" shapeId="0" xr:uid="{00000000-0006-0000-0100-00001F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88" authorId="4" shapeId="0" xr:uid="{00000000-0006-0000-0100-000020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91" authorId="4" shapeId="0" xr:uid="{B68D138D-F2F0-40BC-9C0A-1792CCDC95D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91" authorId="4" shapeId="0" xr:uid="{4F3C6747-4719-4E53-96D0-8F9BCACF219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91" authorId="4" shapeId="0" xr:uid="{798552D3-F2A1-4EE3-BCF5-49CFE0CB2B8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91" authorId="4" shapeId="0" xr:uid="{24330794-4AFC-40D0-B6F5-47CE125C25A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91" authorId="4" shapeId="0" xr:uid="{FB7DFC4E-CD79-4202-B8FB-10EF119A945A}">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91" authorId="4" shapeId="0" xr:uid="{62B3B151-4DAD-409A-BF5A-50D74347667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91" authorId="4" shapeId="0" xr:uid="{7B971C58-9358-4E4B-8B35-EC9333DD770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91" authorId="4" shapeId="0" xr:uid="{F3D29261-13B8-4A2A-85BA-66768C8674C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91" authorId="4" shapeId="0" xr:uid="{24103C60-30FD-4CE7-80E9-20420EA653D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91" authorId="4" shapeId="0" xr:uid="{0BA3A2AE-61B2-419B-BE46-45B5FFE26CF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92" authorId="4" shapeId="0" xr:uid="{6869A1DF-FF94-43AC-A83E-0C0471778268}">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92" authorId="4" shapeId="0" xr:uid="{F6AEBAF2-D9A3-48F1-AA3A-C6E400C3BF4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92" authorId="4" shapeId="0" xr:uid="{4DAA7EBF-EB7B-4FC5-8D7D-DE7790879CC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92" authorId="4" shapeId="0" xr:uid="{E905F9CB-F3E4-4F2F-8E36-09C6B0CEB6B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92" authorId="4" shapeId="0" xr:uid="{51C1CD30-AFE5-4786-BD8D-435503E2BB77}">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92" authorId="4" shapeId="0" xr:uid="{DAD6F994-2CA9-469C-B453-ABE3F305DE68}">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92" authorId="4" shapeId="0" xr:uid="{8611059C-7365-4C4B-9774-4D548A1CE1E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92" authorId="4" shapeId="0" xr:uid="{571EA7FD-E361-4B14-B974-48524370F74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92" authorId="4" shapeId="0" xr:uid="{1E90B9FF-3F5E-42E5-9791-6F728FC9C15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92" authorId="4" shapeId="0" xr:uid="{E9D5F892-8D27-4B3E-AB12-82430E26162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93" authorId="4" shapeId="0" xr:uid="{3206FC0C-057E-45D8-BB15-F999BBAE8695}">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93" authorId="4" shapeId="0" xr:uid="{798765EF-AB6D-42EB-B02D-521B3239DF6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93" authorId="4" shapeId="0" xr:uid="{6C2B2CD5-2DC3-4A93-9D46-6690A6A82BC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93" authorId="4" shapeId="0" xr:uid="{8D6478AB-22A1-45DD-8E45-1606A936F792}">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93" authorId="4" shapeId="0" xr:uid="{AEC7B962-C949-41B7-87EB-A04F0F3CC94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93" authorId="4" shapeId="0" xr:uid="{7C7970D6-74DE-4A12-BF73-0679EC6C948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93" authorId="4" shapeId="0" xr:uid="{C5A7E32C-2FF3-4565-8CD9-625C4C15AE7F}">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93" authorId="4" shapeId="0" xr:uid="{388D02B8-7983-414D-BFA5-57913C131E7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93" authorId="4" shapeId="0" xr:uid="{9BB64B0A-534B-4E55-8677-317C9DC4CBA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93" authorId="4" shapeId="0" xr:uid="{82772DF6-E707-4435-8726-63B57BDB218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96" authorId="4" shapeId="0" xr:uid="{00000000-0006-0000-0100-00003B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96" authorId="4" shapeId="0" xr:uid="{95B1447B-3DAC-46B4-809F-B6A868EFF7C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96" authorId="4" shapeId="0" xr:uid="{F3156729-3B2A-41BD-88E4-A8C7340FD2A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96" authorId="4" shapeId="0" xr:uid="{12414099-5AA9-4318-B46A-242C8B27CF17}">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96" authorId="4" shapeId="0" xr:uid="{B799836C-68D7-4823-A002-690396757A6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96" authorId="4" shapeId="0" xr:uid="{676BD1AC-224E-4A65-B54F-277CB7596AC3}">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96" authorId="4" shapeId="0" xr:uid="{50E9CC52-F4E8-44D2-92C7-BC3AED4E519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96" authorId="4" shapeId="0" xr:uid="{23A0A4F5-A0DA-48B3-8D59-6287C644A8C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96" authorId="4" shapeId="0" xr:uid="{00000000-0006-0000-0100-000044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96" authorId="4" shapeId="0" xr:uid="{00000000-0006-0000-0100-000045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96" authorId="4" shapeId="0" xr:uid="{00000000-0006-0000-0100-000046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R103" authorId="2" shapeId="0" xr:uid="{045B488E-7BB1-483D-8802-E0A508D22344}">
      <text>
        <r>
          <rPr>
            <b/>
            <sz val="9"/>
            <rFont val="Tahoma"/>
            <family val="2"/>
          </rPr>
          <t>Canalyst (SJ):</t>
        </r>
        <r>
          <rPr>
            <sz val="9"/>
            <rFont val="Tahoma"/>
            <family val="2"/>
          </rPr>
          <t xml:space="preserve">
No adjustments reported</t>
        </r>
      </text>
    </comment>
    <comment ref="AN110" authorId="5" shapeId="0" xr:uid="{E4E4494C-5632-4029-8D5B-D060F98C4D08}">
      <text>
        <r>
          <rPr>
            <b/>
            <sz val="9"/>
            <rFont val="Tahoma"/>
            <family val="2"/>
            <charset val="1"/>
          </rPr>
          <t>Canalyst (AlD):</t>
        </r>
        <r>
          <rPr>
            <sz val="9"/>
            <rFont val="Tahoma"/>
            <family val="2"/>
            <charset val="1"/>
          </rPr>
          <t xml:space="preserve">
acquisition of Acelity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Canalyst (CW)</author>
    <author>Canalyst (PZ)</author>
    <author>Canalyst (SJ)</author>
    <author>Canalyst (YiL)</author>
    <author>Canalyst (AlD)</author>
    <author>Canalyst (JiF)</author>
    <author>Canalyst (JeS)</author>
    <author>Canalyst (AH)</author>
    <author>Canalyst (AN)</author>
    <author>Canalyst (TS)</author>
  </authors>
  <commentList>
    <comment ref="AA2" authorId="0" shapeId="0" xr:uid="{79453005-6B62-41EC-9A4D-33CB3FD6281C}">
      <text>
        <r>
          <rPr>
            <b/>
            <sz val="9"/>
            <rFont val="Tahoma"/>
            <family val="2"/>
          </rPr>
          <t>Canalyst (CW):</t>
        </r>
        <r>
          <rPr>
            <sz val="9"/>
            <rFont val="Tahoma"/>
            <family val="2"/>
          </rPr>
          <t xml:space="preserve">
Restated for the adoption of new accounting policies during Q1-2018.</t>
        </r>
      </text>
    </comment>
    <comment ref="AB2" authorId="0" shapeId="0" xr:uid="{77FFB05C-22FA-406E-B25C-EA3CDE8705C5}">
      <text>
        <r>
          <rPr>
            <b/>
            <sz val="9"/>
            <rFont val="Tahoma"/>
            <family val="2"/>
          </rPr>
          <t>Canalyst (CW):</t>
        </r>
        <r>
          <rPr>
            <sz val="9"/>
            <rFont val="Tahoma"/>
            <family val="2"/>
          </rPr>
          <t xml:space="preserve">
Restated for the adoption of new accounting policies during Q1-2018.</t>
        </r>
      </text>
    </comment>
    <comment ref="AC2" authorId="0" shapeId="0" xr:uid="{A091B1F0-98F0-4F0D-808F-4CC902E8FF44}">
      <text>
        <r>
          <rPr>
            <b/>
            <sz val="9"/>
            <rFont val="Tahoma"/>
            <family val="2"/>
          </rPr>
          <t>Canalyst (CW):</t>
        </r>
        <r>
          <rPr>
            <sz val="9"/>
            <rFont val="Tahoma"/>
            <family val="2"/>
          </rPr>
          <t xml:space="preserve">
Restated for the adoption of new accounting policies during Q1-2018.</t>
        </r>
      </text>
    </comment>
    <comment ref="AD2" authorId="0" shapeId="0" xr:uid="{45389E29-7B16-4355-BA7E-A38ACDDF5984}">
      <text>
        <r>
          <rPr>
            <b/>
            <sz val="9"/>
            <rFont val="Tahoma"/>
            <family val="2"/>
          </rPr>
          <t>Canalyst (CW):</t>
        </r>
        <r>
          <rPr>
            <sz val="9"/>
            <rFont val="Tahoma"/>
            <family val="2"/>
          </rPr>
          <t xml:space="preserve">
Restated for the adoption of new accounting policies during Q1-2018.</t>
        </r>
      </text>
    </comment>
    <comment ref="AE2" authorId="0" shapeId="0" xr:uid="{F3A9C519-0450-44C1-81E0-EE6A1F0605E8}">
      <text>
        <r>
          <rPr>
            <b/>
            <sz val="9"/>
            <rFont val="Tahoma"/>
            <family val="2"/>
          </rPr>
          <t>Canalyst (CW):</t>
        </r>
        <r>
          <rPr>
            <sz val="9"/>
            <rFont val="Tahoma"/>
            <family val="2"/>
          </rPr>
          <t xml:space="preserve">
Restated for the adoption of new accounting policies during Q1-2018.</t>
        </r>
      </text>
    </comment>
    <comment ref="AK2" authorId="1" shapeId="0" xr:uid="{FFC42590-30DB-471D-81E7-6BD1559D4076}">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L2" authorId="1" shapeId="0" xr:uid="{BB1805CD-D683-4897-B014-F14DDD502F2F}">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M2" authorId="1" shapeId="0" xr:uid="{F3F0BA88-34D9-4320-BFD3-E8B2FF828448}">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N2" authorId="1" shapeId="0" xr:uid="{91E442B1-457C-4673-8F6B-AE911D873357}">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O2" authorId="1" shapeId="0" xr:uid="{F94B718F-8AA4-4E1D-90FC-6255A27A3A62}">
      <text>
        <r>
          <rPr>
            <b/>
            <sz val="9"/>
            <rFont val="Tahoma"/>
            <family val="2"/>
          </rPr>
          <t>Canalyst (YiL):</t>
        </r>
        <r>
          <rPr>
            <sz val="9"/>
            <rFont val="Tahoma"/>
            <family val="2"/>
          </rPr>
          <t xml:space="preserve">
2019 segmented results have been restated for the realignment of customer account activity which impacts the amount of dual credit business segments receive, and for the realignment of certain product lines between/within business segments.</t>
        </r>
      </text>
    </comment>
    <comment ref="AP2" authorId="2" shapeId="0" xr:uid="{A6A0A12F-26B3-4EB0-B878-A50B177009BB}">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Q2" authorId="2" shapeId="0" xr:uid="{0A16060A-1DD0-4EF1-A008-52234379A997}">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R2" authorId="2" shapeId="0" xr:uid="{C1A04371-7790-4648-9B2E-9BF87631FF4F}">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S2" authorId="2" shapeId="0" xr:uid="{CF1846EE-3F90-4068-BE51-8E0544146D6D}">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T2" authorId="2" shapeId="0" xr:uid="{B518A4B5-3C2A-465A-ABD7-835210D07F72}">
      <text>
        <r>
          <rPr>
            <b/>
            <sz val="9"/>
            <rFont val="Tahoma"/>
            <family val="2"/>
          </rPr>
          <t>Canalyst (SJ):</t>
        </r>
        <r>
          <rPr>
            <sz val="9"/>
            <rFont val="Tahoma"/>
            <family val="2"/>
          </rPr>
          <t xml:space="preserve">
To be restated upon release of FY2021 financials
Due to changes in the measure of segment operating performance and in accounting principles for determining net periodic pension and postretirement plan cost, 2021 results are not comparable to prior years.</t>
        </r>
      </text>
    </comment>
    <comment ref="AK7" authorId="3" shapeId="0" xr:uid="{5CDA2C0E-E4FE-4898-B5C5-2EA4811EAD6E}">
      <text>
        <r>
          <rPr>
            <b/>
            <sz val="9"/>
            <rFont val="Tahoma"/>
            <family val="2"/>
            <charset val="1"/>
          </rPr>
          <t>Canalyst (YiL):</t>
        </r>
        <r>
          <rPr>
            <sz val="9"/>
            <rFont val="Tahoma"/>
            <family val="2"/>
            <charset val="1"/>
          </rPr>
          <t xml:space="preserve">
NMF due to restatement of 2019 results</t>
        </r>
      </text>
    </comment>
    <comment ref="AL7" authorId="3" shapeId="0" xr:uid="{64342FF0-FC2B-40AF-8DD5-9824622B8982}">
      <text>
        <r>
          <rPr>
            <b/>
            <sz val="9"/>
            <rFont val="Tahoma"/>
            <family val="2"/>
            <charset val="1"/>
          </rPr>
          <t>Canalyst (YiL):</t>
        </r>
        <r>
          <rPr>
            <sz val="9"/>
            <rFont val="Tahoma"/>
            <family val="2"/>
            <charset val="1"/>
          </rPr>
          <t xml:space="preserve">
NMF due to restatement of 2019 results</t>
        </r>
      </text>
    </comment>
    <comment ref="AM7" authorId="3" shapeId="0" xr:uid="{51A1FDBE-3E84-4AA3-8ECE-A88F71A0529A}">
      <text>
        <r>
          <rPr>
            <b/>
            <sz val="9"/>
            <rFont val="Tahoma"/>
            <family val="2"/>
            <charset val="1"/>
          </rPr>
          <t>Canalyst (YiL):</t>
        </r>
        <r>
          <rPr>
            <sz val="9"/>
            <rFont val="Tahoma"/>
            <family val="2"/>
            <charset val="1"/>
          </rPr>
          <t xml:space="preserve">
NMF due to restatement of 2019 results</t>
        </r>
      </text>
    </comment>
    <comment ref="AN7" authorId="3" shapeId="0" xr:uid="{50303F0F-58E6-40AE-AB12-7443471A066F}">
      <text>
        <r>
          <rPr>
            <b/>
            <sz val="9"/>
            <rFont val="Tahoma"/>
            <family val="2"/>
            <charset val="1"/>
          </rPr>
          <t>Canalyst (YiL):</t>
        </r>
        <r>
          <rPr>
            <sz val="9"/>
            <rFont val="Tahoma"/>
            <family val="2"/>
            <charset val="1"/>
          </rPr>
          <t xml:space="preserve">
NMF due to restatement of 2019 results</t>
        </r>
      </text>
    </comment>
    <comment ref="AO7" authorId="3" shapeId="0" xr:uid="{1A7697BF-5FD7-47F9-9919-AC41BB5FFCA0}">
      <text>
        <r>
          <rPr>
            <b/>
            <sz val="9"/>
            <rFont val="Tahoma"/>
            <family val="2"/>
            <charset val="1"/>
          </rPr>
          <t>Canalyst (YiL):</t>
        </r>
        <r>
          <rPr>
            <sz val="9"/>
            <rFont val="Tahoma"/>
            <family val="2"/>
            <charset val="1"/>
          </rPr>
          <t xml:space="preserve">
NMF due to restatement of 2019 results</t>
        </r>
      </text>
    </comment>
    <comment ref="AV7" authorId="2" shapeId="0" xr:uid="{2D526A40-308F-464D-9E5A-0C2DDF48218B}">
      <text>
        <r>
          <rPr>
            <b/>
            <sz val="9"/>
            <rFont val="Tahoma"/>
            <family val="2"/>
          </rPr>
          <t>Canalyst (SJ):</t>
        </r>
        <r>
          <rPr>
            <sz val="9"/>
            <rFont val="Tahoma"/>
            <family val="2"/>
          </rPr>
          <t xml:space="preserve">
NMF as 2020 is unrestated</t>
        </r>
      </text>
    </comment>
    <comment ref="AW7" authorId="2" shapeId="0" xr:uid="{D09B9999-4EFE-4D7B-B603-18C6C94BA83F}">
      <text>
        <r>
          <rPr>
            <b/>
            <sz val="9"/>
            <rFont val="Tahoma"/>
            <family val="2"/>
          </rPr>
          <t>Canalyst (SJ):</t>
        </r>
        <r>
          <rPr>
            <sz val="9"/>
            <rFont val="Tahoma"/>
            <family val="2"/>
          </rPr>
          <t xml:space="preserve">
NMF as 2020 is unrestated</t>
        </r>
      </text>
    </comment>
    <comment ref="AX7" authorId="2" shapeId="0" xr:uid="{F34D57F0-291D-4682-AC06-2DD092B1C9F9}">
      <text>
        <r>
          <rPr>
            <b/>
            <sz val="9"/>
            <rFont val="Tahoma"/>
            <family val="2"/>
          </rPr>
          <t>Canalyst (SJ):</t>
        </r>
        <r>
          <rPr>
            <sz val="9"/>
            <rFont val="Tahoma"/>
            <family val="2"/>
          </rPr>
          <t xml:space="preserve">
NMF as 2020 is unrestated</t>
        </r>
      </text>
    </comment>
    <comment ref="AY7" authorId="2" shapeId="0" xr:uid="{ED62970F-15A3-4F58-825C-BC0265A78966}">
      <text>
        <r>
          <rPr>
            <b/>
            <sz val="9"/>
            <rFont val="Tahoma"/>
            <family val="2"/>
          </rPr>
          <t>Canalyst (SJ):</t>
        </r>
        <r>
          <rPr>
            <sz val="9"/>
            <rFont val="Tahoma"/>
            <family val="2"/>
          </rPr>
          <t xml:space="preserve">
NMF as 2020 is unrestated</t>
        </r>
      </text>
    </comment>
    <comment ref="AK8" authorId="3" shapeId="0" xr:uid="{C8FF5EA9-A5AA-4601-8ECF-BCCC22ED6B31}">
      <text>
        <r>
          <rPr>
            <b/>
            <sz val="9"/>
            <rFont val="Tahoma"/>
            <family val="2"/>
            <charset val="1"/>
          </rPr>
          <t>Canalyst (YiL):</t>
        </r>
        <r>
          <rPr>
            <sz val="9"/>
            <rFont val="Tahoma"/>
            <family val="2"/>
            <charset val="1"/>
          </rPr>
          <t xml:space="preserve">
NMF due to restatement of 2019 results</t>
        </r>
      </text>
    </comment>
    <comment ref="AL8" authorId="3" shapeId="0" xr:uid="{CB6EA465-EAF3-4309-ACC7-1D044250CF78}">
      <text>
        <r>
          <rPr>
            <b/>
            <sz val="9"/>
            <rFont val="Tahoma"/>
            <family val="2"/>
            <charset val="1"/>
          </rPr>
          <t>Canalyst (YiL):</t>
        </r>
        <r>
          <rPr>
            <sz val="9"/>
            <rFont val="Tahoma"/>
            <family val="2"/>
            <charset val="1"/>
          </rPr>
          <t xml:space="preserve">
NMF due to restatement of 2019 results</t>
        </r>
      </text>
    </comment>
    <comment ref="AM8" authorId="3" shapeId="0" xr:uid="{2740DC14-53EE-4AF8-89E0-48D2B6177B8F}">
      <text>
        <r>
          <rPr>
            <b/>
            <sz val="9"/>
            <rFont val="Tahoma"/>
            <family val="2"/>
            <charset val="1"/>
          </rPr>
          <t>Canalyst (YiL):</t>
        </r>
        <r>
          <rPr>
            <sz val="9"/>
            <rFont val="Tahoma"/>
            <family val="2"/>
            <charset val="1"/>
          </rPr>
          <t xml:space="preserve">
NMF due to restatement of 2019 results</t>
        </r>
      </text>
    </comment>
    <comment ref="AN8" authorId="3" shapeId="0" xr:uid="{CF2A1178-3699-465D-BF8C-0A37D3E60588}">
      <text>
        <r>
          <rPr>
            <b/>
            <sz val="9"/>
            <rFont val="Tahoma"/>
            <family val="2"/>
            <charset val="1"/>
          </rPr>
          <t>Canalyst (YiL):</t>
        </r>
        <r>
          <rPr>
            <sz val="9"/>
            <rFont val="Tahoma"/>
            <family val="2"/>
            <charset val="1"/>
          </rPr>
          <t xml:space="preserve">
NMF due to restatement of 2019 results</t>
        </r>
      </text>
    </comment>
    <comment ref="AO8" authorId="3" shapeId="0" xr:uid="{FA774ED2-07DE-4F34-917D-A01A2C34BF74}">
      <text>
        <r>
          <rPr>
            <b/>
            <sz val="9"/>
            <rFont val="Tahoma"/>
            <family val="2"/>
            <charset val="1"/>
          </rPr>
          <t>Canalyst (YiL):</t>
        </r>
        <r>
          <rPr>
            <sz val="9"/>
            <rFont val="Tahoma"/>
            <family val="2"/>
            <charset val="1"/>
          </rPr>
          <t xml:space="preserve">
NMF due to restatement of 2019 results</t>
        </r>
      </text>
    </comment>
    <comment ref="AV8" authorId="2" shapeId="0" xr:uid="{66792A36-87D3-4FEA-996F-8AB70FBCB4BD}">
      <text>
        <r>
          <rPr>
            <b/>
            <sz val="9"/>
            <rFont val="Tahoma"/>
            <family val="2"/>
          </rPr>
          <t>Canalyst (SJ):</t>
        </r>
        <r>
          <rPr>
            <sz val="9"/>
            <rFont val="Tahoma"/>
            <family val="2"/>
          </rPr>
          <t xml:space="preserve">
NMF as 2020 is unrestated</t>
        </r>
      </text>
    </comment>
    <comment ref="AW8" authorId="2" shapeId="0" xr:uid="{D2E34CEA-3573-4A81-8BB6-88C673BDA06F}">
      <text>
        <r>
          <rPr>
            <b/>
            <sz val="9"/>
            <rFont val="Tahoma"/>
            <family val="2"/>
          </rPr>
          <t>Canalyst (SJ):</t>
        </r>
        <r>
          <rPr>
            <sz val="9"/>
            <rFont val="Tahoma"/>
            <family val="2"/>
          </rPr>
          <t xml:space="preserve">
NMF as 2020 is unrestated</t>
        </r>
      </text>
    </comment>
    <comment ref="AX8" authorId="2" shapeId="0" xr:uid="{FCFF5A24-92F9-4BCD-8F28-BD74018B4BB6}">
      <text>
        <r>
          <rPr>
            <b/>
            <sz val="9"/>
            <rFont val="Tahoma"/>
            <family val="2"/>
          </rPr>
          <t>Canalyst (SJ):</t>
        </r>
        <r>
          <rPr>
            <sz val="9"/>
            <rFont val="Tahoma"/>
            <family val="2"/>
          </rPr>
          <t xml:space="preserve">
NMF as 2020 is unrestated</t>
        </r>
      </text>
    </comment>
    <comment ref="AY8" authorId="2" shapeId="0" xr:uid="{58E52C94-D084-4EBD-808F-DA5596C495BA}">
      <text>
        <r>
          <rPr>
            <b/>
            <sz val="9"/>
            <rFont val="Tahoma"/>
            <family val="2"/>
          </rPr>
          <t>Canalyst (SJ):</t>
        </r>
        <r>
          <rPr>
            <sz val="9"/>
            <rFont val="Tahoma"/>
            <family val="2"/>
          </rPr>
          <t xml:space="preserve">
NMF as 2020 is unrestated</t>
        </r>
      </text>
    </comment>
    <comment ref="AV9" authorId="2" shapeId="0" xr:uid="{0863C841-EA09-42D8-8BA5-73369052DA39}">
      <text>
        <r>
          <rPr>
            <b/>
            <sz val="9"/>
            <rFont val="Tahoma"/>
            <family val="2"/>
          </rPr>
          <t>Canalyst (SJ):</t>
        </r>
        <r>
          <rPr>
            <sz val="9"/>
            <rFont val="Tahoma"/>
            <family val="2"/>
          </rPr>
          <t xml:space="preserve">
NMF as 2020 is unrestated</t>
        </r>
      </text>
    </comment>
    <comment ref="AW9" authorId="2" shapeId="0" xr:uid="{CA269A07-B447-464E-902C-B65390C81A00}">
      <text>
        <r>
          <rPr>
            <b/>
            <sz val="9"/>
            <rFont val="Tahoma"/>
            <family val="2"/>
          </rPr>
          <t>Canalyst (SJ):</t>
        </r>
        <r>
          <rPr>
            <sz val="9"/>
            <rFont val="Tahoma"/>
            <family val="2"/>
          </rPr>
          <t xml:space="preserve">
NMF as 2020 is unrestated</t>
        </r>
      </text>
    </comment>
    <comment ref="AX9" authorId="2" shapeId="0" xr:uid="{A865381F-1770-4BAF-B0A3-1EA4B149FC36}">
      <text>
        <r>
          <rPr>
            <b/>
            <sz val="9"/>
            <rFont val="Tahoma"/>
            <family val="2"/>
          </rPr>
          <t>Canalyst (SJ):</t>
        </r>
        <r>
          <rPr>
            <sz val="9"/>
            <rFont val="Tahoma"/>
            <family val="2"/>
          </rPr>
          <t xml:space="preserve">
NMF as 2020 is unrestated</t>
        </r>
      </text>
    </comment>
    <comment ref="AY9" authorId="2" shapeId="0" xr:uid="{54BE872A-BE22-4150-9E24-F36BB3C3C0D0}">
      <text>
        <r>
          <rPr>
            <b/>
            <sz val="9"/>
            <rFont val="Tahoma"/>
            <family val="2"/>
          </rPr>
          <t>Canalyst (SJ):</t>
        </r>
        <r>
          <rPr>
            <sz val="9"/>
            <rFont val="Tahoma"/>
            <family val="2"/>
          </rPr>
          <t xml:space="preserve">
NMF as 2020 is unrestated</t>
        </r>
      </text>
    </comment>
    <comment ref="AK10" authorId="3" shapeId="0" xr:uid="{939E6961-166B-4AFD-9A14-2D59830B3893}">
      <text>
        <r>
          <rPr>
            <b/>
            <sz val="9"/>
            <rFont val="Tahoma"/>
            <family val="2"/>
            <charset val="1"/>
          </rPr>
          <t>Canalyst (YiL):</t>
        </r>
        <r>
          <rPr>
            <sz val="9"/>
            <rFont val="Tahoma"/>
            <family val="2"/>
            <charset val="1"/>
          </rPr>
          <t xml:space="preserve">
NMF due to restatement of 2019 results</t>
        </r>
      </text>
    </comment>
    <comment ref="AL10" authorId="3" shapeId="0" xr:uid="{B8B2AAB2-BEF7-4D38-BA10-EAEE4087B46E}">
      <text>
        <r>
          <rPr>
            <b/>
            <sz val="9"/>
            <rFont val="Tahoma"/>
            <family val="2"/>
            <charset val="1"/>
          </rPr>
          <t>Canalyst (YiL):</t>
        </r>
        <r>
          <rPr>
            <sz val="9"/>
            <rFont val="Tahoma"/>
            <family val="2"/>
            <charset val="1"/>
          </rPr>
          <t xml:space="preserve">
NMF due to restatement of 2019 results</t>
        </r>
      </text>
    </comment>
    <comment ref="AM10" authorId="3" shapeId="0" xr:uid="{54548CAB-0135-4D4C-8898-0F37D14302A4}">
      <text>
        <r>
          <rPr>
            <b/>
            <sz val="9"/>
            <rFont val="Tahoma"/>
            <family val="2"/>
            <charset val="1"/>
          </rPr>
          <t>Canalyst (YiL):</t>
        </r>
        <r>
          <rPr>
            <sz val="9"/>
            <rFont val="Tahoma"/>
            <family val="2"/>
            <charset val="1"/>
          </rPr>
          <t xml:space="preserve">
NMF due to restatement of 2019 results</t>
        </r>
      </text>
    </comment>
    <comment ref="AN10" authorId="3" shapeId="0" xr:uid="{120E0417-1313-47EC-92F0-B2F5E2B7EAD0}">
      <text>
        <r>
          <rPr>
            <b/>
            <sz val="9"/>
            <rFont val="Tahoma"/>
            <family val="2"/>
            <charset val="1"/>
          </rPr>
          <t>Canalyst (YiL):</t>
        </r>
        <r>
          <rPr>
            <sz val="9"/>
            <rFont val="Tahoma"/>
            <family val="2"/>
            <charset val="1"/>
          </rPr>
          <t xml:space="preserve">
NMF due to restatement of 2019 results</t>
        </r>
      </text>
    </comment>
    <comment ref="AO10" authorId="3" shapeId="0" xr:uid="{912D0DFE-90F4-459D-8E5F-3058871B5C5A}">
      <text>
        <r>
          <rPr>
            <b/>
            <sz val="9"/>
            <rFont val="Tahoma"/>
            <family val="2"/>
            <charset val="1"/>
          </rPr>
          <t>Canalyst (YiL):</t>
        </r>
        <r>
          <rPr>
            <sz val="9"/>
            <rFont val="Tahoma"/>
            <family val="2"/>
            <charset val="1"/>
          </rPr>
          <t xml:space="preserve">
NMF due to restatement of 2019 results</t>
        </r>
      </text>
    </comment>
    <comment ref="AV10" authorId="2" shapeId="0" xr:uid="{0BBB5D28-955B-4929-8622-C8D80A294749}">
      <text>
        <r>
          <rPr>
            <b/>
            <sz val="9"/>
            <rFont val="Tahoma"/>
            <family val="2"/>
          </rPr>
          <t>Canalyst (SJ):</t>
        </r>
        <r>
          <rPr>
            <sz val="9"/>
            <rFont val="Tahoma"/>
            <family val="2"/>
          </rPr>
          <t xml:space="preserve">
NMF as 2020 is unrestated</t>
        </r>
      </text>
    </comment>
    <comment ref="AW10" authorId="2" shapeId="0" xr:uid="{DE4E463A-2EFB-489A-AB83-243A19753F63}">
      <text>
        <r>
          <rPr>
            <b/>
            <sz val="9"/>
            <rFont val="Tahoma"/>
            <family val="2"/>
          </rPr>
          <t>Canalyst (SJ):</t>
        </r>
        <r>
          <rPr>
            <sz val="9"/>
            <rFont val="Tahoma"/>
            <family val="2"/>
          </rPr>
          <t xml:space="preserve">
NMF as 2020 is unrestated</t>
        </r>
      </text>
    </comment>
    <comment ref="AX10" authorId="2" shapeId="0" xr:uid="{674FB575-2BAB-4AD4-9185-B3EE9021E4E4}">
      <text>
        <r>
          <rPr>
            <b/>
            <sz val="9"/>
            <rFont val="Tahoma"/>
            <family val="2"/>
          </rPr>
          <t>Canalyst (SJ):</t>
        </r>
        <r>
          <rPr>
            <sz val="9"/>
            <rFont val="Tahoma"/>
            <family val="2"/>
          </rPr>
          <t xml:space="preserve">
NMF as 2020 is unrestated</t>
        </r>
      </text>
    </comment>
    <comment ref="AY10" authorId="2" shapeId="0" xr:uid="{C8D8125D-F48D-47D4-8501-3FCB2A633CDB}">
      <text>
        <r>
          <rPr>
            <b/>
            <sz val="9"/>
            <rFont val="Tahoma"/>
            <family val="2"/>
          </rPr>
          <t>Canalyst (SJ):</t>
        </r>
        <r>
          <rPr>
            <sz val="9"/>
            <rFont val="Tahoma"/>
            <family val="2"/>
          </rPr>
          <t xml:space="preserve">
NMF as 2020 is unrestated</t>
        </r>
      </text>
    </comment>
    <comment ref="AV11" authorId="2" shapeId="0" xr:uid="{C5D1D497-9366-4670-9B70-12136849A6B9}">
      <text>
        <r>
          <rPr>
            <b/>
            <sz val="9"/>
            <rFont val="Tahoma"/>
            <family val="2"/>
          </rPr>
          <t>Canalyst (SJ):</t>
        </r>
        <r>
          <rPr>
            <sz val="9"/>
            <rFont val="Tahoma"/>
            <family val="2"/>
          </rPr>
          <t xml:space="preserve">
NMF as 2020 is unrestated</t>
        </r>
      </text>
    </comment>
    <comment ref="AW11" authorId="2" shapeId="0" xr:uid="{D662E58A-FA00-44B1-856D-F1D43CE5E27F}">
      <text>
        <r>
          <rPr>
            <b/>
            <sz val="9"/>
            <rFont val="Tahoma"/>
            <family val="2"/>
          </rPr>
          <t>Canalyst (SJ):</t>
        </r>
        <r>
          <rPr>
            <sz val="9"/>
            <rFont val="Tahoma"/>
            <family val="2"/>
          </rPr>
          <t xml:space="preserve">
NMF as 2020 is unrestated</t>
        </r>
      </text>
    </comment>
    <comment ref="AX11" authorId="2" shapeId="0" xr:uid="{F32F2A55-4F17-48C8-AE76-40D02A4A0AF9}">
      <text>
        <r>
          <rPr>
            <b/>
            <sz val="9"/>
            <rFont val="Tahoma"/>
            <family val="2"/>
          </rPr>
          <t>Canalyst (SJ):</t>
        </r>
        <r>
          <rPr>
            <sz val="9"/>
            <rFont val="Tahoma"/>
            <family val="2"/>
          </rPr>
          <t xml:space="preserve">
NMF as 2020 is unrestated</t>
        </r>
      </text>
    </comment>
    <comment ref="AY11" authorId="2" shapeId="0" xr:uid="{5A8A1459-7D0A-4276-B014-ED8887135DFA}">
      <text>
        <r>
          <rPr>
            <b/>
            <sz val="9"/>
            <rFont val="Tahoma"/>
            <family val="2"/>
          </rPr>
          <t>Canalyst (SJ):</t>
        </r>
        <r>
          <rPr>
            <sz val="9"/>
            <rFont val="Tahoma"/>
            <family val="2"/>
          </rPr>
          <t xml:space="preserve">
NMF as 2020 is unrestated</t>
        </r>
      </text>
    </comment>
    <comment ref="V22" authorId="4" shapeId="0" xr:uid="{40F6CB95-7E32-4145-9973-8A3D24288E50}">
      <text>
        <r>
          <rPr>
            <b/>
            <sz val="9"/>
            <rFont val="Tahoma"/>
            <family val="2"/>
          </rPr>
          <t>Canalyst (AlD):</t>
        </r>
        <r>
          <rPr>
            <sz val="9"/>
            <rFont val="Tahoma"/>
            <family val="2"/>
          </rPr>
          <t xml:space="preserve">
backfilled from PR released on 05/30/2019</t>
        </r>
      </text>
    </comment>
    <comment ref="W22" authorId="4" shapeId="0" xr:uid="{D7D6304E-33BC-42B5-A64A-00DDA86CAE7D}">
      <text>
        <r>
          <rPr>
            <b/>
            <sz val="9"/>
            <rFont val="Tahoma"/>
            <family val="2"/>
          </rPr>
          <t>Canalyst (AlD):</t>
        </r>
        <r>
          <rPr>
            <sz val="9"/>
            <rFont val="Tahoma"/>
            <family val="2"/>
          </rPr>
          <t xml:space="preserve">
backfilled from PR released on 05/30/2019</t>
        </r>
      </text>
    </comment>
    <comment ref="X22" authorId="4" shapeId="0" xr:uid="{DAAAD2A8-9714-49BA-AB0B-D308D536A44B}">
      <text>
        <r>
          <rPr>
            <b/>
            <sz val="9"/>
            <rFont val="Tahoma"/>
            <family val="2"/>
          </rPr>
          <t>Canalyst (AlD):</t>
        </r>
        <r>
          <rPr>
            <sz val="9"/>
            <rFont val="Tahoma"/>
            <family val="2"/>
          </rPr>
          <t xml:space="preserve">
backfilled from PR released on 05/30/2019</t>
        </r>
      </text>
    </comment>
    <comment ref="Y22" authorId="4" shapeId="0" xr:uid="{5B3256D8-E7F7-41BA-906A-29A44180FC54}">
      <text>
        <r>
          <rPr>
            <b/>
            <sz val="9"/>
            <rFont val="Tahoma"/>
            <family val="2"/>
          </rPr>
          <t>Canalyst (AlD):</t>
        </r>
        <r>
          <rPr>
            <sz val="9"/>
            <rFont val="Tahoma"/>
            <family val="2"/>
          </rPr>
          <t xml:space="preserve">
backfilled from PR released on 05/30/2019</t>
        </r>
      </text>
    </comment>
    <comment ref="Z22" authorId="4" shapeId="0" xr:uid="{0FCFB45E-5DDD-4D8C-BC4B-317017AEC453}">
      <text>
        <r>
          <rPr>
            <b/>
            <sz val="9"/>
            <rFont val="Tahoma"/>
            <family val="2"/>
          </rPr>
          <t>Canalyst (AlD):</t>
        </r>
        <r>
          <rPr>
            <sz val="9"/>
            <rFont val="Tahoma"/>
            <family val="2"/>
          </rPr>
          <t xml:space="preserve">
backfilled from PR released on 05/30/2019</t>
        </r>
      </text>
    </comment>
    <comment ref="AA22" authorId="4" shapeId="0" xr:uid="{8A5F10C8-21A2-4129-BBC5-5F4ABD2E5F7D}">
      <text>
        <r>
          <rPr>
            <b/>
            <sz val="9"/>
            <rFont val="Tahoma"/>
            <family val="2"/>
          </rPr>
          <t>Canalyst (AlD):</t>
        </r>
        <r>
          <rPr>
            <sz val="9"/>
            <rFont val="Tahoma"/>
            <family val="2"/>
          </rPr>
          <t xml:space="preserve">
backfilled from PR released on 05/30/2019</t>
        </r>
      </text>
    </comment>
    <comment ref="AB22" authorId="4" shapeId="0" xr:uid="{D0A3D4C6-E343-41C8-8545-E9DD7AC054EA}">
      <text>
        <r>
          <rPr>
            <b/>
            <sz val="9"/>
            <rFont val="Tahoma"/>
            <family val="2"/>
          </rPr>
          <t>Canalyst (AlD):</t>
        </r>
        <r>
          <rPr>
            <sz val="9"/>
            <rFont val="Tahoma"/>
            <family val="2"/>
          </rPr>
          <t xml:space="preserve">
backfilled from PR released on 05/30/2019</t>
        </r>
      </text>
    </comment>
    <comment ref="AC22" authorId="4" shapeId="0" xr:uid="{1FE6F600-9B24-4536-AB81-2404B070B077}">
      <text>
        <r>
          <rPr>
            <b/>
            <sz val="9"/>
            <rFont val="Tahoma"/>
            <family val="2"/>
          </rPr>
          <t>Canalyst (AlD):</t>
        </r>
        <r>
          <rPr>
            <sz val="9"/>
            <rFont val="Tahoma"/>
            <family val="2"/>
          </rPr>
          <t xml:space="preserve">
backfilled from PR released on 05/30/2019</t>
        </r>
      </text>
    </comment>
    <comment ref="AD22" authorId="4" shapeId="0" xr:uid="{DB9EE277-20E8-430A-9D8D-EC0068E85B21}">
      <text>
        <r>
          <rPr>
            <b/>
            <sz val="9"/>
            <rFont val="Tahoma"/>
            <family val="2"/>
          </rPr>
          <t>Canalyst (AlD):</t>
        </r>
        <r>
          <rPr>
            <sz val="9"/>
            <rFont val="Tahoma"/>
            <family val="2"/>
          </rPr>
          <t xml:space="preserve">
backfilled from PR released on 05/30/2019</t>
        </r>
      </text>
    </comment>
    <comment ref="AE22" authorId="4" shapeId="0" xr:uid="{86E843AD-575E-48A1-B0A7-6333F7DB707E}">
      <text>
        <r>
          <rPr>
            <b/>
            <sz val="9"/>
            <rFont val="Tahoma"/>
            <family val="2"/>
          </rPr>
          <t>Canalyst (AlD):</t>
        </r>
        <r>
          <rPr>
            <sz val="9"/>
            <rFont val="Tahoma"/>
            <family val="2"/>
          </rPr>
          <t xml:space="preserve">
backfilled from PR released on 05/30/2019</t>
        </r>
      </text>
    </comment>
    <comment ref="AF22" authorId="4" shapeId="0" xr:uid="{5CEB60F6-4862-4379-B1B7-D49CE856E55B}">
      <text>
        <r>
          <rPr>
            <b/>
            <sz val="9"/>
            <rFont val="Tahoma"/>
            <family val="2"/>
          </rPr>
          <t>Canalyst (AlD):</t>
        </r>
        <r>
          <rPr>
            <sz val="9"/>
            <rFont val="Tahoma"/>
            <family val="2"/>
          </rPr>
          <t xml:space="preserve">
backfilled from PR released on 05/30/2019</t>
        </r>
      </text>
    </comment>
    <comment ref="AG22" authorId="4" shapeId="0" xr:uid="{9E9A37DF-97AA-4EC4-B5E4-EC9486BA7D92}">
      <text>
        <r>
          <rPr>
            <b/>
            <sz val="9"/>
            <rFont val="Tahoma"/>
            <family val="2"/>
          </rPr>
          <t>Canalyst (AlD):</t>
        </r>
        <r>
          <rPr>
            <sz val="9"/>
            <rFont val="Tahoma"/>
            <family val="2"/>
          </rPr>
          <t xml:space="preserve">
backfilled from PR released on 05/30/2019</t>
        </r>
      </text>
    </comment>
    <comment ref="AH22" authorId="4" shapeId="0" xr:uid="{CB86BDA0-319A-452F-A683-2DFE637F7658}">
      <text>
        <r>
          <rPr>
            <b/>
            <sz val="9"/>
            <rFont val="Tahoma"/>
            <family val="2"/>
          </rPr>
          <t>Canalyst (AlD):</t>
        </r>
        <r>
          <rPr>
            <sz val="9"/>
            <rFont val="Tahoma"/>
            <family val="2"/>
          </rPr>
          <t xml:space="preserve">
backfilled from PR released on 05/30/2019</t>
        </r>
      </text>
    </comment>
    <comment ref="AI22" authorId="4" shapeId="0" xr:uid="{E439B353-FD5C-472B-9FAC-256DE3B5B788}">
      <text>
        <r>
          <rPr>
            <b/>
            <sz val="9"/>
            <rFont val="Tahoma"/>
            <family val="2"/>
          </rPr>
          <t>Canalyst (AlD):</t>
        </r>
        <r>
          <rPr>
            <sz val="9"/>
            <rFont val="Tahoma"/>
            <family val="2"/>
          </rPr>
          <t xml:space="preserve">
backfilled from PR released on 05/30/2019</t>
        </r>
      </text>
    </comment>
    <comment ref="AJ22" authorId="4" shapeId="0" xr:uid="{C9C44D7B-2909-4EAE-AF5A-D9E54711F165}">
      <text>
        <r>
          <rPr>
            <b/>
            <sz val="9"/>
            <rFont val="Tahoma"/>
            <family val="2"/>
          </rPr>
          <t>Canalyst (AlD):</t>
        </r>
        <r>
          <rPr>
            <sz val="9"/>
            <rFont val="Tahoma"/>
            <family val="2"/>
          </rPr>
          <t xml:space="preserve">
backfilled from PR released on 05/30/2019</t>
        </r>
      </text>
    </comment>
    <comment ref="AK22" authorId="4" shapeId="0" xr:uid="{0E7A6AE9-E3E1-40A9-9DBC-63731DF1B29D}">
      <text>
        <r>
          <rPr>
            <b/>
            <sz val="9"/>
            <rFont val="Tahoma"/>
            <family val="2"/>
          </rPr>
          <t>Canalyst (AlD):</t>
        </r>
        <r>
          <rPr>
            <sz val="9"/>
            <rFont val="Tahoma"/>
            <family val="2"/>
          </rPr>
          <t xml:space="preserve">
backfilled from PR released on 05/30/2019</t>
        </r>
      </text>
    </comment>
    <comment ref="V50" authorId="4" shapeId="0" xr:uid="{74C1520C-6FDF-482E-A058-0DDC0E803981}">
      <text>
        <r>
          <rPr>
            <b/>
            <sz val="9"/>
            <rFont val="Tahoma"/>
            <family val="2"/>
          </rPr>
          <t>Canalyst (AlD):</t>
        </r>
        <r>
          <rPr>
            <sz val="9"/>
            <rFont val="Tahoma"/>
            <family val="2"/>
          </rPr>
          <t xml:space="preserve">
backfilled from PR released on 05/30/2019</t>
        </r>
      </text>
    </comment>
    <comment ref="W50" authorId="4" shapeId="0" xr:uid="{363EC5BB-23F8-4852-A3E9-573D14F85828}">
      <text>
        <r>
          <rPr>
            <b/>
            <sz val="9"/>
            <rFont val="Tahoma"/>
            <family val="2"/>
          </rPr>
          <t>Canalyst (AlD):</t>
        </r>
        <r>
          <rPr>
            <sz val="9"/>
            <rFont val="Tahoma"/>
            <family val="2"/>
          </rPr>
          <t xml:space="preserve">
backfilled from PR released on 05/30/2019</t>
        </r>
      </text>
    </comment>
    <comment ref="X50" authorId="4" shapeId="0" xr:uid="{AFFCEB87-10E1-4D80-8FBA-5C9C1CD38F5F}">
      <text>
        <r>
          <rPr>
            <b/>
            <sz val="9"/>
            <rFont val="Tahoma"/>
            <family val="2"/>
          </rPr>
          <t>Canalyst (AlD):</t>
        </r>
        <r>
          <rPr>
            <sz val="9"/>
            <rFont val="Tahoma"/>
            <family val="2"/>
          </rPr>
          <t xml:space="preserve">
backfilled from PR released on 05/30/2019</t>
        </r>
      </text>
    </comment>
    <comment ref="Y50" authorId="4" shapeId="0" xr:uid="{8E4ACCED-CA90-42F6-B2A0-8A2093B1F1C6}">
      <text>
        <r>
          <rPr>
            <b/>
            <sz val="9"/>
            <rFont val="Tahoma"/>
            <family val="2"/>
          </rPr>
          <t>Canalyst (AlD):</t>
        </r>
        <r>
          <rPr>
            <sz val="9"/>
            <rFont val="Tahoma"/>
            <family val="2"/>
          </rPr>
          <t xml:space="preserve">
backfilled from PR released on 05/30/2019</t>
        </r>
      </text>
    </comment>
    <comment ref="Z50" authorId="4" shapeId="0" xr:uid="{064AC552-45C7-4E4A-AB9A-48E054213A16}">
      <text>
        <r>
          <rPr>
            <b/>
            <sz val="9"/>
            <rFont val="Tahoma"/>
            <family val="2"/>
          </rPr>
          <t>Canalyst (AlD):</t>
        </r>
        <r>
          <rPr>
            <sz val="9"/>
            <rFont val="Tahoma"/>
            <family val="2"/>
          </rPr>
          <t xml:space="preserve">
backfilled from PR released on 05/30/2019</t>
        </r>
      </text>
    </comment>
    <comment ref="AA50" authorId="4" shapeId="0" xr:uid="{3FE77798-E7D2-4EE3-B66F-58138A489210}">
      <text>
        <r>
          <rPr>
            <b/>
            <sz val="9"/>
            <rFont val="Tahoma"/>
            <family val="2"/>
          </rPr>
          <t>Canalyst (AlD):</t>
        </r>
        <r>
          <rPr>
            <sz val="9"/>
            <rFont val="Tahoma"/>
            <family val="2"/>
          </rPr>
          <t xml:space="preserve">
backfilled from PR released on 05/30/2019</t>
        </r>
      </text>
    </comment>
    <comment ref="AB50" authorId="4" shapeId="0" xr:uid="{3DF8CABE-3B37-4ACA-9DB8-270147428189}">
      <text>
        <r>
          <rPr>
            <b/>
            <sz val="9"/>
            <rFont val="Tahoma"/>
            <family val="2"/>
          </rPr>
          <t>Canalyst (AlD):</t>
        </r>
        <r>
          <rPr>
            <sz val="9"/>
            <rFont val="Tahoma"/>
            <family val="2"/>
          </rPr>
          <t xml:space="preserve">
backfilled from PR released on 05/30/2019</t>
        </r>
      </text>
    </comment>
    <comment ref="AC50" authorId="4" shapeId="0" xr:uid="{D256452A-D901-4B0A-9F0D-FEB37BBA221C}">
      <text>
        <r>
          <rPr>
            <b/>
            <sz val="9"/>
            <rFont val="Tahoma"/>
            <family val="2"/>
          </rPr>
          <t>Canalyst (AlD):</t>
        </r>
        <r>
          <rPr>
            <sz val="9"/>
            <rFont val="Tahoma"/>
            <family val="2"/>
          </rPr>
          <t xml:space="preserve">
backfilled from PR released on 05/30/2019</t>
        </r>
      </text>
    </comment>
    <comment ref="AD50" authorId="4" shapeId="0" xr:uid="{6F4463B5-29B2-4368-A53F-1D859E832BD5}">
      <text>
        <r>
          <rPr>
            <b/>
            <sz val="9"/>
            <rFont val="Tahoma"/>
            <family val="2"/>
          </rPr>
          <t>Canalyst (AlD):</t>
        </r>
        <r>
          <rPr>
            <sz val="9"/>
            <rFont val="Tahoma"/>
            <family val="2"/>
          </rPr>
          <t xml:space="preserve">
backfilled from PR released on 05/30/2019</t>
        </r>
      </text>
    </comment>
    <comment ref="AE50" authorId="4" shapeId="0" xr:uid="{7940E9F1-2FDF-4181-9F5C-3C145241F0E0}">
      <text>
        <r>
          <rPr>
            <b/>
            <sz val="9"/>
            <rFont val="Tahoma"/>
            <family val="2"/>
          </rPr>
          <t>Canalyst (AlD):</t>
        </r>
        <r>
          <rPr>
            <sz val="9"/>
            <rFont val="Tahoma"/>
            <family val="2"/>
          </rPr>
          <t xml:space="preserve">
backfilled from PR released on 05/30/2019</t>
        </r>
      </text>
    </comment>
    <comment ref="AF50" authorId="4" shapeId="0" xr:uid="{20384823-17BC-4CE8-ADDD-FC9AFA9968C5}">
      <text>
        <r>
          <rPr>
            <b/>
            <sz val="9"/>
            <rFont val="Tahoma"/>
            <family val="2"/>
          </rPr>
          <t>Canalyst (AlD):</t>
        </r>
        <r>
          <rPr>
            <sz val="9"/>
            <rFont val="Tahoma"/>
            <family val="2"/>
          </rPr>
          <t xml:space="preserve">
backfilled from PR released on 05/30/2019</t>
        </r>
      </text>
    </comment>
    <comment ref="AG50" authorId="4" shapeId="0" xr:uid="{F00119FA-4C31-48F0-9DAE-A0A09861A9EA}">
      <text>
        <r>
          <rPr>
            <b/>
            <sz val="9"/>
            <rFont val="Tahoma"/>
            <family val="2"/>
          </rPr>
          <t>Canalyst (AlD):</t>
        </r>
        <r>
          <rPr>
            <sz val="9"/>
            <rFont val="Tahoma"/>
            <family val="2"/>
          </rPr>
          <t xml:space="preserve">
backfilled from PR released on 05/30/2019</t>
        </r>
      </text>
    </comment>
    <comment ref="AH50" authorId="4" shapeId="0" xr:uid="{41DF84F6-B540-4D8D-9009-FB664CF98EF4}">
      <text>
        <r>
          <rPr>
            <b/>
            <sz val="9"/>
            <rFont val="Tahoma"/>
            <family val="2"/>
          </rPr>
          <t>Canalyst (AlD):</t>
        </r>
        <r>
          <rPr>
            <sz val="9"/>
            <rFont val="Tahoma"/>
            <family val="2"/>
          </rPr>
          <t xml:space="preserve">
backfilled from PR released on 05/30/2019</t>
        </r>
      </text>
    </comment>
    <comment ref="AI50" authorId="4" shapeId="0" xr:uid="{AF732FFA-BB8F-4FBB-946D-6E072951BE4E}">
      <text>
        <r>
          <rPr>
            <b/>
            <sz val="9"/>
            <rFont val="Tahoma"/>
            <family val="2"/>
          </rPr>
          <t>Canalyst (AlD):</t>
        </r>
        <r>
          <rPr>
            <sz val="9"/>
            <rFont val="Tahoma"/>
            <family val="2"/>
          </rPr>
          <t xml:space="preserve">
backfilled from PR released on 05/30/2019</t>
        </r>
      </text>
    </comment>
    <comment ref="AJ50" authorId="4" shapeId="0" xr:uid="{5AF09E8F-2677-4439-A2C6-DBA95A7389EC}">
      <text>
        <r>
          <rPr>
            <b/>
            <sz val="9"/>
            <rFont val="Tahoma"/>
            <family val="2"/>
          </rPr>
          <t>Canalyst (AlD):</t>
        </r>
        <r>
          <rPr>
            <sz val="9"/>
            <rFont val="Tahoma"/>
            <family val="2"/>
          </rPr>
          <t xml:space="preserve">
backfilled from PR released on 05/30/2019</t>
        </r>
      </text>
    </comment>
    <comment ref="AK50" authorId="4" shapeId="0" xr:uid="{97F5B152-4FBC-4E90-A651-4B4268521E3E}">
      <text>
        <r>
          <rPr>
            <b/>
            <sz val="9"/>
            <rFont val="Tahoma"/>
            <family val="2"/>
          </rPr>
          <t>Canalyst (AlD):</t>
        </r>
        <r>
          <rPr>
            <sz val="9"/>
            <rFont val="Tahoma"/>
            <family val="2"/>
          </rPr>
          <t xml:space="preserve">
backfilled from PR released on 05/30/2019</t>
        </r>
      </text>
    </comment>
    <comment ref="AK51" authorId="3" shapeId="0" xr:uid="{B889F94B-B38C-4B53-9E6B-D6645D673A2C}">
      <text>
        <r>
          <rPr>
            <b/>
            <sz val="9"/>
            <rFont val="Tahoma"/>
            <family val="2"/>
            <charset val="1"/>
          </rPr>
          <t>Canalyst (YiL):</t>
        </r>
        <r>
          <rPr>
            <sz val="9"/>
            <rFont val="Tahoma"/>
            <family val="2"/>
            <charset val="1"/>
          </rPr>
          <t xml:space="preserve">
NMF due to restatement of 2019 results</t>
        </r>
      </text>
    </comment>
    <comment ref="AL51" authorId="3" shapeId="0" xr:uid="{967D0128-0E2D-44CB-9241-6400A386F916}">
      <text>
        <r>
          <rPr>
            <b/>
            <sz val="9"/>
            <rFont val="Tahoma"/>
            <family val="2"/>
            <charset val="1"/>
          </rPr>
          <t>Canalyst (YiL):</t>
        </r>
        <r>
          <rPr>
            <sz val="9"/>
            <rFont val="Tahoma"/>
            <family val="2"/>
            <charset val="1"/>
          </rPr>
          <t xml:space="preserve">
NMF due to restatement of 2019 results</t>
        </r>
      </text>
    </comment>
    <comment ref="AM51" authorId="3" shapeId="0" xr:uid="{7EC4A7E6-1807-4CE9-B4F6-5A181527515B}">
      <text>
        <r>
          <rPr>
            <b/>
            <sz val="9"/>
            <rFont val="Tahoma"/>
            <family val="2"/>
            <charset val="1"/>
          </rPr>
          <t>Canalyst (YiL):</t>
        </r>
        <r>
          <rPr>
            <sz val="9"/>
            <rFont val="Tahoma"/>
            <family val="2"/>
            <charset val="1"/>
          </rPr>
          <t xml:space="preserve">
NMF due to restatement of 2019 results</t>
        </r>
      </text>
    </comment>
    <comment ref="AN51" authorId="3" shapeId="0" xr:uid="{65D04D40-E071-476E-98F9-67026EEFBD24}">
      <text>
        <r>
          <rPr>
            <b/>
            <sz val="9"/>
            <rFont val="Tahoma"/>
            <family val="2"/>
            <charset val="1"/>
          </rPr>
          <t>Canalyst (YiL):</t>
        </r>
        <r>
          <rPr>
            <sz val="9"/>
            <rFont val="Tahoma"/>
            <family val="2"/>
            <charset val="1"/>
          </rPr>
          <t xml:space="preserve">
NMF due to restatement of 2019 results</t>
        </r>
      </text>
    </comment>
    <comment ref="AO51" authorId="3" shapeId="0" xr:uid="{DAEE1883-3B69-474F-8B22-4F3BE2DE0310}">
      <text>
        <r>
          <rPr>
            <b/>
            <sz val="9"/>
            <rFont val="Tahoma"/>
            <family val="2"/>
            <charset val="1"/>
          </rPr>
          <t>Canalyst (YiL):</t>
        </r>
        <r>
          <rPr>
            <sz val="9"/>
            <rFont val="Tahoma"/>
            <family val="2"/>
            <charset val="1"/>
          </rPr>
          <t xml:space="preserve">
NMF due to restatement of 2019 results</t>
        </r>
      </text>
    </comment>
    <comment ref="AU51" authorId="2" shapeId="0" xr:uid="{98E426C4-63D1-4645-A473-32BD831A8F8E}">
      <text>
        <r>
          <rPr>
            <b/>
            <sz val="9"/>
            <rFont val="Tahoma"/>
            <family val="2"/>
          </rPr>
          <t>Canalyst (SJ):</t>
        </r>
        <r>
          <rPr>
            <sz val="9"/>
            <rFont val="Tahoma"/>
            <family val="2"/>
          </rPr>
          <t xml:space="preserve">
NMF until 2020 is unrestated</t>
        </r>
      </text>
    </comment>
    <comment ref="AV51" authorId="2" shapeId="0" xr:uid="{C2413B56-81B2-4211-9A3F-E01CFEB69887}">
      <text>
        <r>
          <rPr>
            <b/>
            <sz val="9"/>
            <rFont val="Tahoma"/>
            <family val="2"/>
          </rPr>
          <t>Canalyst (SJ):</t>
        </r>
        <r>
          <rPr>
            <sz val="9"/>
            <rFont val="Tahoma"/>
            <family val="2"/>
          </rPr>
          <t xml:space="preserve">
NMF until 2020 is unrestated</t>
        </r>
      </text>
    </comment>
    <comment ref="AW51" authorId="2" shapeId="0" xr:uid="{169B5C4D-1D6E-4D4B-A296-BF1D6CBE61D4}">
      <text>
        <r>
          <rPr>
            <b/>
            <sz val="9"/>
            <rFont val="Tahoma"/>
            <family val="2"/>
          </rPr>
          <t>Canalyst (SJ):</t>
        </r>
        <r>
          <rPr>
            <sz val="9"/>
            <rFont val="Tahoma"/>
            <family val="2"/>
          </rPr>
          <t xml:space="preserve">
NMF until 2020 is unrestated</t>
        </r>
      </text>
    </comment>
    <comment ref="AX51" authorId="2" shapeId="0" xr:uid="{B8EB5150-A808-46AD-8F85-AE47A13D70C8}">
      <text>
        <r>
          <rPr>
            <b/>
            <sz val="9"/>
            <rFont val="Tahoma"/>
            <family val="2"/>
          </rPr>
          <t>Canalyst (SJ):</t>
        </r>
        <r>
          <rPr>
            <sz val="9"/>
            <rFont val="Tahoma"/>
            <family val="2"/>
          </rPr>
          <t xml:space="preserve">
NMF until 2020 is unrestated</t>
        </r>
      </text>
    </comment>
    <comment ref="AY51" authorId="2" shapeId="0" xr:uid="{C1BEC2D8-AB62-4F27-89B8-2E02B436DE23}">
      <text>
        <r>
          <rPr>
            <b/>
            <sz val="9"/>
            <rFont val="Tahoma"/>
            <family val="2"/>
          </rPr>
          <t>Canalyst (SJ):</t>
        </r>
        <r>
          <rPr>
            <sz val="9"/>
            <rFont val="Tahoma"/>
            <family val="2"/>
          </rPr>
          <t xml:space="preserve">
NMF until 2020 is unrestated</t>
        </r>
      </text>
    </comment>
    <comment ref="AK52" authorId="3" shapeId="0" xr:uid="{86507A5F-4147-489B-8E63-D41E255D01C7}">
      <text>
        <r>
          <rPr>
            <b/>
            <sz val="9"/>
            <rFont val="Tahoma"/>
            <family val="2"/>
            <charset val="1"/>
          </rPr>
          <t>Canalyst (YiL):</t>
        </r>
        <r>
          <rPr>
            <sz val="9"/>
            <rFont val="Tahoma"/>
            <family val="2"/>
            <charset val="1"/>
          </rPr>
          <t xml:space="preserve">
NMF due to restatement of 2019 results</t>
        </r>
      </text>
    </comment>
    <comment ref="AL52" authorId="3" shapeId="0" xr:uid="{1E9F49D5-B620-4C71-9156-1606CCF266CB}">
      <text>
        <r>
          <rPr>
            <b/>
            <sz val="9"/>
            <rFont val="Tahoma"/>
            <family val="2"/>
            <charset val="1"/>
          </rPr>
          <t>Canalyst (YiL):</t>
        </r>
        <r>
          <rPr>
            <sz val="9"/>
            <rFont val="Tahoma"/>
            <family val="2"/>
            <charset val="1"/>
          </rPr>
          <t xml:space="preserve">
NMF due to restatement of 2019 results</t>
        </r>
      </text>
    </comment>
    <comment ref="AM52" authorId="3" shapeId="0" xr:uid="{A3543B79-5388-432D-B1BE-156DC244EBB6}">
      <text>
        <r>
          <rPr>
            <b/>
            <sz val="9"/>
            <rFont val="Tahoma"/>
            <family val="2"/>
            <charset val="1"/>
          </rPr>
          <t>Canalyst (YiL):</t>
        </r>
        <r>
          <rPr>
            <sz val="9"/>
            <rFont val="Tahoma"/>
            <family val="2"/>
            <charset val="1"/>
          </rPr>
          <t xml:space="preserve">
NMF due to restatement of 2019 results</t>
        </r>
      </text>
    </comment>
    <comment ref="AN52" authorId="3" shapeId="0" xr:uid="{E8BB7CD2-1039-4F08-A545-AE08C82FEEF2}">
      <text>
        <r>
          <rPr>
            <b/>
            <sz val="9"/>
            <rFont val="Tahoma"/>
            <family val="2"/>
            <charset val="1"/>
          </rPr>
          <t>Canalyst (YiL):</t>
        </r>
        <r>
          <rPr>
            <sz val="9"/>
            <rFont val="Tahoma"/>
            <family val="2"/>
            <charset val="1"/>
          </rPr>
          <t xml:space="preserve">
NMF due to restatement of 2019 results</t>
        </r>
      </text>
    </comment>
    <comment ref="AO52" authorId="3" shapeId="0" xr:uid="{7BA34F77-7BB8-4176-A3A7-53F4AEE56499}">
      <text>
        <r>
          <rPr>
            <b/>
            <sz val="9"/>
            <rFont val="Tahoma"/>
            <family val="2"/>
            <charset val="1"/>
          </rPr>
          <t>Canalyst (YiL):</t>
        </r>
        <r>
          <rPr>
            <sz val="9"/>
            <rFont val="Tahoma"/>
            <family val="2"/>
            <charset val="1"/>
          </rPr>
          <t xml:space="preserve">
NMF due to restatement of 2019 results</t>
        </r>
      </text>
    </comment>
    <comment ref="AU52" authorId="2" shapeId="0" xr:uid="{FBB92783-6F3D-4065-84D4-DC46794631B5}">
      <text>
        <r>
          <rPr>
            <b/>
            <sz val="9"/>
            <rFont val="Tahoma"/>
            <family val="2"/>
          </rPr>
          <t>Canalyst (SJ):</t>
        </r>
        <r>
          <rPr>
            <sz val="9"/>
            <rFont val="Tahoma"/>
            <family val="2"/>
          </rPr>
          <t xml:space="preserve">
NMF until 2020 is unrestated</t>
        </r>
      </text>
    </comment>
    <comment ref="AV52" authorId="2" shapeId="0" xr:uid="{FA658081-0E3A-48B5-AB80-19D283BAEEE6}">
      <text>
        <r>
          <rPr>
            <b/>
            <sz val="9"/>
            <rFont val="Tahoma"/>
            <family val="2"/>
          </rPr>
          <t>Canalyst (SJ):</t>
        </r>
        <r>
          <rPr>
            <sz val="9"/>
            <rFont val="Tahoma"/>
            <family val="2"/>
          </rPr>
          <t xml:space="preserve">
NMF until 2020 is unrestated</t>
        </r>
      </text>
    </comment>
    <comment ref="AW52" authorId="2" shapeId="0" xr:uid="{B7CE36B1-B941-4E3C-9DAB-B44290785D05}">
      <text>
        <r>
          <rPr>
            <b/>
            <sz val="9"/>
            <rFont val="Tahoma"/>
            <family val="2"/>
          </rPr>
          <t>Canalyst (SJ):</t>
        </r>
        <r>
          <rPr>
            <sz val="9"/>
            <rFont val="Tahoma"/>
            <family val="2"/>
          </rPr>
          <t xml:space="preserve">
NMF until 2020 is unrestated</t>
        </r>
      </text>
    </comment>
    <comment ref="AX52" authorId="2" shapeId="0" xr:uid="{ECC7649D-14CF-448E-8ABB-F797CB880FE7}">
      <text>
        <r>
          <rPr>
            <b/>
            <sz val="9"/>
            <rFont val="Tahoma"/>
            <family val="2"/>
          </rPr>
          <t>Canalyst (SJ):</t>
        </r>
        <r>
          <rPr>
            <sz val="9"/>
            <rFont val="Tahoma"/>
            <family val="2"/>
          </rPr>
          <t xml:space="preserve">
NMF until 2020 is unrestated</t>
        </r>
      </text>
    </comment>
    <comment ref="AY52" authorId="2" shapeId="0" xr:uid="{AF1C0A73-F5A4-4B1A-BF9E-2491BE9FBC90}">
      <text>
        <r>
          <rPr>
            <b/>
            <sz val="9"/>
            <rFont val="Tahoma"/>
            <family val="2"/>
          </rPr>
          <t>Canalyst (SJ):</t>
        </r>
        <r>
          <rPr>
            <sz val="9"/>
            <rFont val="Tahoma"/>
            <family val="2"/>
          </rPr>
          <t xml:space="preserve">
NMF until 2020 is unrestated</t>
        </r>
      </text>
    </comment>
    <comment ref="AK53" authorId="3" shapeId="0" xr:uid="{2316175F-1A4B-45D4-9778-6AB0894D88A1}">
      <text>
        <r>
          <rPr>
            <b/>
            <sz val="9"/>
            <rFont val="Tahoma"/>
            <family val="2"/>
            <charset val="1"/>
          </rPr>
          <t>Canalyst (YiL):</t>
        </r>
        <r>
          <rPr>
            <sz val="9"/>
            <rFont val="Tahoma"/>
            <family val="2"/>
            <charset val="1"/>
          </rPr>
          <t xml:space="preserve">
NMF due to restatement of 2019 results</t>
        </r>
      </text>
    </comment>
    <comment ref="AL53" authorId="3" shapeId="0" xr:uid="{0199D4E4-6FDA-4CBA-9EB2-AF15BF66242A}">
      <text>
        <r>
          <rPr>
            <b/>
            <sz val="9"/>
            <rFont val="Tahoma"/>
            <family val="2"/>
            <charset val="1"/>
          </rPr>
          <t>Canalyst (YiL):</t>
        </r>
        <r>
          <rPr>
            <sz val="9"/>
            <rFont val="Tahoma"/>
            <family val="2"/>
            <charset val="1"/>
          </rPr>
          <t xml:space="preserve">
NMF due to restatement of 2019 results</t>
        </r>
      </text>
    </comment>
    <comment ref="AM53" authorId="3" shapeId="0" xr:uid="{84C034E4-815C-4D77-9CA2-7045B7AFF303}">
      <text>
        <r>
          <rPr>
            <b/>
            <sz val="9"/>
            <rFont val="Tahoma"/>
            <family val="2"/>
            <charset val="1"/>
          </rPr>
          <t>Canalyst (YiL):</t>
        </r>
        <r>
          <rPr>
            <sz val="9"/>
            <rFont val="Tahoma"/>
            <family val="2"/>
            <charset val="1"/>
          </rPr>
          <t xml:space="preserve">
NMF due to restatement of 2019 results</t>
        </r>
      </text>
    </comment>
    <comment ref="AN53" authorId="3" shapeId="0" xr:uid="{2F0BC5D4-9339-4E37-8F0E-C867004C9135}">
      <text>
        <r>
          <rPr>
            <b/>
            <sz val="9"/>
            <rFont val="Tahoma"/>
            <family val="2"/>
            <charset val="1"/>
          </rPr>
          <t>Canalyst (YiL):</t>
        </r>
        <r>
          <rPr>
            <sz val="9"/>
            <rFont val="Tahoma"/>
            <family val="2"/>
            <charset val="1"/>
          </rPr>
          <t xml:space="preserve">
NMF due to restatement of 2019 results</t>
        </r>
      </text>
    </comment>
    <comment ref="AO53" authorId="3" shapeId="0" xr:uid="{5955A6A6-E8EA-4B55-8374-B70A192FE367}">
      <text>
        <r>
          <rPr>
            <b/>
            <sz val="9"/>
            <rFont val="Tahoma"/>
            <family val="2"/>
            <charset val="1"/>
          </rPr>
          <t>Canalyst (YiL):</t>
        </r>
        <r>
          <rPr>
            <sz val="9"/>
            <rFont val="Tahoma"/>
            <family val="2"/>
            <charset val="1"/>
          </rPr>
          <t xml:space="preserve">
NMF due to restatement of 2019 results</t>
        </r>
      </text>
    </comment>
    <comment ref="AU53" authorId="2" shapeId="0" xr:uid="{25F54394-C209-4C34-B39E-04C5085FDAB5}">
      <text>
        <r>
          <rPr>
            <b/>
            <sz val="9"/>
            <rFont val="Tahoma"/>
            <family val="2"/>
          </rPr>
          <t>Canalyst (SJ):</t>
        </r>
        <r>
          <rPr>
            <sz val="9"/>
            <rFont val="Tahoma"/>
            <family val="2"/>
          </rPr>
          <t xml:space="preserve">
NMF until 2020 is unrestated</t>
        </r>
      </text>
    </comment>
    <comment ref="AV53" authorId="2" shapeId="0" xr:uid="{61F1AB2C-36BF-4F41-A0E8-BA6D860733F5}">
      <text>
        <r>
          <rPr>
            <b/>
            <sz val="9"/>
            <rFont val="Tahoma"/>
            <family val="2"/>
          </rPr>
          <t>Canalyst (SJ):</t>
        </r>
        <r>
          <rPr>
            <sz val="9"/>
            <rFont val="Tahoma"/>
            <family val="2"/>
          </rPr>
          <t xml:space="preserve">
NMF until 2020 is unrestated</t>
        </r>
      </text>
    </comment>
    <comment ref="AW53" authorId="2" shapeId="0" xr:uid="{316700AD-6D7D-4ED1-8E3E-D6EE8E4CCC25}">
      <text>
        <r>
          <rPr>
            <b/>
            <sz val="9"/>
            <rFont val="Tahoma"/>
            <family val="2"/>
          </rPr>
          <t>Canalyst (SJ):</t>
        </r>
        <r>
          <rPr>
            <sz val="9"/>
            <rFont val="Tahoma"/>
            <family val="2"/>
          </rPr>
          <t xml:space="preserve">
NMF until 2020 is unrestated</t>
        </r>
      </text>
    </comment>
    <comment ref="AX53" authorId="2" shapeId="0" xr:uid="{1D715D79-E39D-4F07-A587-E11ADB2B6930}">
      <text>
        <r>
          <rPr>
            <b/>
            <sz val="9"/>
            <rFont val="Tahoma"/>
            <family val="2"/>
          </rPr>
          <t>Canalyst (SJ):</t>
        </r>
        <r>
          <rPr>
            <sz val="9"/>
            <rFont val="Tahoma"/>
            <family val="2"/>
          </rPr>
          <t xml:space="preserve">
NMF until 2020 is unrestated</t>
        </r>
      </text>
    </comment>
    <comment ref="AY53" authorId="2" shapeId="0" xr:uid="{5B9E5AEB-2D11-42E3-A2D1-141B6D036394}">
      <text>
        <r>
          <rPr>
            <b/>
            <sz val="9"/>
            <rFont val="Tahoma"/>
            <family val="2"/>
          </rPr>
          <t>Canalyst (SJ):</t>
        </r>
        <r>
          <rPr>
            <sz val="9"/>
            <rFont val="Tahoma"/>
            <family val="2"/>
          </rPr>
          <t xml:space="preserve">
NMF until 2020 is unrestated</t>
        </r>
      </text>
    </comment>
    <comment ref="AK54" authorId="3" shapeId="0" xr:uid="{58FAECFC-4A81-41B1-872E-0C7A2CAD6CB4}">
      <text>
        <r>
          <rPr>
            <b/>
            <sz val="9"/>
            <rFont val="Tahoma"/>
            <family val="2"/>
            <charset val="1"/>
          </rPr>
          <t>Canalyst (YiL):</t>
        </r>
        <r>
          <rPr>
            <sz val="9"/>
            <rFont val="Tahoma"/>
            <family val="2"/>
            <charset val="1"/>
          </rPr>
          <t xml:space="preserve">
NMF due to restatement of 2019 results</t>
        </r>
      </text>
    </comment>
    <comment ref="AL54" authorId="3" shapeId="0" xr:uid="{69125DEB-1782-4F98-A143-A3955F81162D}">
      <text>
        <r>
          <rPr>
            <b/>
            <sz val="9"/>
            <rFont val="Tahoma"/>
            <family val="2"/>
            <charset val="1"/>
          </rPr>
          <t>Canalyst (YiL):</t>
        </r>
        <r>
          <rPr>
            <sz val="9"/>
            <rFont val="Tahoma"/>
            <family val="2"/>
            <charset val="1"/>
          </rPr>
          <t xml:space="preserve">
NMF due to restatement of 2019 results</t>
        </r>
      </text>
    </comment>
    <comment ref="AM54" authorId="3" shapeId="0" xr:uid="{3F4C215E-1116-44BC-BF6C-5ACE4CE86A25}">
      <text>
        <r>
          <rPr>
            <b/>
            <sz val="9"/>
            <rFont val="Tahoma"/>
            <family val="2"/>
            <charset val="1"/>
          </rPr>
          <t>Canalyst (YiL):</t>
        </r>
        <r>
          <rPr>
            <sz val="9"/>
            <rFont val="Tahoma"/>
            <family val="2"/>
            <charset val="1"/>
          </rPr>
          <t xml:space="preserve">
NMF due to restatement of 2019 results</t>
        </r>
      </text>
    </comment>
    <comment ref="AN54" authorId="3" shapeId="0" xr:uid="{C08140C9-CF18-4C28-9970-4FD738F39A4A}">
      <text>
        <r>
          <rPr>
            <b/>
            <sz val="9"/>
            <rFont val="Tahoma"/>
            <family val="2"/>
            <charset val="1"/>
          </rPr>
          <t>Canalyst (YiL):</t>
        </r>
        <r>
          <rPr>
            <sz val="9"/>
            <rFont val="Tahoma"/>
            <family val="2"/>
            <charset val="1"/>
          </rPr>
          <t xml:space="preserve">
NMF due to restatement of 2019 results</t>
        </r>
      </text>
    </comment>
    <comment ref="AO54" authorId="3" shapeId="0" xr:uid="{40AA47F6-A4DE-4C77-A0DC-7B39FE96D0A3}">
      <text>
        <r>
          <rPr>
            <b/>
            <sz val="9"/>
            <rFont val="Tahoma"/>
            <family val="2"/>
            <charset val="1"/>
          </rPr>
          <t>Canalyst (YiL):</t>
        </r>
        <r>
          <rPr>
            <sz val="9"/>
            <rFont val="Tahoma"/>
            <family val="2"/>
            <charset val="1"/>
          </rPr>
          <t xml:space="preserve">
NMF due to restatement of 2019 results</t>
        </r>
      </text>
    </comment>
    <comment ref="AU54" authorId="2" shapeId="0" xr:uid="{7EA935DA-4724-4250-B570-D97EA6E62470}">
      <text>
        <r>
          <rPr>
            <b/>
            <sz val="9"/>
            <rFont val="Tahoma"/>
            <family val="2"/>
          </rPr>
          <t>Canalyst (SJ):</t>
        </r>
        <r>
          <rPr>
            <sz val="9"/>
            <rFont val="Tahoma"/>
            <family val="2"/>
          </rPr>
          <t xml:space="preserve">
NMF until 2020 is unrestated</t>
        </r>
      </text>
    </comment>
    <comment ref="AV54" authorId="2" shapeId="0" xr:uid="{6FBE4717-24BF-4445-BCFA-16F05542C2FB}">
      <text>
        <r>
          <rPr>
            <b/>
            <sz val="9"/>
            <rFont val="Tahoma"/>
            <family val="2"/>
          </rPr>
          <t>Canalyst (SJ):</t>
        </r>
        <r>
          <rPr>
            <sz val="9"/>
            <rFont val="Tahoma"/>
            <family val="2"/>
          </rPr>
          <t xml:space="preserve">
NMF until 2020 is unrestated</t>
        </r>
      </text>
    </comment>
    <comment ref="AW54" authorId="2" shapeId="0" xr:uid="{8C9A52D1-73EB-4617-89B6-B2328F91E87B}">
      <text>
        <r>
          <rPr>
            <b/>
            <sz val="9"/>
            <rFont val="Tahoma"/>
            <family val="2"/>
          </rPr>
          <t>Canalyst (SJ):</t>
        </r>
        <r>
          <rPr>
            <sz val="9"/>
            <rFont val="Tahoma"/>
            <family val="2"/>
          </rPr>
          <t xml:space="preserve">
NMF until 2020 is unrestated</t>
        </r>
      </text>
    </comment>
    <comment ref="AX54" authorId="2" shapeId="0" xr:uid="{A365EEF3-2D0A-4968-BE75-B9DDCC12BC01}">
      <text>
        <r>
          <rPr>
            <b/>
            <sz val="9"/>
            <rFont val="Tahoma"/>
            <family val="2"/>
          </rPr>
          <t>Canalyst (SJ):</t>
        </r>
        <r>
          <rPr>
            <sz val="9"/>
            <rFont val="Tahoma"/>
            <family val="2"/>
          </rPr>
          <t xml:space="preserve">
NMF until 2020 is unrestated</t>
        </r>
      </text>
    </comment>
    <comment ref="AY54" authorId="2" shapeId="0" xr:uid="{7ADCA4F4-B50D-4CE5-8FED-AB3D6EB08CCE}">
      <text>
        <r>
          <rPr>
            <b/>
            <sz val="9"/>
            <rFont val="Tahoma"/>
            <family val="2"/>
          </rPr>
          <t>Canalyst (SJ):</t>
        </r>
        <r>
          <rPr>
            <sz val="9"/>
            <rFont val="Tahoma"/>
            <family val="2"/>
          </rPr>
          <t xml:space="preserve">
NMF until 2020 is unrestated</t>
        </r>
      </text>
    </comment>
    <comment ref="AK55" authorId="3" shapeId="0" xr:uid="{0216CB19-7DF7-4CD7-A76B-CED6AFFE226B}">
      <text>
        <r>
          <rPr>
            <b/>
            <sz val="9"/>
            <rFont val="Tahoma"/>
            <family val="2"/>
            <charset val="1"/>
          </rPr>
          <t>Canalyst (YiL):</t>
        </r>
        <r>
          <rPr>
            <sz val="9"/>
            <rFont val="Tahoma"/>
            <family val="2"/>
            <charset val="1"/>
          </rPr>
          <t xml:space="preserve">
NMF due to restatement of 2019 results</t>
        </r>
      </text>
    </comment>
    <comment ref="AL55" authorId="3" shapeId="0" xr:uid="{AED83025-F212-47FA-A4D1-0E2700F8202D}">
      <text>
        <r>
          <rPr>
            <b/>
            <sz val="9"/>
            <rFont val="Tahoma"/>
            <family val="2"/>
            <charset val="1"/>
          </rPr>
          <t>Canalyst (YiL):</t>
        </r>
        <r>
          <rPr>
            <sz val="9"/>
            <rFont val="Tahoma"/>
            <family val="2"/>
            <charset val="1"/>
          </rPr>
          <t xml:space="preserve">
NMF due to restatement of 2019 results</t>
        </r>
      </text>
    </comment>
    <comment ref="AM55" authorId="3" shapeId="0" xr:uid="{E7D0F0A1-C681-4F70-BAD7-29266D96418A}">
      <text>
        <r>
          <rPr>
            <b/>
            <sz val="9"/>
            <rFont val="Tahoma"/>
            <family val="2"/>
            <charset val="1"/>
          </rPr>
          <t>Canalyst (YiL):</t>
        </r>
        <r>
          <rPr>
            <sz val="9"/>
            <rFont val="Tahoma"/>
            <family val="2"/>
            <charset val="1"/>
          </rPr>
          <t xml:space="preserve">
NMF due to restatement of 2019 results</t>
        </r>
      </text>
    </comment>
    <comment ref="AN55" authorId="3" shapeId="0" xr:uid="{D29759C5-C4A5-446D-8BA8-BA7F24AB1607}">
      <text>
        <r>
          <rPr>
            <b/>
            <sz val="9"/>
            <rFont val="Tahoma"/>
            <family val="2"/>
            <charset val="1"/>
          </rPr>
          <t>Canalyst (YiL):</t>
        </r>
        <r>
          <rPr>
            <sz val="9"/>
            <rFont val="Tahoma"/>
            <family val="2"/>
            <charset val="1"/>
          </rPr>
          <t xml:space="preserve">
NMF due to restatement of 2019 results</t>
        </r>
      </text>
    </comment>
    <comment ref="AO55" authorId="3" shapeId="0" xr:uid="{C63E0DFB-19DB-4CD7-B92E-E27D4BEE6877}">
      <text>
        <r>
          <rPr>
            <b/>
            <sz val="9"/>
            <rFont val="Tahoma"/>
            <family val="2"/>
            <charset val="1"/>
          </rPr>
          <t>Canalyst (YiL):</t>
        </r>
        <r>
          <rPr>
            <sz val="9"/>
            <rFont val="Tahoma"/>
            <family val="2"/>
            <charset val="1"/>
          </rPr>
          <t xml:space="preserve">
NMF due to restatement of 2019 results</t>
        </r>
      </text>
    </comment>
    <comment ref="AU55" authorId="2" shapeId="0" xr:uid="{92BFEFE5-D517-461C-BE47-88FABEB59816}">
      <text>
        <r>
          <rPr>
            <b/>
            <sz val="9"/>
            <rFont val="Tahoma"/>
            <family val="2"/>
          </rPr>
          <t>Canalyst (SJ):</t>
        </r>
        <r>
          <rPr>
            <sz val="9"/>
            <rFont val="Tahoma"/>
            <family val="2"/>
          </rPr>
          <t xml:space="preserve">
NMF until 2020 is unrestated</t>
        </r>
      </text>
    </comment>
    <comment ref="AV55" authorId="2" shapeId="0" xr:uid="{DA5564A7-84BC-4222-AB26-18AE334DC4E8}">
      <text>
        <r>
          <rPr>
            <b/>
            <sz val="9"/>
            <rFont val="Tahoma"/>
            <family val="2"/>
          </rPr>
          <t>Canalyst (SJ):</t>
        </r>
        <r>
          <rPr>
            <sz val="9"/>
            <rFont val="Tahoma"/>
            <family val="2"/>
          </rPr>
          <t xml:space="preserve">
NMF until 2020 is unrestated</t>
        </r>
      </text>
    </comment>
    <comment ref="AW55" authorId="2" shapeId="0" xr:uid="{D9A7C99C-11FF-404C-AB6F-E7763740C785}">
      <text>
        <r>
          <rPr>
            <b/>
            <sz val="9"/>
            <rFont val="Tahoma"/>
            <family val="2"/>
          </rPr>
          <t>Canalyst (SJ):</t>
        </r>
        <r>
          <rPr>
            <sz val="9"/>
            <rFont val="Tahoma"/>
            <family val="2"/>
          </rPr>
          <t xml:space="preserve">
NMF until 2020 is unrestated</t>
        </r>
      </text>
    </comment>
    <comment ref="AX55" authorId="2" shapeId="0" xr:uid="{31B34DB3-84FD-4CC9-89AD-251123448AD5}">
      <text>
        <r>
          <rPr>
            <b/>
            <sz val="9"/>
            <rFont val="Tahoma"/>
            <family val="2"/>
          </rPr>
          <t>Canalyst (SJ):</t>
        </r>
        <r>
          <rPr>
            <sz val="9"/>
            <rFont val="Tahoma"/>
            <family val="2"/>
          </rPr>
          <t xml:space="preserve">
NMF until 2020 is unrestated</t>
        </r>
      </text>
    </comment>
    <comment ref="AY55" authorId="2" shapeId="0" xr:uid="{5C3A3322-58C4-43A8-A482-D3D401387DA8}">
      <text>
        <r>
          <rPr>
            <b/>
            <sz val="9"/>
            <rFont val="Tahoma"/>
            <family val="2"/>
          </rPr>
          <t>Canalyst (SJ):</t>
        </r>
        <r>
          <rPr>
            <sz val="9"/>
            <rFont val="Tahoma"/>
            <family val="2"/>
          </rPr>
          <t xml:space="preserve">
NMF until 2020 is unrestated</t>
        </r>
      </text>
    </comment>
    <comment ref="AK86" authorId="3" shapeId="0" xr:uid="{CDAD0F63-1145-47E2-9BD2-520FD22AB4AF}">
      <text>
        <r>
          <rPr>
            <b/>
            <sz val="9"/>
            <rFont val="Tahoma"/>
            <family val="2"/>
          </rPr>
          <t>Canalyst (YiL):</t>
        </r>
        <r>
          <rPr>
            <sz val="9"/>
            <rFont val="Tahoma"/>
            <family val="2"/>
          </rPr>
          <t xml:space="preserve">
Restated</t>
        </r>
      </text>
    </comment>
    <comment ref="AL86" authorId="3" shapeId="0" xr:uid="{83ECE311-3EF5-4F71-AC18-148A7E165ADD}">
      <text>
        <r>
          <rPr>
            <b/>
            <sz val="9"/>
            <rFont val="Tahoma"/>
            <family val="2"/>
          </rPr>
          <t>Canalyst (YiL):</t>
        </r>
        <r>
          <rPr>
            <sz val="9"/>
            <rFont val="Tahoma"/>
            <family val="2"/>
          </rPr>
          <t xml:space="preserve">
Restated</t>
        </r>
      </text>
    </comment>
    <comment ref="AM86" authorId="3" shapeId="0" xr:uid="{F772670C-B234-476A-BD89-D79B4CAD6CAC}">
      <text>
        <r>
          <rPr>
            <b/>
            <sz val="9"/>
            <rFont val="Tahoma"/>
            <family val="2"/>
          </rPr>
          <t>Canalyst (YiL):</t>
        </r>
        <r>
          <rPr>
            <sz val="9"/>
            <rFont val="Tahoma"/>
            <family val="2"/>
          </rPr>
          <t xml:space="preserve">
Restated</t>
        </r>
      </text>
    </comment>
    <comment ref="AN86" authorId="3" shapeId="0" xr:uid="{DB3A0E1D-AF18-4F22-A958-378EAC27B594}">
      <text>
        <r>
          <rPr>
            <b/>
            <sz val="9"/>
            <rFont val="Tahoma"/>
            <family val="2"/>
          </rPr>
          <t>Canalyst (YiL):</t>
        </r>
        <r>
          <rPr>
            <sz val="9"/>
            <rFont val="Tahoma"/>
            <family val="2"/>
          </rPr>
          <t xml:space="preserve">
Restated</t>
        </r>
      </text>
    </comment>
    <comment ref="AO86" authorId="3" shapeId="0" xr:uid="{D3AFDFC6-49E8-436B-9C08-0FA4DFAF2ACC}">
      <text>
        <r>
          <rPr>
            <b/>
            <sz val="9"/>
            <rFont val="Tahoma"/>
            <family val="2"/>
          </rPr>
          <t>Canalyst (YiL):</t>
        </r>
        <r>
          <rPr>
            <sz val="9"/>
            <rFont val="Tahoma"/>
            <family val="2"/>
          </rPr>
          <t xml:space="preserve">
Restated</t>
        </r>
      </text>
    </comment>
    <comment ref="AS86" authorId="1" shapeId="0" xr:uid="{BB681AA8-17DA-404F-8B5D-2173227A98CF}">
      <text>
        <r>
          <rPr>
            <b/>
            <sz val="9"/>
            <rFont val="Tahoma"/>
            <family val="2"/>
            <charset val="1"/>
          </rPr>
          <t>Canalyst (PZ):</t>
        </r>
        <r>
          <rPr>
            <sz val="9"/>
            <rFont val="Tahoma"/>
            <family val="2"/>
            <charset val="1"/>
          </rPr>
          <t xml:space="preserve">
As reported in PR.</t>
        </r>
      </text>
    </comment>
    <comment ref="AV91" authorId="1" shapeId="0" xr:uid="{05A430FD-BE3F-4926-92BD-AD872E9C9169}">
      <text>
        <r>
          <rPr>
            <b/>
            <sz val="9"/>
            <rFont val="Tahoma"/>
            <family val="2"/>
          </rPr>
          <t>Canalyst (PZ):</t>
        </r>
        <r>
          <rPr>
            <sz val="9"/>
            <rFont val="Tahoma"/>
            <family val="2"/>
          </rPr>
          <t xml:space="preserve">
Linked to operating income, as there are no adjustments for this account.</t>
        </r>
      </text>
    </comment>
    <comment ref="AW91" authorId="1" shapeId="0" xr:uid="{D4C3EC40-60A5-40B9-BC1B-241CBE8EA9C3}">
      <text>
        <r>
          <rPr>
            <b/>
            <sz val="9"/>
            <rFont val="Tahoma"/>
            <family val="2"/>
          </rPr>
          <t>Canalyst (PZ):</t>
        </r>
        <r>
          <rPr>
            <sz val="9"/>
            <rFont val="Tahoma"/>
            <family val="2"/>
          </rPr>
          <t xml:space="preserve">
Linked to operating income, as there are no adjustments for this account.</t>
        </r>
      </text>
    </comment>
    <comment ref="AX91" authorId="1" shapeId="0" xr:uid="{7EFA293C-CB65-45CC-A941-B8740EFAC32E}">
      <text>
        <r>
          <rPr>
            <b/>
            <sz val="9"/>
            <rFont val="Tahoma"/>
            <family val="2"/>
          </rPr>
          <t>Canalyst (PZ):</t>
        </r>
        <r>
          <rPr>
            <sz val="9"/>
            <rFont val="Tahoma"/>
            <family val="2"/>
          </rPr>
          <t xml:space="preserve">
Linked to operating income, as there are no adjustments for this account.</t>
        </r>
      </text>
    </comment>
    <comment ref="AZ91" authorId="1" shapeId="0" xr:uid="{6109C0CA-1CB1-45BE-9CDE-CC204540F3F5}">
      <text>
        <r>
          <rPr>
            <b/>
            <sz val="9"/>
            <rFont val="Tahoma"/>
            <family val="2"/>
          </rPr>
          <t>Canalyst (PZ):</t>
        </r>
        <r>
          <rPr>
            <sz val="9"/>
            <rFont val="Tahoma"/>
            <family val="2"/>
          </rPr>
          <t xml:space="preserve">
Linked to operating income, as there are no adjustments for this account.</t>
        </r>
      </text>
    </comment>
    <comment ref="BA91" authorId="1" shapeId="0" xr:uid="{8F42D72A-7283-4F9D-8D80-C3472F3909D5}">
      <text>
        <r>
          <rPr>
            <b/>
            <sz val="9"/>
            <rFont val="Tahoma"/>
            <family val="2"/>
          </rPr>
          <t>Canalyst (PZ):</t>
        </r>
        <r>
          <rPr>
            <sz val="9"/>
            <rFont val="Tahoma"/>
            <family val="2"/>
          </rPr>
          <t xml:space="preserve">
Linked to operating income, as there are no adjustments for this account.</t>
        </r>
      </text>
    </comment>
    <comment ref="BB91" authorId="1" shapeId="0" xr:uid="{514ECDF1-F145-4979-A292-98B08D8A049F}">
      <text>
        <r>
          <rPr>
            <b/>
            <sz val="9"/>
            <rFont val="Tahoma"/>
            <family val="2"/>
          </rPr>
          <t>Canalyst (PZ):</t>
        </r>
        <r>
          <rPr>
            <sz val="9"/>
            <rFont val="Tahoma"/>
            <family val="2"/>
          </rPr>
          <t xml:space="preserve">
Linked to operating income, as there are no adjustments for this account.</t>
        </r>
      </text>
    </comment>
    <comment ref="BC91" authorId="1" shapeId="0" xr:uid="{43B66442-7432-434B-A6F5-8538E5C3ABA1}">
      <text>
        <r>
          <rPr>
            <b/>
            <sz val="9"/>
            <rFont val="Tahoma"/>
            <family val="2"/>
          </rPr>
          <t>Canalyst (PZ):</t>
        </r>
        <r>
          <rPr>
            <sz val="9"/>
            <rFont val="Tahoma"/>
            <family val="2"/>
          </rPr>
          <t xml:space="preserve">
Linked to operating income, as there are no adjustments for this account.</t>
        </r>
      </text>
    </comment>
    <comment ref="BE91" authorId="1" shapeId="0" xr:uid="{D758EE32-7623-4618-8A85-9A3192E8E668}">
      <text>
        <r>
          <rPr>
            <b/>
            <sz val="9"/>
            <rFont val="Tahoma"/>
            <family val="2"/>
          </rPr>
          <t>Canalyst (PZ):</t>
        </r>
        <r>
          <rPr>
            <sz val="9"/>
            <rFont val="Tahoma"/>
            <family val="2"/>
          </rPr>
          <t xml:space="preserve">
Linked to operating income, as there are no adjustments for this account.</t>
        </r>
      </text>
    </comment>
    <comment ref="BF91" authorId="1" shapeId="0" xr:uid="{91972066-66EC-41EF-AC36-E73307C7F8E6}">
      <text>
        <r>
          <rPr>
            <b/>
            <sz val="9"/>
            <rFont val="Tahoma"/>
            <family val="2"/>
          </rPr>
          <t>Canalyst (PZ):</t>
        </r>
        <r>
          <rPr>
            <sz val="9"/>
            <rFont val="Tahoma"/>
            <family val="2"/>
          </rPr>
          <t xml:space="preserve">
Linked to operating income, as there are no adjustments for this account.</t>
        </r>
      </text>
    </comment>
    <comment ref="BG91" authorId="1" shapeId="0" xr:uid="{8B914824-670B-4E3F-9FDE-1B17B0190B1E}">
      <text>
        <r>
          <rPr>
            <b/>
            <sz val="9"/>
            <rFont val="Tahoma"/>
            <family val="2"/>
          </rPr>
          <t>Canalyst (PZ):</t>
        </r>
        <r>
          <rPr>
            <sz val="9"/>
            <rFont val="Tahoma"/>
            <family val="2"/>
          </rPr>
          <t xml:space="preserve">
Linked to operating income, as there are no adjustments for this account.</t>
        </r>
      </text>
    </comment>
    <comment ref="AK102" authorId="1" shapeId="0" xr:uid="{D29E4B57-B936-42B0-BE3F-AEFF0FC71182}">
      <text>
        <r>
          <rPr>
            <b/>
            <sz val="9"/>
            <rFont val="Tahoma"/>
            <family val="2"/>
            <charset val="1"/>
          </rPr>
          <t>Canalyst (PZ):</t>
        </r>
        <r>
          <rPr>
            <sz val="9"/>
            <rFont val="Tahoma"/>
            <family val="2"/>
            <charset val="1"/>
          </rPr>
          <t xml:space="preserve">
Not available for new segmentation.</t>
        </r>
      </text>
    </comment>
    <comment ref="AN102" authorId="3" shapeId="0" xr:uid="{9423C738-FD18-4E81-B2B5-1CDBDAD27982}">
      <text>
        <r>
          <rPr>
            <b/>
            <sz val="9"/>
            <rFont val="Tahoma"/>
            <family val="2"/>
            <charset val="1"/>
          </rPr>
          <t>Canalyst (YiL):</t>
        </r>
        <r>
          <rPr>
            <sz val="9"/>
            <rFont val="Tahoma"/>
            <family val="2"/>
            <charset val="1"/>
          </rPr>
          <t xml:space="preserve">
Rounded numbers reported in Business Review.
</t>
        </r>
      </text>
    </comment>
    <comment ref="AK105" authorId="1" shapeId="0" xr:uid="{CC2E8D7B-1021-4958-9FDD-85C5CBE8D98E}">
      <text>
        <r>
          <rPr>
            <b/>
            <sz val="9"/>
            <rFont val="Tahoma"/>
            <family val="2"/>
            <charset val="1"/>
          </rPr>
          <t>Canalyst (PZ):</t>
        </r>
        <r>
          <rPr>
            <sz val="9"/>
            <rFont val="Tahoma"/>
            <family val="2"/>
            <charset val="1"/>
          </rPr>
          <t xml:space="preserve">
Not available for new segmentation.</t>
        </r>
      </text>
    </comment>
    <comment ref="AN105" authorId="3" shapeId="0" xr:uid="{621BB897-7150-435A-A6A5-3694A35ED2D6}">
      <text>
        <r>
          <rPr>
            <b/>
            <sz val="9"/>
            <rFont val="Tahoma"/>
            <family val="2"/>
            <charset val="1"/>
          </rPr>
          <t>Canalyst (YiL):</t>
        </r>
        <r>
          <rPr>
            <sz val="9"/>
            <rFont val="Tahoma"/>
            <family val="2"/>
            <charset val="1"/>
          </rPr>
          <t xml:space="preserve">
Rounded numbers reported in Business Review.
</t>
        </r>
      </text>
    </comment>
    <comment ref="AK110" authorId="3" shapeId="0" xr:uid="{CF87B508-B1EC-4F75-9E9C-A54A1C69C04C}">
      <text>
        <r>
          <rPr>
            <b/>
            <sz val="9"/>
            <rFont val="Tahoma"/>
            <family val="2"/>
            <charset val="1"/>
          </rPr>
          <t>Canalyst (YiL):</t>
        </r>
        <r>
          <rPr>
            <sz val="9"/>
            <rFont val="Tahoma"/>
            <family val="2"/>
            <charset val="1"/>
          </rPr>
          <t xml:space="preserve">
NMF due to restatement of 2019 results</t>
        </r>
      </text>
    </comment>
    <comment ref="AL110" authorId="3" shapeId="0" xr:uid="{81DFA251-9C41-4985-B692-943B7B1B6BB6}">
      <text>
        <r>
          <rPr>
            <b/>
            <sz val="9"/>
            <rFont val="Tahoma"/>
            <family val="2"/>
            <charset val="1"/>
          </rPr>
          <t>Canalyst (YiL):</t>
        </r>
        <r>
          <rPr>
            <sz val="9"/>
            <rFont val="Tahoma"/>
            <family val="2"/>
            <charset val="1"/>
          </rPr>
          <t xml:space="preserve">
NMF due to restatement of 2019 results</t>
        </r>
      </text>
    </comment>
    <comment ref="AM110" authorId="3" shapeId="0" xr:uid="{7F76C8C8-72F5-49FA-B249-3D75D251588D}">
      <text>
        <r>
          <rPr>
            <b/>
            <sz val="9"/>
            <rFont val="Tahoma"/>
            <family val="2"/>
            <charset val="1"/>
          </rPr>
          <t>Canalyst (YiL):</t>
        </r>
        <r>
          <rPr>
            <sz val="9"/>
            <rFont val="Tahoma"/>
            <family val="2"/>
            <charset val="1"/>
          </rPr>
          <t xml:space="preserve">
NMF due to restatement of 2019 results</t>
        </r>
      </text>
    </comment>
    <comment ref="AN110" authorId="3" shapeId="0" xr:uid="{47C8ADF7-F4FE-49BB-9A59-E6FD43E72B98}">
      <text>
        <r>
          <rPr>
            <b/>
            <sz val="9"/>
            <rFont val="Tahoma"/>
            <family val="2"/>
            <charset val="1"/>
          </rPr>
          <t>Canalyst (YiL):</t>
        </r>
        <r>
          <rPr>
            <sz val="9"/>
            <rFont val="Tahoma"/>
            <family val="2"/>
            <charset val="1"/>
          </rPr>
          <t xml:space="preserve">
NMF due to restatement of 2019 results</t>
        </r>
      </text>
    </comment>
    <comment ref="AO110" authorId="3" shapeId="0" xr:uid="{374F2D0A-9AD6-4990-B8CF-EFE47EEFEB4F}">
      <text>
        <r>
          <rPr>
            <b/>
            <sz val="9"/>
            <rFont val="Tahoma"/>
            <family val="2"/>
            <charset val="1"/>
          </rPr>
          <t>Canalyst (YiL):</t>
        </r>
        <r>
          <rPr>
            <sz val="9"/>
            <rFont val="Tahoma"/>
            <family val="2"/>
            <charset val="1"/>
          </rPr>
          <t xml:space="preserve">
NMF due to restatement of 2019 results</t>
        </r>
      </text>
    </comment>
    <comment ref="AK111" authorId="1" shapeId="0" xr:uid="{ED229778-C36B-45DF-A22C-6A63D5974B0D}">
      <text>
        <r>
          <rPr>
            <b/>
            <sz val="9"/>
            <rFont val="Tahoma"/>
            <family val="2"/>
            <charset val="1"/>
          </rPr>
          <t>Canalyst (PZ):</t>
        </r>
        <r>
          <rPr>
            <sz val="9"/>
            <rFont val="Tahoma"/>
            <family val="2"/>
            <charset val="1"/>
          </rPr>
          <t xml:space="preserve">
Not available for new segmentation.</t>
        </r>
      </text>
    </comment>
    <comment ref="AN111" authorId="3" shapeId="0" xr:uid="{C3F132B0-8F63-4A3F-A376-6D955A91A09A}">
      <text>
        <r>
          <rPr>
            <b/>
            <sz val="9"/>
            <rFont val="Tahoma"/>
            <family val="2"/>
            <charset val="1"/>
          </rPr>
          <t>Canalyst (YiL):</t>
        </r>
        <r>
          <rPr>
            <sz val="9"/>
            <rFont val="Tahoma"/>
            <family val="2"/>
            <charset val="1"/>
          </rPr>
          <t xml:space="preserve">
Rounded numbers reported in Business Review.
</t>
        </r>
      </text>
    </comment>
    <comment ref="AK113" authorId="3" shapeId="0" xr:uid="{651B010D-A1C4-470C-A4F3-A72064DBA02C}">
      <text>
        <r>
          <rPr>
            <b/>
            <sz val="9"/>
            <rFont val="Tahoma"/>
            <family val="2"/>
            <charset val="1"/>
          </rPr>
          <t>Canalyst (YiL):</t>
        </r>
        <r>
          <rPr>
            <sz val="9"/>
            <rFont val="Tahoma"/>
            <family val="2"/>
            <charset val="1"/>
          </rPr>
          <t xml:space="preserve">
NMF due to restatement of 2019 results</t>
        </r>
      </text>
    </comment>
    <comment ref="AL113" authorId="3" shapeId="0" xr:uid="{A30E77FA-23FA-4D4C-B3CB-4C1FBE940D8B}">
      <text>
        <r>
          <rPr>
            <b/>
            <sz val="9"/>
            <rFont val="Tahoma"/>
            <family val="2"/>
            <charset val="1"/>
          </rPr>
          <t>Canalyst (YiL):</t>
        </r>
        <r>
          <rPr>
            <sz val="9"/>
            <rFont val="Tahoma"/>
            <family val="2"/>
            <charset val="1"/>
          </rPr>
          <t xml:space="preserve">
NMF due to restatement of 2019 results</t>
        </r>
      </text>
    </comment>
    <comment ref="AM113" authorId="3" shapeId="0" xr:uid="{F71A7ECE-4F10-45B1-B916-49B82C9DB0E5}">
      <text>
        <r>
          <rPr>
            <b/>
            <sz val="9"/>
            <rFont val="Tahoma"/>
            <family val="2"/>
            <charset val="1"/>
          </rPr>
          <t>Canalyst (YiL):</t>
        </r>
        <r>
          <rPr>
            <sz val="9"/>
            <rFont val="Tahoma"/>
            <family val="2"/>
            <charset val="1"/>
          </rPr>
          <t xml:space="preserve">
NMF due to restatement of 2019 results</t>
        </r>
      </text>
    </comment>
    <comment ref="AN113" authorId="3" shapeId="0" xr:uid="{CC2BE50E-18AC-41EE-8A00-86DA383D06CC}">
      <text>
        <r>
          <rPr>
            <b/>
            <sz val="9"/>
            <rFont val="Tahoma"/>
            <family val="2"/>
            <charset val="1"/>
          </rPr>
          <t>Canalyst (YiL):</t>
        </r>
        <r>
          <rPr>
            <sz val="9"/>
            <rFont val="Tahoma"/>
            <family val="2"/>
            <charset val="1"/>
          </rPr>
          <t xml:space="preserve">
NMF due to restatement of 2019 results</t>
        </r>
      </text>
    </comment>
    <comment ref="AO113" authorId="3" shapeId="0" xr:uid="{F4DB5A72-3E19-4A15-8182-6A5CE70862C7}">
      <text>
        <r>
          <rPr>
            <b/>
            <sz val="9"/>
            <rFont val="Tahoma"/>
            <family val="2"/>
            <charset val="1"/>
          </rPr>
          <t>Canalyst (YiL):</t>
        </r>
        <r>
          <rPr>
            <sz val="9"/>
            <rFont val="Tahoma"/>
            <family val="2"/>
            <charset val="1"/>
          </rPr>
          <t xml:space="preserve">
NMF due to restatement of 2019 results</t>
        </r>
      </text>
    </comment>
    <comment ref="AK114" authorId="1" shapeId="0" xr:uid="{ED37C453-3524-406F-ABA6-891F33B7E0A2}">
      <text>
        <r>
          <rPr>
            <b/>
            <sz val="9"/>
            <rFont val="Tahoma"/>
            <family val="2"/>
            <charset val="1"/>
          </rPr>
          <t>Canalyst (PZ):</t>
        </r>
        <r>
          <rPr>
            <sz val="9"/>
            <rFont val="Tahoma"/>
            <family val="2"/>
            <charset val="1"/>
          </rPr>
          <t xml:space="preserve">
Not available for new segmentation.</t>
        </r>
      </text>
    </comment>
    <comment ref="AN114" authorId="3" shapeId="0" xr:uid="{51086621-62D6-4D40-8A2E-25C50B29BA20}">
      <text>
        <r>
          <rPr>
            <b/>
            <sz val="9"/>
            <rFont val="Tahoma"/>
            <family val="2"/>
            <charset val="1"/>
          </rPr>
          <t>Canalyst (YiL):</t>
        </r>
        <r>
          <rPr>
            <sz val="9"/>
            <rFont val="Tahoma"/>
            <family val="2"/>
            <charset val="1"/>
          </rPr>
          <t xml:space="preserve">
Rounded numbers reported in Business Review.
</t>
        </r>
      </text>
    </comment>
    <comment ref="AK116" authorId="3" shapeId="0" xr:uid="{79151C66-493F-40BA-995F-B3A63FFE168E}">
      <text>
        <r>
          <rPr>
            <b/>
            <sz val="9"/>
            <rFont val="Tahoma"/>
            <family val="2"/>
            <charset val="1"/>
          </rPr>
          <t>Canalyst (YiL):</t>
        </r>
        <r>
          <rPr>
            <sz val="9"/>
            <rFont val="Tahoma"/>
            <family val="2"/>
            <charset val="1"/>
          </rPr>
          <t xml:space="preserve">
NMF due to restatement of 2019 results</t>
        </r>
      </text>
    </comment>
    <comment ref="AL116" authorId="3" shapeId="0" xr:uid="{5C6A2C97-C2F5-4E7B-BBED-5B358A8543EE}">
      <text>
        <r>
          <rPr>
            <b/>
            <sz val="9"/>
            <rFont val="Tahoma"/>
            <family val="2"/>
            <charset val="1"/>
          </rPr>
          <t>Canalyst (YiL):</t>
        </r>
        <r>
          <rPr>
            <sz val="9"/>
            <rFont val="Tahoma"/>
            <family val="2"/>
            <charset val="1"/>
          </rPr>
          <t xml:space="preserve">
NMF due to restatement of 2019 results</t>
        </r>
      </text>
    </comment>
    <comment ref="AM116" authorId="3" shapeId="0" xr:uid="{55D7BD45-A982-42BF-BD84-F37B314FF604}">
      <text>
        <r>
          <rPr>
            <b/>
            <sz val="9"/>
            <rFont val="Tahoma"/>
            <family val="2"/>
            <charset val="1"/>
          </rPr>
          <t>Canalyst (YiL):</t>
        </r>
        <r>
          <rPr>
            <sz val="9"/>
            <rFont val="Tahoma"/>
            <family val="2"/>
            <charset val="1"/>
          </rPr>
          <t xml:space="preserve">
NMF due to restatement of 2019 results</t>
        </r>
      </text>
    </comment>
    <comment ref="AN116" authorId="3" shapeId="0" xr:uid="{889D930F-8208-4F26-B92A-57D33F0D89F7}">
      <text>
        <r>
          <rPr>
            <b/>
            <sz val="9"/>
            <rFont val="Tahoma"/>
            <family val="2"/>
            <charset val="1"/>
          </rPr>
          <t>Canalyst (YiL):</t>
        </r>
        <r>
          <rPr>
            <sz val="9"/>
            <rFont val="Tahoma"/>
            <family val="2"/>
            <charset val="1"/>
          </rPr>
          <t xml:space="preserve">
NMF due to restatement of 2019 results</t>
        </r>
      </text>
    </comment>
    <comment ref="AO116" authorId="3" shapeId="0" xr:uid="{E721682A-38E3-4041-A85B-046610729A5D}">
      <text>
        <r>
          <rPr>
            <b/>
            <sz val="9"/>
            <rFont val="Tahoma"/>
            <family val="2"/>
            <charset val="1"/>
          </rPr>
          <t>Canalyst (YiL):</t>
        </r>
        <r>
          <rPr>
            <sz val="9"/>
            <rFont val="Tahoma"/>
            <family val="2"/>
            <charset val="1"/>
          </rPr>
          <t xml:space="preserve">
NMF due to restatement of 2019 results</t>
        </r>
      </text>
    </comment>
    <comment ref="AK117" authorId="3" shapeId="0" xr:uid="{80514674-E7FE-47E3-87BB-5127377B5137}">
      <text>
        <r>
          <rPr>
            <b/>
            <sz val="9"/>
            <rFont val="Tahoma"/>
            <family val="2"/>
            <charset val="1"/>
          </rPr>
          <t>Canalyst (YiL):</t>
        </r>
        <r>
          <rPr>
            <sz val="9"/>
            <rFont val="Tahoma"/>
            <family val="2"/>
            <charset val="1"/>
          </rPr>
          <t xml:space="preserve">
NMF due to restatement of 2019 results</t>
        </r>
      </text>
    </comment>
    <comment ref="AL117" authorId="3" shapeId="0" xr:uid="{62CC72CB-B111-4910-ADCD-A38282D6BB41}">
      <text>
        <r>
          <rPr>
            <b/>
            <sz val="9"/>
            <rFont val="Tahoma"/>
            <family val="2"/>
            <charset val="1"/>
          </rPr>
          <t>Canalyst (YiL):</t>
        </r>
        <r>
          <rPr>
            <sz val="9"/>
            <rFont val="Tahoma"/>
            <family val="2"/>
            <charset val="1"/>
          </rPr>
          <t xml:space="preserve">
NMF due to restatement of 2019 results</t>
        </r>
      </text>
    </comment>
    <comment ref="AM117" authorId="3" shapeId="0" xr:uid="{063BEC6A-C082-44C5-AAFE-34AA2B46406A}">
      <text>
        <r>
          <rPr>
            <b/>
            <sz val="9"/>
            <rFont val="Tahoma"/>
            <family val="2"/>
            <charset val="1"/>
          </rPr>
          <t>Canalyst (YiL):</t>
        </r>
        <r>
          <rPr>
            <sz val="9"/>
            <rFont val="Tahoma"/>
            <family val="2"/>
            <charset val="1"/>
          </rPr>
          <t xml:space="preserve">
NMF due to restatement of 2019 results</t>
        </r>
      </text>
    </comment>
    <comment ref="AN117" authorId="3" shapeId="0" xr:uid="{D14D4C65-359B-4BC2-8BF3-591C9D4D9BE9}">
      <text>
        <r>
          <rPr>
            <b/>
            <sz val="9"/>
            <rFont val="Tahoma"/>
            <family val="2"/>
            <charset val="1"/>
          </rPr>
          <t>Canalyst (YiL):</t>
        </r>
        <r>
          <rPr>
            <sz val="9"/>
            <rFont val="Tahoma"/>
            <family val="2"/>
            <charset val="1"/>
          </rPr>
          <t xml:space="preserve">
NMF due to restatement of 2019 results</t>
        </r>
      </text>
    </comment>
    <comment ref="AO117" authorId="3" shapeId="0" xr:uid="{156062FF-2CB0-4D4A-A2EB-93B7A17C3A9C}">
      <text>
        <r>
          <rPr>
            <b/>
            <sz val="9"/>
            <rFont val="Tahoma"/>
            <family val="2"/>
            <charset val="1"/>
          </rPr>
          <t>Canalyst (YiL):</t>
        </r>
        <r>
          <rPr>
            <sz val="9"/>
            <rFont val="Tahoma"/>
            <family val="2"/>
            <charset val="1"/>
          </rPr>
          <t xml:space="preserve">
NMF due to restatement of 2019 results</t>
        </r>
      </text>
    </comment>
    <comment ref="AU126" authorId="2" shapeId="0" xr:uid="{BDB8B884-4FAF-4663-9665-F49AFA1EEAD3}">
      <text>
        <r>
          <rPr>
            <b/>
            <sz val="9"/>
            <rFont val="Tahoma"/>
            <family val="2"/>
          </rPr>
          <t>Canalyst (SJ):</t>
        </r>
        <r>
          <rPr>
            <sz val="9"/>
            <rFont val="Tahoma"/>
            <family val="2"/>
          </rPr>
          <t xml:space="preserve">
Restated rev</t>
        </r>
      </text>
    </comment>
    <comment ref="AV132" authorId="2" shapeId="0" xr:uid="{9CE9B764-7BAF-485A-918A-178E43C479C5}">
      <text>
        <r>
          <rPr>
            <b/>
            <sz val="9"/>
            <rFont val="Tahoma"/>
            <family val="2"/>
          </rPr>
          <t>Canalyst (SJ):</t>
        </r>
        <r>
          <rPr>
            <sz val="9"/>
            <rFont val="Tahoma"/>
            <family val="2"/>
          </rPr>
          <t xml:space="preserve">
Hardcoded due to 2020 restatement</t>
        </r>
      </text>
    </comment>
    <comment ref="AW132" authorId="2" shapeId="0" xr:uid="{E5DA8412-A994-417A-8135-1940B86E95F2}">
      <text>
        <r>
          <rPr>
            <b/>
            <sz val="9"/>
            <rFont val="Tahoma"/>
            <family val="2"/>
          </rPr>
          <t>Canalyst (SJ):</t>
        </r>
        <r>
          <rPr>
            <sz val="9"/>
            <rFont val="Tahoma"/>
            <family val="2"/>
          </rPr>
          <t xml:space="preserve">
Hardcoded due to 2020 restatement</t>
        </r>
      </text>
    </comment>
    <comment ref="AX132" authorId="2" shapeId="0" xr:uid="{92F15C12-69C6-401D-B93D-1452390486DF}">
      <text>
        <r>
          <rPr>
            <b/>
            <sz val="9"/>
            <rFont val="Tahoma"/>
            <family val="2"/>
          </rPr>
          <t>Canalyst (SJ):</t>
        </r>
        <r>
          <rPr>
            <sz val="9"/>
            <rFont val="Tahoma"/>
            <family val="2"/>
          </rPr>
          <t xml:space="preserve">
Hardcoded due to 2020 restatement</t>
        </r>
      </text>
    </comment>
    <comment ref="AK136" authorId="3" shapeId="0" xr:uid="{4374DB82-D55D-4D87-86E7-92FD5E0B5AE0}">
      <text>
        <r>
          <rPr>
            <b/>
            <sz val="9"/>
            <rFont val="Tahoma"/>
            <family val="2"/>
            <charset val="1"/>
          </rPr>
          <t>Canalyst (YiL):</t>
        </r>
        <r>
          <rPr>
            <sz val="9"/>
            <rFont val="Tahoma"/>
            <family val="2"/>
            <charset val="1"/>
          </rPr>
          <t xml:space="preserve">
Restated</t>
        </r>
      </text>
    </comment>
    <comment ref="AL136" authorId="3" shapeId="0" xr:uid="{E885504E-CFF8-49D9-AA93-AB924A1E57C2}">
      <text>
        <r>
          <rPr>
            <b/>
            <sz val="9"/>
            <rFont val="Tahoma"/>
            <family val="2"/>
            <charset val="1"/>
          </rPr>
          <t>Canalyst (YiL):</t>
        </r>
        <r>
          <rPr>
            <sz val="9"/>
            <rFont val="Tahoma"/>
            <family val="2"/>
            <charset val="1"/>
          </rPr>
          <t xml:space="preserve">
Restated</t>
        </r>
      </text>
    </comment>
    <comment ref="AM136" authorId="3" shapeId="0" xr:uid="{CF370750-359D-44BA-A923-D9891F508607}">
      <text>
        <r>
          <rPr>
            <b/>
            <sz val="9"/>
            <rFont val="Tahoma"/>
            <family val="2"/>
            <charset val="1"/>
          </rPr>
          <t>Canalyst (YiL):</t>
        </r>
        <r>
          <rPr>
            <sz val="9"/>
            <rFont val="Tahoma"/>
            <family val="2"/>
            <charset val="1"/>
          </rPr>
          <t xml:space="preserve">
Restated</t>
        </r>
      </text>
    </comment>
    <comment ref="AN136" authorId="3" shapeId="0" xr:uid="{F122ACC1-4346-441E-8381-D42EE10AD3EF}">
      <text>
        <r>
          <rPr>
            <b/>
            <sz val="9"/>
            <rFont val="Tahoma"/>
            <family val="2"/>
            <charset val="1"/>
          </rPr>
          <t>Canalyst (YiL):</t>
        </r>
        <r>
          <rPr>
            <sz val="9"/>
            <rFont val="Tahoma"/>
            <family val="2"/>
            <charset val="1"/>
          </rPr>
          <t xml:space="preserve">
Restated</t>
        </r>
      </text>
    </comment>
    <comment ref="AO136" authorId="3" shapeId="0" xr:uid="{10757CBD-3FE1-4510-99FE-9B58CFD68842}">
      <text>
        <r>
          <rPr>
            <b/>
            <sz val="9"/>
            <rFont val="Tahoma"/>
            <family val="2"/>
            <charset val="1"/>
          </rPr>
          <t>Canalyst (YiL):</t>
        </r>
        <r>
          <rPr>
            <sz val="9"/>
            <rFont val="Tahoma"/>
            <family val="2"/>
            <charset val="1"/>
          </rPr>
          <t xml:space="preserve">
Restated</t>
        </r>
      </text>
    </comment>
    <comment ref="AK137" authorId="3" shapeId="0" xr:uid="{65AC9174-2285-4203-859B-07AB7AE1F4C6}">
      <text>
        <r>
          <rPr>
            <b/>
            <sz val="9"/>
            <rFont val="Tahoma"/>
            <family val="2"/>
            <charset val="1"/>
          </rPr>
          <t>Canalyst (YiL):</t>
        </r>
        <r>
          <rPr>
            <sz val="9"/>
            <rFont val="Tahoma"/>
            <family val="2"/>
            <charset val="1"/>
          </rPr>
          <t xml:space="preserve">
Restated</t>
        </r>
      </text>
    </comment>
    <comment ref="AL137" authorId="3" shapeId="0" xr:uid="{4AA35AE9-9304-4E6E-B1F1-F87A7AEC7F10}">
      <text>
        <r>
          <rPr>
            <b/>
            <sz val="9"/>
            <rFont val="Tahoma"/>
            <family val="2"/>
            <charset val="1"/>
          </rPr>
          <t>Canalyst (YiL):</t>
        </r>
        <r>
          <rPr>
            <sz val="9"/>
            <rFont val="Tahoma"/>
            <family val="2"/>
            <charset val="1"/>
          </rPr>
          <t xml:space="preserve">
Restated</t>
        </r>
      </text>
    </comment>
    <comment ref="AM137" authorId="3" shapeId="0" xr:uid="{66386E60-D574-4698-9F5B-E758393871D2}">
      <text>
        <r>
          <rPr>
            <b/>
            <sz val="9"/>
            <rFont val="Tahoma"/>
            <family val="2"/>
            <charset val="1"/>
          </rPr>
          <t>Canalyst (YiL):</t>
        </r>
        <r>
          <rPr>
            <sz val="9"/>
            <rFont val="Tahoma"/>
            <family val="2"/>
            <charset val="1"/>
          </rPr>
          <t xml:space="preserve">
Restated</t>
        </r>
      </text>
    </comment>
    <comment ref="AN137" authorId="3" shapeId="0" xr:uid="{03FCBF7D-07D9-4B49-9BF4-36B10CEB32F4}">
      <text>
        <r>
          <rPr>
            <b/>
            <sz val="9"/>
            <rFont val="Tahoma"/>
            <family val="2"/>
            <charset val="1"/>
          </rPr>
          <t>Canalyst (YiL):</t>
        </r>
        <r>
          <rPr>
            <sz val="9"/>
            <rFont val="Tahoma"/>
            <family val="2"/>
            <charset val="1"/>
          </rPr>
          <t xml:space="preserve">
Restated</t>
        </r>
      </text>
    </comment>
    <comment ref="AO137" authorId="3" shapeId="0" xr:uid="{4A275077-C16F-42BE-9BB9-2E433EDD9B2F}">
      <text>
        <r>
          <rPr>
            <b/>
            <sz val="9"/>
            <rFont val="Tahoma"/>
            <family val="2"/>
            <charset val="1"/>
          </rPr>
          <t>Canalyst (YiL):</t>
        </r>
        <r>
          <rPr>
            <sz val="9"/>
            <rFont val="Tahoma"/>
            <family val="2"/>
            <charset val="1"/>
          </rPr>
          <t xml:space="preserve">
Restated</t>
        </r>
      </text>
    </comment>
    <comment ref="AK138" authorId="3" shapeId="0" xr:uid="{09FBC32D-361D-4ABB-ACF8-95A43D524F60}">
      <text>
        <r>
          <rPr>
            <b/>
            <sz val="9"/>
            <rFont val="Tahoma"/>
            <family val="2"/>
            <charset val="1"/>
          </rPr>
          <t>Canalyst (YiL):</t>
        </r>
        <r>
          <rPr>
            <sz val="9"/>
            <rFont val="Tahoma"/>
            <family val="2"/>
            <charset val="1"/>
          </rPr>
          <t xml:space="preserve">
Restated</t>
        </r>
      </text>
    </comment>
    <comment ref="AL138" authorId="3" shapeId="0" xr:uid="{2BB9350B-B621-4F39-A737-E7DB3C753785}">
      <text>
        <r>
          <rPr>
            <b/>
            <sz val="9"/>
            <rFont val="Tahoma"/>
            <family val="2"/>
            <charset val="1"/>
          </rPr>
          <t>Canalyst (YiL):</t>
        </r>
        <r>
          <rPr>
            <sz val="9"/>
            <rFont val="Tahoma"/>
            <family val="2"/>
            <charset val="1"/>
          </rPr>
          <t xml:space="preserve">
Restated</t>
        </r>
      </text>
    </comment>
    <comment ref="AM138" authorId="3" shapeId="0" xr:uid="{4C62B0AE-3D36-440D-A957-B9B260FD8104}">
      <text>
        <r>
          <rPr>
            <b/>
            <sz val="9"/>
            <rFont val="Tahoma"/>
            <family val="2"/>
            <charset val="1"/>
          </rPr>
          <t>Canalyst (YiL):</t>
        </r>
        <r>
          <rPr>
            <sz val="9"/>
            <rFont val="Tahoma"/>
            <family val="2"/>
            <charset val="1"/>
          </rPr>
          <t xml:space="preserve">
Restated</t>
        </r>
      </text>
    </comment>
    <comment ref="AN138" authorId="3" shapeId="0" xr:uid="{287B5533-CD46-4BFB-810C-ED01EA7A31A4}">
      <text>
        <r>
          <rPr>
            <b/>
            <sz val="9"/>
            <rFont val="Tahoma"/>
            <family val="2"/>
            <charset val="1"/>
          </rPr>
          <t>Canalyst (YiL):</t>
        </r>
        <r>
          <rPr>
            <sz val="9"/>
            <rFont val="Tahoma"/>
            <family val="2"/>
            <charset val="1"/>
          </rPr>
          <t xml:space="preserve">
Restated</t>
        </r>
      </text>
    </comment>
    <comment ref="AO138" authorId="3" shapeId="0" xr:uid="{A7EB052A-4722-4F05-B3D4-15C39E19A7FB}">
      <text>
        <r>
          <rPr>
            <b/>
            <sz val="9"/>
            <rFont val="Tahoma"/>
            <family val="2"/>
            <charset val="1"/>
          </rPr>
          <t>Canalyst (YiL):</t>
        </r>
        <r>
          <rPr>
            <sz val="9"/>
            <rFont val="Tahoma"/>
            <family val="2"/>
            <charset val="1"/>
          </rPr>
          <t xml:space="preserve">
Restated</t>
        </r>
      </text>
    </comment>
    <comment ref="AK139" authorId="3" shapeId="0" xr:uid="{285A78E5-70F8-4428-8857-44B67200CF13}">
      <text>
        <r>
          <rPr>
            <b/>
            <sz val="9"/>
            <rFont val="Tahoma"/>
            <family val="2"/>
            <charset val="1"/>
          </rPr>
          <t>Canalyst (YiL):</t>
        </r>
        <r>
          <rPr>
            <sz val="9"/>
            <rFont val="Tahoma"/>
            <family val="2"/>
            <charset val="1"/>
          </rPr>
          <t xml:space="preserve">
Restated</t>
        </r>
      </text>
    </comment>
    <comment ref="AL139" authorId="3" shapeId="0" xr:uid="{1C6FF375-42F6-4D92-B095-D9833363216C}">
      <text>
        <r>
          <rPr>
            <b/>
            <sz val="9"/>
            <rFont val="Tahoma"/>
            <family val="2"/>
            <charset val="1"/>
          </rPr>
          <t>Canalyst (YiL):</t>
        </r>
        <r>
          <rPr>
            <sz val="9"/>
            <rFont val="Tahoma"/>
            <family val="2"/>
            <charset val="1"/>
          </rPr>
          <t xml:space="preserve">
Restated</t>
        </r>
      </text>
    </comment>
    <comment ref="AM139" authorId="3" shapeId="0" xr:uid="{7660C93F-1AFD-4F53-88ED-8176F3697C4A}">
      <text>
        <r>
          <rPr>
            <b/>
            <sz val="9"/>
            <rFont val="Tahoma"/>
            <family val="2"/>
            <charset val="1"/>
          </rPr>
          <t>Canalyst (YiL):</t>
        </r>
        <r>
          <rPr>
            <sz val="9"/>
            <rFont val="Tahoma"/>
            <family val="2"/>
            <charset val="1"/>
          </rPr>
          <t xml:space="preserve">
Restated</t>
        </r>
      </text>
    </comment>
    <comment ref="AN139" authorId="3" shapeId="0" xr:uid="{42262276-BA6C-46E8-B018-3873828E6380}">
      <text>
        <r>
          <rPr>
            <b/>
            <sz val="9"/>
            <rFont val="Tahoma"/>
            <family val="2"/>
            <charset val="1"/>
          </rPr>
          <t>Canalyst (YiL):</t>
        </r>
        <r>
          <rPr>
            <sz val="9"/>
            <rFont val="Tahoma"/>
            <family val="2"/>
            <charset val="1"/>
          </rPr>
          <t xml:space="preserve">
Restated</t>
        </r>
      </text>
    </comment>
    <comment ref="AO139" authorId="3" shapeId="0" xr:uid="{004681DC-5E05-4DA0-A02D-A064496F5FAA}">
      <text>
        <r>
          <rPr>
            <b/>
            <sz val="9"/>
            <rFont val="Tahoma"/>
            <family val="2"/>
            <charset val="1"/>
          </rPr>
          <t>Canalyst (YiL):</t>
        </r>
        <r>
          <rPr>
            <sz val="9"/>
            <rFont val="Tahoma"/>
            <family val="2"/>
            <charset val="1"/>
          </rPr>
          <t xml:space="preserve">
Restated</t>
        </r>
      </text>
    </comment>
    <comment ref="AK140" authorId="3" shapeId="0" xr:uid="{6D35129E-709A-4B82-983D-9424C23D5753}">
      <text>
        <r>
          <rPr>
            <b/>
            <sz val="9"/>
            <rFont val="Tahoma"/>
            <family val="2"/>
            <charset val="1"/>
          </rPr>
          <t>Canalyst (YiL):</t>
        </r>
        <r>
          <rPr>
            <sz val="9"/>
            <rFont val="Tahoma"/>
            <family val="2"/>
            <charset val="1"/>
          </rPr>
          <t xml:space="preserve">
Restated</t>
        </r>
      </text>
    </comment>
    <comment ref="AL140" authorId="3" shapeId="0" xr:uid="{A804F7A6-43E7-4C54-9CE2-C6BB70EE3443}">
      <text>
        <r>
          <rPr>
            <b/>
            <sz val="9"/>
            <rFont val="Tahoma"/>
            <family val="2"/>
            <charset val="1"/>
          </rPr>
          <t>Canalyst (YiL):</t>
        </r>
        <r>
          <rPr>
            <sz val="9"/>
            <rFont val="Tahoma"/>
            <family val="2"/>
            <charset val="1"/>
          </rPr>
          <t xml:space="preserve">
Restated</t>
        </r>
      </text>
    </comment>
    <comment ref="AM140" authorId="3" shapeId="0" xr:uid="{1FEA4907-79DB-4D11-B756-C836606E15DC}">
      <text>
        <r>
          <rPr>
            <b/>
            <sz val="9"/>
            <rFont val="Tahoma"/>
            <family val="2"/>
            <charset val="1"/>
          </rPr>
          <t>Canalyst (YiL):</t>
        </r>
        <r>
          <rPr>
            <sz val="9"/>
            <rFont val="Tahoma"/>
            <family val="2"/>
            <charset val="1"/>
          </rPr>
          <t xml:space="preserve">
Restated</t>
        </r>
      </text>
    </comment>
    <comment ref="AN140" authorId="3" shapeId="0" xr:uid="{4C702A4D-AD28-4510-B189-B945ACA546F3}">
      <text>
        <r>
          <rPr>
            <b/>
            <sz val="9"/>
            <rFont val="Tahoma"/>
            <family val="2"/>
            <charset val="1"/>
          </rPr>
          <t>Canalyst (YiL):</t>
        </r>
        <r>
          <rPr>
            <sz val="9"/>
            <rFont val="Tahoma"/>
            <family val="2"/>
            <charset val="1"/>
          </rPr>
          <t xml:space="preserve">
Restated</t>
        </r>
      </text>
    </comment>
    <comment ref="AO140" authorId="3" shapeId="0" xr:uid="{28335527-CA57-46DB-810A-2C14A689DD88}">
      <text>
        <r>
          <rPr>
            <b/>
            <sz val="9"/>
            <rFont val="Tahoma"/>
            <family val="2"/>
            <charset val="1"/>
          </rPr>
          <t>Canalyst (YiL):</t>
        </r>
        <r>
          <rPr>
            <sz val="9"/>
            <rFont val="Tahoma"/>
            <family val="2"/>
            <charset val="1"/>
          </rPr>
          <t xml:space="preserve">
Restated</t>
        </r>
      </text>
    </comment>
    <comment ref="AN145" authorId="3" shapeId="0" xr:uid="{5613A88F-15E5-4957-86D0-8813A4438A80}">
      <text>
        <r>
          <rPr>
            <b/>
            <sz val="9"/>
            <rFont val="Tahoma"/>
            <family val="2"/>
          </rPr>
          <t>Canalyst (YiL):</t>
        </r>
        <r>
          <rPr>
            <sz val="9"/>
            <rFont val="Tahoma"/>
            <family val="2"/>
          </rPr>
          <t xml:space="preserve">
As restated</t>
        </r>
      </text>
    </comment>
    <comment ref="AS145" authorId="1" shapeId="0" xr:uid="{5F257102-22E8-4EA8-BA5B-2A83E1FF00A4}">
      <text>
        <r>
          <rPr>
            <b/>
            <sz val="9"/>
            <rFont val="Tahoma"/>
            <family val="2"/>
            <charset val="1"/>
          </rPr>
          <t>Canalyst (PZ):</t>
        </r>
        <r>
          <rPr>
            <sz val="9"/>
            <rFont val="Tahoma"/>
            <family val="2"/>
            <charset val="1"/>
          </rPr>
          <t xml:space="preserve">
As reported.</t>
        </r>
      </text>
    </comment>
    <comment ref="AV150" authorId="2" shapeId="0" xr:uid="{A3EC1923-2093-4C2A-A7E5-D49B1147E116}">
      <text>
        <r>
          <rPr>
            <b/>
            <sz val="9"/>
            <rFont val="Tahoma"/>
            <family val="2"/>
          </rPr>
          <t>Canalyst (SJ):</t>
        </r>
        <r>
          <rPr>
            <sz val="9"/>
            <rFont val="Tahoma"/>
            <family val="2"/>
          </rPr>
          <t xml:space="preserve">
Hardcoded due to 2020 restatement</t>
        </r>
      </text>
    </comment>
    <comment ref="AW150" authorId="2" shapeId="0" xr:uid="{9C759582-FC81-4D83-B0A6-D11C119CBAD4}">
      <text>
        <r>
          <rPr>
            <b/>
            <sz val="9"/>
            <rFont val="Tahoma"/>
            <family val="2"/>
          </rPr>
          <t>Canalyst (SJ):</t>
        </r>
        <r>
          <rPr>
            <sz val="9"/>
            <rFont val="Tahoma"/>
            <family val="2"/>
          </rPr>
          <t xml:space="preserve">
Hardcoded due to 2020 restatement</t>
        </r>
      </text>
    </comment>
    <comment ref="AX150" authorId="2" shapeId="0" xr:uid="{3BF2F3E2-B09D-441D-AC86-8519818CCECB}">
      <text>
        <r>
          <rPr>
            <b/>
            <sz val="9"/>
            <rFont val="Tahoma"/>
            <family val="2"/>
          </rPr>
          <t>Canalyst (SJ):</t>
        </r>
        <r>
          <rPr>
            <sz val="9"/>
            <rFont val="Tahoma"/>
            <family val="2"/>
          </rPr>
          <t xml:space="preserve">
Hardcoded due to 2020 restatement</t>
        </r>
      </text>
    </comment>
    <comment ref="AK151" authorId="3" shapeId="0" xr:uid="{3C5227D1-DA63-450F-A784-B2CF8D6F5296}">
      <text>
        <r>
          <rPr>
            <b/>
            <sz val="9"/>
            <rFont val="Tahoma"/>
            <family val="2"/>
            <charset val="1"/>
          </rPr>
          <t>Canalyst (YiL):</t>
        </r>
        <r>
          <rPr>
            <sz val="9"/>
            <rFont val="Tahoma"/>
            <family val="2"/>
            <charset val="1"/>
          </rPr>
          <t xml:space="preserve">
Not meaningful due to realignment</t>
        </r>
      </text>
    </comment>
    <comment ref="AL151" authorId="3" shapeId="0" xr:uid="{519A08B6-436F-4DFC-B28B-96204B7DC026}">
      <text>
        <r>
          <rPr>
            <b/>
            <sz val="9"/>
            <rFont val="Tahoma"/>
            <family val="2"/>
            <charset val="1"/>
          </rPr>
          <t>Canalyst (YiL):</t>
        </r>
        <r>
          <rPr>
            <sz val="9"/>
            <rFont val="Tahoma"/>
            <family val="2"/>
            <charset val="1"/>
          </rPr>
          <t xml:space="preserve">
Not meaningful due to realignment</t>
        </r>
      </text>
    </comment>
    <comment ref="AM151" authorId="3" shapeId="0" xr:uid="{E3F3BBCC-9BF0-4980-AF81-DF95C044B138}">
      <text>
        <r>
          <rPr>
            <b/>
            <sz val="9"/>
            <rFont val="Tahoma"/>
            <family val="2"/>
            <charset val="1"/>
          </rPr>
          <t>Canalyst (YiL):</t>
        </r>
        <r>
          <rPr>
            <sz val="9"/>
            <rFont val="Tahoma"/>
            <family val="2"/>
            <charset val="1"/>
          </rPr>
          <t xml:space="preserve">
Not meaningful due to realignment</t>
        </r>
      </text>
    </comment>
    <comment ref="AN151" authorId="3" shapeId="0" xr:uid="{DF92B217-1F02-4F7D-82AB-6F9FDD50A43B}">
      <text>
        <r>
          <rPr>
            <b/>
            <sz val="9"/>
            <rFont val="Tahoma"/>
            <family val="2"/>
            <charset val="1"/>
          </rPr>
          <t>Canalyst (YiL):</t>
        </r>
        <r>
          <rPr>
            <sz val="9"/>
            <rFont val="Tahoma"/>
            <family val="2"/>
            <charset val="1"/>
          </rPr>
          <t xml:space="preserve">
Not meaningful due to realignment</t>
        </r>
      </text>
    </comment>
    <comment ref="AO151" authorId="3" shapeId="0" xr:uid="{A29E9DD7-3B84-4134-BA37-4E5181DD7D0D}">
      <text>
        <r>
          <rPr>
            <b/>
            <sz val="9"/>
            <rFont val="Tahoma"/>
            <family val="2"/>
            <charset val="1"/>
          </rPr>
          <t>Canalyst (YiL):</t>
        </r>
        <r>
          <rPr>
            <sz val="9"/>
            <rFont val="Tahoma"/>
            <family val="2"/>
            <charset val="1"/>
          </rPr>
          <t xml:space="preserve">
Not meaningful due to realignment</t>
        </r>
      </text>
    </comment>
    <comment ref="AU151" authorId="2" shapeId="0" xr:uid="{59C4E894-E6C8-49AA-AFC0-C0C66BE8DDA5}">
      <text>
        <r>
          <rPr>
            <b/>
            <sz val="9"/>
            <rFont val="Tahoma"/>
            <family val="2"/>
          </rPr>
          <t>Canalyst (SJ):</t>
        </r>
        <r>
          <rPr>
            <sz val="9"/>
            <rFont val="Tahoma"/>
            <family val="2"/>
          </rPr>
          <t xml:space="preserve">
NMF</t>
        </r>
      </text>
    </comment>
    <comment ref="AK152" authorId="3" shapeId="0" xr:uid="{5724016A-016F-4BF5-88A6-9B56BD3FFDCE}">
      <text>
        <r>
          <rPr>
            <b/>
            <sz val="9"/>
            <rFont val="Tahoma"/>
            <family val="2"/>
            <charset val="1"/>
          </rPr>
          <t>Canalyst (YiL):</t>
        </r>
        <r>
          <rPr>
            <sz val="9"/>
            <rFont val="Tahoma"/>
            <family val="2"/>
            <charset val="1"/>
          </rPr>
          <t xml:space="preserve">
Not meaningful due to realignment</t>
        </r>
      </text>
    </comment>
    <comment ref="AL152" authorId="3" shapeId="0" xr:uid="{8365E9C7-B121-4BE4-8D89-7087EA0CC711}">
      <text>
        <r>
          <rPr>
            <b/>
            <sz val="9"/>
            <rFont val="Tahoma"/>
            <family val="2"/>
            <charset val="1"/>
          </rPr>
          <t>Canalyst (YiL):</t>
        </r>
        <r>
          <rPr>
            <sz val="9"/>
            <rFont val="Tahoma"/>
            <family val="2"/>
            <charset val="1"/>
          </rPr>
          <t xml:space="preserve">
Not meaningful due to realignment</t>
        </r>
      </text>
    </comment>
    <comment ref="AM152" authorId="3" shapeId="0" xr:uid="{D7140DAA-AE46-4DAE-B4CA-D5206AF3B766}">
      <text>
        <r>
          <rPr>
            <b/>
            <sz val="9"/>
            <rFont val="Tahoma"/>
            <family val="2"/>
            <charset val="1"/>
          </rPr>
          <t>Canalyst (YiL):</t>
        </r>
        <r>
          <rPr>
            <sz val="9"/>
            <rFont val="Tahoma"/>
            <family val="2"/>
            <charset val="1"/>
          </rPr>
          <t xml:space="preserve">
Not meaningful due to realignment</t>
        </r>
      </text>
    </comment>
    <comment ref="AN152" authorId="3" shapeId="0" xr:uid="{9B9702DF-1E10-4259-86AD-01DEFB018E31}">
      <text>
        <r>
          <rPr>
            <b/>
            <sz val="9"/>
            <rFont val="Tahoma"/>
            <family val="2"/>
            <charset val="1"/>
          </rPr>
          <t>Canalyst (YiL):</t>
        </r>
        <r>
          <rPr>
            <sz val="9"/>
            <rFont val="Tahoma"/>
            <family val="2"/>
            <charset val="1"/>
          </rPr>
          <t xml:space="preserve">
Not meaningful due to realignment</t>
        </r>
      </text>
    </comment>
    <comment ref="AO152" authorId="3" shapeId="0" xr:uid="{277BA0B0-E037-4C26-AB08-67C83F52E972}">
      <text>
        <r>
          <rPr>
            <b/>
            <sz val="9"/>
            <rFont val="Tahoma"/>
            <family val="2"/>
            <charset val="1"/>
          </rPr>
          <t>Canalyst (YiL):</t>
        </r>
        <r>
          <rPr>
            <sz val="9"/>
            <rFont val="Tahoma"/>
            <family val="2"/>
            <charset val="1"/>
          </rPr>
          <t xml:space="preserve">
Not meaningful due to realignment</t>
        </r>
      </text>
    </comment>
    <comment ref="AU152" authorId="2" shapeId="0" xr:uid="{4C1DB87E-86B5-462E-B066-C7759CE8AACD}">
      <text>
        <r>
          <rPr>
            <b/>
            <sz val="9"/>
            <rFont val="Tahoma"/>
            <family val="2"/>
          </rPr>
          <t>Canalyst (SJ):</t>
        </r>
        <r>
          <rPr>
            <sz val="9"/>
            <rFont val="Tahoma"/>
            <family val="2"/>
          </rPr>
          <t xml:space="preserve">
NMF</t>
        </r>
      </text>
    </comment>
    <comment ref="AO173" authorId="3" shapeId="0" xr:uid="{1E5C502B-35B0-4CA5-8482-3C8216175DE7}">
      <text>
        <r>
          <rPr>
            <b/>
            <sz val="9"/>
            <rFont val="Tahoma"/>
            <family val="2"/>
            <charset val="1"/>
          </rPr>
          <t>Canalyst (YiL):</t>
        </r>
        <r>
          <rPr>
            <sz val="9"/>
            <rFont val="Tahoma"/>
            <family val="2"/>
            <charset val="1"/>
          </rPr>
          <t xml:space="preserve">
Restated</t>
        </r>
      </text>
    </comment>
    <comment ref="AO176" authorId="3" shapeId="0" xr:uid="{E467A1A4-6103-4D0B-8A63-4047848BEE28}">
      <text>
        <r>
          <rPr>
            <b/>
            <sz val="9"/>
            <rFont val="Tahoma"/>
            <family val="2"/>
            <charset val="1"/>
          </rPr>
          <t>Canalyst (YiL):</t>
        </r>
        <r>
          <rPr>
            <sz val="9"/>
            <rFont val="Tahoma"/>
            <family val="2"/>
            <charset val="1"/>
          </rPr>
          <t xml:space="preserve">
Restated</t>
        </r>
      </text>
    </comment>
    <comment ref="AK182" authorId="1" shapeId="0" xr:uid="{AF3F365A-ABD4-40EA-A075-290E2898556A}">
      <text>
        <r>
          <rPr>
            <b/>
            <sz val="9"/>
            <rFont val="Tahoma"/>
            <family val="2"/>
            <charset val="1"/>
          </rPr>
          <t>Canalyst (PZ):</t>
        </r>
        <r>
          <rPr>
            <sz val="9"/>
            <rFont val="Tahoma"/>
            <family val="2"/>
            <charset val="1"/>
          </rPr>
          <t xml:space="preserve">
Not available for new segmentation.</t>
        </r>
      </text>
    </comment>
    <comment ref="AN182" authorId="3" shapeId="0" xr:uid="{7935A646-7C8B-461A-BFD6-136F29231BBC}">
      <text>
        <r>
          <rPr>
            <b/>
            <sz val="9"/>
            <rFont val="Tahoma"/>
            <family val="2"/>
            <charset val="1"/>
          </rPr>
          <t>Canalyst (YiL):</t>
        </r>
        <r>
          <rPr>
            <sz val="9"/>
            <rFont val="Tahoma"/>
            <family val="2"/>
            <charset val="1"/>
          </rPr>
          <t xml:space="preserve">
Rounded numbers reported in Business Review.
</t>
        </r>
      </text>
    </comment>
    <comment ref="AK185" authorId="1" shapeId="0" xr:uid="{8C0E5C99-2A75-49FC-B050-8013071B5096}">
      <text>
        <r>
          <rPr>
            <b/>
            <sz val="9"/>
            <rFont val="Tahoma"/>
            <family val="2"/>
            <charset val="1"/>
          </rPr>
          <t>Canalyst (PZ):</t>
        </r>
        <r>
          <rPr>
            <sz val="9"/>
            <rFont val="Tahoma"/>
            <family val="2"/>
            <charset val="1"/>
          </rPr>
          <t xml:space="preserve">
Not available for new segmentation.</t>
        </r>
      </text>
    </comment>
    <comment ref="AN185" authorId="3" shapeId="0" xr:uid="{96785D8E-E9B3-42C5-8B93-19C7D17BC789}">
      <text>
        <r>
          <rPr>
            <b/>
            <sz val="9"/>
            <rFont val="Tahoma"/>
            <family val="2"/>
            <charset val="1"/>
          </rPr>
          <t>Canalyst (YiL):</t>
        </r>
        <r>
          <rPr>
            <sz val="9"/>
            <rFont val="Tahoma"/>
            <family val="2"/>
            <charset val="1"/>
          </rPr>
          <t xml:space="preserve">
Rounded numbers reported in Business Review.
</t>
        </r>
      </text>
    </comment>
    <comment ref="AK190" authorId="3" shapeId="0" xr:uid="{C57827AE-6F96-43D8-A8A7-4C3D86837604}">
      <text>
        <r>
          <rPr>
            <b/>
            <sz val="9"/>
            <rFont val="Tahoma"/>
            <family val="2"/>
            <charset val="1"/>
          </rPr>
          <t>Canalyst (YiL):</t>
        </r>
        <r>
          <rPr>
            <sz val="9"/>
            <rFont val="Tahoma"/>
            <family val="2"/>
            <charset val="1"/>
          </rPr>
          <t xml:space="preserve">
NMF due to restatement of 2019 results</t>
        </r>
      </text>
    </comment>
    <comment ref="AL190" authorId="3" shapeId="0" xr:uid="{DCAFB7C2-9DBD-4199-A69A-6B024C950B8D}">
      <text>
        <r>
          <rPr>
            <b/>
            <sz val="9"/>
            <rFont val="Tahoma"/>
            <family val="2"/>
            <charset val="1"/>
          </rPr>
          <t>Canalyst (YiL):</t>
        </r>
        <r>
          <rPr>
            <sz val="9"/>
            <rFont val="Tahoma"/>
            <family val="2"/>
            <charset val="1"/>
          </rPr>
          <t xml:space="preserve">
NMF due to restatement of 2019 results</t>
        </r>
      </text>
    </comment>
    <comment ref="AM190" authorId="3" shapeId="0" xr:uid="{823F6D70-3D4D-4CEA-9353-F969934D1263}">
      <text>
        <r>
          <rPr>
            <b/>
            <sz val="9"/>
            <rFont val="Tahoma"/>
            <family val="2"/>
            <charset val="1"/>
          </rPr>
          <t>Canalyst (YiL):</t>
        </r>
        <r>
          <rPr>
            <sz val="9"/>
            <rFont val="Tahoma"/>
            <family val="2"/>
            <charset val="1"/>
          </rPr>
          <t xml:space="preserve">
NMF due to restatement of 2019 results</t>
        </r>
      </text>
    </comment>
    <comment ref="AN190" authorId="3" shapeId="0" xr:uid="{5247B077-7D14-4FD8-B802-8488EEC4A615}">
      <text>
        <r>
          <rPr>
            <b/>
            <sz val="9"/>
            <rFont val="Tahoma"/>
            <family val="2"/>
            <charset val="1"/>
          </rPr>
          <t>Canalyst (YiL):</t>
        </r>
        <r>
          <rPr>
            <sz val="9"/>
            <rFont val="Tahoma"/>
            <family val="2"/>
            <charset val="1"/>
          </rPr>
          <t xml:space="preserve">
NMF due to restatement of 2019 results</t>
        </r>
      </text>
    </comment>
    <comment ref="AO190" authorId="3" shapeId="0" xr:uid="{4F750552-CD97-467C-B1DF-EFE0A755027E}">
      <text>
        <r>
          <rPr>
            <b/>
            <sz val="9"/>
            <rFont val="Tahoma"/>
            <family val="2"/>
            <charset val="1"/>
          </rPr>
          <t>Canalyst (YiL):</t>
        </r>
        <r>
          <rPr>
            <sz val="9"/>
            <rFont val="Tahoma"/>
            <family val="2"/>
            <charset val="1"/>
          </rPr>
          <t xml:space="preserve">
NMF due to restatement of 2019 results</t>
        </r>
      </text>
    </comment>
    <comment ref="AK191" authorId="1" shapeId="0" xr:uid="{365CBDA1-1587-4227-8E38-BF292CA162D3}">
      <text>
        <r>
          <rPr>
            <b/>
            <sz val="9"/>
            <rFont val="Tahoma"/>
            <family val="2"/>
            <charset val="1"/>
          </rPr>
          <t>Canalyst (PZ):</t>
        </r>
        <r>
          <rPr>
            <sz val="9"/>
            <rFont val="Tahoma"/>
            <family val="2"/>
            <charset val="1"/>
          </rPr>
          <t xml:space="preserve">
Not available for new segmentation.</t>
        </r>
      </text>
    </comment>
    <comment ref="AN191" authorId="3" shapeId="0" xr:uid="{99CF67EE-1A5D-478D-8715-CE7B534AF6B8}">
      <text>
        <r>
          <rPr>
            <b/>
            <sz val="9"/>
            <rFont val="Tahoma"/>
            <family val="2"/>
            <charset val="1"/>
          </rPr>
          <t>Canalyst (YiL):</t>
        </r>
        <r>
          <rPr>
            <sz val="9"/>
            <rFont val="Tahoma"/>
            <family val="2"/>
            <charset val="1"/>
          </rPr>
          <t xml:space="preserve">
Rounded numbers reported in Business Review.
</t>
        </r>
      </text>
    </comment>
    <comment ref="AK193" authorId="3" shapeId="0" xr:uid="{17CDBCB9-2AD6-4098-9B45-4B67FAE92340}">
      <text>
        <r>
          <rPr>
            <b/>
            <sz val="9"/>
            <rFont val="Tahoma"/>
            <family val="2"/>
            <charset val="1"/>
          </rPr>
          <t>Canalyst (YiL):</t>
        </r>
        <r>
          <rPr>
            <sz val="9"/>
            <rFont val="Tahoma"/>
            <family val="2"/>
            <charset val="1"/>
          </rPr>
          <t xml:space="preserve">
NMF due to restatement of 2019 results</t>
        </r>
      </text>
    </comment>
    <comment ref="AL193" authorId="3" shapeId="0" xr:uid="{EBBCD6BC-D71D-4E61-BE41-CB0A2ABFD164}">
      <text>
        <r>
          <rPr>
            <b/>
            <sz val="9"/>
            <rFont val="Tahoma"/>
            <family val="2"/>
            <charset val="1"/>
          </rPr>
          <t>Canalyst (YiL):</t>
        </r>
        <r>
          <rPr>
            <sz val="9"/>
            <rFont val="Tahoma"/>
            <family val="2"/>
            <charset val="1"/>
          </rPr>
          <t xml:space="preserve">
NMF due to restatement of 2019 results</t>
        </r>
      </text>
    </comment>
    <comment ref="AM193" authorId="3" shapeId="0" xr:uid="{6C1ACC09-0379-4294-BC69-61FFA147415A}">
      <text>
        <r>
          <rPr>
            <b/>
            <sz val="9"/>
            <rFont val="Tahoma"/>
            <family val="2"/>
            <charset val="1"/>
          </rPr>
          <t>Canalyst (YiL):</t>
        </r>
        <r>
          <rPr>
            <sz val="9"/>
            <rFont val="Tahoma"/>
            <family val="2"/>
            <charset val="1"/>
          </rPr>
          <t xml:space="preserve">
NMF due to restatement of 2019 results</t>
        </r>
      </text>
    </comment>
    <comment ref="AN193" authorId="3" shapeId="0" xr:uid="{1E91EEF7-F63E-48F4-9C59-9766F158FB9A}">
      <text>
        <r>
          <rPr>
            <b/>
            <sz val="9"/>
            <rFont val="Tahoma"/>
            <family val="2"/>
            <charset val="1"/>
          </rPr>
          <t>Canalyst (YiL):</t>
        </r>
        <r>
          <rPr>
            <sz val="9"/>
            <rFont val="Tahoma"/>
            <family val="2"/>
            <charset val="1"/>
          </rPr>
          <t xml:space="preserve">
NMF due to restatement of 2019 results</t>
        </r>
      </text>
    </comment>
    <comment ref="AO193" authorId="3" shapeId="0" xr:uid="{4AA6576F-F312-4C81-AA4D-2BF23E66302B}">
      <text>
        <r>
          <rPr>
            <b/>
            <sz val="9"/>
            <rFont val="Tahoma"/>
            <family val="2"/>
            <charset val="1"/>
          </rPr>
          <t>Canalyst (YiL):</t>
        </r>
        <r>
          <rPr>
            <sz val="9"/>
            <rFont val="Tahoma"/>
            <family val="2"/>
            <charset val="1"/>
          </rPr>
          <t xml:space="preserve">
NMF due to restatement of 2019 results</t>
        </r>
      </text>
    </comment>
    <comment ref="AK194" authorId="1" shapeId="0" xr:uid="{C9F054CC-DC22-4615-84C8-1A93A12C5DC3}">
      <text>
        <r>
          <rPr>
            <b/>
            <sz val="9"/>
            <rFont val="Tahoma"/>
            <family val="2"/>
            <charset val="1"/>
          </rPr>
          <t>Canalyst (PZ):</t>
        </r>
        <r>
          <rPr>
            <sz val="9"/>
            <rFont val="Tahoma"/>
            <family val="2"/>
            <charset val="1"/>
          </rPr>
          <t xml:space="preserve">
Not available for new segmentation.</t>
        </r>
      </text>
    </comment>
    <comment ref="AN194" authorId="3" shapeId="0" xr:uid="{2BF88E1D-F151-444A-8927-77A1DE43FCEF}">
      <text>
        <r>
          <rPr>
            <b/>
            <sz val="9"/>
            <rFont val="Tahoma"/>
            <family val="2"/>
            <charset val="1"/>
          </rPr>
          <t>Canalyst (YiL):</t>
        </r>
        <r>
          <rPr>
            <sz val="9"/>
            <rFont val="Tahoma"/>
            <family val="2"/>
            <charset val="1"/>
          </rPr>
          <t xml:space="preserve">
Rounded numbers reported in Business Review.
</t>
        </r>
      </text>
    </comment>
    <comment ref="AS194" authorId="1" shapeId="0" xr:uid="{C82FFE3C-6C3B-4184-9492-A25D3984EF15}">
      <text>
        <r>
          <rPr>
            <b/>
            <sz val="9"/>
            <rFont val="Tahoma"/>
            <family val="2"/>
            <charset val="1"/>
          </rPr>
          <t>Canalyst (PZ):</t>
        </r>
        <r>
          <rPr>
            <sz val="9"/>
            <rFont val="Tahoma"/>
            <family val="2"/>
            <charset val="1"/>
          </rPr>
          <t xml:space="preserve">
Flat.</t>
        </r>
      </text>
    </comment>
    <comment ref="AK196" authorId="3" shapeId="0" xr:uid="{C283B177-F094-4198-BD48-17D190ADC904}">
      <text>
        <r>
          <rPr>
            <b/>
            <sz val="9"/>
            <rFont val="Tahoma"/>
            <family val="2"/>
            <charset val="1"/>
          </rPr>
          <t>Canalyst (YiL):</t>
        </r>
        <r>
          <rPr>
            <sz val="9"/>
            <rFont val="Tahoma"/>
            <family val="2"/>
            <charset val="1"/>
          </rPr>
          <t xml:space="preserve">
NMF due to restatement of 2019 results</t>
        </r>
      </text>
    </comment>
    <comment ref="AL196" authorId="3" shapeId="0" xr:uid="{C168F22F-01F7-413A-B922-E455CCCFD570}">
      <text>
        <r>
          <rPr>
            <b/>
            <sz val="9"/>
            <rFont val="Tahoma"/>
            <family val="2"/>
            <charset val="1"/>
          </rPr>
          <t>Canalyst (YiL):</t>
        </r>
        <r>
          <rPr>
            <sz val="9"/>
            <rFont val="Tahoma"/>
            <family val="2"/>
            <charset val="1"/>
          </rPr>
          <t xml:space="preserve">
NMF due to restatement of 2019 results</t>
        </r>
      </text>
    </comment>
    <comment ref="AM196" authorId="3" shapeId="0" xr:uid="{6FDDD262-FB48-47B7-B6A5-464385CC46A3}">
      <text>
        <r>
          <rPr>
            <b/>
            <sz val="9"/>
            <rFont val="Tahoma"/>
            <family val="2"/>
            <charset val="1"/>
          </rPr>
          <t>Canalyst (YiL):</t>
        </r>
        <r>
          <rPr>
            <sz val="9"/>
            <rFont val="Tahoma"/>
            <family val="2"/>
            <charset val="1"/>
          </rPr>
          <t xml:space="preserve">
NMF due to restatement of 2019 results</t>
        </r>
      </text>
    </comment>
    <comment ref="AN196" authorId="3" shapeId="0" xr:uid="{7FD96333-84AB-4EF0-9BEB-892C721451DD}">
      <text>
        <r>
          <rPr>
            <b/>
            <sz val="9"/>
            <rFont val="Tahoma"/>
            <family val="2"/>
            <charset val="1"/>
          </rPr>
          <t>Canalyst (YiL):</t>
        </r>
        <r>
          <rPr>
            <sz val="9"/>
            <rFont val="Tahoma"/>
            <family val="2"/>
            <charset val="1"/>
          </rPr>
          <t xml:space="preserve">
NMF due to restatement of 2019 results</t>
        </r>
      </text>
    </comment>
    <comment ref="AO196" authorId="3" shapeId="0" xr:uid="{3DDE9139-47BD-4D28-9BD5-1E7FB8B475E6}">
      <text>
        <r>
          <rPr>
            <b/>
            <sz val="9"/>
            <rFont val="Tahoma"/>
            <family val="2"/>
            <charset val="1"/>
          </rPr>
          <t>Canalyst (YiL):</t>
        </r>
        <r>
          <rPr>
            <sz val="9"/>
            <rFont val="Tahoma"/>
            <family val="2"/>
            <charset val="1"/>
          </rPr>
          <t xml:space="preserve">
NMF due to restatement of 2019 results</t>
        </r>
      </text>
    </comment>
    <comment ref="AU206" authorId="2" shapeId="0" xr:uid="{F20F7BAE-B2F5-4F77-95E5-021745FF3F2C}">
      <text>
        <r>
          <rPr>
            <b/>
            <sz val="9"/>
            <rFont val="Tahoma"/>
            <family val="2"/>
          </rPr>
          <t>Canalyst (SJ):</t>
        </r>
        <r>
          <rPr>
            <sz val="9"/>
            <rFont val="Tahoma"/>
            <family val="2"/>
          </rPr>
          <t xml:space="preserve">
Restated</t>
        </r>
      </text>
    </comment>
    <comment ref="AV212" authorId="2" shapeId="0" xr:uid="{BC6BA746-CDAC-44CC-8D5A-CE903626BFC1}">
      <text>
        <r>
          <rPr>
            <b/>
            <sz val="9"/>
            <rFont val="Tahoma"/>
            <family val="2"/>
          </rPr>
          <t>Canalyst (SJ):</t>
        </r>
        <r>
          <rPr>
            <sz val="9"/>
            <rFont val="Tahoma"/>
            <family val="2"/>
          </rPr>
          <t xml:space="preserve">
Hardcoded due to 2020 restatement</t>
        </r>
      </text>
    </comment>
    <comment ref="AW212" authorId="2" shapeId="0" xr:uid="{9E953CD4-AE40-456A-984C-FC59E7CA53C5}">
      <text>
        <r>
          <rPr>
            <b/>
            <sz val="9"/>
            <rFont val="Tahoma"/>
            <family val="2"/>
          </rPr>
          <t>Canalyst (SJ):</t>
        </r>
        <r>
          <rPr>
            <sz val="9"/>
            <rFont val="Tahoma"/>
            <family val="2"/>
          </rPr>
          <t xml:space="preserve">
Hardcoded due to 2020 restatement</t>
        </r>
      </text>
    </comment>
    <comment ref="AX212" authorId="2" shapeId="0" xr:uid="{DD25161D-ED3F-4C7A-9A84-C74EC0994982}">
      <text>
        <r>
          <rPr>
            <b/>
            <sz val="9"/>
            <rFont val="Tahoma"/>
            <family val="2"/>
          </rPr>
          <t>Canalyst (SJ):</t>
        </r>
        <r>
          <rPr>
            <sz val="9"/>
            <rFont val="Tahoma"/>
            <family val="2"/>
          </rPr>
          <t xml:space="preserve">
Hardcoded due to 2020 restatement</t>
        </r>
      </text>
    </comment>
    <comment ref="AP223" authorId="1" shapeId="0" xr:uid="{513DB53D-63D1-4CC2-8048-0B3BADE24DB7}">
      <text>
        <r>
          <rPr>
            <b/>
            <sz val="9"/>
            <rFont val="Tahoma"/>
            <family val="2"/>
          </rPr>
          <t>Canalyst (PZ):</t>
        </r>
        <r>
          <rPr>
            <sz val="9"/>
            <rFont val="Tahoma"/>
            <family val="2"/>
          </rPr>
          <t xml:space="preserve">
(gain) loss on sale of businesses.</t>
        </r>
      </text>
    </comment>
    <comment ref="AN225" authorId="3" shapeId="0" xr:uid="{E7C7E311-C04A-48F3-8911-6FDC165EEEBF}">
      <text>
        <r>
          <rPr>
            <b/>
            <sz val="9"/>
            <rFont val="Tahoma"/>
            <family val="2"/>
          </rPr>
          <t>Canalyst (YiL):</t>
        </r>
        <r>
          <rPr>
            <sz val="9"/>
            <rFont val="Tahoma"/>
            <family val="2"/>
          </rPr>
          <t xml:space="preserve">
As restated</t>
        </r>
      </text>
    </comment>
    <comment ref="AS225" authorId="1" shapeId="0" xr:uid="{2AAB13C0-2960-4E35-95E0-BEA059D5C945}">
      <text>
        <r>
          <rPr>
            <b/>
            <sz val="9"/>
            <rFont val="Tahoma"/>
            <family val="2"/>
            <charset val="1"/>
          </rPr>
          <t>Canalyst (PZ):</t>
        </r>
        <r>
          <rPr>
            <sz val="9"/>
            <rFont val="Tahoma"/>
            <family val="2"/>
            <charset val="1"/>
          </rPr>
          <t xml:space="preserve">
As reported.</t>
        </r>
      </text>
    </comment>
    <comment ref="AV230" authorId="2" shapeId="0" xr:uid="{E6E6D75A-31A0-4142-A89B-7D9DDDFACC77}">
      <text>
        <r>
          <rPr>
            <b/>
            <sz val="9"/>
            <rFont val="Tahoma"/>
            <family val="2"/>
          </rPr>
          <t>Canalyst (SJ):</t>
        </r>
        <r>
          <rPr>
            <sz val="9"/>
            <rFont val="Tahoma"/>
            <family val="2"/>
          </rPr>
          <t xml:space="preserve">
Hardcoded due to 2020 restatement</t>
        </r>
      </text>
    </comment>
    <comment ref="AW230" authorId="2" shapeId="0" xr:uid="{C8347551-8ECF-4EF3-A8CA-C00297FD8334}">
      <text>
        <r>
          <rPr>
            <b/>
            <sz val="9"/>
            <rFont val="Tahoma"/>
            <family val="2"/>
          </rPr>
          <t>Canalyst (SJ):</t>
        </r>
        <r>
          <rPr>
            <sz val="9"/>
            <rFont val="Tahoma"/>
            <family val="2"/>
          </rPr>
          <t xml:space="preserve">
Hardcoded due to 2020 restatement</t>
        </r>
      </text>
    </comment>
    <comment ref="AX230" authorId="2" shapeId="0" xr:uid="{B6021251-3297-4D97-8D8E-769C8EDF25A1}">
      <text>
        <r>
          <rPr>
            <b/>
            <sz val="9"/>
            <rFont val="Tahoma"/>
            <family val="2"/>
          </rPr>
          <t>Canalyst (SJ):</t>
        </r>
        <r>
          <rPr>
            <sz val="9"/>
            <rFont val="Tahoma"/>
            <family val="2"/>
          </rPr>
          <t xml:space="preserve">
Hardcoded due to 2020 restatement</t>
        </r>
      </text>
    </comment>
    <comment ref="AK231" authorId="3" shapeId="0" xr:uid="{CACC8135-3CA1-4CE5-86A1-60127CA688FE}">
      <text>
        <r>
          <rPr>
            <b/>
            <sz val="9"/>
            <rFont val="Tahoma"/>
            <family val="2"/>
            <charset val="1"/>
          </rPr>
          <t>Canalyst (YiL):</t>
        </r>
        <r>
          <rPr>
            <sz val="9"/>
            <rFont val="Tahoma"/>
            <family val="2"/>
            <charset val="1"/>
          </rPr>
          <t xml:space="preserve">
Not meaningful due to realignment</t>
        </r>
      </text>
    </comment>
    <comment ref="AL231" authorId="3" shapeId="0" xr:uid="{4E206C03-BDA1-4ADA-983B-A18653F53933}">
      <text>
        <r>
          <rPr>
            <b/>
            <sz val="9"/>
            <rFont val="Tahoma"/>
            <family val="2"/>
            <charset val="1"/>
          </rPr>
          <t>Canalyst (YiL):</t>
        </r>
        <r>
          <rPr>
            <sz val="9"/>
            <rFont val="Tahoma"/>
            <family val="2"/>
            <charset val="1"/>
          </rPr>
          <t xml:space="preserve">
Not meaningful due to realignment</t>
        </r>
      </text>
    </comment>
    <comment ref="AM231" authorId="3" shapeId="0" xr:uid="{0B791E1C-510A-4222-93A3-15827DF5F736}">
      <text>
        <r>
          <rPr>
            <b/>
            <sz val="9"/>
            <rFont val="Tahoma"/>
            <family val="2"/>
            <charset val="1"/>
          </rPr>
          <t>Canalyst (YiL):</t>
        </r>
        <r>
          <rPr>
            <sz val="9"/>
            <rFont val="Tahoma"/>
            <family val="2"/>
            <charset val="1"/>
          </rPr>
          <t xml:space="preserve">
Not meaningful due to realignment</t>
        </r>
      </text>
    </comment>
    <comment ref="AN231" authorId="3" shapeId="0" xr:uid="{3E6944D6-7634-47F2-8E96-342C32FE4163}">
      <text>
        <r>
          <rPr>
            <b/>
            <sz val="9"/>
            <rFont val="Tahoma"/>
            <family val="2"/>
            <charset val="1"/>
          </rPr>
          <t>Canalyst (YiL):</t>
        </r>
        <r>
          <rPr>
            <sz val="9"/>
            <rFont val="Tahoma"/>
            <family val="2"/>
            <charset val="1"/>
          </rPr>
          <t xml:space="preserve">
Not meaningful due to realignment</t>
        </r>
      </text>
    </comment>
    <comment ref="AO231" authorId="3" shapeId="0" xr:uid="{2B5FE435-D38E-4C84-8015-85D7935150A4}">
      <text>
        <r>
          <rPr>
            <b/>
            <sz val="9"/>
            <rFont val="Tahoma"/>
            <family val="2"/>
            <charset val="1"/>
          </rPr>
          <t>Canalyst (YiL):</t>
        </r>
        <r>
          <rPr>
            <sz val="9"/>
            <rFont val="Tahoma"/>
            <family val="2"/>
            <charset val="1"/>
          </rPr>
          <t xml:space="preserve">
Not meaningful due to realignment</t>
        </r>
      </text>
    </comment>
    <comment ref="AU231" authorId="2" shapeId="0" xr:uid="{B7D756D5-AFA8-4A5A-9790-C02E43AE2AF7}">
      <text>
        <r>
          <rPr>
            <b/>
            <sz val="9"/>
            <rFont val="Tahoma"/>
            <family val="2"/>
          </rPr>
          <t>Canalyst (SJ):</t>
        </r>
        <r>
          <rPr>
            <sz val="9"/>
            <rFont val="Tahoma"/>
            <family val="2"/>
          </rPr>
          <t xml:space="preserve">
NMF</t>
        </r>
      </text>
    </comment>
    <comment ref="AK232" authorId="3" shapeId="0" xr:uid="{288BE91E-DD02-4033-9321-9DDF10F267FF}">
      <text>
        <r>
          <rPr>
            <b/>
            <sz val="9"/>
            <rFont val="Tahoma"/>
            <family val="2"/>
            <charset val="1"/>
          </rPr>
          <t>Canalyst (YiL):</t>
        </r>
        <r>
          <rPr>
            <sz val="9"/>
            <rFont val="Tahoma"/>
            <family val="2"/>
            <charset val="1"/>
          </rPr>
          <t xml:space="preserve">
Not meaningful due to realignment</t>
        </r>
      </text>
    </comment>
    <comment ref="AL232" authorId="3" shapeId="0" xr:uid="{8BD3CB0B-F433-4096-84A9-E2ECC8F96C58}">
      <text>
        <r>
          <rPr>
            <b/>
            <sz val="9"/>
            <rFont val="Tahoma"/>
            <family val="2"/>
            <charset val="1"/>
          </rPr>
          <t>Canalyst (YiL):</t>
        </r>
        <r>
          <rPr>
            <sz val="9"/>
            <rFont val="Tahoma"/>
            <family val="2"/>
            <charset val="1"/>
          </rPr>
          <t xml:space="preserve">
Not meaningful due to realignment</t>
        </r>
      </text>
    </comment>
    <comment ref="AM232" authorId="3" shapeId="0" xr:uid="{41C382EA-427F-4304-92B8-6CB4242E6D94}">
      <text>
        <r>
          <rPr>
            <b/>
            <sz val="9"/>
            <rFont val="Tahoma"/>
            <family val="2"/>
            <charset val="1"/>
          </rPr>
          <t>Canalyst (YiL):</t>
        </r>
        <r>
          <rPr>
            <sz val="9"/>
            <rFont val="Tahoma"/>
            <family val="2"/>
            <charset val="1"/>
          </rPr>
          <t xml:space="preserve">
Not meaningful due to realignment</t>
        </r>
      </text>
    </comment>
    <comment ref="AN232" authorId="3" shapeId="0" xr:uid="{A20422E3-F69D-4FDF-A65D-67651B24555B}">
      <text>
        <r>
          <rPr>
            <b/>
            <sz val="9"/>
            <rFont val="Tahoma"/>
            <family val="2"/>
            <charset val="1"/>
          </rPr>
          <t>Canalyst (YiL):</t>
        </r>
        <r>
          <rPr>
            <sz val="9"/>
            <rFont val="Tahoma"/>
            <family val="2"/>
            <charset val="1"/>
          </rPr>
          <t xml:space="preserve">
Not meaningful due to realignment</t>
        </r>
      </text>
    </comment>
    <comment ref="AO232" authorId="3" shapeId="0" xr:uid="{8D974724-6B82-4399-88CE-6217EB69087B}">
      <text>
        <r>
          <rPr>
            <b/>
            <sz val="9"/>
            <rFont val="Tahoma"/>
            <family val="2"/>
            <charset val="1"/>
          </rPr>
          <t>Canalyst (YiL):</t>
        </r>
        <r>
          <rPr>
            <sz val="9"/>
            <rFont val="Tahoma"/>
            <family val="2"/>
            <charset val="1"/>
          </rPr>
          <t xml:space="preserve">
Not meaningful due to realignment</t>
        </r>
      </text>
    </comment>
    <comment ref="AU232" authorId="2" shapeId="0" xr:uid="{AE3C2B2F-5DCB-4EEC-BE49-71C7666E33B9}">
      <text>
        <r>
          <rPr>
            <b/>
            <sz val="9"/>
            <rFont val="Tahoma"/>
            <family val="2"/>
          </rPr>
          <t>Canalyst (SJ):</t>
        </r>
        <r>
          <rPr>
            <sz val="9"/>
            <rFont val="Tahoma"/>
            <family val="2"/>
          </rPr>
          <t xml:space="preserve">
NMF</t>
        </r>
      </text>
    </comment>
    <comment ref="AO250" authorId="3" shapeId="0" xr:uid="{5806124C-5BAE-40DC-9171-044779503624}">
      <text>
        <r>
          <rPr>
            <b/>
            <sz val="9"/>
            <rFont val="Tahoma"/>
            <family val="2"/>
            <charset val="1"/>
          </rPr>
          <t>Canalyst (YiL):</t>
        </r>
        <r>
          <rPr>
            <sz val="9"/>
            <rFont val="Tahoma"/>
            <family val="2"/>
            <charset val="1"/>
          </rPr>
          <t xml:space="preserve">
Restated</t>
        </r>
      </text>
    </comment>
    <comment ref="AO253" authorId="3" shapeId="0" xr:uid="{7AED351E-FF49-4102-B6BD-A5DB39607BF3}">
      <text>
        <r>
          <rPr>
            <b/>
            <sz val="9"/>
            <rFont val="Tahoma"/>
            <family val="2"/>
            <charset val="1"/>
          </rPr>
          <t>Canalyst (YiL):</t>
        </r>
        <r>
          <rPr>
            <sz val="9"/>
            <rFont val="Tahoma"/>
            <family val="2"/>
            <charset val="1"/>
          </rPr>
          <t xml:space="preserve">
Restated</t>
        </r>
      </text>
    </comment>
    <comment ref="AK259" authorId="1" shapeId="0" xr:uid="{698494D4-42AA-4B41-BC77-A0959EBBAFEE}">
      <text>
        <r>
          <rPr>
            <b/>
            <sz val="9"/>
            <rFont val="Tahoma"/>
            <family val="2"/>
            <charset val="1"/>
          </rPr>
          <t>Canalyst (PZ):</t>
        </r>
        <r>
          <rPr>
            <sz val="9"/>
            <rFont val="Tahoma"/>
            <family val="2"/>
            <charset val="1"/>
          </rPr>
          <t xml:space="preserve">
Not available for new segmentation.</t>
        </r>
      </text>
    </comment>
    <comment ref="AN259" authorId="3" shapeId="0" xr:uid="{E8FC4D84-E6EE-4473-9618-132070C8BED0}">
      <text>
        <r>
          <rPr>
            <b/>
            <sz val="9"/>
            <rFont val="Tahoma"/>
            <family val="2"/>
            <charset val="1"/>
          </rPr>
          <t>Canalyst (YiL):</t>
        </r>
        <r>
          <rPr>
            <sz val="9"/>
            <rFont val="Tahoma"/>
            <family val="2"/>
            <charset val="1"/>
          </rPr>
          <t xml:space="preserve">
Rounded numbers reported in Business Review.
</t>
        </r>
      </text>
    </comment>
    <comment ref="AK262" authorId="1" shapeId="0" xr:uid="{9BEA6E87-8363-441C-A1E5-9AFAD952125E}">
      <text>
        <r>
          <rPr>
            <b/>
            <sz val="9"/>
            <rFont val="Tahoma"/>
            <family val="2"/>
            <charset val="1"/>
          </rPr>
          <t>Canalyst (PZ):</t>
        </r>
        <r>
          <rPr>
            <sz val="9"/>
            <rFont val="Tahoma"/>
            <family val="2"/>
            <charset val="1"/>
          </rPr>
          <t xml:space="preserve">
Not available for new segmentation.</t>
        </r>
      </text>
    </comment>
    <comment ref="AN262" authorId="3" shapeId="0" xr:uid="{8B52ED57-DD78-48E7-A68F-1DB359584559}">
      <text>
        <r>
          <rPr>
            <b/>
            <sz val="9"/>
            <rFont val="Tahoma"/>
            <family val="2"/>
            <charset val="1"/>
          </rPr>
          <t>Canalyst (YiL):</t>
        </r>
        <r>
          <rPr>
            <sz val="9"/>
            <rFont val="Tahoma"/>
            <family val="2"/>
            <charset val="1"/>
          </rPr>
          <t xml:space="preserve">
Rounded numbers reported in Business Review.
</t>
        </r>
      </text>
    </comment>
    <comment ref="AK267" authorId="3" shapeId="0" xr:uid="{66E64508-D4BF-4420-96BA-CBDB98C9F0F4}">
      <text>
        <r>
          <rPr>
            <b/>
            <sz val="9"/>
            <rFont val="Tahoma"/>
            <family val="2"/>
            <charset val="1"/>
          </rPr>
          <t>Canalyst (YiL):</t>
        </r>
        <r>
          <rPr>
            <sz val="9"/>
            <rFont val="Tahoma"/>
            <family val="2"/>
            <charset val="1"/>
          </rPr>
          <t xml:space="preserve">
NMF due to restatement of 2019 results</t>
        </r>
      </text>
    </comment>
    <comment ref="AL267" authorId="3" shapeId="0" xr:uid="{22C80373-E9DB-418D-A156-A90F6A862C17}">
      <text>
        <r>
          <rPr>
            <b/>
            <sz val="9"/>
            <rFont val="Tahoma"/>
            <family val="2"/>
            <charset val="1"/>
          </rPr>
          <t>Canalyst (YiL):</t>
        </r>
        <r>
          <rPr>
            <sz val="9"/>
            <rFont val="Tahoma"/>
            <family val="2"/>
            <charset val="1"/>
          </rPr>
          <t xml:space="preserve">
NMF due to restatement of 2019 results</t>
        </r>
      </text>
    </comment>
    <comment ref="AM267" authorId="3" shapeId="0" xr:uid="{91B784A3-3278-4B40-875C-6CD33A38D2B3}">
      <text>
        <r>
          <rPr>
            <b/>
            <sz val="9"/>
            <rFont val="Tahoma"/>
            <family val="2"/>
            <charset val="1"/>
          </rPr>
          <t>Canalyst (YiL):</t>
        </r>
        <r>
          <rPr>
            <sz val="9"/>
            <rFont val="Tahoma"/>
            <family val="2"/>
            <charset val="1"/>
          </rPr>
          <t xml:space="preserve">
NMF due to restatement of 2019 results</t>
        </r>
      </text>
    </comment>
    <comment ref="AN267" authorId="3" shapeId="0" xr:uid="{9DBA2B76-E981-4F24-B0EA-2B7988B8E08A}">
      <text>
        <r>
          <rPr>
            <b/>
            <sz val="9"/>
            <rFont val="Tahoma"/>
            <family val="2"/>
            <charset val="1"/>
          </rPr>
          <t>Canalyst (YiL):</t>
        </r>
        <r>
          <rPr>
            <sz val="9"/>
            <rFont val="Tahoma"/>
            <family val="2"/>
            <charset val="1"/>
          </rPr>
          <t xml:space="preserve">
NMF due to restatement of 2019 results</t>
        </r>
      </text>
    </comment>
    <comment ref="AO267" authorId="3" shapeId="0" xr:uid="{46790A51-3C8F-454A-BCCC-681E52F98301}">
      <text>
        <r>
          <rPr>
            <b/>
            <sz val="9"/>
            <rFont val="Tahoma"/>
            <family val="2"/>
            <charset val="1"/>
          </rPr>
          <t>Canalyst (YiL):</t>
        </r>
        <r>
          <rPr>
            <sz val="9"/>
            <rFont val="Tahoma"/>
            <family val="2"/>
            <charset val="1"/>
          </rPr>
          <t xml:space="preserve">
NMF due to restatement of 2019 results</t>
        </r>
      </text>
    </comment>
    <comment ref="AK268" authorId="1" shapeId="0" xr:uid="{CD0CFA00-4B8A-40B9-8B76-600B6AE113AE}">
      <text>
        <r>
          <rPr>
            <b/>
            <sz val="9"/>
            <rFont val="Tahoma"/>
            <family val="2"/>
            <charset val="1"/>
          </rPr>
          <t>Canalyst (PZ):</t>
        </r>
        <r>
          <rPr>
            <sz val="9"/>
            <rFont val="Tahoma"/>
            <family val="2"/>
            <charset val="1"/>
          </rPr>
          <t xml:space="preserve">
Not available for new segmentation.</t>
        </r>
      </text>
    </comment>
    <comment ref="AN268" authorId="3" shapeId="0" xr:uid="{2EC69F74-36BE-4AF1-ACA6-67D511A27A6B}">
      <text>
        <r>
          <rPr>
            <b/>
            <sz val="9"/>
            <rFont val="Tahoma"/>
            <family val="2"/>
            <charset val="1"/>
          </rPr>
          <t>Canalyst (YiL):</t>
        </r>
        <r>
          <rPr>
            <sz val="9"/>
            <rFont val="Tahoma"/>
            <family val="2"/>
            <charset val="1"/>
          </rPr>
          <t xml:space="preserve">
Rounded numbers reported in Business Review.
</t>
        </r>
      </text>
    </comment>
    <comment ref="AS268" authorId="1" shapeId="0" xr:uid="{275C0F02-17F5-45A0-B430-20E513E0C9E6}">
      <text>
        <r>
          <rPr>
            <b/>
            <sz val="9"/>
            <rFont val="Tahoma"/>
            <family val="2"/>
            <charset val="1"/>
          </rPr>
          <t>Canalyst (PZ):</t>
        </r>
        <r>
          <rPr>
            <sz val="9"/>
            <rFont val="Tahoma"/>
            <family val="2"/>
            <charset val="1"/>
          </rPr>
          <t xml:space="preserve">
Flat.</t>
        </r>
      </text>
    </comment>
    <comment ref="AK270" authorId="3" shapeId="0" xr:uid="{6A45537F-15FD-4B02-88A8-819910AE5770}">
      <text>
        <r>
          <rPr>
            <b/>
            <sz val="9"/>
            <rFont val="Tahoma"/>
            <family val="2"/>
            <charset val="1"/>
          </rPr>
          <t>Canalyst (YiL):</t>
        </r>
        <r>
          <rPr>
            <sz val="9"/>
            <rFont val="Tahoma"/>
            <family val="2"/>
            <charset val="1"/>
          </rPr>
          <t xml:space="preserve">
NMF due to restatement of 2019 results</t>
        </r>
      </text>
    </comment>
    <comment ref="AL270" authorId="3" shapeId="0" xr:uid="{9E7FCF53-9F79-464E-942F-0CA9A5A0B09D}">
      <text>
        <r>
          <rPr>
            <b/>
            <sz val="9"/>
            <rFont val="Tahoma"/>
            <family val="2"/>
            <charset val="1"/>
          </rPr>
          <t>Canalyst (YiL):</t>
        </r>
        <r>
          <rPr>
            <sz val="9"/>
            <rFont val="Tahoma"/>
            <family val="2"/>
            <charset val="1"/>
          </rPr>
          <t xml:space="preserve">
NMF due to restatement of 2019 results</t>
        </r>
      </text>
    </comment>
    <comment ref="AM270" authorId="3" shapeId="0" xr:uid="{F7549788-8A3B-4B1E-B213-A9CD5105FA10}">
      <text>
        <r>
          <rPr>
            <b/>
            <sz val="9"/>
            <rFont val="Tahoma"/>
            <family val="2"/>
            <charset val="1"/>
          </rPr>
          <t>Canalyst (YiL):</t>
        </r>
        <r>
          <rPr>
            <sz val="9"/>
            <rFont val="Tahoma"/>
            <family val="2"/>
            <charset val="1"/>
          </rPr>
          <t xml:space="preserve">
NMF due to restatement of 2019 results</t>
        </r>
      </text>
    </comment>
    <comment ref="AN270" authorId="3" shapeId="0" xr:uid="{2599574E-8E4D-49CE-A365-8BB9B1A03ED7}">
      <text>
        <r>
          <rPr>
            <b/>
            <sz val="9"/>
            <rFont val="Tahoma"/>
            <family val="2"/>
            <charset val="1"/>
          </rPr>
          <t>Canalyst (YiL):</t>
        </r>
        <r>
          <rPr>
            <sz val="9"/>
            <rFont val="Tahoma"/>
            <family val="2"/>
            <charset val="1"/>
          </rPr>
          <t xml:space="preserve">
NMF due to restatement of 2019 results</t>
        </r>
      </text>
    </comment>
    <comment ref="AO270" authorId="3" shapeId="0" xr:uid="{EF0D78EA-3014-43E5-ACED-47FFEB19BC97}">
      <text>
        <r>
          <rPr>
            <b/>
            <sz val="9"/>
            <rFont val="Tahoma"/>
            <family val="2"/>
            <charset val="1"/>
          </rPr>
          <t>Canalyst (YiL):</t>
        </r>
        <r>
          <rPr>
            <sz val="9"/>
            <rFont val="Tahoma"/>
            <family val="2"/>
            <charset val="1"/>
          </rPr>
          <t xml:space="preserve">
NMF due to restatement of 2019 results</t>
        </r>
      </text>
    </comment>
    <comment ref="AK271" authorId="1" shapeId="0" xr:uid="{CE3D64E4-C97D-44F4-BE3F-8F48D57E00D1}">
      <text>
        <r>
          <rPr>
            <b/>
            <sz val="9"/>
            <rFont val="Tahoma"/>
            <family val="2"/>
            <charset val="1"/>
          </rPr>
          <t>Canalyst (PZ):</t>
        </r>
        <r>
          <rPr>
            <sz val="9"/>
            <rFont val="Tahoma"/>
            <family val="2"/>
            <charset val="1"/>
          </rPr>
          <t xml:space="preserve">
Not available for new segmentation.</t>
        </r>
      </text>
    </comment>
    <comment ref="AN271" authorId="3" shapeId="0" xr:uid="{AAA68999-EC24-4A29-9CA7-2AA6987CB200}">
      <text>
        <r>
          <rPr>
            <b/>
            <sz val="9"/>
            <rFont val="Tahoma"/>
            <family val="2"/>
            <charset val="1"/>
          </rPr>
          <t>Canalyst (YiL):</t>
        </r>
        <r>
          <rPr>
            <sz val="9"/>
            <rFont val="Tahoma"/>
            <family val="2"/>
            <charset val="1"/>
          </rPr>
          <t xml:space="preserve">
Rounded numbers reported in Business Review.
</t>
        </r>
      </text>
    </comment>
    <comment ref="AK273" authorId="3" shapeId="0" xr:uid="{D5457FEF-D1E1-49B4-BF96-ADD518EAB6FB}">
      <text>
        <r>
          <rPr>
            <b/>
            <sz val="9"/>
            <rFont val="Tahoma"/>
            <family val="2"/>
            <charset val="1"/>
          </rPr>
          <t>Canalyst (YiL):</t>
        </r>
        <r>
          <rPr>
            <sz val="9"/>
            <rFont val="Tahoma"/>
            <family val="2"/>
            <charset val="1"/>
          </rPr>
          <t xml:space="preserve">
NMF due to restatement of 2019 results</t>
        </r>
      </text>
    </comment>
    <comment ref="AL273" authorId="3" shapeId="0" xr:uid="{8F86FD65-7505-4A29-9352-618D31024A59}">
      <text>
        <r>
          <rPr>
            <b/>
            <sz val="9"/>
            <rFont val="Tahoma"/>
            <family val="2"/>
            <charset val="1"/>
          </rPr>
          <t>Canalyst (YiL):</t>
        </r>
        <r>
          <rPr>
            <sz val="9"/>
            <rFont val="Tahoma"/>
            <family val="2"/>
            <charset val="1"/>
          </rPr>
          <t xml:space="preserve">
NMF due to restatement of 2019 results</t>
        </r>
      </text>
    </comment>
    <comment ref="AM273" authorId="3" shapeId="0" xr:uid="{9FE4F194-6C74-4541-AD10-DF9E174B44C9}">
      <text>
        <r>
          <rPr>
            <b/>
            <sz val="9"/>
            <rFont val="Tahoma"/>
            <family val="2"/>
            <charset val="1"/>
          </rPr>
          <t>Canalyst (YiL):</t>
        </r>
        <r>
          <rPr>
            <sz val="9"/>
            <rFont val="Tahoma"/>
            <family val="2"/>
            <charset val="1"/>
          </rPr>
          <t xml:space="preserve">
NMF due to restatement of 2019 results</t>
        </r>
      </text>
    </comment>
    <comment ref="AN273" authorId="3" shapeId="0" xr:uid="{441DAD10-17E6-48B6-A34A-0AF6C8BD0D2F}">
      <text>
        <r>
          <rPr>
            <b/>
            <sz val="9"/>
            <rFont val="Tahoma"/>
            <family val="2"/>
            <charset val="1"/>
          </rPr>
          <t>Canalyst (YiL):</t>
        </r>
        <r>
          <rPr>
            <sz val="9"/>
            <rFont val="Tahoma"/>
            <family val="2"/>
            <charset val="1"/>
          </rPr>
          <t xml:space="preserve">
NMF due to restatement of 2019 results</t>
        </r>
      </text>
    </comment>
    <comment ref="AO273" authorId="3" shapeId="0" xr:uid="{1F58B4DE-238C-455E-9934-F1254BC91E53}">
      <text>
        <r>
          <rPr>
            <b/>
            <sz val="9"/>
            <rFont val="Tahoma"/>
            <family val="2"/>
            <charset val="1"/>
          </rPr>
          <t>Canalyst (YiL):</t>
        </r>
        <r>
          <rPr>
            <sz val="9"/>
            <rFont val="Tahoma"/>
            <family val="2"/>
            <charset val="1"/>
          </rPr>
          <t xml:space="preserve">
NMF due to restatement of 2019 results</t>
        </r>
      </text>
    </comment>
    <comment ref="AN277" authorId="4" shapeId="0" xr:uid="{6FC6F7B2-A047-40FE-AB2C-1816C8218D26}">
      <text>
        <r>
          <rPr>
            <b/>
            <sz val="9"/>
            <rFont val="Tahoma"/>
            <family val="2"/>
            <charset val="1"/>
          </rPr>
          <t>Canalyst (AlD):</t>
        </r>
        <r>
          <rPr>
            <sz val="9"/>
            <rFont val="Tahoma"/>
            <family val="2"/>
            <charset val="1"/>
          </rPr>
          <t xml:space="preserve">
acquisition of Acelity</t>
        </r>
      </text>
    </comment>
    <comment ref="AP277" authorId="4" shapeId="0" xr:uid="{D65E8402-D94C-4F3A-89DE-F8875A61EA69}">
      <text>
        <r>
          <rPr>
            <b/>
            <sz val="9"/>
            <rFont val="Tahoma"/>
            <family val="2"/>
            <charset val="1"/>
          </rPr>
          <t>Canalyst (AlD):</t>
        </r>
        <r>
          <rPr>
            <sz val="9"/>
            <rFont val="Tahoma"/>
            <family val="2"/>
            <charset val="1"/>
          </rPr>
          <t xml:space="preserve">
acquisition of Acelity</t>
        </r>
      </text>
    </comment>
    <comment ref="AU283" authorId="2" shapeId="0" xr:uid="{55B5DEFE-05E5-4B58-81CA-68B44EF2747A}">
      <text>
        <r>
          <rPr>
            <b/>
            <sz val="9"/>
            <rFont val="Tahoma"/>
            <family val="2"/>
          </rPr>
          <t>Canalyst (SJ):</t>
        </r>
        <r>
          <rPr>
            <sz val="9"/>
            <rFont val="Tahoma"/>
            <family val="2"/>
          </rPr>
          <t xml:space="preserve">
Restated</t>
        </r>
      </text>
    </comment>
    <comment ref="AV289" authorId="2" shapeId="0" xr:uid="{CC7F96F8-5822-4317-8A3A-BE0F1B4ED9FB}">
      <text>
        <r>
          <rPr>
            <b/>
            <sz val="9"/>
            <rFont val="Tahoma"/>
            <family val="2"/>
          </rPr>
          <t>Canalyst (SJ):</t>
        </r>
        <r>
          <rPr>
            <sz val="9"/>
            <rFont val="Tahoma"/>
            <family val="2"/>
          </rPr>
          <t xml:space="preserve">
Hardcoded due to 2020 restatement</t>
        </r>
      </text>
    </comment>
    <comment ref="AW289" authorId="2" shapeId="0" xr:uid="{1D053273-9F25-4DFE-8D7F-9BD509539F6E}">
      <text>
        <r>
          <rPr>
            <b/>
            <sz val="9"/>
            <rFont val="Tahoma"/>
            <family val="2"/>
          </rPr>
          <t>Canalyst (SJ):</t>
        </r>
        <r>
          <rPr>
            <sz val="9"/>
            <rFont val="Tahoma"/>
            <family val="2"/>
          </rPr>
          <t xml:space="preserve">
Hardcoded due to 2020 restatement</t>
        </r>
      </text>
    </comment>
    <comment ref="AX289" authorId="2" shapeId="0" xr:uid="{2B9A30AF-D6CC-4BBF-AD38-80A5DCFC76D4}">
      <text>
        <r>
          <rPr>
            <b/>
            <sz val="9"/>
            <rFont val="Tahoma"/>
            <family val="2"/>
          </rPr>
          <t>Canalyst (SJ):</t>
        </r>
        <r>
          <rPr>
            <sz val="9"/>
            <rFont val="Tahoma"/>
            <family val="2"/>
          </rPr>
          <t xml:space="preserve">
Hardcoded due to 2020 restatement</t>
        </r>
      </text>
    </comment>
    <comment ref="AS302" authorId="1" shapeId="0" xr:uid="{081AC6A3-13DD-476C-A6DD-AB00AEB55C9E}">
      <text>
        <r>
          <rPr>
            <b/>
            <sz val="9"/>
            <rFont val="Tahoma"/>
            <family val="2"/>
            <charset val="1"/>
          </rPr>
          <t>Canalyst (PZ):</t>
        </r>
        <r>
          <rPr>
            <sz val="9"/>
            <rFont val="Tahoma"/>
            <family val="2"/>
            <charset val="1"/>
          </rPr>
          <t xml:space="preserve">
As reported.</t>
        </r>
      </text>
    </comment>
    <comment ref="AV307" authorId="2" shapeId="0" xr:uid="{875BE170-92CC-4E22-866E-8CADF0BF9A78}">
      <text>
        <r>
          <rPr>
            <b/>
            <sz val="9"/>
            <rFont val="Tahoma"/>
            <family val="2"/>
          </rPr>
          <t>Canalyst (SJ):</t>
        </r>
        <r>
          <rPr>
            <sz val="9"/>
            <rFont val="Tahoma"/>
            <family val="2"/>
          </rPr>
          <t xml:space="preserve">
Hardcoded due to 2020 restatement</t>
        </r>
      </text>
    </comment>
    <comment ref="AW307" authorId="2" shapeId="0" xr:uid="{0FB5623F-F4D5-4029-91F8-36329EEB4BAD}">
      <text>
        <r>
          <rPr>
            <b/>
            <sz val="9"/>
            <rFont val="Tahoma"/>
            <family val="2"/>
          </rPr>
          <t>Canalyst (SJ):</t>
        </r>
        <r>
          <rPr>
            <sz val="9"/>
            <rFont val="Tahoma"/>
            <family val="2"/>
          </rPr>
          <t xml:space="preserve">
Hardcoded due to 2020 restatement</t>
        </r>
      </text>
    </comment>
    <comment ref="AX307" authorId="2" shapeId="0" xr:uid="{8EAC2708-9176-4CFF-9796-0BB4190CA153}">
      <text>
        <r>
          <rPr>
            <b/>
            <sz val="9"/>
            <rFont val="Tahoma"/>
            <family val="2"/>
          </rPr>
          <t>Canalyst (SJ):</t>
        </r>
        <r>
          <rPr>
            <sz val="9"/>
            <rFont val="Tahoma"/>
            <family val="2"/>
          </rPr>
          <t xml:space="preserve">
Hardcoded due to 2020 restatement</t>
        </r>
      </text>
    </comment>
    <comment ref="AU308" authorId="2" shapeId="0" xr:uid="{D258BAB6-1563-456E-A48D-4BE8EFA5A667}">
      <text>
        <r>
          <rPr>
            <b/>
            <sz val="9"/>
            <rFont val="Tahoma"/>
            <family val="2"/>
          </rPr>
          <t>Canalyst (SJ):</t>
        </r>
        <r>
          <rPr>
            <sz val="9"/>
            <rFont val="Tahoma"/>
            <family val="2"/>
          </rPr>
          <t xml:space="preserve">
NMF</t>
        </r>
      </text>
    </comment>
    <comment ref="AU309" authorId="2" shapeId="0" xr:uid="{32E1875D-7801-4BA3-87DE-097DEC0AACA6}">
      <text>
        <r>
          <rPr>
            <b/>
            <sz val="9"/>
            <rFont val="Tahoma"/>
            <family val="2"/>
          </rPr>
          <t>Canalyst (SJ):</t>
        </r>
        <r>
          <rPr>
            <sz val="9"/>
            <rFont val="Tahoma"/>
            <family val="2"/>
          </rPr>
          <t xml:space="preserve">
NMF</t>
        </r>
      </text>
    </comment>
    <comment ref="AO328" authorId="3" shapeId="0" xr:uid="{4AD0D793-5386-4F24-AA9B-18BC5F08BDE9}">
      <text>
        <r>
          <rPr>
            <b/>
            <sz val="9"/>
            <rFont val="Tahoma"/>
            <family val="2"/>
            <charset val="1"/>
          </rPr>
          <t>Canalyst (YiL):</t>
        </r>
        <r>
          <rPr>
            <sz val="9"/>
            <rFont val="Tahoma"/>
            <family val="2"/>
            <charset val="1"/>
          </rPr>
          <t xml:space="preserve">
Restated</t>
        </r>
      </text>
    </comment>
    <comment ref="AO331" authorId="3" shapeId="0" xr:uid="{D3159B43-595E-42D0-BDD6-BC73AE376A0D}">
      <text>
        <r>
          <rPr>
            <b/>
            <sz val="9"/>
            <rFont val="Tahoma"/>
            <family val="2"/>
            <charset val="1"/>
          </rPr>
          <t>Canalyst (YiL):</t>
        </r>
        <r>
          <rPr>
            <sz val="9"/>
            <rFont val="Tahoma"/>
            <family val="2"/>
            <charset val="1"/>
          </rPr>
          <t xml:space="preserve">
Restated</t>
        </r>
      </text>
    </comment>
    <comment ref="AK337" authorId="1" shapeId="0" xr:uid="{D782CBEB-4AE9-4013-B068-BCBCBAD0DAAB}">
      <text>
        <r>
          <rPr>
            <b/>
            <sz val="9"/>
            <rFont val="Tahoma"/>
            <family val="2"/>
            <charset val="1"/>
          </rPr>
          <t>Canalyst (PZ):</t>
        </r>
        <r>
          <rPr>
            <sz val="9"/>
            <rFont val="Tahoma"/>
            <family val="2"/>
            <charset val="1"/>
          </rPr>
          <t xml:space="preserve">
Not available for new segmentation.</t>
        </r>
      </text>
    </comment>
    <comment ref="AN337" authorId="3" shapeId="0" xr:uid="{CF9C7DDD-B7B3-447F-AF27-18AA16AF47D5}">
      <text>
        <r>
          <rPr>
            <b/>
            <sz val="9"/>
            <rFont val="Tahoma"/>
            <family val="2"/>
            <charset val="1"/>
          </rPr>
          <t>Canalyst (YiL):</t>
        </r>
        <r>
          <rPr>
            <sz val="9"/>
            <rFont val="Tahoma"/>
            <family val="2"/>
            <charset val="1"/>
          </rPr>
          <t xml:space="preserve">
Rounded numbers reported in Business Review.
</t>
        </r>
      </text>
    </comment>
    <comment ref="AK340" authorId="1" shapeId="0" xr:uid="{4BFB8803-C8C8-4043-9A4D-F8024FB9EBDD}">
      <text>
        <r>
          <rPr>
            <b/>
            <sz val="9"/>
            <rFont val="Tahoma"/>
            <family val="2"/>
            <charset val="1"/>
          </rPr>
          <t>Canalyst (PZ):</t>
        </r>
        <r>
          <rPr>
            <sz val="9"/>
            <rFont val="Tahoma"/>
            <family val="2"/>
            <charset val="1"/>
          </rPr>
          <t xml:space="preserve">
Not available for new segmentation.</t>
        </r>
      </text>
    </comment>
    <comment ref="AN340" authorId="3" shapeId="0" xr:uid="{4DC734AF-3F4C-434D-A25F-874FDBE538FE}">
      <text>
        <r>
          <rPr>
            <b/>
            <sz val="9"/>
            <rFont val="Tahoma"/>
            <family val="2"/>
            <charset val="1"/>
          </rPr>
          <t>Canalyst (YiL):</t>
        </r>
        <r>
          <rPr>
            <sz val="9"/>
            <rFont val="Tahoma"/>
            <family val="2"/>
            <charset val="1"/>
          </rPr>
          <t xml:space="preserve">
Rounded numbers reported in Business Review.
</t>
        </r>
      </text>
    </comment>
    <comment ref="AK345" authorId="3" shapeId="0" xr:uid="{571C08E3-EECD-4EBF-9BD8-4A4D5A0438E5}">
      <text>
        <r>
          <rPr>
            <b/>
            <sz val="9"/>
            <rFont val="Tahoma"/>
            <family val="2"/>
            <charset val="1"/>
          </rPr>
          <t>Canalyst (YiL):</t>
        </r>
        <r>
          <rPr>
            <sz val="9"/>
            <rFont val="Tahoma"/>
            <family val="2"/>
            <charset val="1"/>
          </rPr>
          <t xml:space="preserve">
NMF due to restatement of 2019 results</t>
        </r>
      </text>
    </comment>
    <comment ref="AL345" authorId="3" shapeId="0" xr:uid="{187B9FF8-DFED-4A1B-97A3-0B50FAD85B78}">
      <text>
        <r>
          <rPr>
            <b/>
            <sz val="9"/>
            <rFont val="Tahoma"/>
            <family val="2"/>
            <charset val="1"/>
          </rPr>
          <t>Canalyst (YiL):</t>
        </r>
        <r>
          <rPr>
            <sz val="9"/>
            <rFont val="Tahoma"/>
            <family val="2"/>
            <charset val="1"/>
          </rPr>
          <t xml:space="preserve">
NMF due to restatement of 2019 results</t>
        </r>
      </text>
    </comment>
    <comment ref="AM345" authorId="3" shapeId="0" xr:uid="{EECBD5DC-E001-49B5-BEAC-56B7EB10F454}">
      <text>
        <r>
          <rPr>
            <b/>
            <sz val="9"/>
            <rFont val="Tahoma"/>
            <family val="2"/>
            <charset val="1"/>
          </rPr>
          <t>Canalyst (YiL):</t>
        </r>
        <r>
          <rPr>
            <sz val="9"/>
            <rFont val="Tahoma"/>
            <family val="2"/>
            <charset val="1"/>
          </rPr>
          <t xml:space="preserve">
NMF due to restatement of 2019 results</t>
        </r>
      </text>
    </comment>
    <comment ref="AN345" authorId="3" shapeId="0" xr:uid="{DAA2A1D8-3CDA-4E62-A29B-A086C7BEA558}">
      <text>
        <r>
          <rPr>
            <b/>
            <sz val="9"/>
            <rFont val="Tahoma"/>
            <family val="2"/>
            <charset val="1"/>
          </rPr>
          <t>Canalyst (YiL):</t>
        </r>
        <r>
          <rPr>
            <sz val="9"/>
            <rFont val="Tahoma"/>
            <family val="2"/>
            <charset val="1"/>
          </rPr>
          <t xml:space="preserve">
NMF due to restatement of 2019 results</t>
        </r>
      </text>
    </comment>
    <comment ref="AO345" authorId="3" shapeId="0" xr:uid="{C4FB8679-1BB1-4E04-A64E-5E7EBDF54707}">
      <text>
        <r>
          <rPr>
            <b/>
            <sz val="9"/>
            <rFont val="Tahoma"/>
            <family val="2"/>
            <charset val="1"/>
          </rPr>
          <t>Canalyst (YiL):</t>
        </r>
        <r>
          <rPr>
            <sz val="9"/>
            <rFont val="Tahoma"/>
            <family val="2"/>
            <charset val="1"/>
          </rPr>
          <t xml:space="preserve">
NMF due to restatement of 2019 results</t>
        </r>
      </text>
    </comment>
    <comment ref="AK346" authorId="1" shapeId="0" xr:uid="{FC340BA7-3B0D-493F-A623-181C8304F2BA}">
      <text>
        <r>
          <rPr>
            <b/>
            <sz val="9"/>
            <rFont val="Tahoma"/>
            <family val="2"/>
            <charset val="1"/>
          </rPr>
          <t>Canalyst (PZ):</t>
        </r>
        <r>
          <rPr>
            <sz val="9"/>
            <rFont val="Tahoma"/>
            <family val="2"/>
            <charset val="1"/>
          </rPr>
          <t xml:space="preserve">
Not available for new segmentation.</t>
        </r>
      </text>
    </comment>
    <comment ref="AN346" authorId="3" shapeId="0" xr:uid="{8BC0D0AE-CFCE-451C-BEC7-7ADC57D7D9CB}">
      <text>
        <r>
          <rPr>
            <b/>
            <sz val="9"/>
            <rFont val="Tahoma"/>
            <family val="2"/>
            <charset val="1"/>
          </rPr>
          <t>Canalyst (YiL):</t>
        </r>
        <r>
          <rPr>
            <sz val="9"/>
            <rFont val="Tahoma"/>
            <family val="2"/>
            <charset val="1"/>
          </rPr>
          <t xml:space="preserve">
Rounded numbers reported in Business Review.
</t>
        </r>
      </text>
    </comment>
    <comment ref="AK348" authorId="3" shapeId="0" xr:uid="{DA0CFAB1-4206-4109-BF23-82E8BA0E3A65}">
      <text>
        <r>
          <rPr>
            <b/>
            <sz val="9"/>
            <rFont val="Tahoma"/>
            <family val="2"/>
            <charset val="1"/>
          </rPr>
          <t>Canalyst (YiL):</t>
        </r>
        <r>
          <rPr>
            <sz val="9"/>
            <rFont val="Tahoma"/>
            <family val="2"/>
            <charset val="1"/>
          </rPr>
          <t xml:space="preserve">
NMF due to restatement of 2019 results</t>
        </r>
      </text>
    </comment>
    <comment ref="AL348" authorId="3" shapeId="0" xr:uid="{D32FBB32-EA32-4252-BD02-78959378749B}">
      <text>
        <r>
          <rPr>
            <b/>
            <sz val="9"/>
            <rFont val="Tahoma"/>
            <family val="2"/>
            <charset val="1"/>
          </rPr>
          <t>Canalyst (YiL):</t>
        </r>
        <r>
          <rPr>
            <sz val="9"/>
            <rFont val="Tahoma"/>
            <family val="2"/>
            <charset val="1"/>
          </rPr>
          <t xml:space="preserve">
NMF due to restatement of 2019 results</t>
        </r>
      </text>
    </comment>
    <comment ref="AM348" authorId="3" shapeId="0" xr:uid="{735B0E55-42DA-471B-A001-C5DCBF8F6ADC}">
      <text>
        <r>
          <rPr>
            <b/>
            <sz val="9"/>
            <rFont val="Tahoma"/>
            <family val="2"/>
            <charset val="1"/>
          </rPr>
          <t>Canalyst (YiL):</t>
        </r>
        <r>
          <rPr>
            <sz val="9"/>
            <rFont val="Tahoma"/>
            <family val="2"/>
            <charset val="1"/>
          </rPr>
          <t xml:space="preserve">
NMF due to restatement of 2019 results</t>
        </r>
      </text>
    </comment>
    <comment ref="AN348" authorId="3" shapeId="0" xr:uid="{855DF89C-9CD3-40A3-B1B4-1CDC83762BAE}">
      <text>
        <r>
          <rPr>
            <b/>
            <sz val="9"/>
            <rFont val="Tahoma"/>
            <family val="2"/>
            <charset val="1"/>
          </rPr>
          <t>Canalyst (YiL):</t>
        </r>
        <r>
          <rPr>
            <sz val="9"/>
            <rFont val="Tahoma"/>
            <family val="2"/>
            <charset val="1"/>
          </rPr>
          <t xml:space="preserve">
NMF due to restatement of 2019 results</t>
        </r>
      </text>
    </comment>
    <comment ref="AO348" authorId="3" shapeId="0" xr:uid="{365DDD3B-4FE3-4258-8818-6173935C05EA}">
      <text>
        <r>
          <rPr>
            <b/>
            <sz val="9"/>
            <rFont val="Tahoma"/>
            <family val="2"/>
            <charset val="1"/>
          </rPr>
          <t>Canalyst (YiL):</t>
        </r>
        <r>
          <rPr>
            <sz val="9"/>
            <rFont val="Tahoma"/>
            <family val="2"/>
            <charset val="1"/>
          </rPr>
          <t xml:space="preserve">
NMF due to restatement of 2019 results</t>
        </r>
      </text>
    </comment>
    <comment ref="AK349" authorId="1" shapeId="0" xr:uid="{E27E7CC1-666A-4340-8605-D37E8B43293C}">
      <text>
        <r>
          <rPr>
            <b/>
            <sz val="9"/>
            <rFont val="Tahoma"/>
            <family val="2"/>
            <charset val="1"/>
          </rPr>
          <t>Canalyst (PZ):</t>
        </r>
        <r>
          <rPr>
            <sz val="9"/>
            <rFont val="Tahoma"/>
            <family val="2"/>
            <charset val="1"/>
          </rPr>
          <t xml:space="preserve">
Not available for new segmentation.</t>
        </r>
      </text>
    </comment>
    <comment ref="AN349" authorId="3" shapeId="0" xr:uid="{CEB1C685-C63B-4525-8998-2BE8FB3920AC}">
      <text>
        <r>
          <rPr>
            <b/>
            <sz val="9"/>
            <rFont val="Tahoma"/>
            <family val="2"/>
            <charset val="1"/>
          </rPr>
          <t>Canalyst (YiL):</t>
        </r>
        <r>
          <rPr>
            <sz val="9"/>
            <rFont val="Tahoma"/>
            <family val="2"/>
            <charset val="1"/>
          </rPr>
          <t xml:space="preserve">
Rounded numbers reported in Business Review.
</t>
        </r>
      </text>
    </comment>
    <comment ref="AK351" authorId="3" shapeId="0" xr:uid="{E26BB463-68F6-4145-967E-E55EE8CD05A7}">
      <text>
        <r>
          <rPr>
            <b/>
            <sz val="9"/>
            <rFont val="Tahoma"/>
            <family val="2"/>
            <charset val="1"/>
          </rPr>
          <t>Canalyst (YiL):</t>
        </r>
        <r>
          <rPr>
            <sz val="9"/>
            <rFont val="Tahoma"/>
            <family val="2"/>
            <charset val="1"/>
          </rPr>
          <t xml:space="preserve">
NMF due to restatement of 2019 results</t>
        </r>
      </text>
    </comment>
    <comment ref="AL351" authorId="3" shapeId="0" xr:uid="{FCC29D4B-F506-401F-9CEA-EACC9C4F8E93}">
      <text>
        <r>
          <rPr>
            <b/>
            <sz val="9"/>
            <rFont val="Tahoma"/>
            <family val="2"/>
            <charset val="1"/>
          </rPr>
          <t>Canalyst (YiL):</t>
        </r>
        <r>
          <rPr>
            <sz val="9"/>
            <rFont val="Tahoma"/>
            <family val="2"/>
            <charset val="1"/>
          </rPr>
          <t xml:space="preserve">
NMF due to restatement of 2019 results</t>
        </r>
      </text>
    </comment>
    <comment ref="AM351" authorId="3" shapeId="0" xr:uid="{42CD2F89-F467-4905-8888-6D6E6BD5FDB1}">
      <text>
        <r>
          <rPr>
            <b/>
            <sz val="9"/>
            <rFont val="Tahoma"/>
            <family val="2"/>
            <charset val="1"/>
          </rPr>
          <t>Canalyst (YiL):</t>
        </r>
        <r>
          <rPr>
            <sz val="9"/>
            <rFont val="Tahoma"/>
            <family val="2"/>
            <charset val="1"/>
          </rPr>
          <t xml:space="preserve">
NMF due to restatement of 2019 results</t>
        </r>
      </text>
    </comment>
    <comment ref="AN351" authorId="3" shapeId="0" xr:uid="{AAA8CAA2-34EE-4811-929D-A5DFFF4B4324}">
      <text>
        <r>
          <rPr>
            <b/>
            <sz val="9"/>
            <rFont val="Tahoma"/>
            <family val="2"/>
            <charset val="1"/>
          </rPr>
          <t>Canalyst (YiL):</t>
        </r>
        <r>
          <rPr>
            <sz val="9"/>
            <rFont val="Tahoma"/>
            <family val="2"/>
            <charset val="1"/>
          </rPr>
          <t xml:space="preserve">
NMF due to restatement of 2019 results</t>
        </r>
      </text>
    </comment>
    <comment ref="AO351" authorId="3" shapeId="0" xr:uid="{8FD6D8D6-3BC6-4E25-9665-9681D4498215}">
      <text>
        <r>
          <rPr>
            <b/>
            <sz val="9"/>
            <rFont val="Tahoma"/>
            <family val="2"/>
            <charset val="1"/>
          </rPr>
          <t>Canalyst (YiL):</t>
        </r>
        <r>
          <rPr>
            <sz val="9"/>
            <rFont val="Tahoma"/>
            <family val="2"/>
            <charset val="1"/>
          </rPr>
          <t xml:space="preserve">
NMF due to restatement of 2019 results</t>
        </r>
      </text>
    </comment>
    <comment ref="AU361" authorId="2" shapeId="0" xr:uid="{4669D72D-5920-423A-A913-9D06FB70908A}">
      <text>
        <r>
          <rPr>
            <b/>
            <sz val="9"/>
            <rFont val="Tahoma"/>
            <family val="2"/>
          </rPr>
          <t>Canalyst (SJ):</t>
        </r>
        <r>
          <rPr>
            <sz val="9"/>
            <rFont val="Tahoma"/>
            <family val="2"/>
          </rPr>
          <t xml:space="preserve">
Restated</t>
        </r>
      </text>
    </comment>
    <comment ref="AV367" authorId="2" shapeId="0" xr:uid="{9F43860E-3CD0-4C5B-AAE8-E84DEDF6EEE7}">
      <text>
        <r>
          <rPr>
            <b/>
            <sz val="9"/>
            <rFont val="Tahoma"/>
            <family val="2"/>
          </rPr>
          <t>Canalyst (SJ):</t>
        </r>
        <r>
          <rPr>
            <sz val="9"/>
            <rFont val="Tahoma"/>
            <family val="2"/>
          </rPr>
          <t xml:space="preserve">
Hardcoded due to 2020 restatement</t>
        </r>
      </text>
    </comment>
    <comment ref="AW367" authorId="2" shapeId="0" xr:uid="{3BF9C189-7871-4903-8FD2-A94C7ABE6001}">
      <text>
        <r>
          <rPr>
            <b/>
            <sz val="9"/>
            <rFont val="Tahoma"/>
            <family val="2"/>
          </rPr>
          <t>Canalyst (SJ):</t>
        </r>
        <r>
          <rPr>
            <sz val="9"/>
            <rFont val="Tahoma"/>
            <family val="2"/>
          </rPr>
          <t xml:space="preserve">
Hardcoded due to 2020 restatement</t>
        </r>
      </text>
    </comment>
    <comment ref="AX367" authorId="2" shapeId="0" xr:uid="{8FAFA8AC-9B13-4608-BF97-634C8234D4E5}">
      <text>
        <r>
          <rPr>
            <b/>
            <sz val="9"/>
            <rFont val="Tahoma"/>
            <family val="2"/>
          </rPr>
          <t>Canalyst (SJ):</t>
        </r>
        <r>
          <rPr>
            <sz val="9"/>
            <rFont val="Tahoma"/>
            <family val="2"/>
          </rPr>
          <t xml:space="preserve">
Hardcoded due to 2020 restatement</t>
        </r>
      </text>
    </comment>
    <comment ref="AN380" authorId="3" shapeId="0" xr:uid="{27DD3278-E343-495C-AF0C-C8AEB8BA53FB}">
      <text>
        <r>
          <rPr>
            <b/>
            <sz val="9"/>
            <rFont val="Tahoma"/>
            <family val="2"/>
          </rPr>
          <t>Canalyst (YiL):</t>
        </r>
        <r>
          <rPr>
            <sz val="9"/>
            <rFont val="Tahoma"/>
            <family val="2"/>
          </rPr>
          <t xml:space="preserve">
As restated</t>
        </r>
      </text>
    </comment>
    <comment ref="AS380" authorId="1" shapeId="0" xr:uid="{10D5414B-5359-4E08-BE7C-76735DBEF363}">
      <text>
        <r>
          <rPr>
            <b/>
            <sz val="9"/>
            <rFont val="Tahoma"/>
            <family val="2"/>
            <charset val="1"/>
          </rPr>
          <t>Canalyst (PZ):</t>
        </r>
        <r>
          <rPr>
            <sz val="9"/>
            <rFont val="Tahoma"/>
            <family val="2"/>
            <charset val="1"/>
          </rPr>
          <t xml:space="preserve">
As reported.</t>
        </r>
      </text>
    </comment>
    <comment ref="AV385" authorId="2" shapeId="0" xr:uid="{41395878-767E-4DC4-9428-FF2DEA3F41AC}">
      <text>
        <r>
          <rPr>
            <b/>
            <sz val="9"/>
            <rFont val="Tahoma"/>
            <family val="2"/>
          </rPr>
          <t>Canalyst (SJ):</t>
        </r>
        <r>
          <rPr>
            <sz val="9"/>
            <rFont val="Tahoma"/>
            <family val="2"/>
          </rPr>
          <t xml:space="preserve">
Hardcoded due to 2020 restatement</t>
        </r>
      </text>
    </comment>
    <comment ref="AW385" authorId="2" shapeId="0" xr:uid="{147255AF-E223-403A-AF7E-CEA5BF063957}">
      <text>
        <r>
          <rPr>
            <b/>
            <sz val="9"/>
            <rFont val="Tahoma"/>
            <family val="2"/>
          </rPr>
          <t>Canalyst (SJ):</t>
        </r>
        <r>
          <rPr>
            <sz val="9"/>
            <rFont val="Tahoma"/>
            <family val="2"/>
          </rPr>
          <t xml:space="preserve">
Hardcoded due to 2020 restatement</t>
        </r>
      </text>
    </comment>
    <comment ref="AX385" authorId="2" shapeId="0" xr:uid="{C08DD3FF-C807-4304-84DE-9D0A9B29BC00}">
      <text>
        <r>
          <rPr>
            <b/>
            <sz val="9"/>
            <rFont val="Tahoma"/>
            <family val="2"/>
          </rPr>
          <t>Canalyst (SJ):</t>
        </r>
        <r>
          <rPr>
            <sz val="9"/>
            <rFont val="Tahoma"/>
            <family val="2"/>
          </rPr>
          <t xml:space="preserve">
Hardcoded due to 2020 restatement</t>
        </r>
      </text>
    </comment>
    <comment ref="AK386" authorId="3" shapeId="0" xr:uid="{E2097A0D-01B5-4116-830C-311186D2A70A}">
      <text>
        <r>
          <rPr>
            <b/>
            <sz val="9"/>
            <rFont val="Tahoma"/>
            <family val="2"/>
            <charset val="1"/>
          </rPr>
          <t>Canalyst (YiL):</t>
        </r>
        <r>
          <rPr>
            <sz val="9"/>
            <rFont val="Tahoma"/>
            <family val="2"/>
            <charset val="1"/>
          </rPr>
          <t xml:space="preserve">
Not meaningful due to realignment</t>
        </r>
      </text>
    </comment>
    <comment ref="AL386" authorId="3" shapeId="0" xr:uid="{CF8D8D3C-5FF0-4B92-9FE0-4FE55C302753}">
      <text>
        <r>
          <rPr>
            <b/>
            <sz val="9"/>
            <rFont val="Tahoma"/>
            <family val="2"/>
            <charset val="1"/>
          </rPr>
          <t>Canalyst (YiL):</t>
        </r>
        <r>
          <rPr>
            <sz val="9"/>
            <rFont val="Tahoma"/>
            <family val="2"/>
            <charset val="1"/>
          </rPr>
          <t xml:space="preserve">
Not meaningful due to realignment</t>
        </r>
      </text>
    </comment>
    <comment ref="AM386" authorId="3" shapeId="0" xr:uid="{02AA8828-77B6-4067-B31B-2A827BD23E44}">
      <text>
        <r>
          <rPr>
            <b/>
            <sz val="9"/>
            <rFont val="Tahoma"/>
            <family val="2"/>
            <charset val="1"/>
          </rPr>
          <t>Canalyst (YiL):</t>
        </r>
        <r>
          <rPr>
            <sz val="9"/>
            <rFont val="Tahoma"/>
            <family val="2"/>
            <charset val="1"/>
          </rPr>
          <t xml:space="preserve">
Not meaningful due to realignment</t>
        </r>
      </text>
    </comment>
    <comment ref="AN386" authorId="3" shapeId="0" xr:uid="{2082C0C4-4EDF-4A07-BBF2-68471392AE4C}">
      <text>
        <r>
          <rPr>
            <b/>
            <sz val="9"/>
            <rFont val="Tahoma"/>
            <family val="2"/>
            <charset val="1"/>
          </rPr>
          <t>Canalyst (YiL):</t>
        </r>
        <r>
          <rPr>
            <sz val="9"/>
            <rFont val="Tahoma"/>
            <family val="2"/>
            <charset val="1"/>
          </rPr>
          <t xml:space="preserve">
Not meaningful due to realignment</t>
        </r>
      </text>
    </comment>
    <comment ref="AO386" authorId="3" shapeId="0" xr:uid="{04D4C88B-1E06-4905-AA82-514FD1267905}">
      <text>
        <r>
          <rPr>
            <b/>
            <sz val="9"/>
            <rFont val="Tahoma"/>
            <family val="2"/>
            <charset val="1"/>
          </rPr>
          <t>Canalyst (YiL):</t>
        </r>
        <r>
          <rPr>
            <sz val="9"/>
            <rFont val="Tahoma"/>
            <family val="2"/>
            <charset val="1"/>
          </rPr>
          <t xml:space="preserve">
Not meaningful due to realignment</t>
        </r>
      </text>
    </comment>
    <comment ref="AU386" authorId="2" shapeId="0" xr:uid="{BB625B04-FAEE-4493-AE02-41F6B16A30B7}">
      <text>
        <r>
          <rPr>
            <b/>
            <sz val="9"/>
            <rFont val="Tahoma"/>
            <family val="2"/>
          </rPr>
          <t>Canalyst (SJ):</t>
        </r>
        <r>
          <rPr>
            <sz val="9"/>
            <rFont val="Tahoma"/>
            <family val="2"/>
          </rPr>
          <t xml:space="preserve">
NMF</t>
        </r>
      </text>
    </comment>
    <comment ref="AK387" authorId="3" shapeId="0" xr:uid="{D162216B-CA5A-479B-85D8-F6525952AB0D}">
      <text>
        <r>
          <rPr>
            <b/>
            <sz val="9"/>
            <rFont val="Tahoma"/>
            <family val="2"/>
            <charset val="1"/>
          </rPr>
          <t>Canalyst (YiL):</t>
        </r>
        <r>
          <rPr>
            <sz val="9"/>
            <rFont val="Tahoma"/>
            <family val="2"/>
            <charset val="1"/>
          </rPr>
          <t xml:space="preserve">
Not meaningful due to realignment</t>
        </r>
      </text>
    </comment>
    <comment ref="AL387" authorId="3" shapeId="0" xr:uid="{B3AF70D3-4CB2-4B6A-8DA7-F94CC5BEF14C}">
      <text>
        <r>
          <rPr>
            <b/>
            <sz val="9"/>
            <rFont val="Tahoma"/>
            <family val="2"/>
            <charset val="1"/>
          </rPr>
          <t>Canalyst (YiL):</t>
        </r>
        <r>
          <rPr>
            <sz val="9"/>
            <rFont val="Tahoma"/>
            <family val="2"/>
            <charset val="1"/>
          </rPr>
          <t xml:space="preserve">
Not meaningful due to realignment</t>
        </r>
      </text>
    </comment>
    <comment ref="AM387" authorId="3" shapeId="0" xr:uid="{3CA7DB9B-C3F0-43AF-94F6-B4EFE2E00237}">
      <text>
        <r>
          <rPr>
            <b/>
            <sz val="9"/>
            <rFont val="Tahoma"/>
            <family val="2"/>
            <charset val="1"/>
          </rPr>
          <t>Canalyst (YiL):</t>
        </r>
        <r>
          <rPr>
            <sz val="9"/>
            <rFont val="Tahoma"/>
            <family val="2"/>
            <charset val="1"/>
          </rPr>
          <t xml:space="preserve">
Not meaningful due to realignment</t>
        </r>
      </text>
    </comment>
    <comment ref="AN387" authorId="3" shapeId="0" xr:uid="{151802B5-A67F-4801-BEC3-8A071E00A2BD}">
      <text>
        <r>
          <rPr>
            <b/>
            <sz val="9"/>
            <rFont val="Tahoma"/>
            <family val="2"/>
            <charset val="1"/>
          </rPr>
          <t>Canalyst (YiL):</t>
        </r>
        <r>
          <rPr>
            <sz val="9"/>
            <rFont val="Tahoma"/>
            <family val="2"/>
            <charset val="1"/>
          </rPr>
          <t xml:space="preserve">
Not meaningful due to realignment</t>
        </r>
      </text>
    </comment>
    <comment ref="AO387" authorId="3" shapeId="0" xr:uid="{5F4F3E06-C9E3-4F4E-8836-D16085C70EE5}">
      <text>
        <r>
          <rPr>
            <b/>
            <sz val="9"/>
            <rFont val="Tahoma"/>
            <family val="2"/>
            <charset val="1"/>
          </rPr>
          <t>Canalyst (YiL):</t>
        </r>
        <r>
          <rPr>
            <sz val="9"/>
            <rFont val="Tahoma"/>
            <family val="2"/>
            <charset val="1"/>
          </rPr>
          <t xml:space="preserve">
Not meaningful due to realignment</t>
        </r>
      </text>
    </comment>
    <comment ref="AU387" authorId="2" shapeId="0" xr:uid="{AE87AFE6-58B1-4620-95E1-74A554D408DD}">
      <text>
        <r>
          <rPr>
            <b/>
            <sz val="9"/>
            <rFont val="Tahoma"/>
            <family val="2"/>
          </rPr>
          <t>Canalyst (SJ):</t>
        </r>
        <r>
          <rPr>
            <sz val="9"/>
            <rFont val="Tahoma"/>
            <family val="2"/>
          </rPr>
          <t xml:space="preserve">
NMF</t>
        </r>
      </text>
    </comment>
    <comment ref="AO404" authorId="3" shapeId="0" xr:uid="{457110FB-D4E1-4B00-A007-2DC098D4C81F}">
      <text>
        <r>
          <rPr>
            <b/>
            <sz val="9"/>
            <rFont val="Tahoma"/>
            <family val="2"/>
            <charset val="1"/>
          </rPr>
          <t>Canalyst (YiL):</t>
        </r>
        <r>
          <rPr>
            <sz val="9"/>
            <rFont val="Tahoma"/>
            <family val="2"/>
            <charset val="1"/>
          </rPr>
          <t xml:space="preserve">
Restated</t>
        </r>
      </text>
    </comment>
    <comment ref="AO407" authorId="3" shapeId="0" xr:uid="{460AA163-53B2-4B11-909A-A7F3962D04D0}">
      <text>
        <r>
          <rPr>
            <b/>
            <sz val="9"/>
            <rFont val="Tahoma"/>
            <family val="2"/>
            <charset val="1"/>
          </rPr>
          <t>Canalyst (YiL):</t>
        </r>
        <r>
          <rPr>
            <sz val="9"/>
            <rFont val="Tahoma"/>
            <family val="2"/>
            <charset val="1"/>
          </rPr>
          <t xml:space="preserve">
Restated</t>
        </r>
      </text>
    </comment>
    <comment ref="AN422" authorId="3" shapeId="0" xr:uid="{3D9F8987-4569-4ECF-AEAC-6B63C10ADB2B}">
      <text>
        <r>
          <rPr>
            <b/>
            <sz val="9"/>
            <rFont val="Tahoma"/>
            <family val="2"/>
          </rPr>
          <t>Canalyst (YiL):</t>
        </r>
        <r>
          <rPr>
            <sz val="9"/>
            <rFont val="Tahoma"/>
            <family val="2"/>
          </rPr>
          <t xml:space="preserve">
As restated</t>
        </r>
      </text>
    </comment>
    <comment ref="AP422" authorId="1" shapeId="0" xr:uid="{31B65225-CAB0-4608-9920-E2ACB46F9B72}">
      <text>
        <r>
          <rPr>
            <b/>
            <sz val="9"/>
            <rFont val="Tahoma"/>
            <family val="2"/>
          </rPr>
          <t>Canalyst (PZ):</t>
        </r>
        <r>
          <rPr>
            <sz val="9"/>
            <rFont val="Tahoma"/>
            <family val="2"/>
          </rPr>
          <t xml:space="preserve">
Significant litigation-related charges/benefits.</t>
        </r>
      </text>
    </comment>
    <comment ref="AQ422" authorId="1" shapeId="0" xr:uid="{8976379A-12C3-4906-B7D9-A09F930679DF}">
      <text>
        <r>
          <rPr>
            <b/>
            <sz val="9"/>
            <rFont val="Tahoma"/>
            <family val="2"/>
          </rPr>
          <t>Canalyst (PZ):</t>
        </r>
        <r>
          <rPr>
            <sz val="9"/>
            <rFont val="Tahoma"/>
            <family val="2"/>
          </rPr>
          <t xml:space="preserve">
Gain on divestiture and divestiture related restructuring actions.</t>
        </r>
      </text>
    </comment>
    <comment ref="AN424" authorId="3" shapeId="0" xr:uid="{DDA2DEEA-618B-47D7-9E83-539452904B4C}">
      <text>
        <r>
          <rPr>
            <b/>
            <sz val="9"/>
            <rFont val="Tahoma"/>
            <family val="2"/>
          </rPr>
          <t>Canalyst (YiL):</t>
        </r>
        <r>
          <rPr>
            <sz val="9"/>
            <rFont val="Tahoma"/>
            <family val="2"/>
          </rPr>
          <t xml:space="preserve">
As restated</t>
        </r>
      </text>
    </comment>
    <comment ref="AS424" authorId="1" shapeId="0" xr:uid="{0FBAAFD4-A747-48AE-87A5-647C88E3A95C}">
      <text>
        <r>
          <rPr>
            <b/>
            <sz val="9"/>
            <rFont val="Tahoma"/>
            <family val="2"/>
            <charset val="1"/>
          </rPr>
          <t>Canalyst (PZ):</t>
        </r>
        <r>
          <rPr>
            <sz val="9"/>
            <rFont val="Tahoma"/>
            <family val="2"/>
            <charset val="1"/>
          </rPr>
          <t xml:space="preserve">
As reported.</t>
        </r>
      </text>
    </comment>
    <comment ref="AO428" authorId="3" shapeId="0" xr:uid="{68A4040E-E5E8-4F85-BABD-BE0133036480}">
      <text>
        <r>
          <rPr>
            <b/>
            <sz val="9"/>
            <rFont val="Tahoma"/>
            <family val="2"/>
            <charset val="1"/>
          </rPr>
          <t>Canalyst (YiL):</t>
        </r>
        <r>
          <rPr>
            <sz val="9"/>
            <rFont val="Tahoma"/>
            <family val="2"/>
            <charset val="1"/>
          </rPr>
          <t xml:space="preserve">
Restated</t>
        </r>
      </text>
    </comment>
    <comment ref="AO430" authorId="3" shapeId="0" xr:uid="{1088EFF3-1518-4FCA-ACAA-372068AEFC78}">
      <text>
        <r>
          <rPr>
            <b/>
            <sz val="9"/>
            <rFont val="Tahoma"/>
            <family val="2"/>
            <charset val="1"/>
          </rPr>
          <t>Canalyst (YiL):</t>
        </r>
        <r>
          <rPr>
            <sz val="9"/>
            <rFont val="Tahoma"/>
            <family val="2"/>
            <charset val="1"/>
          </rPr>
          <t xml:space="preserve">
Restated</t>
        </r>
      </text>
    </comment>
    <comment ref="F453" authorId="4" shapeId="0" xr:uid="{CA57FD52-A6B6-4F97-8DF0-4F81BC38654D}">
      <text>
        <r>
          <rPr>
            <b/>
            <sz val="9"/>
            <rFont val="Tahoma"/>
            <family val="2"/>
          </rPr>
          <t>Canalyst (AlD):</t>
        </r>
        <r>
          <rPr>
            <sz val="9"/>
            <rFont val="Tahoma"/>
            <family val="2"/>
          </rPr>
          <t xml:space="preserve">
as reported. Calculated growth rate isn't equal the sum of as reported components since those are not restated while revenues are.</t>
        </r>
      </text>
    </comment>
    <comment ref="F462" authorId="4" shapeId="0" xr:uid="{93CB54F7-3F8E-4031-97F0-A108E25F99F2}">
      <text>
        <r>
          <rPr>
            <b/>
            <sz val="9"/>
            <rFont val="Tahoma"/>
            <family val="2"/>
          </rPr>
          <t>Canalyst (AlD):</t>
        </r>
        <r>
          <rPr>
            <sz val="9"/>
            <rFont val="Tahoma"/>
            <family val="2"/>
          </rPr>
          <t xml:space="preserve">
as reported. Calculated growth rate isn't equal the sum of as reported components since those are not restated while revenues are.</t>
        </r>
      </text>
    </comment>
    <comment ref="AS508" authorId="1" shapeId="0" xr:uid="{DF9AE25C-CA20-4C00-AB71-F2B40DE96F12}">
      <text>
        <r>
          <rPr>
            <b/>
            <sz val="9"/>
            <rFont val="Tahoma"/>
            <family val="2"/>
            <charset val="1"/>
          </rPr>
          <t>Canalyst (PZ):</t>
        </r>
        <r>
          <rPr>
            <sz val="9"/>
            <rFont val="Tahoma"/>
            <family val="2"/>
            <charset val="1"/>
          </rPr>
          <t xml:space="preserve">
Flat</t>
        </r>
      </text>
    </comment>
    <comment ref="T513" authorId="4" shapeId="0" xr:uid="{862EB514-4945-4178-B31F-BEA1BE09416E}">
      <text>
        <r>
          <rPr>
            <b/>
            <sz val="9"/>
            <rFont val="Tahoma"/>
            <family val="2"/>
          </rPr>
          <t>Canalyst (AlD):</t>
        </r>
        <r>
          <rPr>
            <sz val="9"/>
            <rFont val="Tahoma"/>
            <family val="2"/>
          </rPr>
          <t xml:space="preserve">
up slightly</t>
        </r>
      </text>
    </comment>
    <comment ref="V513" authorId="4" shapeId="0" xr:uid="{E405D30C-69A2-4CBC-AC96-F8274E18E52C}">
      <text>
        <r>
          <rPr>
            <b/>
            <sz val="9"/>
            <rFont val="Tahoma"/>
            <family val="2"/>
          </rPr>
          <t>Canalyst (AlD):</t>
        </r>
        <r>
          <rPr>
            <sz val="9"/>
            <rFont val="Tahoma"/>
            <family val="2"/>
          </rPr>
          <t xml:space="preserve">
up slightly</t>
        </r>
      </text>
    </comment>
    <comment ref="AP515" authorId="1" shapeId="0" xr:uid="{5359E2E2-A403-4604-90E5-F790D270CA1E}">
      <text>
        <r>
          <rPr>
            <b/>
            <sz val="9"/>
            <rFont val="Tahoma"/>
            <family val="2"/>
          </rPr>
          <t>Canalyst (PZ):</t>
        </r>
        <r>
          <rPr>
            <sz val="9"/>
            <rFont val="Tahoma"/>
            <family val="2"/>
          </rPr>
          <t xml:space="preserve">
Not reported.</t>
        </r>
      </text>
    </comment>
    <comment ref="AP516" authorId="1" shapeId="0" xr:uid="{7BEECD37-7720-4590-AE13-59A3C31681FB}">
      <text>
        <r>
          <rPr>
            <b/>
            <sz val="9"/>
            <rFont val="Tahoma"/>
            <family val="2"/>
          </rPr>
          <t>Canalyst (PZ):</t>
        </r>
        <r>
          <rPr>
            <sz val="9"/>
            <rFont val="Tahoma"/>
            <family val="2"/>
          </rPr>
          <t xml:space="preserve">
Not reported.</t>
        </r>
      </text>
    </comment>
    <comment ref="AP517" authorId="1" shapeId="0" xr:uid="{510EF595-5FED-4F3C-AC09-68F5080A01C3}">
      <text>
        <r>
          <rPr>
            <b/>
            <sz val="9"/>
            <rFont val="Tahoma"/>
            <family val="2"/>
          </rPr>
          <t>Canalyst (PZ):</t>
        </r>
        <r>
          <rPr>
            <sz val="9"/>
            <rFont val="Tahoma"/>
            <family val="2"/>
          </rPr>
          <t xml:space="preserve">
Not reported.</t>
        </r>
      </text>
    </comment>
    <comment ref="AP518" authorId="1" shapeId="0" xr:uid="{19DD6A35-4BDA-4016-8E3A-4940A553BA43}">
      <text>
        <r>
          <rPr>
            <b/>
            <sz val="9"/>
            <rFont val="Tahoma"/>
            <family val="2"/>
          </rPr>
          <t>Canalyst (PZ):</t>
        </r>
        <r>
          <rPr>
            <sz val="9"/>
            <rFont val="Tahoma"/>
            <family val="2"/>
          </rPr>
          <t xml:space="preserve">
Not reported.</t>
        </r>
      </text>
    </comment>
    <comment ref="A551" authorId="1" shapeId="0" xr:uid="{05130D17-0131-4AE2-8110-C90CD8F0EC4E}">
      <text>
        <r>
          <rPr>
            <b/>
            <sz val="9"/>
            <rFont val="Tahoma"/>
            <family val="2"/>
          </rPr>
          <t>Canalyst (PZ):</t>
        </r>
        <r>
          <rPr>
            <sz val="9"/>
            <rFont val="Tahoma"/>
            <family val="2"/>
          </rPr>
          <t xml:space="preserve">
Includes line for restatement and rounding.</t>
        </r>
      </text>
    </comment>
    <comment ref="V552" authorId="1" shapeId="0" xr:uid="{8E811509-C3BE-48C8-8B39-EAC4B1EF211F}">
      <text>
        <r>
          <rPr>
            <b/>
            <sz val="9"/>
            <rFont val="Tahoma"/>
            <family val="2"/>
          </rPr>
          <t>Canalyst (PZ):</t>
        </r>
        <r>
          <rPr>
            <sz val="9"/>
            <rFont val="Tahoma"/>
            <family val="2"/>
          </rPr>
          <t xml:space="preserve">
Linked to "Operating Income Breakdown" section to show the effect of restatement.</t>
        </r>
      </text>
    </comment>
    <comment ref="AU562" authorId="2" shapeId="0" xr:uid="{5388A256-2995-4A72-81E3-6A5D89871B13}">
      <text>
        <r>
          <rPr>
            <b/>
            <sz val="9"/>
            <rFont val="Tahoma"/>
            <family val="2"/>
          </rPr>
          <t>Canalyst (SJ):</t>
        </r>
        <r>
          <rPr>
            <sz val="9"/>
            <rFont val="Tahoma"/>
            <family val="2"/>
          </rPr>
          <t xml:space="preserve">
Restated</t>
        </r>
      </text>
    </comment>
    <comment ref="AS565" authorId="1" shapeId="0" xr:uid="{6402DD2E-46D4-4EDC-8278-2810AA10BC6A}">
      <text>
        <r>
          <rPr>
            <b/>
            <sz val="9"/>
            <rFont val="Tahoma"/>
            <family val="2"/>
            <charset val="1"/>
          </rPr>
          <t>Canalyst (PZ):</t>
        </r>
        <r>
          <rPr>
            <sz val="9"/>
            <rFont val="Tahoma"/>
            <family val="2"/>
            <charset val="1"/>
          </rPr>
          <t xml:space="preserve">
Formula adjusted.</t>
        </r>
      </text>
    </comment>
    <comment ref="AT576" authorId="3" shapeId="0" xr:uid="{89688B8F-F75E-4B17-812A-9A9CE0F942D3}">
      <text>
        <r>
          <rPr>
            <b/>
            <sz val="9"/>
            <rFont val="Tahoma"/>
            <family val="2"/>
            <charset val="1"/>
          </rPr>
          <t>Canalyst (YiL):</t>
        </r>
        <r>
          <rPr>
            <sz val="9"/>
            <rFont val="Tahoma"/>
            <family val="2"/>
            <charset val="1"/>
          </rPr>
          <t xml:space="preserve">
Non divestiture-related restructuring actions</t>
        </r>
      </text>
    </comment>
    <comment ref="A584" authorId="1" shapeId="0" xr:uid="{C17B3A74-66CB-4ADC-A258-45D86E14B63C}">
      <text>
        <r>
          <rPr>
            <b/>
            <sz val="9"/>
            <rFont val="Tahoma"/>
            <family val="2"/>
            <charset val="1"/>
          </rPr>
          <t>Canalyst (PZ):</t>
        </r>
        <r>
          <rPr>
            <sz val="9"/>
            <rFont val="Tahoma"/>
            <family val="2"/>
            <charset val="1"/>
          </rPr>
          <t xml:space="preserve">
Added to reconcile for restatement and rounding.</t>
        </r>
      </text>
    </comment>
    <comment ref="AU593" authorId="2" shapeId="0" xr:uid="{EB75D468-F46C-4EA9-85DB-49D220E8FB95}">
      <text>
        <r>
          <rPr>
            <b/>
            <sz val="9"/>
            <rFont val="Tahoma"/>
            <family val="2"/>
          </rPr>
          <t>Canalyst (SJ):</t>
        </r>
        <r>
          <rPr>
            <sz val="9"/>
            <rFont val="Tahoma"/>
            <family val="2"/>
          </rPr>
          <t xml:space="preserve">
Restated</t>
        </r>
      </text>
    </comment>
    <comment ref="V599" authorId="1" shapeId="0" xr:uid="{5625EC1C-7A10-4712-A5F0-753390AAC40A}">
      <text>
        <r>
          <rPr>
            <b/>
            <sz val="9"/>
            <rFont val="Tahoma"/>
            <family val="2"/>
            <charset val="1"/>
          </rPr>
          <t>Canalyst (PZ):</t>
        </r>
        <r>
          <rPr>
            <sz val="9"/>
            <rFont val="Tahoma"/>
            <family val="2"/>
            <charset val="1"/>
          </rPr>
          <t xml:space="preserve">
Includes tailwind of $0.08 from pension/OPEB expense.</t>
        </r>
      </text>
    </comment>
    <comment ref="W599" authorId="1" shapeId="0" xr:uid="{C807D9F1-0057-486A-85E1-56573615111D}">
      <text>
        <r>
          <rPr>
            <b/>
            <sz val="9"/>
            <rFont val="Tahoma"/>
            <family val="2"/>
            <charset val="1"/>
          </rPr>
          <t>Canalyst (PZ):</t>
        </r>
        <r>
          <rPr>
            <sz val="9"/>
            <rFont val="Tahoma"/>
            <family val="2"/>
            <charset val="1"/>
          </rPr>
          <t xml:space="preserve">
Includes tailwind of $0.10 from pension/OPEB expense.</t>
        </r>
      </text>
    </comment>
    <comment ref="X599" authorId="1" shapeId="0" xr:uid="{258E30F2-9150-45FB-B6D2-7E9FF7922F46}">
      <text>
        <r>
          <rPr>
            <b/>
            <sz val="9"/>
            <rFont val="Tahoma"/>
            <family val="2"/>
            <charset val="1"/>
          </rPr>
          <t>Canalyst (PZ):</t>
        </r>
        <r>
          <rPr>
            <sz val="9"/>
            <rFont val="Tahoma"/>
            <family val="2"/>
            <charset val="1"/>
          </rPr>
          <t xml:space="preserve">
Includes tailwind of $0.08 from pension/OPEB expense.</t>
        </r>
      </text>
    </comment>
    <comment ref="Y599" authorId="1" shapeId="0" xr:uid="{975876CE-F332-4D93-A51E-79E0C2687133}">
      <text>
        <r>
          <rPr>
            <b/>
            <sz val="9"/>
            <rFont val="Tahoma"/>
            <family val="2"/>
            <charset val="1"/>
          </rPr>
          <t>Canalyst (PZ):</t>
        </r>
        <r>
          <rPr>
            <sz val="9"/>
            <rFont val="Tahoma"/>
            <family val="2"/>
            <charset val="1"/>
          </rPr>
          <t xml:space="preserve">
Includes tailwind of $0.08 from pension/OPEB expense, and $0.14 from restructuring charge.
Includes headwinds of -$0.06 from strategic investments and -$0.04 from legal.</t>
        </r>
      </text>
    </comment>
    <comment ref="AB600" authorId="1" shapeId="0" xr:uid="{4EB4FD8D-4CFC-47B4-B9AD-E4E2614C8E05}">
      <text>
        <r>
          <rPr>
            <b/>
            <sz val="9"/>
            <rFont val="Tahoma"/>
            <family val="2"/>
            <charset val="1"/>
          </rPr>
          <t>Canalyst (PZ):</t>
        </r>
        <r>
          <rPr>
            <sz val="9"/>
            <rFont val="Tahoma"/>
            <family val="2"/>
            <charset val="1"/>
          </rPr>
          <t xml:space="preserve">
Gain on sale of Identity Management, net of lost operating earnings.</t>
        </r>
      </text>
    </comment>
    <comment ref="AT608" authorId="3" shapeId="0" xr:uid="{1CAA29E7-F2CE-4455-9429-3D00F1C75D1D}">
      <text>
        <r>
          <rPr>
            <b/>
            <sz val="9"/>
            <rFont val="Tahoma"/>
            <family val="2"/>
            <charset val="1"/>
          </rPr>
          <t>Canalyst (YiL):</t>
        </r>
        <r>
          <rPr>
            <sz val="9"/>
            <rFont val="Tahoma"/>
            <family val="2"/>
            <charset val="1"/>
          </rPr>
          <t xml:space="preserve">
Non divestiture-related restructuring actions</t>
        </r>
      </text>
    </comment>
    <comment ref="V614" authorId="1" shapeId="0" xr:uid="{C165A07E-7EAB-43F9-B4FA-560EE357A6E3}">
      <text>
        <r>
          <rPr>
            <b/>
            <sz val="9"/>
            <rFont val="Tahoma"/>
            <family val="2"/>
            <charset val="1"/>
          </rPr>
          <t>Canalyst (PZ):</t>
        </r>
        <r>
          <rPr>
            <sz val="9"/>
            <rFont val="Tahoma"/>
            <family val="2"/>
            <charset val="1"/>
          </rPr>
          <t xml:space="preserve">
net interest expense.</t>
        </r>
      </text>
    </comment>
    <comment ref="X614" authorId="1" shapeId="0" xr:uid="{4C0CD270-E740-4557-B113-45D4F6DF5046}">
      <text>
        <r>
          <rPr>
            <b/>
            <sz val="9"/>
            <rFont val="Tahoma"/>
            <family val="2"/>
            <charset val="1"/>
          </rPr>
          <t>Canalyst (PZ):</t>
        </r>
        <r>
          <rPr>
            <sz val="9"/>
            <rFont val="Tahoma"/>
            <family val="2"/>
            <charset val="1"/>
          </rPr>
          <t xml:space="preserve">
net interest expense.</t>
        </r>
      </text>
    </comment>
    <comment ref="Y614" authorId="1" shapeId="0" xr:uid="{1E054D36-4DC8-4D2F-93AB-E3830F1AF91B}">
      <text>
        <r>
          <rPr>
            <b/>
            <sz val="9"/>
            <rFont val="Tahoma"/>
            <family val="2"/>
            <charset val="1"/>
          </rPr>
          <t>Canalyst (PZ):</t>
        </r>
        <r>
          <rPr>
            <sz val="9"/>
            <rFont val="Tahoma"/>
            <family val="2"/>
            <charset val="1"/>
          </rPr>
          <t xml:space="preserve">
net interest expense.</t>
        </r>
      </text>
    </comment>
    <comment ref="Z648" authorId="1" shapeId="0" xr:uid="{3FED201E-D09E-4E2D-B217-20EE6F77F732}">
      <text>
        <r>
          <rPr>
            <b/>
            <sz val="9"/>
            <rFont val="Tahoma"/>
            <family val="2"/>
            <charset val="1"/>
          </rPr>
          <t>Canalyst (PZ):</t>
        </r>
        <r>
          <rPr>
            <sz val="9"/>
            <rFont val="Tahoma"/>
            <family val="2"/>
            <charset val="1"/>
          </rPr>
          <t xml:space="preserve">
As reported.</t>
        </r>
      </text>
    </comment>
    <comment ref="AV711" authorId="5" shapeId="0" xr:uid="{6E83DF34-28AF-49A9-BE54-0EE6B7DCC95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711" authorId="5" shapeId="0" xr:uid="{AB54D190-7B17-4494-AF71-0C8FB123107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711" authorId="5" shapeId="0" xr:uid="{AA968A6E-4D29-4A0D-BD4D-90225C11DE22}">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711" authorId="5" shapeId="0" xr:uid="{45BE3386-AE8B-4733-8AFF-12A8CE78EC1D}">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711" authorId="5" shapeId="0" xr:uid="{C55D11D7-2BE7-4214-82FC-C31BE1498EB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711" authorId="5" shapeId="0" xr:uid="{D36CC15E-4F03-4457-94B4-DDA465CBE31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711" authorId="5" shapeId="0" xr:uid="{C89515A3-8818-4D5E-9361-82AD611E1757}">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711" authorId="5" shapeId="0" xr:uid="{00000000-0006-0000-0100-000013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711" authorId="5" shapeId="0" xr:uid="{00000000-0006-0000-0100-000014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711" authorId="5" shapeId="0" xr:uid="{00000000-0006-0000-0100-000015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712" authorId="5" shapeId="0" xr:uid="{AD000BAB-C592-4A0B-8BDB-5B25D19C624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712" authorId="5" shapeId="0" xr:uid="{8BB827EE-65FD-42FF-A8E0-61AA587535DE}">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712" authorId="5" shapeId="0" xr:uid="{20A04849-02CB-4BDA-BED7-F8C2CFDF823A}">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712" authorId="5" shapeId="0" xr:uid="{98A482B4-A9C3-4BD2-B8C3-A9D917124E7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712" authorId="5" shapeId="0" xr:uid="{8F10CEC5-C9DF-40AD-B8B8-68D7668B90C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712" authorId="5" shapeId="0" xr:uid="{6D5287B4-E179-4193-885C-6B192F9FE5DD}">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712" authorId="5" shapeId="0" xr:uid="{C20C0DC0-CDF2-487D-8033-F8D8B2EF9CFE}">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712" authorId="5" shapeId="0" xr:uid="{00000000-0006-0000-0100-00001E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712" authorId="5" shapeId="0" xr:uid="{00000000-0006-0000-0100-00001F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712" authorId="5" shapeId="0" xr:uid="{00000000-0006-0000-0100-000020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717" authorId="1" shapeId="0" xr:uid="{DC41DC17-BDD0-437D-B347-6C0C12E5FA1B}">
      <text>
        <r>
          <rPr>
            <b/>
            <sz val="9"/>
            <rFont val="Tahoma"/>
            <family val="2"/>
          </rPr>
          <t>Canalyst (PZ):</t>
        </r>
        <r>
          <rPr>
            <sz val="9"/>
            <rFont val="Tahoma"/>
            <family val="2"/>
          </rPr>
          <t xml:space="preserve">
Expand grouping to view cost and EBITDA margins, as well as dummy input lines.</t>
        </r>
      </text>
    </comment>
    <comment ref="V721" authorId="1" shapeId="0" xr:uid="{334B98D4-BCC7-4DC0-938E-716E3B8AC71B}">
      <text>
        <r>
          <rPr>
            <b/>
            <sz val="9"/>
            <rFont val="Tahoma"/>
            <family val="2"/>
          </rPr>
          <t>Canalyst (PZ):</t>
        </r>
        <r>
          <rPr>
            <sz val="9"/>
            <rFont val="Tahoma"/>
            <family val="2"/>
          </rPr>
          <t xml:space="preserve">
Linked to operating income breakdown section to reflect restatement.</t>
        </r>
      </text>
    </comment>
    <comment ref="W721" authorId="1" shapeId="0" xr:uid="{78EA7DD8-6CF2-4C8E-8970-AC89C56F079B}">
      <text>
        <r>
          <rPr>
            <b/>
            <sz val="9"/>
            <rFont val="Tahoma"/>
            <family val="2"/>
          </rPr>
          <t>Canalyst (PZ):</t>
        </r>
        <r>
          <rPr>
            <sz val="9"/>
            <rFont val="Tahoma"/>
            <family val="2"/>
          </rPr>
          <t xml:space="preserve">
Linked to operating income breakdown section to reflect restatement.</t>
        </r>
      </text>
    </comment>
    <comment ref="X721" authorId="1" shapeId="0" xr:uid="{250B87E0-5803-4F69-BA33-00E745F7602F}">
      <text>
        <r>
          <rPr>
            <b/>
            <sz val="9"/>
            <rFont val="Tahoma"/>
            <family val="2"/>
          </rPr>
          <t>Canalyst (PZ):</t>
        </r>
        <r>
          <rPr>
            <sz val="9"/>
            <rFont val="Tahoma"/>
            <family val="2"/>
          </rPr>
          <t xml:space="preserve">
Linked to operating income breakdown section to reflect restatement.</t>
        </r>
      </text>
    </comment>
    <comment ref="Y721" authorId="1" shapeId="0" xr:uid="{79E348C7-254F-4FEB-94EB-BFD8D946FA3D}">
      <text>
        <r>
          <rPr>
            <b/>
            <sz val="9"/>
            <rFont val="Tahoma"/>
            <family val="2"/>
          </rPr>
          <t>Canalyst (PZ):</t>
        </r>
        <r>
          <rPr>
            <sz val="9"/>
            <rFont val="Tahoma"/>
            <family val="2"/>
          </rPr>
          <t xml:space="preserve">
Linked to operating income breakdown section to reflect restatement.</t>
        </r>
      </text>
    </comment>
    <comment ref="Z721" authorId="1" shapeId="0" xr:uid="{F1D43AFD-3148-4652-A455-711D9CA623F4}">
      <text>
        <r>
          <rPr>
            <b/>
            <sz val="9"/>
            <rFont val="Tahoma"/>
            <family val="2"/>
          </rPr>
          <t>Canalyst (PZ):</t>
        </r>
        <r>
          <rPr>
            <sz val="9"/>
            <rFont val="Tahoma"/>
            <family val="2"/>
          </rPr>
          <t xml:space="preserve">
Linked to operating income breakdown section to reflect restatement.</t>
        </r>
      </text>
    </comment>
    <comment ref="AU755" authorId="2" shapeId="0" xr:uid="{C3B9AC56-8E34-49C1-8213-6465835E8377}">
      <text>
        <r>
          <rPr>
            <b/>
            <sz val="9"/>
            <rFont val="Tahoma"/>
            <family val="2"/>
          </rPr>
          <t>Canalyst (SJ):</t>
        </r>
        <r>
          <rPr>
            <sz val="9"/>
            <rFont val="Tahoma"/>
            <family val="2"/>
          </rPr>
          <t xml:space="preserve">
No adjustments reported</t>
        </r>
      </text>
    </comment>
    <comment ref="AU764" authorId="2" shapeId="0" xr:uid="{84FF0A6B-A883-4730-BDB5-392A40D2EEA3}">
      <text>
        <r>
          <rPr>
            <b/>
            <sz val="9"/>
            <rFont val="Tahoma"/>
            <family val="2"/>
          </rPr>
          <t>Canalyst (SJ):</t>
        </r>
        <r>
          <rPr>
            <sz val="9"/>
            <rFont val="Tahoma"/>
            <family val="2"/>
          </rPr>
          <t xml:space="preserve">
No adjustments reported</t>
        </r>
      </text>
    </comment>
    <comment ref="AV781" authorId="5" shapeId="0" xr:uid="{B68D138D-F2F0-40BC-9C0A-1792CCDC95D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781" authorId="5" shapeId="0" xr:uid="{4F3C6747-4719-4E53-96D0-8F9BCACF219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781" authorId="5" shapeId="0" xr:uid="{798552D3-F2A1-4EE3-BCF5-49CFE0CB2B8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781" authorId="5" shapeId="0" xr:uid="{24330794-4AFC-40D0-B6F5-47CE125C25A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781" authorId="5" shapeId="0" xr:uid="{FB7DFC4E-CD79-4202-B8FB-10EF119A945A}">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781" authorId="5" shapeId="0" xr:uid="{62B3B151-4DAD-409A-BF5A-50D74347667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781" authorId="5" shapeId="0" xr:uid="{7B971C58-9358-4E4B-8B35-EC9333DD770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781" authorId="5" shapeId="0" xr:uid="{F3D29261-13B8-4A2A-85BA-66768C8674C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781" authorId="5" shapeId="0" xr:uid="{24103C60-30FD-4CE7-80E9-20420EA653D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781" authorId="5" shapeId="0" xr:uid="{0BA3A2AE-61B2-419B-BE46-45B5FFE26CF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782" authorId="5" shapeId="0" xr:uid="{6869A1DF-FF94-43AC-A83E-0C0471778268}">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782" authorId="5" shapeId="0" xr:uid="{F6AEBAF2-D9A3-48F1-AA3A-C6E400C3BF4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782" authorId="5" shapeId="0" xr:uid="{4DAA7EBF-EB7B-4FC5-8D7D-DE7790879CC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782" authorId="5" shapeId="0" xr:uid="{E905F9CB-F3E4-4F2F-8E36-09C6B0CEB6B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782" authorId="5" shapeId="0" xr:uid="{51C1CD30-AFE5-4786-BD8D-435503E2BB77}">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782" authorId="5" shapeId="0" xr:uid="{DAD6F994-2CA9-469C-B453-ABE3F305DE68}">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782" authorId="5" shapeId="0" xr:uid="{8611059C-7365-4C4B-9774-4D548A1CE1E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782" authorId="5" shapeId="0" xr:uid="{571EA7FD-E361-4B14-B974-48524370F74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782" authorId="5" shapeId="0" xr:uid="{1E90B9FF-3F5E-42E5-9791-6F728FC9C15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782" authorId="5" shapeId="0" xr:uid="{E9D5F892-8D27-4B3E-AB12-82430E26162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783" authorId="5" shapeId="0" xr:uid="{3206FC0C-057E-45D8-BB15-F999BBAE8695}">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783" authorId="5" shapeId="0" xr:uid="{798765EF-AB6D-42EB-B02D-521B3239DF6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783" authorId="5" shapeId="0" xr:uid="{6C2B2CD5-2DC3-4A93-9D46-6690A6A82BCB}">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783" authorId="5" shapeId="0" xr:uid="{8D6478AB-22A1-45DD-8E45-1606A936F792}">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783" authorId="5" shapeId="0" xr:uid="{AEC7B962-C949-41B7-87EB-A04F0F3CC946}">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783" authorId="5" shapeId="0" xr:uid="{7C7970D6-74DE-4A12-BF73-0679EC6C948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783" authorId="5" shapeId="0" xr:uid="{C5A7E32C-2FF3-4565-8CD9-625C4C15AE7F}">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783" authorId="5" shapeId="0" xr:uid="{388D02B8-7983-414D-BFA5-57913C131E7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783" authorId="5" shapeId="0" xr:uid="{9BB64B0A-534B-4E55-8677-317C9DC4CBA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783" authorId="5" shapeId="0" xr:uid="{82772DF6-E707-4435-8726-63B57BDB218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P796" authorId="1" shapeId="0" xr:uid="{77856C39-C5C8-4180-B486-F5C9036DC6C8}">
      <text>
        <r>
          <rPr>
            <b/>
            <sz val="9"/>
            <rFont val="Tahoma"/>
            <family val="2"/>
            <charset val="1"/>
          </rPr>
          <t>Canalyst (PZ):</t>
        </r>
        <r>
          <rPr>
            <sz val="9"/>
            <rFont val="Tahoma"/>
            <family val="2"/>
            <charset val="1"/>
          </rPr>
          <t xml:space="preserve">
Started reporting adjusted EBITDA during this period.</t>
        </r>
      </text>
    </comment>
    <comment ref="A799" authorId="5" shapeId="0" xr:uid="{00000000-0006-0000-0100-000023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799" authorId="5" shapeId="0" xr:uid="{1164C1CA-295B-44A5-BFF4-4EE735E62507}">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799" authorId="5" shapeId="0" xr:uid="{8794C5F5-2DBB-411D-B2C9-77FE131B3708}">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799" authorId="5" shapeId="0" xr:uid="{27BEC9F2-E58F-4694-A5BC-33C358F0668A}">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799" authorId="5" shapeId="0" xr:uid="{3FF1F193-7A23-4A30-9647-6F73DD9A7B38}">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799" authorId="5" shapeId="0" xr:uid="{0EC5A612-2AB8-4F6D-84A9-E4843BE89F02}">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799" authorId="5" shapeId="0" xr:uid="{393EC11E-8270-4E9F-B9C6-FD597CEAD6DF}">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799" authorId="5" shapeId="0" xr:uid="{AD601526-68BD-4DD8-881E-A4DADD1E04F3}">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799" authorId="5" shapeId="0" xr:uid="{00000000-0006-0000-0100-00002C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799" authorId="5" shapeId="0" xr:uid="{00000000-0006-0000-0100-00002D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799" authorId="5" shapeId="0" xr:uid="{00000000-0006-0000-0100-00002E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800" authorId="5" shapeId="0" xr:uid="{232AF512-4B66-4205-B650-A3368C8AD54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800" authorId="5" shapeId="0" xr:uid="{73A0C6DF-8320-475F-A704-7A2F83515713}">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800" authorId="5" shapeId="0" xr:uid="{F92E9127-E9AE-4F69-880B-935D5054A8ED}">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800" authorId="5" shapeId="0" xr:uid="{6E603ADF-279B-488D-8D8F-0EC7F8E0A092}">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800" authorId="5" shapeId="0" xr:uid="{78E20D21-5F0F-425A-BF28-4155A175DEFE}">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800" authorId="5" shapeId="0" xr:uid="{709E15BF-AA7E-4B7C-8867-280F406F9ADF}">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800" authorId="5" shapeId="0" xr:uid="{7F53BB53-0F0B-47A9-8609-2928D1A7E0AA}">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800" authorId="5" shapeId="0" xr:uid="{29D91B4B-5FDD-4D8C-A6AE-FE2934B9C9BD}">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800" authorId="5" shapeId="0" xr:uid="{56BD64BC-5745-4C70-83F6-9BD891ADFC0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800" authorId="5" shapeId="0" xr:uid="{C21AE361-DB90-4801-AAEF-B234157667A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800" authorId="5" shapeId="0" xr:uid="{5D30E0B7-F30E-4F80-BD42-A2BEFAD54F53}">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801" authorId="5" shapeId="0" xr:uid="{00000000-0006-0000-0100-00002F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801" authorId="5" shapeId="0" xr:uid="{B72395FF-4BC7-4CA5-98DF-2FD164301F33}">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801" authorId="5" shapeId="0" xr:uid="{3DE12FF9-F3B3-4DB2-B1EE-F188C53CB23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801" authorId="5" shapeId="0" xr:uid="{D39A7F41-F266-4488-AC39-79478BAB7F3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801" authorId="5" shapeId="0" xr:uid="{628CF87C-8596-4F4A-B476-A4A09DF273F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801" authorId="5" shapeId="0" xr:uid="{7B18EC43-76EB-4CEC-877C-222B540F5B37}">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801" authorId="5" shapeId="0" xr:uid="{7BA80886-8277-4EC4-891C-6AAB175BED89}">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801" authorId="5" shapeId="0" xr:uid="{EA19CF5B-0D4F-4316-BC17-85856613046A}">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801" authorId="5" shapeId="0" xr:uid="{00000000-0006-0000-0100-000038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801" authorId="5" shapeId="0" xr:uid="{00000000-0006-0000-0100-000039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801" authorId="5" shapeId="0" xr:uid="{00000000-0006-0000-0100-00003A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802" authorId="5" shapeId="0" xr:uid="{00000000-0006-0000-0100-00003B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V802" authorId="5" shapeId="0" xr:uid="{95B1447B-3DAC-46B4-809F-B6A868EFF7C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W802" authorId="5" shapeId="0" xr:uid="{F3156729-3B2A-41BD-88E4-A8C7340FD2A1}">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X802" authorId="5" shapeId="0" xr:uid="{12414099-5AA9-4318-B46A-242C8B27CF17}">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Z802" authorId="5" shapeId="0" xr:uid="{B799836C-68D7-4823-A002-690396757A6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A802" authorId="5" shapeId="0" xr:uid="{676BD1AC-224E-4A65-B54F-277CB7596AC3}">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B802" authorId="5" shapeId="0" xr:uid="{50E9CC52-F4E8-44D2-92C7-BC3AED4E5194}">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C802" authorId="5" shapeId="0" xr:uid="{23A0A4F5-A0DA-48B3-8D59-6287C644A8CC}">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E802" authorId="5" shapeId="0" xr:uid="{00000000-0006-0000-0100-000044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F802" authorId="5" shapeId="0" xr:uid="{00000000-0006-0000-0100-000045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BG802" authorId="5" shapeId="0" xr:uid="{00000000-0006-0000-0100-000046000000}">
      <text>
        <r>
          <rPr>
            <b/>
            <sz val="9"/>
            <rFont val="Tahoma"/>
            <family val="2"/>
          </rPr>
          <t>Canalyst (JiF):</t>
        </r>
        <r>
          <rPr>
            <sz val="9"/>
            <rFont val="Tahoma"/>
            <family val="2"/>
          </rPr>
          <t xml:space="preserve">
For forecasting, this is a dummy line. Model forecasts directly to EBIT. This line has been added to all the model to walk back to EBITDA for comparability.</t>
        </r>
      </text>
    </comment>
    <comment ref="AD807" authorId="5" shapeId="0" xr:uid="{00000000-0006-0000-0100-000047000000}">
      <text>
        <r>
          <rPr>
            <b/>
            <sz val="9"/>
            <rFont val="Tahoma"/>
            <family val="2"/>
          </rPr>
          <t>Canalyst (JiF):</t>
        </r>
        <r>
          <rPr>
            <sz val="9"/>
            <rFont val="Tahoma"/>
            <family val="2"/>
          </rPr>
          <t xml:space="preserve">
Includes an early debt extinguishment charge of approx. 96mm</t>
        </r>
      </text>
    </comment>
    <comment ref="AR822" authorId="2" shapeId="0" xr:uid="{045B488E-7BB1-483D-8802-E0A508D22344}">
      <text>
        <r>
          <rPr>
            <b/>
            <sz val="9"/>
            <rFont val="Tahoma"/>
            <family val="2"/>
          </rPr>
          <t>Canalyst (SJ):</t>
        </r>
        <r>
          <rPr>
            <sz val="9"/>
            <rFont val="Tahoma"/>
            <family val="2"/>
          </rPr>
          <t xml:space="preserve">
No adjustments reported</t>
        </r>
      </text>
    </comment>
    <comment ref="L829" authorId="6" shapeId="0" xr:uid="{00000000-0006-0000-0100-000048000000}">
      <text>
        <r>
          <rPr>
            <b/>
            <sz val="9"/>
            <rFont val="Tahoma"/>
            <family val="2"/>
          </rPr>
          <t>Canalyst (JeS):</t>
        </r>
        <r>
          <rPr>
            <sz val="9"/>
            <rFont val="Tahoma"/>
            <family val="2"/>
          </rPr>
          <t xml:space="preserve">
Reported as 1.83, Rounding error</t>
        </r>
      </text>
    </comment>
    <comment ref="U829" authorId="6" shapeId="0" xr:uid="{00000000-0006-0000-0100-000049000000}">
      <text>
        <r>
          <rPr>
            <b/>
            <sz val="9"/>
            <rFont val="Tahoma"/>
            <family val="2"/>
          </rPr>
          <t>Canalyst (JeS):</t>
        </r>
        <r>
          <rPr>
            <sz val="9"/>
            <rFont val="Tahoma"/>
            <family val="2"/>
          </rPr>
          <t xml:space="preserve">
Reported as 7.72, Rounding error</t>
        </r>
      </text>
    </comment>
    <comment ref="Y829" authorId="5" shapeId="0" xr:uid="{00000000-0006-0000-0100-00004A000000}">
      <text>
        <r>
          <rPr>
            <b/>
            <sz val="9"/>
            <rFont val="Tahoma"/>
            <family val="2"/>
          </rPr>
          <t>Canalyst (JiF):</t>
        </r>
        <r>
          <rPr>
            <sz val="9"/>
            <rFont val="Tahoma"/>
            <family val="2"/>
          </rPr>
          <t xml:space="preserve">
Reported as $1.93</t>
        </r>
      </text>
    </comment>
    <comment ref="AH829" authorId="7" shapeId="0" xr:uid="{00000000-0006-0000-0100-00004B000000}">
      <text>
        <r>
          <rPr>
            <b/>
            <sz val="9"/>
            <rFont val="Tahoma"/>
            <family val="2"/>
          </rPr>
          <t>Canalyst (AH):</t>
        </r>
        <r>
          <rPr>
            <sz val="9"/>
            <rFont val="Tahoma"/>
            <family val="2"/>
          </rPr>
          <t xml:space="preserve">
Company reported $2.64 </t>
        </r>
      </text>
    </comment>
    <comment ref="AD831" authorId="8" shapeId="0" xr:uid="{00000000-0006-0000-0100-00004C000000}">
      <text>
        <r>
          <rPr>
            <b/>
            <sz val="9"/>
            <rFont val="Tahoma"/>
            <family val="2"/>
          </rPr>
          <t>Canalyst (AN):</t>
        </r>
        <r>
          <rPr>
            <sz val="9"/>
            <rFont val="Tahoma"/>
            <family val="2"/>
          </rPr>
          <t xml:space="preserve">
Reported as $2.10</t>
        </r>
      </text>
    </comment>
    <comment ref="AN844" authorId="4" shapeId="0" xr:uid="{E4E4494C-5632-4029-8D5B-D060F98C4D08}">
      <text>
        <r>
          <rPr>
            <b/>
            <sz val="9"/>
            <rFont val="Tahoma"/>
            <family val="2"/>
            <charset val="1"/>
          </rPr>
          <t>Canalyst (AlD):</t>
        </r>
        <r>
          <rPr>
            <sz val="9"/>
            <rFont val="Tahoma"/>
            <family val="2"/>
            <charset val="1"/>
          </rPr>
          <t xml:space="preserve">
acquisition of Acelity</t>
        </r>
      </text>
    </comment>
    <comment ref="AU931" authorId="2" shapeId="0" xr:uid="{2B7FB988-DDE2-406A-9FEF-89549B42F127}">
      <text>
        <r>
          <rPr>
            <b/>
            <sz val="9"/>
            <rFont val="Tahoma"/>
            <family val="2"/>
          </rPr>
          <t>Canalyst (SJ):</t>
        </r>
        <r>
          <rPr>
            <sz val="9"/>
            <rFont val="Tahoma"/>
            <family val="2"/>
          </rPr>
          <t xml:space="preserve">
net</t>
        </r>
      </text>
    </comment>
    <comment ref="AV965" authorId="0" shapeId="0" xr:uid="{0BFAA83E-4BF8-410E-8EBD-B3467CEEE924}">
      <text>
        <r>
          <rPr>
            <b/>
            <sz val="9"/>
            <rFont val="Tahoma"/>
            <family val="2"/>
          </rPr>
          <t>Canalyst (CW):</t>
        </r>
        <r>
          <rPr>
            <sz val="9"/>
            <rFont val="Tahoma"/>
            <family val="2"/>
          </rPr>
          <t xml:space="preserve">
Forecasts only prepaid</t>
        </r>
      </text>
    </comment>
    <comment ref="AW965" authorId="0" shapeId="0" xr:uid="{005E3DCE-2B9C-4F57-B506-11BDC9EB9CB3}">
      <text>
        <r>
          <rPr>
            <b/>
            <sz val="9"/>
            <rFont val="Tahoma"/>
            <family val="2"/>
          </rPr>
          <t>Canalyst (CW):</t>
        </r>
        <r>
          <rPr>
            <sz val="9"/>
            <rFont val="Tahoma"/>
            <family val="2"/>
          </rPr>
          <t xml:space="preserve">
Forecasts only prepaid</t>
        </r>
      </text>
    </comment>
    <comment ref="AX965" authorId="0" shapeId="0" xr:uid="{80239611-0A26-4564-872C-54F866653484}">
      <text>
        <r>
          <rPr>
            <b/>
            <sz val="9"/>
            <rFont val="Tahoma"/>
            <family val="2"/>
          </rPr>
          <t>Canalyst (CW):</t>
        </r>
        <r>
          <rPr>
            <sz val="9"/>
            <rFont val="Tahoma"/>
            <family val="2"/>
          </rPr>
          <t xml:space="preserve">
Forecasts only prepaid</t>
        </r>
      </text>
    </comment>
    <comment ref="AZ965" authorId="0" shapeId="0" xr:uid="{30C901C9-80BE-4406-9252-906E7FE4D516}">
      <text>
        <r>
          <rPr>
            <b/>
            <sz val="9"/>
            <rFont val="Tahoma"/>
            <family val="2"/>
          </rPr>
          <t>Canalyst (CW):</t>
        </r>
        <r>
          <rPr>
            <sz val="9"/>
            <rFont val="Tahoma"/>
            <family val="2"/>
          </rPr>
          <t xml:space="preserve">
Forecasts only prepaid</t>
        </r>
      </text>
    </comment>
    <comment ref="BA965" authorId="0" shapeId="0" xr:uid="{96B02CD6-5881-41B0-BE7F-21C4AA79EB55}">
      <text>
        <r>
          <rPr>
            <b/>
            <sz val="9"/>
            <rFont val="Tahoma"/>
            <family val="2"/>
          </rPr>
          <t>Canalyst (CW):</t>
        </r>
        <r>
          <rPr>
            <sz val="9"/>
            <rFont val="Tahoma"/>
            <family val="2"/>
          </rPr>
          <t xml:space="preserve">
Forecasts only prepaid</t>
        </r>
      </text>
    </comment>
    <comment ref="BB965" authorId="0" shapeId="0" xr:uid="{AA864443-D0C3-40B8-AD5C-044AD810AD76}">
      <text>
        <r>
          <rPr>
            <b/>
            <sz val="9"/>
            <rFont val="Tahoma"/>
            <family val="2"/>
          </rPr>
          <t>Canalyst (CW):</t>
        </r>
        <r>
          <rPr>
            <sz val="9"/>
            <rFont val="Tahoma"/>
            <family val="2"/>
          </rPr>
          <t xml:space="preserve">
Forecasts only prepaid</t>
        </r>
      </text>
    </comment>
    <comment ref="BC965" authorId="0" shapeId="0" xr:uid="{AE34106E-C497-4861-9C89-1EEA59C6C448}">
      <text>
        <r>
          <rPr>
            <b/>
            <sz val="9"/>
            <rFont val="Tahoma"/>
            <family val="2"/>
          </rPr>
          <t>Canalyst (CW):</t>
        </r>
        <r>
          <rPr>
            <sz val="9"/>
            <rFont val="Tahoma"/>
            <family val="2"/>
          </rPr>
          <t xml:space="preserve">
Forecasts only prepaid</t>
        </r>
      </text>
    </comment>
    <comment ref="BE965" authorId="0" shapeId="0" xr:uid="{00000000-0006-0000-0100-000055000000}">
      <text>
        <r>
          <rPr>
            <b/>
            <sz val="9"/>
            <rFont val="Tahoma"/>
            <family val="2"/>
          </rPr>
          <t>Canalyst (CW):</t>
        </r>
        <r>
          <rPr>
            <sz val="9"/>
            <rFont val="Tahoma"/>
            <family val="2"/>
          </rPr>
          <t xml:space="preserve">
Forecasts only prepaid</t>
        </r>
      </text>
    </comment>
    <comment ref="BF965" authorId="0" shapeId="0" xr:uid="{00000000-0006-0000-0100-000056000000}">
      <text>
        <r>
          <rPr>
            <b/>
            <sz val="9"/>
            <rFont val="Tahoma"/>
            <family val="2"/>
          </rPr>
          <t>Canalyst (CW):</t>
        </r>
        <r>
          <rPr>
            <sz val="9"/>
            <rFont val="Tahoma"/>
            <family val="2"/>
          </rPr>
          <t xml:space="preserve">
Forecasts only prepaid</t>
        </r>
      </text>
    </comment>
    <comment ref="BG965" authorId="0" shapeId="0" xr:uid="{00000000-0006-0000-0100-000057000000}">
      <text>
        <r>
          <rPr>
            <b/>
            <sz val="9"/>
            <rFont val="Tahoma"/>
            <family val="2"/>
          </rPr>
          <t>Canalyst (CW):</t>
        </r>
        <r>
          <rPr>
            <sz val="9"/>
            <rFont val="Tahoma"/>
            <family val="2"/>
          </rPr>
          <t xml:space="preserve">
Forecasts only prepaid</t>
        </r>
      </text>
    </comment>
    <comment ref="C1011" authorId="3" shapeId="0" xr:uid="{EEAD4B5D-3155-4FDE-8DD6-FBBBF6468F3E}">
      <text>
        <r>
          <rPr>
            <b/>
            <sz val="9"/>
            <rFont val="Tahoma"/>
            <family val="2"/>
            <charset val="1"/>
          </rPr>
          <t>Canalyst (YiL):</t>
        </r>
        <r>
          <rPr>
            <sz val="9"/>
            <rFont val="Tahoma"/>
            <family val="2"/>
            <charset val="1"/>
          </rPr>
          <t xml:space="preserve">
Hardcoded</t>
        </r>
      </text>
    </comment>
    <comment ref="C1017" authorId="3" shapeId="0" xr:uid="{27818A3A-7141-462A-A3CA-4552612D3A95}">
      <text>
        <r>
          <rPr>
            <b/>
            <sz val="9"/>
            <rFont val="Tahoma"/>
            <family val="2"/>
            <charset val="1"/>
          </rPr>
          <t>Canalyst (YiL):</t>
        </r>
        <r>
          <rPr>
            <sz val="9"/>
            <rFont val="Tahoma"/>
            <family val="2"/>
            <charset val="1"/>
          </rPr>
          <t xml:space="preserve">
Hardcoded</t>
        </r>
      </text>
    </comment>
    <comment ref="V1094" authorId="4" shapeId="0" xr:uid="{16D1C190-C473-4805-B7A0-6F85841521DE}">
      <text>
        <r>
          <rPr>
            <b/>
            <sz val="9"/>
            <rFont val="Tahoma"/>
            <family val="2"/>
          </rPr>
          <t>Canalyst (AlD):</t>
        </r>
        <r>
          <rPr>
            <sz val="9"/>
            <rFont val="Tahoma"/>
            <family val="2"/>
          </rPr>
          <t xml:space="preserve">
segmented results were restated using special press release while IS was not.</t>
        </r>
      </text>
    </comment>
    <comment ref="W1094" authorId="4" shapeId="0" xr:uid="{4FF915CE-1258-4619-90AC-36F2F01C9E79}">
      <text>
        <r>
          <rPr>
            <b/>
            <sz val="9"/>
            <rFont val="Tahoma"/>
            <family val="2"/>
          </rPr>
          <t>Canalyst (AlD):</t>
        </r>
        <r>
          <rPr>
            <sz val="9"/>
            <rFont val="Tahoma"/>
            <family val="2"/>
          </rPr>
          <t xml:space="preserve">
segmented results were restated using special press release while IS was not.</t>
        </r>
      </text>
    </comment>
    <comment ref="X1094" authorId="4" shapeId="0" xr:uid="{311969F9-797E-4FE7-8AF3-BA375B2A82EF}">
      <text>
        <r>
          <rPr>
            <b/>
            <sz val="9"/>
            <rFont val="Tahoma"/>
            <family val="2"/>
          </rPr>
          <t>Canalyst (AlD):</t>
        </r>
        <r>
          <rPr>
            <sz val="9"/>
            <rFont val="Tahoma"/>
            <family val="2"/>
          </rPr>
          <t xml:space="preserve">
segmented results were restated using special press release while IS was not.</t>
        </r>
      </text>
    </comment>
    <comment ref="Y1094" authorId="4" shapeId="0" xr:uid="{91FD7B1D-3EB7-44E9-BD81-94B44DAB2C91}">
      <text>
        <r>
          <rPr>
            <b/>
            <sz val="9"/>
            <rFont val="Tahoma"/>
            <family val="2"/>
          </rPr>
          <t>Canalyst (AlD):</t>
        </r>
        <r>
          <rPr>
            <sz val="9"/>
            <rFont val="Tahoma"/>
            <family val="2"/>
          </rPr>
          <t xml:space="preserve">
segmented results were restated using special press release while IS was not.</t>
        </r>
      </text>
    </comment>
    <comment ref="Z1094" authorId="4" shapeId="0" xr:uid="{5905C747-BFE9-4F1F-AA9D-99E31E63014F}">
      <text>
        <r>
          <rPr>
            <b/>
            <sz val="9"/>
            <rFont val="Tahoma"/>
            <family val="2"/>
          </rPr>
          <t>Canalyst (AlD):</t>
        </r>
        <r>
          <rPr>
            <sz val="9"/>
            <rFont val="Tahoma"/>
            <family val="2"/>
          </rPr>
          <t xml:space="preserve">
segmented results were restated using special press release while IS was not.</t>
        </r>
      </text>
    </comment>
    <comment ref="Y1104" authorId="9" shapeId="0" xr:uid="{00000000-0006-0000-0100-00005A000000}">
      <text>
        <r>
          <rPr>
            <b/>
            <sz val="9"/>
            <rFont val="Tahoma"/>
            <family val="2"/>
          </rPr>
          <t>Canalyst (TS):</t>
        </r>
        <r>
          <rPr>
            <sz val="9"/>
            <rFont val="Tahoma"/>
            <family val="2"/>
          </rPr>
          <t xml:space="preserve">
Acquisitions as reported.</t>
        </r>
      </text>
    </comment>
    <comment ref="AG1104" authorId="5" shapeId="0" xr:uid="{00000000-0006-0000-0100-00005B000000}">
      <text>
        <r>
          <rPr>
            <b/>
            <sz val="9"/>
            <rFont val="Tahoma"/>
            <family val="2"/>
          </rPr>
          <t>Canalyst (JiF):</t>
        </r>
        <r>
          <rPr>
            <sz val="9"/>
            <rFont val="Tahoma"/>
            <family val="2"/>
          </rPr>
          <t xml:space="preserve">
Acquisition net of cash acquired.</t>
        </r>
      </text>
    </comment>
    <comment ref="AJ1104" authorId="5" shapeId="0" xr:uid="{00000000-0006-0000-0100-00005C000000}">
      <text>
        <r>
          <rPr>
            <b/>
            <sz val="9"/>
            <rFont val="Tahoma"/>
            <family val="2"/>
          </rPr>
          <t>Canalyst (JiF):</t>
        </r>
        <r>
          <rPr>
            <sz val="9"/>
            <rFont val="Tahoma"/>
            <family val="2"/>
          </rPr>
          <t xml:space="preserve">
Acquisition net of cash acquired.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Canalyst (CC)</author>
    <author>Canalyst (SJ)</author>
    <author>Canalyst (PZ)</author>
    <author>Canalyst (AlD)</author>
  </authors>
  <commentList>
    <comment ref="A4" authorId="0" shapeId="0" xr:uid="{00000000-0006-0000-0200-000001000000}">
      <text>
        <r>
          <rPr>
            <b/>
            <sz val="9"/>
            <rFont val="Tahoma"/>
            <family val="2"/>
          </rPr>
          <t>Canalyst:</t>
        </r>
        <r>
          <rPr>
            <sz val="9"/>
            <rFont val="Tahoma"/>
            <family val="2"/>
          </rPr>
          <t xml:space="preserve">
Sort Largest to Smallest to return to default.</t>
        </r>
      </text>
    </comment>
    <comment ref="M6" authorId="1" shapeId="0" xr:uid="{E1898887-B824-494F-995C-4A09C4269456}">
      <text>
        <r>
          <rPr>
            <b/>
            <sz val="9"/>
            <rFont val="Tahoma"/>
            <family val="2"/>
          </rPr>
          <t>Canalyst (SJ):</t>
        </r>
        <r>
          <rPr>
            <sz val="9"/>
            <rFont val="Tahoma"/>
            <family val="2"/>
          </rPr>
          <t xml:space="preserve">
Not forecasted due to restatement</t>
        </r>
      </text>
    </comment>
    <comment ref="J11" authorId="2" shapeId="0" xr:uid="{CC6BD283-376B-49AB-804E-9024E29C441D}">
      <text>
        <r>
          <rPr>
            <b/>
            <sz val="9"/>
            <rFont val="Tahoma"/>
            <family val="2"/>
            <charset val="1"/>
          </rPr>
          <t>Canalyst (PZ):</t>
        </r>
        <r>
          <rPr>
            <sz val="9"/>
            <rFont val="Tahoma"/>
            <family val="2"/>
            <charset val="1"/>
          </rPr>
          <t xml:space="preserve">
Mid single digits.</t>
        </r>
      </text>
    </comment>
    <comment ref="M11" authorId="1" shapeId="0" xr:uid="{93081F8C-F110-49A7-92B2-9D913B1A1C52}">
      <text>
        <r>
          <rPr>
            <b/>
            <sz val="9"/>
            <rFont val="Tahoma"/>
            <family val="2"/>
          </rPr>
          <t>Canalyst (SJ):</t>
        </r>
        <r>
          <rPr>
            <sz val="9"/>
            <rFont val="Tahoma"/>
            <family val="2"/>
          </rPr>
          <t xml:space="preserve">
Not forecasted due to restatement</t>
        </r>
      </text>
    </comment>
    <comment ref="J12" authorId="2" shapeId="0" xr:uid="{6DABCE99-8D84-4C01-9025-371D0720308F}">
      <text>
        <r>
          <rPr>
            <b/>
            <sz val="9"/>
            <rFont val="Tahoma"/>
            <family val="2"/>
            <charset val="1"/>
          </rPr>
          <t>Canalyst (PZ):</t>
        </r>
        <r>
          <rPr>
            <sz val="9"/>
            <rFont val="Tahoma"/>
            <family val="2"/>
            <charset val="1"/>
          </rPr>
          <t xml:space="preserve">
Low to high single digits.</t>
        </r>
      </text>
    </comment>
    <comment ref="M12" authorId="1" shapeId="0" xr:uid="{51D8FE6B-875B-40FD-8956-08EAEB59FD72}">
      <text>
        <r>
          <rPr>
            <b/>
            <sz val="9"/>
            <rFont val="Tahoma"/>
            <family val="2"/>
          </rPr>
          <t>Canalyst (SJ):</t>
        </r>
        <r>
          <rPr>
            <sz val="9"/>
            <rFont val="Tahoma"/>
            <family val="2"/>
          </rPr>
          <t xml:space="preserve">
Not forecasted due to restatement</t>
        </r>
      </text>
    </comment>
    <comment ref="J13" authorId="2" shapeId="0" xr:uid="{2A4C0A31-149D-4215-8B6B-D74A87466CFF}">
      <text>
        <r>
          <rPr>
            <b/>
            <sz val="9"/>
            <rFont val="Tahoma"/>
            <family val="2"/>
            <charset val="1"/>
          </rPr>
          <t>Canalyst (PZ):</t>
        </r>
        <r>
          <rPr>
            <sz val="9"/>
            <rFont val="Tahoma"/>
            <family val="2"/>
            <charset val="1"/>
          </rPr>
          <t xml:space="preserve">
Low to mid single digits.</t>
        </r>
      </text>
    </comment>
    <comment ref="M13" authorId="1" shapeId="0" xr:uid="{2272739A-C221-4477-B399-1ECFFAFE700F}">
      <text>
        <r>
          <rPr>
            <b/>
            <sz val="9"/>
            <rFont val="Tahoma"/>
            <family val="2"/>
          </rPr>
          <t>Canalyst (SJ):</t>
        </r>
        <r>
          <rPr>
            <sz val="9"/>
            <rFont val="Tahoma"/>
            <family val="2"/>
          </rPr>
          <t xml:space="preserve">
Not forecasted due to restatement</t>
        </r>
      </text>
    </comment>
    <comment ref="J14" authorId="2" shapeId="0" xr:uid="{8606F3D0-7638-49C3-A67F-CC375894A088}">
      <text>
        <r>
          <rPr>
            <b/>
            <sz val="9"/>
            <rFont val="Tahoma"/>
            <family val="2"/>
            <charset val="1"/>
          </rPr>
          <t>Canalyst (PZ):</t>
        </r>
        <r>
          <rPr>
            <sz val="9"/>
            <rFont val="Tahoma"/>
            <family val="2"/>
            <charset val="1"/>
          </rPr>
          <t xml:space="preserve">
Low to mid single digits.</t>
        </r>
      </text>
    </comment>
    <comment ref="M14" authorId="1" shapeId="0" xr:uid="{779F4A4E-6295-4BD9-8AD5-6B1B83061775}">
      <text>
        <r>
          <rPr>
            <b/>
            <sz val="9"/>
            <rFont val="Tahoma"/>
            <family val="2"/>
          </rPr>
          <t>Canalyst (SJ):</t>
        </r>
        <r>
          <rPr>
            <sz val="9"/>
            <rFont val="Tahoma"/>
            <family val="2"/>
          </rPr>
          <t xml:space="preserve">
Not forecasted due to restatement</t>
        </r>
      </text>
    </comment>
    <comment ref="M15" authorId="1" shapeId="0" xr:uid="{EF58C172-64A4-4126-8715-BCD3B3AB3B2D}">
      <text>
        <r>
          <rPr>
            <b/>
            <sz val="9"/>
            <rFont val="Tahoma"/>
            <family val="2"/>
          </rPr>
          <t>Canalyst (SJ):</t>
        </r>
        <r>
          <rPr>
            <sz val="9"/>
            <rFont val="Tahoma"/>
            <family val="2"/>
          </rPr>
          <t xml:space="preserve">
Not forecasted due to restatement</t>
        </r>
      </text>
    </comment>
    <comment ref="M16" authorId="1" shapeId="0" xr:uid="{C5B3DEED-7F1E-44BA-8B6E-0B535E2C276B}">
      <text>
        <r>
          <rPr>
            <b/>
            <sz val="9"/>
            <rFont val="Tahoma"/>
            <family val="2"/>
          </rPr>
          <t>Canalyst (SJ):</t>
        </r>
        <r>
          <rPr>
            <sz val="9"/>
            <rFont val="Tahoma"/>
            <family val="2"/>
          </rPr>
          <t xml:space="preserve">
Not forecasted due to restatement</t>
        </r>
      </text>
    </comment>
    <comment ref="M17" authorId="1" shapeId="0" xr:uid="{63EF2B38-8326-4FBB-9B95-A62EF478C8C2}">
      <text>
        <r>
          <rPr>
            <b/>
            <sz val="9"/>
            <rFont val="Tahoma"/>
            <family val="2"/>
          </rPr>
          <t>Canalyst (SJ):</t>
        </r>
        <r>
          <rPr>
            <sz val="9"/>
            <rFont val="Tahoma"/>
            <family val="2"/>
          </rPr>
          <t xml:space="preserve">
Not forecasted due to restatement</t>
        </r>
      </text>
    </comment>
    <comment ref="M104" authorId="3" shapeId="0" xr:uid="{BC9B30BF-CD54-42DF-932E-D3A73CA32A18}">
      <text>
        <r>
          <rPr>
            <b/>
            <sz val="9"/>
            <rFont val="Tahoma"/>
            <family val="2"/>
          </rPr>
          <t>Canalyst (AlD):</t>
        </r>
        <r>
          <rPr>
            <sz val="9"/>
            <rFont val="Tahoma"/>
            <family val="2"/>
          </rPr>
          <t xml:space="preserve">
not forecasted due to resegmentation</t>
        </r>
      </text>
    </comment>
    <comment ref="M105" authorId="3" shapeId="0" xr:uid="{2FD75F9A-1822-4007-877B-895CB7655F23}">
      <text>
        <r>
          <rPr>
            <b/>
            <sz val="9"/>
            <rFont val="Tahoma"/>
            <family val="2"/>
          </rPr>
          <t>Canalyst (AlD):</t>
        </r>
        <r>
          <rPr>
            <sz val="9"/>
            <rFont val="Tahoma"/>
            <family val="2"/>
          </rPr>
          <t xml:space="preserve">
not forecasted due to resegmentation</t>
        </r>
      </text>
    </comment>
    <comment ref="M106" authorId="3" shapeId="0" xr:uid="{D121107D-5788-4830-A5C9-4F90969757AD}">
      <text>
        <r>
          <rPr>
            <b/>
            <sz val="9"/>
            <rFont val="Tahoma"/>
            <family val="2"/>
          </rPr>
          <t>Canalyst (AlD):</t>
        </r>
        <r>
          <rPr>
            <sz val="9"/>
            <rFont val="Tahoma"/>
            <family val="2"/>
          </rPr>
          <t xml:space="preserve">
not forecasted due to resegmentation</t>
        </r>
      </text>
    </comment>
    <comment ref="M107" authorId="3" shapeId="0" xr:uid="{DB091A6B-E27E-4134-9001-EBCB2CF7D2BB}">
      <text>
        <r>
          <rPr>
            <b/>
            <sz val="9"/>
            <rFont val="Tahoma"/>
            <family val="2"/>
          </rPr>
          <t>Canalyst (AlD):</t>
        </r>
        <r>
          <rPr>
            <sz val="9"/>
            <rFont val="Tahoma"/>
            <family val="2"/>
          </rPr>
          <t xml:space="preserve">
not forecasted due to resegmentation</t>
        </r>
      </text>
    </comment>
    <comment ref="M108" authorId="3" shapeId="0" xr:uid="{8E99FB83-2005-4CFE-AA46-62CF764BF2AC}">
      <text>
        <r>
          <rPr>
            <b/>
            <sz val="9"/>
            <rFont val="Tahoma"/>
            <family val="2"/>
          </rPr>
          <t>Canalyst (AlD):</t>
        </r>
        <r>
          <rPr>
            <sz val="9"/>
            <rFont val="Tahoma"/>
            <family val="2"/>
          </rPr>
          <t xml:space="preserve">
not forecasted due to resegmentation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Canalyst (JiF)</author>
  </authors>
  <commentList>
    <comment ref="P18" authorId="0" shapeId="0" xr:uid="{00000000-0006-0000-0300-000001000000}">
      <text>
        <r>
          <rPr>
            <b/>
            <sz val="9"/>
            <rFont val="Tahoma"/>
            <family val="2"/>
          </rPr>
          <t>Canalyst (JiF):</t>
        </r>
        <r>
          <rPr>
            <sz val="9"/>
            <rFont val="Tahoma"/>
            <family val="2"/>
          </rPr>
          <t xml:space="preserve">
Growth rates prior to this period are pre-revenue realignment effective Q1-2017</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5" authorId="0" shapeId="0" xr:uid="{730237A9-F688-4FE4-8AFA-3D0765B0A942}">
      <text>
        <r>
          <rPr>
            <b/>
            <sz val="9"/>
            <color indexed="81"/>
            <rFont val="Tahoma"/>
            <family val="2"/>
          </rPr>
          <t>Canalyst:</t>
        </r>
        <r>
          <rPr>
            <sz val="9"/>
            <color indexed="81"/>
            <rFont val="Tahoma"/>
            <family val="2"/>
          </rPr>
          <t xml:space="preserve">
Becomes a stub period when it's the middle of the current year.</t>
        </r>
      </text>
    </comment>
    <comment ref="C29" authorId="0" shapeId="0" xr:uid="{0CD25992-853F-4B0B-9AB5-12AD1A153180}">
      <text>
        <r>
          <rPr>
            <b/>
            <sz val="9"/>
            <color indexed="81"/>
            <rFont val="Tahoma"/>
            <family val="2"/>
          </rPr>
          <t xml:space="preserve">Canalyst:
</t>
        </r>
        <r>
          <rPr>
            <sz val="9"/>
            <color indexed="81"/>
            <rFont val="Tahoma"/>
            <family val="2"/>
          </rPr>
          <t xml:space="preserve">Using built-in Capex forecast.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D29" authorId="0" shapeId="0" xr:uid="{51BAB869-7C9F-4299-973C-4DA2A4E30B2D}">
      <text>
        <r>
          <rPr>
            <b/>
            <sz val="9"/>
            <color indexed="81"/>
            <rFont val="Tahoma"/>
            <family val="2"/>
          </rPr>
          <t xml:space="preserve">Canalyst:
</t>
        </r>
        <r>
          <rPr>
            <sz val="9"/>
            <color indexed="81"/>
            <rFont val="Tahoma"/>
            <family val="2"/>
          </rPr>
          <t xml:space="preserve">Using built-in Capex forecast.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E29" authorId="0" shapeId="0" xr:uid="{90C910FB-C887-4836-A97E-DBBB258AD22F}">
      <text>
        <r>
          <rPr>
            <b/>
            <sz val="9"/>
            <color indexed="81"/>
            <rFont val="Tahoma"/>
            <family val="2"/>
          </rPr>
          <t xml:space="preserve">Canalyst:
</t>
        </r>
        <r>
          <rPr>
            <sz val="9"/>
            <color indexed="81"/>
            <rFont val="Tahoma"/>
            <family val="2"/>
          </rPr>
          <t xml:space="preserve">Using built-in Capex forecast.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F29" authorId="0" shapeId="0" xr:uid="{E06AA1BD-170C-4BF3-A09A-6267A666EA53}">
      <text>
        <r>
          <rPr>
            <b/>
            <sz val="9"/>
            <color indexed="81"/>
            <rFont val="Tahoma"/>
            <family val="2"/>
          </rPr>
          <t xml:space="preserve">Canalyst:
</t>
        </r>
        <r>
          <rPr>
            <sz val="9"/>
            <color indexed="81"/>
            <rFont val="Tahoma"/>
            <family val="2"/>
          </rPr>
          <t xml:space="preserve">Using built-in Capex forecast.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H29" authorId="0" shapeId="0" xr:uid="{F8E1F33F-FC2E-4613-9408-8B5BA53B6F14}">
      <text>
        <r>
          <rPr>
            <b/>
            <sz val="9"/>
            <color indexed="81"/>
            <rFont val="Tahoma"/>
            <family val="2"/>
          </rPr>
          <t xml:space="preserve">Canalyst:
</t>
        </r>
        <r>
          <rPr>
            <sz val="9"/>
            <color indexed="81"/>
            <rFont val="Tahoma"/>
            <family val="2"/>
          </rPr>
          <t xml:space="preserve">Using built-in Capex forecast.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I29" authorId="0" shapeId="0" xr:uid="{E0AF56E5-AB5F-41CB-8CF8-F651E6E18211}">
      <text>
        <r>
          <rPr>
            <b/>
            <sz val="9"/>
            <color indexed="81"/>
            <rFont val="Tahoma"/>
            <family val="2"/>
          </rPr>
          <t xml:space="preserve">Canalyst:
</t>
        </r>
        <r>
          <rPr>
            <sz val="9"/>
            <color indexed="81"/>
            <rFont val="Tahoma"/>
            <family val="2"/>
          </rPr>
          <t xml:space="preserve">Using built-in Capex forecast.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J29" authorId="0" shapeId="0" xr:uid="{EA0BD3D6-2263-43AA-91F3-EF431192FF59}">
      <text>
        <r>
          <rPr>
            <b/>
            <sz val="9"/>
            <color indexed="81"/>
            <rFont val="Tahoma"/>
            <family val="2"/>
          </rPr>
          <t xml:space="preserve">Canalyst:
</t>
        </r>
        <r>
          <rPr>
            <sz val="9"/>
            <color indexed="81"/>
            <rFont val="Tahoma"/>
            <family val="2"/>
          </rPr>
          <t xml:space="preserve">Using built-in Capex forecast.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K29" authorId="0" shapeId="0" xr:uid="{6D541714-CEBD-451C-966E-48AD0E410D62}">
      <text>
        <r>
          <rPr>
            <b/>
            <sz val="9"/>
            <color indexed="81"/>
            <rFont val="Tahoma"/>
            <family val="2"/>
          </rPr>
          <t xml:space="preserve">Canalyst:
</t>
        </r>
        <r>
          <rPr>
            <sz val="9"/>
            <color indexed="81"/>
            <rFont val="Tahoma"/>
            <family val="2"/>
          </rPr>
          <t xml:space="preserve">Using built-in Capex forecast.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C30" authorId="0" shapeId="0" xr:uid="{5B97BFDE-2363-4925-8719-2675171C8C5C}">
      <text>
        <r>
          <rPr>
            <b/>
            <sz val="9"/>
            <color indexed="81"/>
            <rFont val="Tahoma"/>
            <family val="2"/>
          </rPr>
          <t xml:space="preserve">Canalyst:
</t>
        </r>
        <r>
          <rPr>
            <sz val="9"/>
            <color indexed="81"/>
            <rFont val="Tahoma"/>
            <family val="2"/>
          </rPr>
          <t xml:space="preserve">Using built-in WC forecast (if it exists).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D30" authorId="0" shapeId="0" xr:uid="{4570FD91-2FD0-4697-9478-4F817B948DA7}">
      <text>
        <r>
          <rPr>
            <b/>
            <sz val="9"/>
            <color indexed="81"/>
            <rFont val="Tahoma"/>
            <family val="2"/>
          </rPr>
          <t xml:space="preserve">Canalyst:
</t>
        </r>
        <r>
          <rPr>
            <sz val="9"/>
            <color indexed="81"/>
            <rFont val="Tahoma"/>
            <family val="2"/>
          </rPr>
          <t xml:space="preserve">Using built-in WC forecast (if it exists).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E30" authorId="0" shapeId="0" xr:uid="{0167265E-FC8E-4ADC-A343-CC8B65E3C444}">
      <text>
        <r>
          <rPr>
            <b/>
            <sz val="9"/>
            <color indexed="81"/>
            <rFont val="Tahoma"/>
            <family val="2"/>
          </rPr>
          <t xml:space="preserve">Canalyst:
</t>
        </r>
        <r>
          <rPr>
            <sz val="9"/>
            <color indexed="81"/>
            <rFont val="Tahoma"/>
            <family val="2"/>
          </rPr>
          <t xml:space="preserve">Using built-in WC forecast (if it exists).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F30" authorId="0" shapeId="0" xr:uid="{004C0637-8EA1-4680-B719-85B34219FD2D}">
      <text>
        <r>
          <rPr>
            <b/>
            <sz val="9"/>
            <color indexed="81"/>
            <rFont val="Tahoma"/>
            <family val="2"/>
          </rPr>
          <t xml:space="preserve">Canalyst:
</t>
        </r>
        <r>
          <rPr>
            <sz val="9"/>
            <color indexed="81"/>
            <rFont val="Tahoma"/>
            <family val="2"/>
          </rPr>
          <t xml:space="preserve">Using built-in WC forecast (if it exists).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H30" authorId="0" shapeId="0" xr:uid="{E3D8DA10-8E6F-4E8D-9AFE-D8A6412A812E}">
      <text>
        <r>
          <rPr>
            <b/>
            <sz val="9"/>
            <color indexed="81"/>
            <rFont val="Tahoma"/>
            <family val="2"/>
          </rPr>
          <t xml:space="preserve">Canalyst:
</t>
        </r>
        <r>
          <rPr>
            <sz val="9"/>
            <color indexed="81"/>
            <rFont val="Tahoma"/>
            <family val="2"/>
          </rPr>
          <t xml:space="preserve">Using built-in WC forecast (if it exists).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I30" authorId="0" shapeId="0" xr:uid="{75EC5768-410C-423B-ADFC-D274E0A0349B}">
      <text>
        <r>
          <rPr>
            <b/>
            <sz val="9"/>
            <color indexed="81"/>
            <rFont val="Tahoma"/>
            <family val="2"/>
          </rPr>
          <t xml:space="preserve">Canalyst:
</t>
        </r>
        <r>
          <rPr>
            <sz val="9"/>
            <color indexed="81"/>
            <rFont val="Tahoma"/>
            <family val="2"/>
          </rPr>
          <t xml:space="preserve">Using built-in WC forecast (if it exists).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J30" authorId="0" shapeId="0" xr:uid="{8B8F6701-EAD8-4006-8B9A-D37678BD2584}">
      <text>
        <r>
          <rPr>
            <b/>
            <sz val="9"/>
            <color indexed="81"/>
            <rFont val="Tahoma"/>
            <family val="2"/>
          </rPr>
          <t xml:space="preserve">Canalyst:
</t>
        </r>
        <r>
          <rPr>
            <sz val="9"/>
            <color indexed="81"/>
            <rFont val="Tahoma"/>
            <family val="2"/>
          </rPr>
          <t xml:space="preserve">Using built-in WC forecast (if it exists).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K30" authorId="0" shapeId="0" xr:uid="{0325C248-77E0-46EF-BD66-E47CA96F342A}">
      <text>
        <r>
          <rPr>
            <b/>
            <sz val="9"/>
            <color indexed="81"/>
            <rFont val="Tahoma"/>
            <family val="2"/>
          </rPr>
          <t xml:space="preserve">Canalyst:
</t>
        </r>
        <r>
          <rPr>
            <sz val="9"/>
            <color indexed="81"/>
            <rFont val="Tahoma"/>
            <family val="2"/>
          </rPr>
          <t xml:space="preserve">Using built-in WC forecast (if it exists). User may want to hardcode their own assumption manually. Hardcoded assumptions will not impact the </t>
        </r>
        <r>
          <rPr>
            <i/>
            <sz val="9"/>
            <color indexed="81"/>
            <rFont val="Tahoma"/>
            <family val="2"/>
          </rPr>
          <t>Model</t>
        </r>
        <r>
          <rPr>
            <sz val="9"/>
            <color indexed="81"/>
            <rFont val="Tahoma"/>
            <family val="2"/>
          </rPr>
          <t xml:space="preserve"> worksheet.</t>
        </r>
      </text>
    </comment>
    <comment ref="B53" authorId="0" shapeId="0" xr:uid="{0D85556F-B3CF-4089-BEB0-A496582B9C7C}">
      <text>
        <r>
          <rPr>
            <b/>
            <sz val="9"/>
            <color indexed="81"/>
            <rFont val="Tahoma"/>
            <family val="2"/>
          </rPr>
          <t>Canalyst:</t>
        </r>
        <r>
          <rPr>
            <sz val="9"/>
            <color indexed="81"/>
            <rFont val="Tahoma"/>
            <family val="2"/>
          </rPr>
          <t xml:space="preserve">
Using built in MRQ weighted S/O. IPO weighted S/O will be prioritized. User may want to update this value manually to reflect any changes in S/O.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Canalyst (JiF)</author>
    <author>Canalyst (JD)</author>
  </authors>
  <commentList>
    <comment ref="B2" authorId="0" shapeId="0" xr:uid="{5F7E4A1F-471F-4818-8874-90AE54F40DDF}">
      <text>
        <r>
          <rPr>
            <b/>
            <sz val="9"/>
            <color indexed="81"/>
            <rFont val="Tahoma"/>
            <family val="2"/>
          </rPr>
          <t>Canalyst:</t>
        </r>
        <r>
          <rPr>
            <sz val="9"/>
            <color indexed="81"/>
            <rFont val="Tahoma"/>
            <family val="2"/>
          </rPr>
          <t xml:space="preserve">
Enter the fiscal year you want to use. Please ensure the </t>
        </r>
        <r>
          <rPr>
            <i/>
            <sz val="9"/>
            <color indexed="81"/>
            <rFont val="Tahoma"/>
            <family val="2"/>
          </rPr>
          <t xml:space="preserve">Model </t>
        </r>
        <r>
          <rPr>
            <sz val="9"/>
            <color indexed="81"/>
            <rFont val="Tahoma"/>
            <family val="2"/>
          </rPr>
          <t xml:space="preserve">worksheet has been extended if you go beyond a 5-year forecast.
You can extend the </t>
        </r>
        <r>
          <rPr>
            <i/>
            <sz val="9"/>
            <color indexed="81"/>
            <rFont val="Tahoma"/>
            <family val="2"/>
          </rPr>
          <t xml:space="preserve">Model </t>
        </r>
        <r>
          <rPr>
            <sz val="9"/>
            <color indexed="81"/>
            <rFont val="Tahoma"/>
            <family val="2"/>
          </rPr>
          <t>worksheet by copying the last Fiscal Year column in the worksheet and pasting it to the right.</t>
        </r>
      </text>
    </comment>
    <comment ref="F22" authorId="1" shapeId="0" xr:uid="{E522E753-1631-4A59-8193-205B4F8D454E}">
      <text>
        <r>
          <rPr>
            <b/>
            <sz val="9"/>
            <rFont val="Tahoma"/>
            <family val="2"/>
          </rPr>
          <t>Canalyst:</t>
        </r>
        <r>
          <rPr>
            <sz val="9"/>
            <rFont val="Tahoma"/>
            <family val="2"/>
          </rPr>
          <t xml:space="preserve">
simplified assumption, in bull/bear cases, company spends more/less based on results, so net debt is the same</t>
        </r>
      </text>
    </comment>
    <comment ref="I22" authorId="1" shapeId="0" xr:uid="{C33E4F4C-0C4C-4207-8214-7857327F8E17}">
      <text>
        <r>
          <rPr>
            <b/>
            <sz val="9"/>
            <rFont val="Tahoma"/>
            <family val="2"/>
          </rPr>
          <t>Canalyst:</t>
        </r>
        <r>
          <rPr>
            <sz val="9"/>
            <rFont val="Tahoma"/>
            <family val="2"/>
          </rPr>
          <t xml:space="preserve">
simplified assumption, in bull/bear cases, company spends more/less based on results, so net debt is the same</t>
        </r>
      </text>
    </comment>
  </commentList>
</comments>
</file>

<file path=xl/sharedStrings.xml><?xml version="1.0" encoding="utf-8"?>
<sst xmlns="http://schemas.openxmlformats.org/spreadsheetml/2006/main" count="2065" uniqueCount="1297">
  <si>
    <t xml:space="preserve">Please contact this email for any model-specific questions: </t>
  </si>
  <si>
    <t>support@canalyst.com</t>
  </si>
  <si>
    <t>Company Model:</t>
  </si>
  <si>
    <t>Comments on Model:</t>
  </si>
  <si>
    <t xml:space="preserve">Updated: </t>
  </si>
  <si>
    <t>For:</t>
  </si>
  <si>
    <t>Consensus Data and Real-Time Stock Price:</t>
  </si>
  <si>
    <t>Bloomberg</t>
  </si>
  <si>
    <t>Real-Time Stock Price:</t>
  </si>
  <si>
    <t>Stock Price Override:</t>
  </si>
  <si>
    <t>3M Company</t>
  </si>
  <si>
    <t>Restated</t>
  </si>
  <si>
    <t>USD</t>
  </si>
  <si>
    <t>FY2009</t>
  </si>
  <si>
    <t>Growth Analysis</t>
  </si>
  <si>
    <t>Health Care Revenue Growth, %</t>
  </si>
  <si>
    <t>Consumer Revenue Growth, %</t>
  </si>
  <si>
    <t>Total Revenue Growth, %</t>
  </si>
  <si>
    <t>Health Care Organic Local-Currency Sales Growth, %</t>
  </si>
  <si>
    <t>Consumer Organic Local-Currency Sales Growth, %</t>
  </si>
  <si>
    <t>Health Care Revenue, mm</t>
  </si>
  <si>
    <t>Consumer Revenue, mm</t>
  </si>
  <si>
    <t>Corporate and Unallocated Revenue, mm</t>
  </si>
  <si>
    <t>Total Revenue, mm</t>
  </si>
  <si>
    <t>Other Unallocated Revenue, mm</t>
  </si>
  <si>
    <t>Margin Analysis</t>
  </si>
  <si>
    <t>COGS Margin (Including D&amp;A), %</t>
  </si>
  <si>
    <t>Gross Margin (Including D&amp;A), %</t>
  </si>
  <si>
    <t>Consensus Estimates - Gross Margin, %</t>
  </si>
  <si>
    <t>SG&amp;A Margin (adj. for SBC), %</t>
  </si>
  <si>
    <t>EBITDA Margin, %</t>
  </si>
  <si>
    <t>Consensus Estimates - Adjusted EBITDA Margin, %</t>
  </si>
  <si>
    <t>EBIT Margin, %</t>
  </si>
  <si>
    <t>Consensus Estimates - Adjusted EBIT Margin, %</t>
  </si>
  <si>
    <t>Income Statement - As Reported</t>
  </si>
  <si>
    <t>Net sales</t>
  </si>
  <si>
    <t>Cost of sales</t>
  </si>
  <si>
    <t>Selling, general and administrative expenses</t>
  </si>
  <si>
    <t>Research, development and related expenses</t>
  </si>
  <si>
    <t>Gain on sale of business</t>
  </si>
  <si>
    <t>Total operating expenses</t>
  </si>
  <si>
    <t>Operating income</t>
  </si>
  <si>
    <t>Interest expense</t>
  </si>
  <si>
    <t>Interest income</t>
  </si>
  <si>
    <t>Total interest expense - net</t>
  </si>
  <si>
    <t>Pension and postretirement net periodic benefit cost (benefit)</t>
  </si>
  <si>
    <t>Income before income taxes</t>
  </si>
  <si>
    <t>Provision for income taxes</t>
  </si>
  <si>
    <t>Net income including noncontrolling interest</t>
  </si>
  <si>
    <t>Less: Net income attributable to noncontrolling interest</t>
  </si>
  <si>
    <t>Net income attributable to 3M</t>
  </si>
  <si>
    <t>IS Check</t>
  </si>
  <si>
    <t>Adjusted Numbers - As Reported</t>
  </si>
  <si>
    <t>Operating Income (GAAP)</t>
  </si>
  <si>
    <t>Strategic investments</t>
  </si>
  <si>
    <t>Adjustment for MN NRD Resolution</t>
  </si>
  <si>
    <t>Operating Income (Non-GAAP)</t>
  </si>
  <si>
    <t>Net Income (GAAP)</t>
  </si>
  <si>
    <t>Adjustments</t>
  </si>
  <si>
    <t>TCJA</t>
  </si>
  <si>
    <t>Net Income (Non-GAAP)</t>
  </si>
  <si>
    <t>Revised Income Statement</t>
  </si>
  <si>
    <t>Net Revenue</t>
  </si>
  <si>
    <t>EBITDA</t>
  </si>
  <si>
    <t>SG&amp;A (adj. for SBC)</t>
  </si>
  <si>
    <t>D&amp;A</t>
  </si>
  <si>
    <t>SBC</t>
  </si>
  <si>
    <t>Other</t>
  </si>
  <si>
    <t>EBIT</t>
  </si>
  <si>
    <t>Other items</t>
  </si>
  <si>
    <t>One-time item</t>
  </si>
  <si>
    <t>EBT</t>
  </si>
  <si>
    <t>Current tax</t>
  </si>
  <si>
    <t>Deferred tax</t>
  </si>
  <si>
    <t>Net Income from Continued Operation</t>
  </si>
  <si>
    <t>Net Income to NCI</t>
  </si>
  <si>
    <t>Preferred stock dividends</t>
  </si>
  <si>
    <t>Net Income to Common Shareholders</t>
  </si>
  <si>
    <t>Adjustments for Convertible Securities</t>
  </si>
  <si>
    <t>Diluted Net Income to Common Shareholders</t>
  </si>
  <si>
    <t>Non-GAAP Adjustments</t>
  </si>
  <si>
    <t>Non-GAAP Adjustments for Dilutive Securities</t>
  </si>
  <si>
    <t>Adjusted Net Income</t>
  </si>
  <si>
    <t>Current tax rate</t>
  </si>
  <si>
    <t>Deferred tax rate</t>
  </si>
  <si>
    <t>Earnings Per Share - WAB</t>
  </si>
  <si>
    <t>Earnings Per Share - WAD</t>
  </si>
  <si>
    <t>Adjusted Earnings Per Share - WAD</t>
  </si>
  <si>
    <t>Shares Outstanding - WAB</t>
  </si>
  <si>
    <t>Shares Outstanding - WAD</t>
  </si>
  <si>
    <t>Adjusted Shares Outstanding - WAD</t>
  </si>
  <si>
    <t>Cash Flow Summary</t>
  </si>
  <si>
    <t>Operating Cash Flow before WC</t>
  </si>
  <si>
    <t>Cash Flow Per Diluted Share</t>
  </si>
  <si>
    <t>Capex</t>
  </si>
  <si>
    <t>Acquisitions</t>
  </si>
  <si>
    <t>Divestiture</t>
  </si>
  <si>
    <t>Dividend Paid</t>
  </si>
  <si>
    <t>Dividend Per Share</t>
  </si>
  <si>
    <t>FCF, Pre Div</t>
  </si>
  <si>
    <t>FCF, Post Div Pre A/D</t>
  </si>
  <si>
    <t>FCF, Post Div Post A/D</t>
  </si>
  <si>
    <t>Balance Sheet Summary</t>
  </si>
  <si>
    <t>Cash</t>
  </si>
  <si>
    <t>Debt</t>
  </si>
  <si>
    <t>Net Debt</t>
  </si>
  <si>
    <t>Net Debt / EBITDA</t>
  </si>
  <si>
    <t>Net Debt / Cash Flow</t>
  </si>
  <si>
    <t>Valuation</t>
  </si>
  <si>
    <t>Avg</t>
  </si>
  <si>
    <t>Enterprise Value Components</t>
  </si>
  <si>
    <t>Noncontrolling Interest</t>
  </si>
  <si>
    <t>Preferred Shares</t>
  </si>
  <si>
    <t>Other EV Components</t>
  </si>
  <si>
    <t>Cumulative Cash Flow Statement</t>
  </si>
  <si>
    <t>CFO</t>
  </si>
  <si>
    <t>Depreciation and amortization</t>
  </si>
  <si>
    <t>Company pension and postretirement contributions</t>
  </si>
  <si>
    <t>Company pension and postretirement expense</t>
  </si>
  <si>
    <t>Stock-based compensation expense</t>
  </si>
  <si>
    <t>Gain on sale of businesses</t>
  </si>
  <si>
    <t>Deferred income taxes</t>
  </si>
  <si>
    <t>Excess tax benefits from stock-based compensation</t>
  </si>
  <si>
    <t>CFO before WC</t>
  </si>
  <si>
    <t>Accounts receivable</t>
  </si>
  <si>
    <t>Inventories</t>
  </si>
  <si>
    <t>Accounts payable</t>
  </si>
  <si>
    <t>Accrued income taxes (current and long-term)</t>
  </si>
  <si>
    <t>Product and other insurance receivables and claims</t>
  </si>
  <si>
    <t>Other - net</t>
  </si>
  <si>
    <t>Net CFO</t>
  </si>
  <si>
    <t>CFI</t>
  </si>
  <si>
    <t>Purchases of property, plant and equipment (PP&amp;E)</t>
  </si>
  <si>
    <t>Proceeds from sale of PP&amp;E and other assets</t>
  </si>
  <si>
    <t>Acquisitions, net of cash acquired</t>
  </si>
  <si>
    <t>Purchases of marketable securities and investments</t>
  </si>
  <si>
    <t>Proceeds from maturities and sale of marketable securities and investments</t>
  </si>
  <si>
    <t>Proceeds from maturities of marketable securities</t>
  </si>
  <si>
    <t>Proceeds from sale of businesses</t>
  </si>
  <si>
    <t>Other investing</t>
  </si>
  <si>
    <t>Net CFI</t>
  </si>
  <si>
    <t>CFF</t>
  </si>
  <si>
    <t>Change in short-term debt - net</t>
  </si>
  <si>
    <t>Repayment of debt (maturities greater than 90 days)</t>
  </si>
  <si>
    <t>Proceeds from debt (maturities greater than 90 days)</t>
  </si>
  <si>
    <t>Purchases of treasury stock</t>
  </si>
  <si>
    <t>Proceeds from issuance of treasury stock pursuant to stock option and benefit plans</t>
  </si>
  <si>
    <t>Dividends paid to shareholders</t>
  </si>
  <si>
    <t>Purchase of noncontrolling interest</t>
  </si>
  <si>
    <t>Net CFF</t>
  </si>
  <si>
    <t>FX</t>
  </si>
  <si>
    <t>Net Change in Cash Balance</t>
  </si>
  <si>
    <t>Beginning Cash Balance</t>
  </si>
  <si>
    <t>Ending Cash Balance</t>
  </si>
  <si>
    <t>Cash Flow Statement</t>
  </si>
  <si>
    <t>CF Check</t>
  </si>
  <si>
    <t>Working Capital Forecasting</t>
  </si>
  <si>
    <t>Accounts receivable - net, % of LTM Sales</t>
  </si>
  <si>
    <t>Total inventories, % of LTM Sales</t>
  </si>
  <si>
    <t>Prepaids, % of LTM Sales</t>
  </si>
  <si>
    <t>Accounts payable, % of LTM Sales</t>
  </si>
  <si>
    <t>Accounts receivable - net, Y/Y Change, %</t>
  </si>
  <si>
    <t>Total inventories, Y/Y Change, %</t>
  </si>
  <si>
    <t>Prepaids, Y/Y Change, %</t>
  </si>
  <si>
    <t>Accounts payable, Y/Y Change, %</t>
  </si>
  <si>
    <t>Balance Sheet</t>
  </si>
  <si>
    <t>Current Assets</t>
  </si>
  <si>
    <t>Cash and cash equivalents</t>
  </si>
  <si>
    <t>Marketable securities - current</t>
  </si>
  <si>
    <t>Accounts receivable - net</t>
  </si>
  <si>
    <t>Finished goods</t>
  </si>
  <si>
    <t>Work in process</t>
  </si>
  <si>
    <t>Raw materials and supplies</t>
  </si>
  <si>
    <t>Total inventories</t>
  </si>
  <si>
    <t>Prepaids</t>
  </si>
  <si>
    <t>Other current assets</t>
  </si>
  <si>
    <t>Total Current Assets</t>
  </si>
  <si>
    <t>Non-Current Assets</t>
  </si>
  <si>
    <t>Marketable securities - non-current</t>
  </si>
  <si>
    <t>Investments</t>
  </si>
  <si>
    <t>Property, plant and equipment</t>
  </si>
  <si>
    <t>Less: Accumulated depreciation</t>
  </si>
  <si>
    <t>Property, plant and equipment - net</t>
  </si>
  <si>
    <t>Goodwill</t>
  </si>
  <si>
    <t>Intangible assets - net</t>
  </si>
  <si>
    <t>Prepaid pension benefits</t>
  </si>
  <si>
    <t>Other assets</t>
  </si>
  <si>
    <t>Total Non-Current Assets</t>
  </si>
  <si>
    <t>Total Assets</t>
  </si>
  <si>
    <t>Current Liabilities</t>
  </si>
  <si>
    <t>Short-term borrowings and current portion of long-term debt</t>
  </si>
  <si>
    <t>Accrued payroll</t>
  </si>
  <si>
    <t>Accrued income taxes</t>
  </si>
  <si>
    <t>Other current liabilities</t>
  </si>
  <si>
    <t>Total Current Liabilities</t>
  </si>
  <si>
    <t>Non-Current Liabilities</t>
  </si>
  <si>
    <t>Long-term debt</t>
  </si>
  <si>
    <t>Pension and postretirement benefits</t>
  </si>
  <si>
    <t>Other liabilities</t>
  </si>
  <si>
    <t>Total Non-Current liabilities</t>
  </si>
  <si>
    <t>Total Liabilities</t>
  </si>
  <si>
    <t>Shareholders' Equity</t>
  </si>
  <si>
    <t>Common stock</t>
  </si>
  <si>
    <t>Additional paid-in capital</t>
  </si>
  <si>
    <t>Retained earnings</t>
  </si>
  <si>
    <t>Treasury stock</t>
  </si>
  <si>
    <t>Accumulated other comprehensive income (loss)</t>
  </si>
  <si>
    <t>Total SE</t>
  </si>
  <si>
    <t>NCI</t>
  </si>
  <si>
    <t>Total Liabilities &amp; SE</t>
  </si>
  <si>
    <t>BS Check</t>
  </si>
  <si>
    <t>Model Checks</t>
  </si>
  <si>
    <t>Net Income on Revised IS = NI on CF statement</t>
  </si>
  <si>
    <t>Net Income on Reported IS = NI on Revised</t>
  </si>
  <si>
    <t>Segmented Revenue = Revenue</t>
  </si>
  <si>
    <t>Cash Flow is not Repeated</t>
  </si>
  <si>
    <t>Income Statement is not Repeated</t>
  </si>
  <si>
    <t>Balance Sheet is not Repeated</t>
  </si>
  <si>
    <t>Ending CF = Ending Cumulative CF</t>
  </si>
  <si>
    <t>Capex is Updated</t>
  </si>
  <si>
    <t>Margin is Updated</t>
  </si>
  <si>
    <t>Adjusted Numbers FY = Sum of Qs</t>
  </si>
  <si>
    <t>*Margin adds up to 100%</t>
  </si>
  <si>
    <t>*Cash Flow Summary Signs are Correct</t>
  </si>
  <si>
    <t>*RIS NI FY = Sum of Qs</t>
  </si>
  <si>
    <t>*RIS Adjusted NI FY = Sum of Qs</t>
  </si>
  <si>
    <t>*CFO Before WC subtotal FY = Sum of Qs</t>
  </si>
  <si>
    <t>*CFO subtotal FY = Sum of Qs</t>
  </si>
  <si>
    <t>*CFI subtotal FY = Sum of Qs</t>
  </si>
  <si>
    <t>*CFF subtotal FY = Sum of Qs</t>
  </si>
  <si>
    <t>*CF Summary FY = Sum of Qs</t>
  </si>
  <si>
    <t>Other Tables</t>
  </si>
  <si>
    <t>Ticker Symbol</t>
  </si>
  <si>
    <t>MMM US</t>
  </si>
  <si>
    <t>NYSE:MMM</t>
  </si>
  <si>
    <t>MMM-US</t>
  </si>
  <si>
    <t>MMM.N</t>
  </si>
  <si>
    <t>Valuation Toggle Table</t>
  </si>
  <si>
    <t>High</t>
  </si>
  <si>
    <t>Low</t>
  </si>
  <si>
    <t>Consensus Estimate Table</t>
  </si>
  <si>
    <t>FY or FQ</t>
  </si>
  <si>
    <t>Period</t>
  </si>
  <si>
    <t>Stock Price Table</t>
  </si>
  <si>
    <t>Fiscal Period Start Date</t>
  </si>
  <si>
    <t>Real-Time Off Source</t>
  </si>
  <si>
    <t>Capital IQ</t>
  </si>
  <si>
    <t>FactSet</t>
  </si>
  <si>
    <t>General Table</t>
  </si>
  <si>
    <t>Last Price</t>
  </si>
  <si>
    <t>Last Price Date</t>
  </si>
  <si>
    <t>Real-Time Stock Price</t>
  </si>
  <si>
    <t>Last Price Formula</t>
  </si>
  <si>
    <t>Trade Currency</t>
  </si>
  <si>
    <t>Trade Currency Hardcoded</t>
  </si>
  <si>
    <t>Model Sheet Currency Hardcoded</t>
  </si>
  <si>
    <t>Most Recent FX</t>
  </si>
  <si>
    <t>Most Recent FX Hardcoded</t>
  </si>
  <si>
    <t>MRFP Column Number</t>
  </si>
  <si>
    <t>Most Recent Fiscal Period (MRFP)</t>
  </si>
  <si>
    <t>Current Fiscal Year</t>
  </si>
  <si>
    <t>Data Source Index</t>
  </si>
  <si>
    <t>Guidance</t>
  </si>
  <si>
    <t>Model</t>
  </si>
  <si>
    <t>Difference vs. Mid</t>
  </si>
  <si>
    <t>Update Log</t>
  </si>
  <si>
    <t>Type</t>
  </si>
  <si>
    <t>Item</t>
  </si>
  <si>
    <t>Item Name</t>
  </si>
  <si>
    <t>Fiscal Period</t>
  </si>
  <si>
    <t>Mid</t>
  </si>
  <si>
    <t>Output</t>
  </si>
  <si>
    <t>Absolute</t>
  </si>
  <si>
    <t>Relative</t>
  </si>
  <si>
    <t>Date</t>
  </si>
  <si>
    <t>Link</t>
  </si>
  <si>
    <t>z_8ZF0D70112_MO_OS_totalorganiclocalcurrencysalesgrowth</t>
  </si>
  <si>
    <t>FY2019</t>
  </si>
  <si>
    <t>N/A</t>
  </si>
  <si>
    <t>MO_RIS_EPS_WAD</t>
  </si>
  <si>
    <t>Free cash flow conversion</t>
  </si>
  <si>
    <t>Effective tax rate</t>
  </si>
  <si>
    <t>MO_RIS_NI_GAAP_Basic</t>
  </si>
  <si>
    <t>MO_RIS_NI_NONGAAP_Diluted</t>
  </si>
  <si>
    <t>MO_CFS_CFO</t>
  </si>
  <si>
    <t>MO_CFSum_Capex</t>
  </si>
  <si>
    <t>Free cash flow</t>
  </si>
  <si>
    <t>FY2018</t>
  </si>
  <si>
    <t>MO_RIS_EBT</t>
  </si>
  <si>
    <t>Provision for Income Taxes</t>
  </si>
  <si>
    <t>MO_RIS_EPS_WAD_Adj</t>
  </si>
  <si>
    <t>Reports</t>
  </si>
  <si>
    <t>Capitalization Summary</t>
  </si>
  <si>
    <t>Company-Specific Operational Data</t>
  </si>
  <si>
    <t>GAAP Financials</t>
  </si>
  <si>
    <t>Other Items</t>
  </si>
  <si>
    <t>Tax</t>
  </si>
  <si>
    <t>GAAP EPS</t>
  </si>
  <si>
    <t>Non-GAAP Financials</t>
  </si>
  <si>
    <t>Cash Flow Analysis</t>
  </si>
  <si>
    <t>Core FCF, Pre Div</t>
  </si>
  <si>
    <t>Core FCF, Post Div</t>
  </si>
  <si>
    <t>Change in WC</t>
  </si>
  <si>
    <t>New Equity Issuance</t>
  </si>
  <si>
    <t>New Debt Issuance</t>
  </si>
  <si>
    <t>Change in Cash Position</t>
  </si>
  <si>
    <t>Operating Cash Flow Per Share</t>
  </si>
  <si>
    <t>Core Free Cash Flow Per Share, Pre Div</t>
  </si>
  <si>
    <t>Dividend Payout Ratio vs Core FCF, Pre Div</t>
  </si>
  <si>
    <t>Dividend Payout Ratio vs Earnings Per Share</t>
  </si>
  <si>
    <t>Balance Sheet Ratios</t>
  </si>
  <si>
    <t>Net Debt / Capital</t>
  </si>
  <si>
    <t>LTM EBITDA</t>
  </si>
  <si>
    <t>LTM Cash Flow</t>
  </si>
  <si>
    <t>Profitability Ratios</t>
  </si>
  <si>
    <t>Net Income</t>
  </si>
  <si>
    <t>LTM Net Income</t>
  </si>
  <si>
    <t>Shareholder's Equity</t>
  </si>
  <si>
    <t>Average Shareholder's Equity</t>
  </si>
  <si>
    <t>ROE</t>
  </si>
  <si>
    <t>LTM Net Operating Profit</t>
  </si>
  <si>
    <t>Average Total Assets</t>
  </si>
  <si>
    <t>Total Debt</t>
  </si>
  <si>
    <t>Average Book Value of Debt</t>
  </si>
  <si>
    <t>Average Invested Capital</t>
  </si>
  <si>
    <t>ROIC</t>
  </si>
  <si>
    <t>LTM EBIT</t>
  </si>
  <si>
    <t>Average Current Liabilities</t>
  </si>
  <si>
    <t>Average Capital Employed</t>
  </si>
  <si>
    <t>ROCE</t>
  </si>
  <si>
    <t>Per-Share Growth Metrics</t>
  </si>
  <si>
    <t>Revenue Per Share Growth</t>
  </si>
  <si>
    <t>Adj. EBITDA Per Share Growth</t>
  </si>
  <si>
    <t>Adj. Earnings Per Share Growth</t>
  </si>
  <si>
    <t>Operating Cash Flow Per Share Growth</t>
  </si>
  <si>
    <t>Free Cash Flow Per Share Growth</t>
  </si>
  <si>
    <t>Valuation Metrics</t>
  </si>
  <si>
    <t>Check</t>
  </si>
  <si>
    <t>Adjusted EBITDA</t>
  </si>
  <si>
    <t>Non GAAP NI</t>
  </si>
  <si>
    <t>GAAP NI</t>
  </si>
  <si>
    <t>Change in Cash Summary = Change in Cash Model</t>
  </si>
  <si>
    <t>Update Date</t>
  </si>
  <si>
    <t>Updated By (Initials)</t>
  </si>
  <si>
    <t>Update Type</t>
  </si>
  <si>
    <t>Special Comments</t>
  </si>
  <si>
    <t>Link to Press Release / News Item</t>
  </si>
  <si>
    <t>CW</t>
  </si>
  <si>
    <t>Earnings Press Release</t>
  </si>
  <si>
    <t>AlD</t>
  </si>
  <si>
    <t>Q2-2016</t>
  </si>
  <si>
    <t>KT CW</t>
  </si>
  <si>
    <t>Q3-2018</t>
  </si>
  <si>
    <t>AH</t>
  </si>
  <si>
    <t>XF</t>
  </si>
  <si>
    <t>WC Forecast</t>
  </si>
  <si>
    <t>JiF</t>
  </si>
  <si>
    <t>Q2-2018</t>
  </si>
  <si>
    <t>Q1-2018</t>
  </si>
  <si>
    <t>AN &amp; EL</t>
  </si>
  <si>
    <t>FY2017</t>
  </si>
  <si>
    <t>AN &amp; JD</t>
  </si>
  <si>
    <t>Q3-2017</t>
  </si>
  <si>
    <t>YL &amp; HZ</t>
  </si>
  <si>
    <t>Q2-2017</t>
  </si>
  <si>
    <t>AG &amp; HZ</t>
  </si>
  <si>
    <t>Q1-2017</t>
  </si>
  <si>
    <t>TS &amp; SD</t>
  </si>
  <si>
    <t>FY2016</t>
  </si>
  <si>
    <t>RK</t>
  </si>
  <si>
    <t>Model Improvement</t>
  </si>
  <si>
    <t>Summary page added</t>
  </si>
  <si>
    <t>JeS</t>
  </si>
  <si>
    <t>Q3-2016</t>
  </si>
  <si>
    <t>New Build</t>
  </si>
  <si>
    <r>
      <rPr>
        <b/>
        <sz val="7"/>
        <color rgb="FF000000"/>
        <rFont val="Calibri"/>
        <family val="2"/>
        <scheme val="minor"/>
      </rPr>
      <t>DISCLAIMER</t>
    </r>
    <r>
      <rPr>
        <sz val="7"/>
        <color rgb="FF000000"/>
        <rFont val="Calibri"/>
        <family val="2"/>
        <scheme val="minor"/>
      </rPr>
      <t xml:space="preserve">
Access to and use of this model, including the data contained herein (this "Model") is subject to Canalyst Financial Modeling Corporation's ("Company") Terms of Use that you accepted prior to accessing this Model, the applicable Service Agreement between the Company and you (or a corporate entity that has authorized you to access and use this Model on its behalf in accordance with the terms of such Service Agreement) or other similar agreement between you and the Company. BY CONTINUING TO ACCESS OR USE THIS MODEL, YOU EXPRESSLY AGREE TO THE TERMS AND CONDITIONS OF SUCH AGREEMENTS.
</t>
    </r>
    <r>
      <rPr>
        <b/>
        <sz val="7"/>
        <color rgb="FF000000"/>
        <rFont val="Calibri"/>
        <family val="2"/>
        <scheme val="minor"/>
      </rPr>
      <t>The Company and certain of its licensors have exclusive proprietary rights in this Model. This Model is being provided for internal use only. Unless prior written consent by the Company and its licensors has been provided to you, you may not distribute or otherwise furnish this Model to any third party, nor use or permit anyone to use this Model for any unlawful or unauthorized purpose. IF YOU HAVE UNLAWFULLY OBTAINED, OR ARE NOT AUTHORIZED TO USE THIS MODEL, YOU ARE OBLIGATED TO PROMPTLY: (I) RETURN THIS MODEL (AND ANY DERIVATIVE WORKS ARISING FROM OR RELATING THERETO) TO THE AUTHORIZED USER OF THIS MODEL; (II) PROVIDE NOTICE TO THE COMPANY AT LEGAL@CANALYST.COM OF SUCH UNLAWFUL OR UNAUTHORIZED ACCESS AND USE; AND, (III) CERTIFY THAT YOU HAVE DESTROYED THIS MODEL (AND ANY DERIVATIVE WORKS ARISING FROM OR RELATING THERETO) AND ANY COPIES FROM YOUR SYSTEMS SO AS TO ENSURE THEY ARE INCAPABLE OF RETRIEVAL.</t>
    </r>
    <r>
      <rPr>
        <sz val="7"/>
        <color rgb="FF000000"/>
        <rFont val="Calibri"/>
        <family val="2"/>
        <scheme val="minor"/>
      </rPr>
      <t xml:space="preserve">
A portion of the data contained in this Model may be powered by third party contributors and their respective licensors, or derived from data provided by such contributors, including (but not limited to): (i) </t>
    </r>
    <r>
      <rPr>
        <b/>
        <sz val="7"/>
        <color rgb="FF000000"/>
        <rFont val="Calibri"/>
        <family val="2"/>
        <scheme val="minor"/>
      </rPr>
      <t>QuoteMedia Inc.</t>
    </r>
    <r>
      <rPr>
        <sz val="7"/>
        <color rgb="FF000000"/>
        <rFont val="Calibri"/>
        <family val="2"/>
        <scheme val="minor"/>
      </rPr>
      <t xml:space="preserve">: A portion of the market data is powered by Quotemedia.com. All rights reserved. Data delayed 15 minutes unless otherwise indicated; (ii) </t>
    </r>
    <r>
      <rPr>
        <b/>
        <sz val="7"/>
        <color rgb="FF000000"/>
        <rFont val="Calibri"/>
        <family val="2"/>
        <scheme val="minor"/>
      </rPr>
      <t>S&amp;P Global Market Intelligence LLC</t>
    </r>
    <r>
      <rPr>
        <sz val="7"/>
        <color rgb="FF000000"/>
        <rFont val="Calibri"/>
        <family val="2"/>
        <scheme val="minor"/>
      </rPr>
      <t xml:space="preserve">: Copyright (c) 2020 S&amp;P Global Market Intelligence LLC (and its affiliates as applicable). All rights reserved. Reproduction of any information, opinions, views, data or material, including ratings ("Content") in any form is prohibited except with the prior written permission of the relevant party. Such party, its affiliates and suppliers ("Content Providers") do not guarantee the accuracy, adequacy, completeness, timeliness or availability of any Content and are not responsible for any errors or omissions (negligent or otherwise), regardless of the cause, or for the results obtained from the use of such Content. In no event shall Content Providers be liable for any damages, costs, expenses, legal fees, or losses (including lost income or lost profit and opportunity costs) in connection with any use of the Content. A reference to a particular investment or security, a rating or any observation concerning an investment that is part of the Content is not a recommendation to buy, sell or hold such investment or security, does not address the suitability of an investment or security and should not be relied on as investment advice. Credit ratings are statements of opinions and are not statements of fact; and, (iii) </t>
    </r>
    <r>
      <rPr>
        <b/>
        <sz val="7"/>
        <color rgb="FF000000"/>
        <rFont val="Calibri"/>
        <family val="2"/>
        <scheme val="minor"/>
      </rPr>
      <t>Refinitiv Canada Holdings Limited</t>
    </r>
    <r>
      <rPr>
        <sz val="7"/>
        <color rgb="FF000000"/>
        <rFont val="Calibri"/>
        <family val="2"/>
        <scheme val="minor"/>
      </rPr>
      <t xml:space="preserve">: A portion of the information may be provided by or derived from data provided by Refinitiv.
By accessing or using this Model (including any portion of the data contained herein) you expressly represent that such access or use does not constitute a violation of any applicable law or regulation to which you or the securities are subject.
This Model does not constitute investment advice by the Company or any of its licensors. Reference to a particular investment or security, credit rating or any observation concerning a security or investment in this Model is not a recommendation or solicitation to buy, sell or hold such investment or security or make any other investment decisions. For greater certainty, any forecasts or forward-looking information expressed herein are for illustrative purposes only and do not purport to express any view on what may transpire. Neither the Company nor any of its licensors have performed company-specific research on any projected information, as such, it is your responsibility to express your own views on projected results. This Model does not guarantee future performance and undue reliance should not be placed on such. You are solely responsible for evaluating the merits and risks of any investment based on your own business and financial expertise, the business and financial expertise of professional advisors with whom you have consulted, your financial situation and risk tolerance. Neither the Company, nor any of its licensors, undertake any liability with respect to your reliance on this Model.
This Model is a quantitative tool with no investment views. The Company and its respective directors, officers, employees, agents, contractors, and affiliates may hold long or short positions in the security to which this Model relates, based on their personal views, and may initiate or close out any positions in such security at any time without any notice.
</t>
    </r>
    <r>
      <rPr>
        <b/>
        <sz val="7"/>
        <color rgb="FF000000"/>
        <rFont val="Calibri"/>
        <family val="2"/>
        <scheme val="minor"/>
      </rPr>
      <t>THIS MODEL IS PROVIDED "AS IS" AND ON AN "AS AVAILABLE" BASIS ONLY, WITHOUT WARRANTIES OR CONDITIONS OF ANY KIND. NEITHER THE COMPANY NOR ANY OF ITS LICENSORS NOR THEIR RESPECTIVE AFFILIATES OR SUPPLIERS HAVE LIABILITY FOR THE ACCURACY, TIMELINESS OR COMPLETENESS OF THIS MODEL, OR FOR DELAYS, INTERRUPTIONS OR OMISSIONS HEREIN, NOR FOR ANY LOST PROFITS, INDIRECT, SPECIAL OR CONSEQUENTIAL DAMAGES.</t>
    </r>
    <r>
      <rPr>
        <sz val="7"/>
        <color rgb="FF000000"/>
        <rFont val="Calibri"/>
        <family val="2"/>
        <scheme val="minor"/>
      </rPr>
      <t xml:space="preserve"> Access to data in this Model that is sourced from third party contributors is subject to termination in the event that any agreement between the Company and such third party contributors terminates for any reason.
</t>
    </r>
    <r>
      <rPr>
        <b/>
        <sz val="7"/>
        <color rgb="FF000000"/>
        <rFont val="Calibri"/>
        <family val="2"/>
        <scheme val="minor"/>
      </rPr>
      <t>(c) 2015-2021 Canalyst. All rights reserved.</t>
    </r>
  </si>
  <si>
    <t>Is Historical Period</t>
  </si>
  <si>
    <t>Operating lease right of use assets</t>
  </si>
  <si>
    <t>Operating lease liabilities</t>
  </si>
  <si>
    <t>Adjustment for significant litigation-related charges</t>
  </si>
  <si>
    <t>z_8ZF0D70112_MO_OS_healthcareorganiclocalcurrencysalesgrowth</t>
  </si>
  <si>
    <t>z_8ZF0D70112_MO_OS_consumerorganiclocalcurrencysalesgrowth</t>
  </si>
  <si>
    <t>Business Review</t>
  </si>
  <si>
    <t>Annual (Earnings Report)</t>
  </si>
  <si>
    <t>Q1-2019</t>
  </si>
  <si>
    <t>Loss on deconsolidation of Venezuelan subsidiary</t>
  </si>
  <si>
    <t>Safety and Industrial operating Income, mm</t>
  </si>
  <si>
    <t>Transportation and Electronics operating Income, mm</t>
  </si>
  <si>
    <t>Health Care operating Income, mm</t>
  </si>
  <si>
    <t>Consumer operating Income, mm</t>
  </si>
  <si>
    <t>Safety and Industrial Revenue, mm</t>
  </si>
  <si>
    <t>Transportation and Electronics Revenue, mm</t>
  </si>
  <si>
    <t>Elimination of Dual Credit Revenue, mm</t>
  </si>
  <si>
    <t>Safety and Industrial Revenue Growth, %</t>
  </si>
  <si>
    <t>Transportation and Electronics Revenue Growth, %</t>
  </si>
  <si>
    <t>Safety and Industrial Organic Local-Currency Sales Growth, %</t>
  </si>
  <si>
    <t>Transportation and Electronics Organic Local-Currency Sales Growth, %</t>
  </si>
  <si>
    <t>Elimination of Dual Credit Revenue as % of total revenue, %</t>
  </si>
  <si>
    <t>Safety and Industrial operating Income margin, %</t>
  </si>
  <si>
    <t>Transportation and Electronics operating Income margin, %</t>
  </si>
  <si>
    <t>Health Care operating Income margin, %</t>
  </si>
  <si>
    <t>Consumer operating Income margin, %</t>
  </si>
  <si>
    <t>Q2-2019</t>
  </si>
  <si>
    <t>Most Recent Period:</t>
  </si>
  <si>
    <t>NOPAT</t>
  </si>
  <si>
    <t>After-tax ROA</t>
  </si>
  <si>
    <t>First Forecast Fiscal Year</t>
  </si>
  <si>
    <t>Q3-2019</t>
  </si>
  <si>
    <t>Q4-2019</t>
  </si>
  <si>
    <t>RH</t>
  </si>
  <si>
    <t>Initial (Press Release)</t>
  </si>
  <si>
    <t>PZ</t>
  </si>
  <si>
    <t>Segmented Results - Revenue and EBIT Breakdown (HISTORICAL)</t>
  </si>
  <si>
    <t>Safety and Industrial Acquisition Sales Growth, %</t>
  </si>
  <si>
    <t>Safety and Industrial Divestiture Sales Growth, %</t>
  </si>
  <si>
    <t>Safety and Industrial Translation Sales Growth, %</t>
  </si>
  <si>
    <t>US Safety and Industrial Revenue, mm</t>
  </si>
  <si>
    <t>AP Safety and Industrial Revenue, mm</t>
  </si>
  <si>
    <t>EMEA Safety and Industrial Revenue, mm</t>
  </si>
  <si>
    <t>LATAM and Canada Safety and Industrial Revenue, mm</t>
  </si>
  <si>
    <t>Other Safety and Industrial Revenue, mm</t>
  </si>
  <si>
    <t>Abrasives Safety and Industrial Revenue, mm</t>
  </si>
  <si>
    <t>Adhesives and Tapes Safety and Industrial Revenue, mm</t>
  </si>
  <si>
    <t>Automotive Aftermarket Safety and Industrial Revenue, mm</t>
  </si>
  <si>
    <t>Closure and Masking Systems Safety and Industrial Revenue, mm</t>
  </si>
  <si>
    <t>Communication Markets Safety and Industrial Revenue, mm</t>
  </si>
  <si>
    <t>Electrical Markets Safety and Industrial Revenue, mm</t>
  </si>
  <si>
    <t>Personal Safety Safety and Industrial Revenue, mm</t>
  </si>
  <si>
    <t>Roofing Granules Safety and Industrial Revenue, mm</t>
  </si>
  <si>
    <t>Transportation and Electronics Acquisition Sales Growth, %</t>
  </si>
  <si>
    <t>Transportation and Electronics Divestiture Sales Growth, %</t>
  </si>
  <si>
    <t>Transportation and Electronics Translation Sales Growth, %</t>
  </si>
  <si>
    <t>Health Care Acquisition Sales Growth, %</t>
  </si>
  <si>
    <t>Health Care Divestiture Sales Growth, %</t>
  </si>
  <si>
    <t>Health Care Translation Sales Growth, %</t>
  </si>
  <si>
    <t>Consumer Acquisition Sales Growth, %</t>
  </si>
  <si>
    <t>Consumer Divestiture Sales Growth, %</t>
  </si>
  <si>
    <t>Consumer Translation Sales Growth, %</t>
  </si>
  <si>
    <t>Safety and Industrial prior period Revenue, mm</t>
  </si>
  <si>
    <t>Safety and Industrial Organic Local-Currency Sales Growth, mm</t>
  </si>
  <si>
    <t>Safety and Industrial Acquisition Sales Growth, mm</t>
  </si>
  <si>
    <t>Safety and Industrial Divestiture Sales Growth, mm</t>
  </si>
  <si>
    <t>Safety and Industrial Translation Sales Growth, mm</t>
  </si>
  <si>
    <t>Safety and Industrial Rounding Sales Growth, mm</t>
  </si>
  <si>
    <t>Safety and Industrial Rounding Sales Growth, %</t>
  </si>
  <si>
    <t>US Safety and Industrial organic local-currency revenue growth, %</t>
  </si>
  <si>
    <t>AP Safety and Industrial organic local-currency revenue growth, %</t>
  </si>
  <si>
    <t>EMEA Safety and Industrial organic local-currency revenue growth, %</t>
  </si>
  <si>
    <t>LATAM and Canada Safety and Industrial organic local-currency revenue growth, %</t>
  </si>
  <si>
    <t>US Transportation and Electronics organic local-currency revenue growth, %</t>
  </si>
  <si>
    <t>AP Transportation and Electronics organic local-currency revenue growth, %</t>
  </si>
  <si>
    <t>EMEA Transportation and Electronics organic local-currency revenue growth, %</t>
  </si>
  <si>
    <t>LATAM and Canada Transportation and Electronics organic local-currency revenue growth, %</t>
  </si>
  <si>
    <t>Transportation and Electronics Rounding Sales Growth, %</t>
  </si>
  <si>
    <t>Transportation and Electronics prior period Revenue, mm</t>
  </si>
  <si>
    <t>Transportation and Electronics Organic Local-Currency Sales Growth, mm</t>
  </si>
  <si>
    <t>Transportation and Electronics Acquisition Sales Growth, mm</t>
  </si>
  <si>
    <t>Transportation and Electronics Divestiture Sales Growth, mm</t>
  </si>
  <si>
    <t>Transportation and Electronics Translation Sales Growth, mm</t>
  </si>
  <si>
    <t>Transportation and Electronics Rounding Sales Growth, mm</t>
  </si>
  <si>
    <t>US Transportation and Electronics Revenue, mm</t>
  </si>
  <si>
    <t>AP Transportation and Electronics Revenue, mm</t>
  </si>
  <si>
    <t>EMEA Transportation and Electronics Revenue, mm</t>
  </si>
  <si>
    <t>LATAM and Canada Transportation and Electronics Revenue, mm</t>
  </si>
  <si>
    <t>Other Transportation and Electronics Revenue, mm</t>
  </si>
  <si>
    <t>Automotive and Aerospace Transportation and Electronics Revenue, mm</t>
  </si>
  <si>
    <t>Commercial Solutions Transportation and Electronics Revenue, mm</t>
  </si>
  <si>
    <t>Electronics Transportation and Electronics Revenue, mm</t>
  </si>
  <si>
    <t>Transportation Safety Transportation and Electronics Revenue, mm</t>
  </si>
  <si>
    <t>US Health Care organic local-currency revenue growth, %</t>
  </si>
  <si>
    <t>AP Health Care organic local-currency revenue growth, %</t>
  </si>
  <si>
    <t>EMEA Health Care organic local-currency revenue growth, %</t>
  </si>
  <si>
    <t>LATAM and Canada Health Care organic local-currency revenue growth, %</t>
  </si>
  <si>
    <t>Health Care Rounding Sales Growth, %</t>
  </si>
  <si>
    <t>Health Care prior period Revenue, mm</t>
  </si>
  <si>
    <t>Health Care Organic Local-Currency Sales Growth, mm</t>
  </si>
  <si>
    <t>Health Care Acquisition Sales Growth, mm</t>
  </si>
  <si>
    <t>Health Care Divestiture Sales Growth, mm</t>
  </si>
  <si>
    <t>Health Care Translation Sales Growth, mm</t>
  </si>
  <si>
    <t>Health Care Rounding Sales Growth, mm</t>
  </si>
  <si>
    <t>US Health Care Revenue, mm</t>
  </si>
  <si>
    <t>AP Health Care Revenue, mm</t>
  </si>
  <si>
    <t>EMEA Health Care Revenue, mm</t>
  </si>
  <si>
    <t>LATAM and Canada Health Care Revenue, mm</t>
  </si>
  <si>
    <t>Other Health Care Revenue, mm</t>
  </si>
  <si>
    <t>US Consumer organic local-currency revenue growth, %</t>
  </si>
  <si>
    <t>AP Consumer organic local-currency revenue growth, %</t>
  </si>
  <si>
    <t>EMEA Consumer organic local-currency revenue growth, %</t>
  </si>
  <si>
    <t>LATAM and Canada Consumer organic local-currency revenue growth, %</t>
  </si>
  <si>
    <t>Consumer Rounding Sales Growth, %</t>
  </si>
  <si>
    <t>Consumer prior period Revenue, mm</t>
  </si>
  <si>
    <t>Consumer Organic Local-Currency Sales Growth, mm</t>
  </si>
  <si>
    <t>Consumer Acquisition Sales Growth, mm</t>
  </si>
  <si>
    <t>Consumer Divestiture Sales Growth, mm</t>
  </si>
  <si>
    <t>Consumer Translation Sales Growth, mm</t>
  </si>
  <si>
    <t>Consumer Rounding Sales Growth, mm</t>
  </si>
  <si>
    <t>US Consumer Revenue, mm</t>
  </si>
  <si>
    <t>AP Consumer Revenue, mm</t>
  </si>
  <si>
    <t>EMEA Consumer Revenue, mm</t>
  </si>
  <si>
    <t>LATAM and Canada Consumer Revenue, mm</t>
  </si>
  <si>
    <t>Other Consumer Revenue, mm</t>
  </si>
  <si>
    <t>Advanced Materials Transportation and Electronics Revenue, mm</t>
  </si>
  <si>
    <t>Drug Delivery Health Care Revenue, mm</t>
  </si>
  <si>
    <t>Food Safety Health Care Revenue, mm</t>
  </si>
  <si>
    <t>Health Information Systems Health Care Revenue, mm</t>
  </si>
  <si>
    <t>Medical Solutions Health Care Revenue, mm</t>
  </si>
  <si>
    <t>Oral Care Health Care Revenue, mm</t>
  </si>
  <si>
    <t>Separation and Purification Sciences Health Care Revenue, mm</t>
  </si>
  <si>
    <t>Consumer Health Care Consumer Revenue, mm</t>
  </si>
  <si>
    <t>Home Care Consumer Revenue, mm</t>
  </si>
  <si>
    <t>Home Improvement Consumer Revenue, mm</t>
  </si>
  <si>
    <t>Stationery and Office Consumer Revenue, mm</t>
  </si>
  <si>
    <t>US Corporate and Unallocated Revenue, mm</t>
  </si>
  <si>
    <t>AP Corporate and Unallocated Revenue, mm</t>
  </si>
  <si>
    <t>EMEA Corporate and Unallocated Revenue, mm</t>
  </si>
  <si>
    <t>LATAM and Canada Corporate and Unallocated Revenue, mm</t>
  </si>
  <si>
    <t>Other Corporate and Unallocated Revenue, mm</t>
  </si>
  <si>
    <t>US Eliminations of Dual Credit Revenue, mm</t>
  </si>
  <si>
    <t>AP Eliminations of Dual Credit Revenue, mm</t>
  </si>
  <si>
    <t>EMEA Eliminations of Dual Credit Revenue, mm</t>
  </si>
  <si>
    <t>LATAM and Canada Eliminations of Dual Credit Revenue, mm</t>
  </si>
  <si>
    <t>Other Eliminations of Dual Credit Revenue, mm</t>
  </si>
  <si>
    <t>Eliminations of Dual Credit Revenue, mm</t>
  </si>
  <si>
    <t>US Revenue, mm</t>
  </si>
  <si>
    <t>AP Revenue, mm</t>
  </si>
  <si>
    <t>EMEA Revenue, mm</t>
  </si>
  <si>
    <t>LATAM and Canada Revenue, mm</t>
  </si>
  <si>
    <t>US Volume Sales Growth, %</t>
  </si>
  <si>
    <t>US Price Sales Growth, %</t>
  </si>
  <si>
    <t>US Organic Local-Currency Sales Growth, %</t>
  </si>
  <si>
    <t>US Acquisition Sales Growth, %</t>
  </si>
  <si>
    <t>US Divestiture Sales Growth, %</t>
  </si>
  <si>
    <t>US Translation Sales Growth, %</t>
  </si>
  <si>
    <t>US Rounding Sales Growth, %</t>
  </si>
  <si>
    <t>US Revenue Growth, %</t>
  </si>
  <si>
    <t>AP Volume Sales Growth, %</t>
  </si>
  <si>
    <t>AP Price Sales Growth, %</t>
  </si>
  <si>
    <t>AP Organic Local-Currency Sales Growth, %</t>
  </si>
  <si>
    <t>AP Acquisition Sales Growth, %</t>
  </si>
  <si>
    <t>AP Divestiture Sales Growth, %</t>
  </si>
  <si>
    <t>AP Translation Sales Growth, %</t>
  </si>
  <si>
    <t>AP Rounding Sales Growth, %</t>
  </si>
  <si>
    <t>AP Revenue Growth, %</t>
  </si>
  <si>
    <t>EMEA Volume Sales Growth, %</t>
  </si>
  <si>
    <t>EMEA Price Sales Growth, %</t>
  </si>
  <si>
    <t>EMEA Organic Local-Currency Sales Growth, %</t>
  </si>
  <si>
    <t>EMEA Acquisition Sales Growth, %</t>
  </si>
  <si>
    <t>EMEA Divestiture Sales Growth, %</t>
  </si>
  <si>
    <t>EMEA Translation Sales Growth, %</t>
  </si>
  <si>
    <t>EMEA Rounding Sales Growth, %</t>
  </si>
  <si>
    <t>EMEA Revenue Growth, %</t>
  </si>
  <si>
    <t>US Employees, # of employees</t>
  </si>
  <si>
    <t>AP Employees, # of employees</t>
  </si>
  <si>
    <t>EMEA Employees, # of employees</t>
  </si>
  <si>
    <t>LATAM and Canada Employees, # of employees</t>
  </si>
  <si>
    <t>Total Employees, # of employees</t>
  </si>
  <si>
    <t>US Capital Spending, mm</t>
  </si>
  <si>
    <t>AP Capital Spending, mm</t>
  </si>
  <si>
    <t>EMEA Capital Spending, mm</t>
  </si>
  <si>
    <t>LATAM and Canada Capital Spending, mm</t>
  </si>
  <si>
    <t>Total Capital Spending, mm</t>
  </si>
  <si>
    <t>US PP&amp;E, mm</t>
  </si>
  <si>
    <t>AP PP&amp;E, mm</t>
  </si>
  <si>
    <t>EMEA PP&amp;E, mm</t>
  </si>
  <si>
    <t>LATAM and Canada PP&amp;E, mm</t>
  </si>
  <si>
    <t>Total PP&amp;E, mm</t>
  </si>
  <si>
    <t>Operating Lease Liabilities</t>
  </si>
  <si>
    <t>SBC in COGS</t>
  </si>
  <si>
    <t>SBC in SG&amp;A</t>
  </si>
  <si>
    <t>SBC in R&amp;D</t>
  </si>
  <si>
    <t>Total SBC</t>
  </si>
  <si>
    <t>Amortization expense</t>
  </si>
  <si>
    <t>Total prior period Revenue, mm</t>
  </si>
  <si>
    <t>Corporate and Unallocated and Elimination of dual Credit Organic Local-Currency Sales Growth, mm</t>
  </si>
  <si>
    <t>Corporate and Unallocated and Elimination of dual Credit Translation Sales Growth, mm</t>
  </si>
  <si>
    <t>Japan Organic Local-Currency Sales Growth, %</t>
  </si>
  <si>
    <t>Canada Organic Local-Currency Sales Growth, %</t>
  </si>
  <si>
    <t>Mexico Organic Local-Currency Sales Growth, %</t>
  </si>
  <si>
    <t>Brazil Organic Local-Currency Sales Growth, %</t>
  </si>
  <si>
    <t>Euro FX, %</t>
  </si>
  <si>
    <t>RMB FX, %</t>
  </si>
  <si>
    <t>Yen FX, %</t>
  </si>
  <si>
    <t>Real FX, %</t>
  </si>
  <si>
    <t>China/Hong Kong Organic Local-Currency Sales Growth, %</t>
  </si>
  <si>
    <t>West Europe Organic Local-Currency Sales Growth, %</t>
  </si>
  <si>
    <t>Segmented Results - Geographic Information (PR, 10-Q/K, IP)</t>
  </si>
  <si>
    <t>Segmented Results - Eliminations of Dual Credit (10-Q/K)</t>
  </si>
  <si>
    <t>Segmented Results - Corporate and Unallocated (10-Q/K)</t>
  </si>
  <si>
    <t>Safety and Industrial Revenue growth, %</t>
  </si>
  <si>
    <t>Transportation and Electronics Revenue growth, %</t>
  </si>
  <si>
    <t>Health Care Revenue growth, %</t>
  </si>
  <si>
    <t>Consumer Revenue growth, %</t>
  </si>
  <si>
    <t>LATAM and Canada Volume Sales Growth, %</t>
  </si>
  <si>
    <t>LATAM and Canada Price Sales Growth, %</t>
  </si>
  <si>
    <t>LATAM and Canada Organic Local-Currency Sales Growth, %</t>
  </si>
  <si>
    <t>LATAM and Canada Acquisition Sales Growth, %</t>
  </si>
  <si>
    <t>LATAM and Canada Divestiture Sales Growth, %</t>
  </si>
  <si>
    <t>LATAM and Canada Translation Sales Growth, %</t>
  </si>
  <si>
    <t>LATAM and Canada Rounding Sales Growth, %</t>
  </si>
  <si>
    <t>LATAM and Canada Revenue Growth, %</t>
  </si>
  <si>
    <t>z_8ZF0D70112_MO_GA_TotalAcquisitionSalesGrowth</t>
  </si>
  <si>
    <t>z_8ZF0D70112_MO_GA_TotalTranslationSalesGrowth</t>
  </si>
  <si>
    <t>z_8ZF0D70112_MO_GA_SafetyandIndustrialOrganicLocalCurrencySalesGrowth</t>
  </si>
  <si>
    <t>z_8ZF0D70112_MO_OS_TransportationandElectronicsOrganicLocalCurrencySalesGrowth</t>
  </si>
  <si>
    <t>z_8ZF0D70112_MO_OS_HealthCareOrganicLocalCurrencySalesGrowth_2</t>
  </si>
  <si>
    <t>z_8ZF0D70112_MO_OS_ConsumerOrganicLocalCurrencySalesGrowth_2</t>
  </si>
  <si>
    <t>z_8ZF0D70112_MO_OS_industrialorganiclocalcurrencysalesgrowth</t>
  </si>
  <si>
    <t>z_8ZF0D70112_MO_OS_safetyandgraphicsorganiclocalcurrencysalesgrowth</t>
  </si>
  <si>
    <t>z_8ZF0D70112_MO_OS_electronicsandenergyorganiclocalcurrencysalesgrowth</t>
  </si>
  <si>
    <t>z_8ZF0D70112_MO_OS_USOrganicLocalCurrencySalesGrowth</t>
  </si>
  <si>
    <t>z_8ZF0D70112_MO_OS_APOrganicLocalCurrencySalesGrowth</t>
  </si>
  <si>
    <t>z_8ZF0D70112_MO_OS_EMEAOrganicLocalCurrencySalesGrowth</t>
  </si>
  <si>
    <t>z_8ZF0D70112_MO_OS_LATAMandCanadaOrganicLocalCurrencySalesGrowth</t>
  </si>
  <si>
    <t>MO_RIS_RD</t>
  </si>
  <si>
    <t>Loss on Venezuela deconsolidation</t>
  </si>
  <si>
    <t>Segmented EBIT = EBIT</t>
  </si>
  <si>
    <t>EBIT = EBIT on RIS</t>
  </si>
  <si>
    <t>Operating margin impact of Significant litigation-related charges, %</t>
  </si>
  <si>
    <t>Operating margin impact of 2018 divestiture of Communication Markets Division, net of related restructuring actions, %</t>
  </si>
  <si>
    <t>Operating margin impact of Organic volume/productivity and other, %</t>
  </si>
  <si>
    <t>Operating margin impact of Second quarter 2019 restructuring actions, %</t>
  </si>
  <si>
    <t>Operating margin impact of Acquisitions/divestitures, %</t>
  </si>
  <si>
    <t>Operating margin impact of Selling price and raw material impact, %</t>
  </si>
  <si>
    <t>Operating margin impact of Legal-related charges, %</t>
  </si>
  <si>
    <t>Operating margin impact of 2017 divestiture of identity management business, %</t>
  </si>
  <si>
    <t>Operating margin impact of Pension/defined contribution retirement benefits, %</t>
  </si>
  <si>
    <t>Operating loss/(income) from divested businesses, %</t>
  </si>
  <si>
    <t>Operating margin impact of Incremental strategic investments, %</t>
  </si>
  <si>
    <t>Operating margin impact of 2015 restructuring charges, %</t>
  </si>
  <si>
    <t>Operating margin impact of Productivity from restructuring, %</t>
  </si>
  <si>
    <t>Operating margin impact of Communication Markets Division stranded costs and prior year lost income, %</t>
  </si>
  <si>
    <t>Operating margin impact of MN NRD resolution, %</t>
  </si>
  <si>
    <t>EPS Same period last year, $</t>
  </si>
  <si>
    <t>EPS impact of Significant litigation-related charges, $</t>
  </si>
  <si>
    <t>EPS impact of TCJA measurement period adjustment, $</t>
  </si>
  <si>
    <t>EPS impact of 2017 divestiture of identity management business, $</t>
  </si>
  <si>
    <t>EPS impact of 2018 divestiture of Communication Markets Division, net of related restructuring actions, $</t>
  </si>
  <si>
    <t>EPS impact of Organic growth/productivity and other, $</t>
  </si>
  <si>
    <t>EPS impact of 2015 restructuring charges, $</t>
  </si>
  <si>
    <t>EPS impact of Second quarter 2019 restructuring actions, $</t>
  </si>
  <si>
    <t>EPS impact of Acquisitions/divestitures, $</t>
  </si>
  <si>
    <t>EPS impact of Operating loss/(income) from divested businesses, $</t>
  </si>
  <si>
    <t>EPS impact of Incremental strategic investments, $</t>
  </si>
  <si>
    <t>EPS impact of Communication Markets Division stranded costs and prior year lost income, $</t>
  </si>
  <si>
    <t>EPS impact of Legal-related charges, $</t>
  </si>
  <si>
    <t>EPS impact of Legal - respirator mask actuarial reserve, $</t>
  </si>
  <si>
    <t>EPS impact of Other expense, $</t>
  </si>
  <si>
    <t>EPS impact of Income tax rate, $</t>
  </si>
  <si>
    <t>EPS impact of Shares of common stock outstanding, $</t>
  </si>
  <si>
    <t>EPS impact of MN NRD resolution, $</t>
  </si>
  <si>
    <t>EPS impact of Loss on deconsolidation of Venezuelan subsidiary, $</t>
  </si>
  <si>
    <t>EPS Current period, $</t>
  </si>
  <si>
    <t>EPS prior period impact of Significant litigation-related charges, $</t>
  </si>
  <si>
    <t>EPS prior period impact of TCJA measurement period adjustment, $</t>
  </si>
  <si>
    <t>Operating margin prior period impact of Significant litigation-related charges, %</t>
  </si>
  <si>
    <t>Historic pre Q2-2019 Industrial Organic Local-Currency Sales Growth, %</t>
  </si>
  <si>
    <t>Historic pre Q2-2019 Safety and Graphics Organic Local-Currency Sales Growth, %</t>
  </si>
  <si>
    <t>Historic pre Q2-2019 Health Care Organic Local-Currency Sales Growth, %</t>
  </si>
  <si>
    <t>Historic pre Q2-2019 Electronics and Energy Organic Local-Currency Sales Growth, %</t>
  </si>
  <si>
    <t>Historic pre Q2-2019 Consumer Organic Local-Currency Sales Growth, %</t>
  </si>
  <si>
    <t>Historic pre Q2-2019 Industrial Revenue, mm</t>
  </si>
  <si>
    <t>Historic pre Q2-2019 Safety and Graphics Revenue, mm</t>
  </si>
  <si>
    <t>Historic pre Q2-2019 Health Care Revenue, mm</t>
  </si>
  <si>
    <t>Historic pre Q2-2019 Electronics and Energy Revenue, mm</t>
  </si>
  <si>
    <t>Historic pre Q2-2019 Consumer Revenue, mm</t>
  </si>
  <si>
    <t>Historic pre Q2-2019 Corporate and Unallocated Revenue, mm</t>
  </si>
  <si>
    <t>Historic pre Q2-2019 Elimination of Dual Credit revenue, mm</t>
  </si>
  <si>
    <t>Historic pre Q2-2019 Total Revenue, mm</t>
  </si>
  <si>
    <t>Historic pre Q2-2019 Industrial Operating Income, mm</t>
  </si>
  <si>
    <t>Historic pre Q2-2019 Safety and Graphics Operating Income, mm</t>
  </si>
  <si>
    <t>Historic pre Q2-2019 Health Care Operating Income, mm</t>
  </si>
  <si>
    <t>Historic pre Q2-2019 Electronics and Energy Operating Income, mm</t>
  </si>
  <si>
    <t>Historic pre Q2-2019 Consumer Operating Income, mm</t>
  </si>
  <si>
    <t>Historic pre Q2-2019 Corporate and Unallocated Operating Income, mm</t>
  </si>
  <si>
    <t>Historic pre Q2-2019 Elimination of Dual Credit operating income, mm</t>
  </si>
  <si>
    <t>Historic pre Q2-2019 Total Operating Income, mm</t>
  </si>
  <si>
    <t>Historic pre Q1-2017 Industrial Organic Local-Currency Sales Growth, %</t>
  </si>
  <si>
    <t>Historic pre Q1-2017 Safety and Graphics Organic Local-Currency Sales Growth, %</t>
  </si>
  <si>
    <t>Historic pre Q1-2017 Health Care Organic Local-Currency Sales Growth, %</t>
  </si>
  <si>
    <t>Historic pre Q1-2017 Electronics and Energy Organic Local-Currency Sales Growth, %</t>
  </si>
  <si>
    <t>Historic pre Q1-2017 Consumer Organic Local-Currency Sales Growth, %</t>
  </si>
  <si>
    <t>Historic pre Q1-2017 Industrial Revenue, mm</t>
  </si>
  <si>
    <t>Historic pre Q1-2017 Safety and Graphics Revenue, mm</t>
  </si>
  <si>
    <t>Historic pre Q1-2017 Health Care Revenue, mm</t>
  </si>
  <si>
    <t>Historic pre Q1-2017 Electronics and Energy Revenue, mm</t>
  </si>
  <si>
    <t>Historic pre Q1-2017 Consumer Revenue, mm</t>
  </si>
  <si>
    <t>Historic pre Q1-2017 Corporate Unallocated Revenue, mm</t>
  </si>
  <si>
    <t>Historic pre Q1-2017 Elimination for Dual Credit, mm</t>
  </si>
  <si>
    <t>Historic pre Q1-2017 Safety, Security and Protection Services Revenue, mm</t>
  </si>
  <si>
    <t>Historic pre Q1-2017 Display and Graphics Revenue, mm</t>
  </si>
  <si>
    <t>Historic pre Q1-2017 Electro and Communications Revenue, mm</t>
  </si>
  <si>
    <t>Historic pre Q1-2017 Total Revenue, mm</t>
  </si>
  <si>
    <t>Other Countries Consumer Revenue, mm</t>
  </si>
  <si>
    <t>Other Countries Health Care Revenue, mm</t>
  </si>
  <si>
    <t>Other Countries Transportation and Electronics Revenue, mm</t>
  </si>
  <si>
    <t>Other Countries Safety and Industrial Revenue, mm</t>
  </si>
  <si>
    <t>R&amp;D (adj. for SBC)</t>
  </si>
  <si>
    <t>COGS (adj. for D&amp;A and SBC)</t>
  </si>
  <si>
    <t>COGS Margin (Excluding D&amp;A and SBC), %</t>
  </si>
  <si>
    <t>Gross Margin (Excluding D&amp;A and SBC), %</t>
  </si>
  <si>
    <t>R&amp;D Margin (adj. for SBC), %</t>
  </si>
  <si>
    <t>MO_CFS_Buyback</t>
  </si>
  <si>
    <t>Most Recent Period</t>
  </si>
  <si>
    <t>Quarterly (Earnings Report)</t>
  </si>
  <si>
    <t>FY2020</t>
  </si>
  <si>
    <t>Americas Organic Local-Currency Sales Growth, %</t>
  </si>
  <si>
    <t>Operating margin impact of Organizational realignment, %</t>
  </si>
  <si>
    <t>EPS impact of Organizational realignment, $</t>
  </si>
  <si>
    <t>YiL</t>
  </si>
  <si>
    <t>Gross Profit</t>
  </si>
  <si>
    <t>Interest Expense</t>
  </si>
  <si>
    <t>Effective Interest Rate on Debt</t>
  </si>
  <si>
    <t>Interest Income</t>
  </si>
  <si>
    <t>Effective Interest Rate on Cash</t>
  </si>
  <si>
    <t>Net Interest Expense (Income)</t>
  </si>
  <si>
    <t>Effective Net Interest Rate on Debt</t>
  </si>
  <si>
    <t>EBITDA / Net Interest Expense</t>
  </si>
  <si>
    <t>ST Debt</t>
  </si>
  <si>
    <t>LT Debt</t>
  </si>
  <si>
    <t>Net Debt Issuance (Repayment)</t>
  </si>
  <si>
    <t>Cash is Positive</t>
  </si>
  <si>
    <t>Debt is Positive</t>
  </si>
  <si>
    <t>Net Share Issuance (Buybacks)</t>
  </si>
  <si>
    <t>Estimated Share Price for Issuance/Buybacks, USD</t>
  </si>
  <si>
    <t>FCF, Post Div, Debt, Buyback, A/D</t>
  </si>
  <si>
    <t>Key Outputs</t>
  </si>
  <si>
    <t>Q1-2020</t>
  </si>
  <si>
    <t>(Gain)/loss on sale of businesses</t>
  </si>
  <si>
    <t>SUSPENDED</t>
  </si>
  <si>
    <t>ALL OTHER GUIDANCE</t>
  </si>
  <si>
    <t>Americas Safety and Industrial organic local-currency revenue growth, %</t>
  </si>
  <si>
    <t>Americas Safety and Industrial Revenue, mm</t>
  </si>
  <si>
    <t>Americas Transportation and Electronics Revenue, mm</t>
  </si>
  <si>
    <t>Americas Health Care Revenue, mm</t>
  </si>
  <si>
    <t>Americas Consumer Revenue, mm</t>
  </si>
  <si>
    <t>Americas Corporate and Unallocated Revenue, mm</t>
  </si>
  <si>
    <t>Americas Transportation and Electronics organic local-currency revenue growth, %</t>
  </si>
  <si>
    <t>Americas Health Care organic local-currency revenue growth, %</t>
  </si>
  <si>
    <t>Americas Consumer organic local-currency revenue growth, %</t>
  </si>
  <si>
    <t>Americas Eliminations of Dual Credit Revenue, mm</t>
  </si>
  <si>
    <t>Americas Revenue, mm</t>
  </si>
  <si>
    <t>Americas Volume Sales Growth, %</t>
  </si>
  <si>
    <t>Americas Price Sales Growth, %</t>
  </si>
  <si>
    <t>Americas Acquisition Sales Growth, %</t>
  </si>
  <si>
    <t>Americas Divestiture Sales Growth, %</t>
  </si>
  <si>
    <t>Americas Translation Sales Growth, %</t>
  </si>
  <si>
    <t>Americas Rounding Sales Growth, %</t>
  </si>
  <si>
    <t>Americas Revenue Growth, %</t>
  </si>
  <si>
    <t>U.S. Organic Local-Currency Sales Growth, %</t>
  </si>
  <si>
    <t>Operating margin prior period impact of (gain)/loss on sale of businesses, %</t>
  </si>
  <si>
    <t>EPS prior period impact of (gain)/loss on sale of businesses, $</t>
  </si>
  <si>
    <t>Amortization of intangibles</t>
  </si>
  <si>
    <t>D&amp;A Forecasting</t>
  </si>
  <si>
    <t>PP&amp;E EoP, mm</t>
  </si>
  <si>
    <t>PP&amp;E BoP, mm</t>
  </si>
  <si>
    <t>Depreciation of fixed assets, mm</t>
  </si>
  <si>
    <t>Depreciation as percentage of PP&amp;E BoP, %</t>
  </si>
  <si>
    <t>Capex of PP&amp;E, mm</t>
  </si>
  <si>
    <t>Other net additions to PP&amp;E, mm</t>
  </si>
  <si>
    <t>Intangibles EoP, mm</t>
  </si>
  <si>
    <t>Intangibles BoP, mm</t>
  </si>
  <si>
    <t>Amortization of intangibles, mm</t>
  </si>
  <si>
    <t>Amortization as percentage of Intangibles BoP, %</t>
  </si>
  <si>
    <t>Capex of intangibles, mm</t>
  </si>
  <si>
    <t>Other net additions to intangibles, mm</t>
  </si>
  <si>
    <t>Implied life of fixed assets, yr</t>
  </si>
  <si>
    <t>Implied life of intangibles, yr</t>
  </si>
  <si>
    <t>Total D&amp;A, mm</t>
  </si>
  <si>
    <t>Total Capex, mm</t>
  </si>
  <si>
    <t>Percentage of capex allocated to intangible assets, %</t>
  </si>
  <si>
    <t>Q2-2020</t>
  </si>
  <si>
    <t>SJ</t>
  </si>
  <si>
    <t>Divestiture related restructuring</t>
  </si>
  <si>
    <t>Operating margin impact of Divestiture-related restructuring actions, %</t>
  </si>
  <si>
    <t>Operating margin impact of Gain/loss on sale of business, %</t>
  </si>
  <si>
    <t>EPS prior period impact of Loss on deconsolidation of Venezuelan subsidiary, $</t>
  </si>
  <si>
    <t>EPS impact of Divestiture-related restructuring actions, $</t>
  </si>
  <si>
    <t>EPS impact of (gain)/loss on sale of businesses, $</t>
  </si>
  <si>
    <t>Canalyst</t>
  </si>
  <si>
    <t>Q3-2020</t>
  </si>
  <si>
    <t>Income (loss) from unconsolidated subsidiaries, net of taxes</t>
  </si>
  <si>
    <t>Discontinued Operations / Unconsolidated subsidiaries</t>
  </si>
  <si>
    <t>Corporate and Unallocated Operating Income, mm</t>
  </si>
  <si>
    <t>Elimination of Dual Credit Operating Income, mm</t>
  </si>
  <si>
    <t>Elimination of Dual Credit Operating Income margin, %</t>
  </si>
  <si>
    <t>MO_MA_EBIT_Adj</t>
  </si>
  <si>
    <t>Q4-2020</t>
  </si>
  <si>
    <t>Transportation and Electronics Operating Income Margin, %</t>
  </si>
  <si>
    <t>Health Care Operating Income Margin, %</t>
  </si>
  <si>
    <t>Consumer Operating Income Margin, %</t>
  </si>
  <si>
    <t>Safety and Industrial Operating Income Margin, %</t>
  </si>
  <si>
    <t>Transportation and Electronics operating income, mm</t>
  </si>
  <si>
    <t>Health Care operating income, mm</t>
  </si>
  <si>
    <t>Consumer operating income, mm</t>
  </si>
  <si>
    <t>Corporate and Unallocated operating income, mm</t>
  </si>
  <si>
    <t>Elimination of Dual Credit operating income, mm</t>
  </si>
  <si>
    <t>Total operating income, mm</t>
  </si>
  <si>
    <t>Safety and Industrial operating income, mm</t>
  </si>
  <si>
    <t>Total segment Y/Y operating income margin change, bps</t>
  </si>
  <si>
    <t>Total segment operating income incremental margin, %</t>
  </si>
  <si>
    <t>Total segment operating income margin, %</t>
  </si>
  <si>
    <t>Total Y/Y operating income margin change, bps</t>
  </si>
  <si>
    <t>Total operating income incremental margin, %</t>
  </si>
  <si>
    <t>Total operating income margin, %</t>
  </si>
  <si>
    <t>Operating margin impact of restatement and rounding (calculated), %</t>
  </si>
  <si>
    <t>Operating Income Margin Same period last year, %</t>
  </si>
  <si>
    <t>Operating Income Margin Current period, %</t>
  </si>
  <si>
    <t>EPS impact of strategic investments, $</t>
  </si>
  <si>
    <t>Operating margin organic growth, %</t>
  </si>
  <si>
    <t>Transportation and Electronics operating income growth, %</t>
  </si>
  <si>
    <t>Health Care operating income growth, %</t>
  </si>
  <si>
    <t>Consumer operating income growth, %</t>
  </si>
  <si>
    <t>Total operating income growth, %</t>
  </si>
  <si>
    <t>Safety and Industrial operating income growth, %</t>
  </si>
  <si>
    <t>Total segment operating income, mm</t>
  </si>
  <si>
    <t>Safety and Industrial operating income mix, %</t>
  </si>
  <si>
    <t>Transportation and Electronics operating income mix, %</t>
  </si>
  <si>
    <t>Health Care operating income mix, %</t>
  </si>
  <si>
    <t>Consumer operating income mix, %</t>
  </si>
  <si>
    <t>Segmented Results - Revenue Breakdown (10-Q/K, PR)</t>
  </si>
  <si>
    <t>Segmented Results - Operating Income Breakdown (10-Q/K, PR)</t>
  </si>
  <si>
    <t>Key Metrics - Operating Margin and EPS Walks (10-Q/K, IP)</t>
  </si>
  <si>
    <t>Safety and Industrial Y/Y operating income margin change, bps</t>
  </si>
  <si>
    <t>Safety and Industrial operating income incremental margin, %</t>
  </si>
  <si>
    <t>Transportation and Electronics Y/Y operating income margin change, bps</t>
  </si>
  <si>
    <t>Transportation and Electronics operating income incremental margin, %</t>
  </si>
  <si>
    <t>Health Care Y/Y operating income margin change, bps</t>
  </si>
  <si>
    <t>Health Care operating income incremental margin, %</t>
  </si>
  <si>
    <t>Consumer Y/Y operating income margin change, bps</t>
  </si>
  <si>
    <t>Consumer operating income incremental margin, %</t>
  </si>
  <si>
    <t>Corporate and Unallocated Operating Income as % of total revenue, %</t>
  </si>
  <si>
    <t>Key Metrics - Employee Count (10-K)</t>
  </si>
  <si>
    <t>LATAM and Canada revenue mix, %</t>
  </si>
  <si>
    <t>Americas revenue mix, %</t>
  </si>
  <si>
    <t>AP revenue mix, %</t>
  </si>
  <si>
    <t>EMEA revenue mix, %</t>
  </si>
  <si>
    <t>Other Unallocated revenue mix, %</t>
  </si>
  <si>
    <t>Total revenue mix, %</t>
  </si>
  <si>
    <t>US revenue mix, %</t>
  </si>
  <si>
    <t>LATAM and Canada Safety and Industrial revenue mix, %</t>
  </si>
  <si>
    <t>Americas Safety and Industrial revenue mix, %</t>
  </si>
  <si>
    <t>AP Safety and Industrial revenue mix, %</t>
  </si>
  <si>
    <t>EMEA Safety and Industrial revenue mix, %</t>
  </si>
  <si>
    <t>Other Countries Safety and Industrial revenue mix, %</t>
  </si>
  <si>
    <t>Safety and Industrial revenue mix, %</t>
  </si>
  <si>
    <t>US Safety and Industrial revenue mix, %</t>
  </si>
  <si>
    <t>LATAM and Canada Transportation and Electronics revenue mix, %</t>
  </si>
  <si>
    <t>Americas Transportation and Electronics revenue mix, %</t>
  </si>
  <si>
    <t>AP Transportation and Electronics revenue mix, %</t>
  </si>
  <si>
    <t>EMEA Transportation and Electronics revenue mix, %</t>
  </si>
  <si>
    <t>Other Countries Transportation and Electronics revenue mix, %</t>
  </si>
  <si>
    <t>Transportation and Electronics revenue mix, %</t>
  </si>
  <si>
    <t>US Transportation and Electronics revenue mix, %</t>
  </si>
  <si>
    <t>LATAM and Canada Health Care revenue mix, %</t>
  </si>
  <si>
    <t>Americas Health Care revenue mix, %</t>
  </si>
  <si>
    <t>AP Health Care revenue mix, %</t>
  </si>
  <si>
    <t>EMEA Health Care revenue mix, %</t>
  </si>
  <si>
    <t>Other Countries Health Care revenue mix, %</t>
  </si>
  <si>
    <t>Health Care revenue mix, %</t>
  </si>
  <si>
    <t>US Health Care revenue mix, %</t>
  </si>
  <si>
    <t>LATAM and Canada Consumer revenue mix, %</t>
  </si>
  <si>
    <t>Americas Consumer revenue mix, %</t>
  </si>
  <si>
    <t>AP Consumer revenue mix, %</t>
  </si>
  <si>
    <t>EMEA Consumer revenue mix, %</t>
  </si>
  <si>
    <t>Other Countries Consumer revenue mix, %</t>
  </si>
  <si>
    <t>Consumer revenue mix, %</t>
  </si>
  <si>
    <t>US Consumer revenue mix, %</t>
  </si>
  <si>
    <t>US Safety and Industrial revenue growth, %</t>
  </si>
  <si>
    <t>Total revenue mix (excl. eliminations and corporate), %</t>
  </si>
  <si>
    <t>Total operating income mix (excl. eliminations and corporate), %</t>
  </si>
  <si>
    <t>Segmented Results - Transportation and Electronics (PR, 10-Q/K, IP)</t>
  </si>
  <si>
    <t>LATAM and Canada Safety and Industrial acq/div/fx/other impact, %</t>
  </si>
  <si>
    <t>LATAM and Canada Safety and Industrial revenue growth, %</t>
  </si>
  <si>
    <t>Americas Safety and Industrial revenue growth, %</t>
  </si>
  <si>
    <t>AP Safety and Industrial acq/div/fx/other impact, %</t>
  </si>
  <si>
    <t>US Safety and Industrial acq/div/fx/other impact, %</t>
  </si>
  <si>
    <t>Americas Safety and Industrial acq/div/fx/other impact, %</t>
  </si>
  <si>
    <t>EMEA Safety and Industrial acq/div/fx/other impact, %</t>
  </si>
  <si>
    <t>EMEA Safety and Industrial revenue growth, %</t>
  </si>
  <si>
    <t>Total Safety and Industrial revenue growth, %</t>
  </si>
  <si>
    <t>US Transportation and Electronics acq/div/fx/other impact, %</t>
  </si>
  <si>
    <t>US Transportation and Electronics revenue growth, %</t>
  </si>
  <si>
    <t>LATAM and Canada Transportation and Electronics acq/div/fx/other impact, %</t>
  </si>
  <si>
    <t>LATAM and Canada Transportation and Electronics revenue growth, %</t>
  </si>
  <si>
    <t>Americas Transportation and Electronics acq/div/fx/other impact, %</t>
  </si>
  <si>
    <t>Americas Transportation and Electronics revenue growth, %</t>
  </si>
  <si>
    <t>AP Transportation and Electronics acq/div/fx/other impact, %</t>
  </si>
  <si>
    <t>EMEA Transportation and Electronics acq/div/fx/other impact, %</t>
  </si>
  <si>
    <t>EMEA Transportation and Electronics revenue growth, %</t>
  </si>
  <si>
    <t>Total Transportation and Electronics revenue growth, %</t>
  </si>
  <si>
    <t>US Health Care acq/div/fx/other impact, %</t>
  </si>
  <si>
    <t>US Health Care revenue growth, %</t>
  </si>
  <si>
    <t>LATAM and Canada Health Care acq/div/fx/other impact, %</t>
  </si>
  <si>
    <t>LATAM and Canada Health Care revenue growth, %</t>
  </si>
  <si>
    <t>Americas Health Care acq/div/fx/other impact, %</t>
  </si>
  <si>
    <t>Americas Health Care revenue growth, %</t>
  </si>
  <si>
    <t>AP Health Care acq/div/fx/other impact, %</t>
  </si>
  <si>
    <t>EMEA Health Care acq/div/fx/other impact, %</t>
  </si>
  <si>
    <t>EMEA Health Care revenue growth, %</t>
  </si>
  <si>
    <t>Total Health Care revenue growth, %</t>
  </si>
  <si>
    <t>US Consumer acq/div/fx/other impact, %</t>
  </si>
  <si>
    <t>US Consumer revenue growth, %</t>
  </si>
  <si>
    <t>LATAM and Canada Consumer acq/div/fx/other impact, %</t>
  </si>
  <si>
    <t>LATAM and Canada Consumer revenue growth, %</t>
  </si>
  <si>
    <t>Americas Consumer acq/div/fx/other impact, %</t>
  </si>
  <si>
    <t>Americas Consumer revenue growth, %</t>
  </si>
  <si>
    <t>AP Consumer acq/div/fx/other impact, %</t>
  </si>
  <si>
    <t>EMEA Consumer acq/div/fx/other impact, %</t>
  </si>
  <si>
    <t>EMEA Consumer revenue growth, %</t>
  </si>
  <si>
    <t>Total Consumer revenue growth, %</t>
  </si>
  <si>
    <t>AP Consumer revenue growth, %</t>
  </si>
  <si>
    <t>AP Health Care revenue growth, %</t>
  </si>
  <si>
    <t>AP Transportation and Electronics revenue growth, %</t>
  </si>
  <si>
    <t>AP Safety and Industrial revenue growth, %</t>
  </si>
  <si>
    <t>Segmented Results - Safety and Industrial (PR, 10-Q/K, IP)</t>
  </si>
  <si>
    <t>Segmented Results - Health Care (PR, 10-Q/K, IP)</t>
  </si>
  <si>
    <t>Segmented Results - Consumer (PR, 10-Q/K, IP)</t>
  </si>
  <si>
    <t>Net CFO, mm</t>
  </si>
  <si>
    <t>Capex, mm</t>
  </si>
  <si>
    <t>Net income attributable to 3M, mm</t>
  </si>
  <si>
    <t>FCF conversion, %</t>
  </si>
  <si>
    <t>Key Metrics - FCF Conversion (PR)</t>
  </si>
  <si>
    <t>Free cash flow, mm</t>
  </si>
  <si>
    <t>Adjusted net income attributable to 3M, mm</t>
  </si>
  <si>
    <t>Adjusted FCF conversion, %</t>
  </si>
  <si>
    <t>Significant litigation-related after-tax payment impacts, mm</t>
  </si>
  <si>
    <t>Divestiture-related restructuring after-tax payment impacts, mm</t>
  </si>
  <si>
    <t>Adjusted free cash flow, mm</t>
  </si>
  <si>
    <t>TCJA transition tax payments, mm</t>
  </si>
  <si>
    <t>Key Metrics - ROIC (PR)</t>
  </si>
  <si>
    <t>Net income including NCI, mm</t>
  </si>
  <si>
    <t>Interest expense (after-tax), mm</t>
  </si>
  <si>
    <t>Adjusted net income (return), mm</t>
  </si>
  <si>
    <t>Average total shareholders' equity (incl. NCI), mm</t>
  </si>
  <si>
    <t>Average total debt, mm</t>
  </si>
  <si>
    <t>Average invested capital, mm</t>
  </si>
  <si>
    <t>ROIC, %</t>
  </si>
  <si>
    <t>Net income (loss) attributable to NCI</t>
  </si>
  <si>
    <t>Loss (income) from unconsolidated subsidiaries, net of taxes</t>
  </si>
  <si>
    <t>Interest (income) expense</t>
  </si>
  <si>
    <t>Pension &amp; OPEB non-service cost (benefit)</t>
  </si>
  <si>
    <t>Depreciation and amortization expense</t>
  </si>
  <si>
    <t>Significant litigation-related charges/benefits</t>
  </si>
  <si>
    <t>Loss (gain) on sale of businesses</t>
  </si>
  <si>
    <t>Divestiture-related restructuring actions</t>
  </si>
  <si>
    <t>Safety and Industrial D&amp;A, mm</t>
  </si>
  <si>
    <t>Safety and Industrial adjusted EBITDA, mm</t>
  </si>
  <si>
    <t>Safety and Industrial adjusted EBITDA margin, %</t>
  </si>
  <si>
    <t>Transportation and Electronics adjusted EBITDA, mm</t>
  </si>
  <si>
    <t>Transportation and Electronics adjusted EBITDA margin, %</t>
  </si>
  <si>
    <t>Transportation and Electronics D&amp;A, mm</t>
  </si>
  <si>
    <t>Health Care adjusted EBITDA, mm</t>
  </si>
  <si>
    <t>Health Care adjusted EBITDA margin, %</t>
  </si>
  <si>
    <t>Health Care D&amp;A, mm</t>
  </si>
  <si>
    <t>Consumer adjusted EBITDA, mm</t>
  </si>
  <si>
    <t>Consumer adjusted EBITDA margin, %</t>
  </si>
  <si>
    <t>Consumer D&amp;A, mm</t>
  </si>
  <si>
    <t>Segmented Results - Adjusted EBITDA Breakdown (PR)</t>
  </si>
  <si>
    <t>Elimination of Dual Credit adjusted EBITDA, mm</t>
  </si>
  <si>
    <t>Corporate and Unallocated adjusted EBITDA, mm</t>
  </si>
  <si>
    <t>Total adjusted EBITDA, mm</t>
  </si>
  <si>
    <t>Safety and Industrial adjusted EBITDA mix, %</t>
  </si>
  <si>
    <t>Transportation and Electronics adjusted EBITDA mix, %</t>
  </si>
  <si>
    <t>Health Care adjusted EBITDA mix, %</t>
  </si>
  <si>
    <t>Consumer adjusted EBITDA mix, %</t>
  </si>
  <si>
    <t>Total adjusted EBITDA mix (excl. eliminations and corporate), %</t>
  </si>
  <si>
    <t>Total adjustments, mm</t>
  </si>
  <si>
    <t>Total adjusted operating income, mm</t>
  </si>
  <si>
    <t>Total Y/Y adjusted operating income margin change, bps</t>
  </si>
  <si>
    <t>Total adjusted operating income incremental margin, %</t>
  </si>
  <si>
    <t>Total adjusted operating income margin, %</t>
  </si>
  <si>
    <t>Safety and Industrial adjusted operating Income, mm</t>
  </si>
  <si>
    <t>Safety and Industrial adjusted operating Income margin, %</t>
  </si>
  <si>
    <t>Transportation and Electronics adjusted operating Income, mm</t>
  </si>
  <si>
    <t>Transportation and Electronics adjusted operating Income margin, %</t>
  </si>
  <si>
    <t>Health Care adjusted operating Income, mm</t>
  </si>
  <si>
    <t>Health Care adjusted operating Income margin, %</t>
  </si>
  <si>
    <t>Consumer adjusted operating Income, mm</t>
  </si>
  <si>
    <t>Consumer adjusted operating Income margin, %</t>
  </si>
  <si>
    <t>Corporate and unallocated adjusted operating income, mm</t>
  </si>
  <si>
    <t>Corporate and unallocated D&amp;A, mm</t>
  </si>
  <si>
    <t>Corporate and unallocated adjusted EBITDA, mm</t>
  </si>
  <si>
    <t>Safety and Industrial adjustments, mm</t>
  </si>
  <si>
    <t>Transportation and Electronics adjustments, mm</t>
  </si>
  <si>
    <t>Health Care adjustments, mm</t>
  </si>
  <si>
    <t>Consumer adjustments, mm</t>
  </si>
  <si>
    <t>Corporate and unallocated adjustments, mm</t>
  </si>
  <si>
    <t>Safety and Industrial assets, mm</t>
  </si>
  <si>
    <t>Safety and Industrial average assets, mm</t>
  </si>
  <si>
    <t>Safety and Industrial LTM operating income, mm</t>
  </si>
  <si>
    <t>Safety and Industrial operating ROA, %</t>
  </si>
  <si>
    <t>Transportation and Electronics assets, mm</t>
  </si>
  <si>
    <t>Transportation and Electronics average assets, mm</t>
  </si>
  <si>
    <t>Transportation and Electronics LTM operating income, mm</t>
  </si>
  <si>
    <t>Transportation and Electronics operating ROA, %</t>
  </si>
  <si>
    <t>Health Care assets, mm</t>
  </si>
  <si>
    <t>Health Care average assets, mm</t>
  </si>
  <si>
    <t>Health Care LTM operating income, mm</t>
  </si>
  <si>
    <t>Health Care operating ROA, %</t>
  </si>
  <si>
    <t>Consumer assets, mm</t>
  </si>
  <si>
    <t>Consumer average assets, mm</t>
  </si>
  <si>
    <t>Consumer LTM operating income, mm</t>
  </si>
  <si>
    <t>Consumer operating ROA, %</t>
  </si>
  <si>
    <t>Corporate and unallocated assets, mm</t>
  </si>
  <si>
    <t>Operating margin acquisition/divestiture impact, %</t>
  </si>
  <si>
    <t>Operating margin restructuring impact, %</t>
  </si>
  <si>
    <t>Operating margin FX impact, %</t>
  </si>
  <si>
    <t>Operating margin other impact, %</t>
  </si>
  <si>
    <t>Adjusted operating Income Margin Same period last year, excluding special items, %</t>
  </si>
  <si>
    <t>Adjusted operating Income Margin Current period, excluding significant litigation-related charges, %</t>
  </si>
  <si>
    <t>Adjusted EPS Same period last year, excluding special items, $</t>
  </si>
  <si>
    <t>Adjusted EPS Current period, excluding significant litigation-related charges and Venezuelan deconsolidation, $</t>
  </si>
  <si>
    <t>EPS acquisition/divestiture impact, $</t>
  </si>
  <si>
    <t>EPS FX impact, $</t>
  </si>
  <si>
    <t>EPS restructuring impact, $</t>
  </si>
  <si>
    <t>EPS other impact, $</t>
  </si>
  <si>
    <t>Adjusted operating income previous period, mm</t>
  </si>
  <si>
    <t>Total Volume impact on revenue, mm</t>
  </si>
  <si>
    <t>Total Price impact on revenue, mm</t>
  </si>
  <si>
    <t>Total Acquisition impact on revenue, mm</t>
  </si>
  <si>
    <t>Total Divestiture impact on revenue, mm</t>
  </si>
  <si>
    <t>Total Translation impact on revenue, mm</t>
  </si>
  <si>
    <t>Total Rounding impact on revenue, mm</t>
  </si>
  <si>
    <t>Total Price impact on revenue, %</t>
  </si>
  <si>
    <t>Total Acquisition impact on revenue, %</t>
  </si>
  <si>
    <t>Total Divestiture impact on revenue, %</t>
  </si>
  <si>
    <t>Total Translation impact on revenue, %</t>
  </si>
  <si>
    <t>Total Rounding impact on revenue, %</t>
  </si>
  <si>
    <t>Total Volume impact on revenue, %</t>
  </si>
  <si>
    <t>Total Organic local-currency revenue growth, %</t>
  </si>
  <si>
    <t>Total Organic local-currency revenue Growth, mm</t>
  </si>
  <si>
    <t>Volume/productivity/other impact, mm</t>
  </si>
  <si>
    <t>Price/raw material impact, mm</t>
  </si>
  <si>
    <t>Organic growth, mm</t>
  </si>
  <si>
    <t>Acquisition/divestiture impact, mm</t>
  </si>
  <si>
    <t>FX impact, mm</t>
  </si>
  <si>
    <t>Restructuring impact, mm</t>
  </si>
  <si>
    <t>Other impact, mm</t>
  </si>
  <si>
    <t>Adjusted operating income current period, mm</t>
  </si>
  <si>
    <t>Volume/productivity/other incremental margin, %</t>
  </si>
  <si>
    <t>Acquisition/divestiture incremental margin, %</t>
  </si>
  <si>
    <t>FX incremental margin, %</t>
  </si>
  <si>
    <t>Price/raw material incremental margin, %</t>
  </si>
  <si>
    <t>Key Metrics - Adjusted Operating Income Walk</t>
  </si>
  <si>
    <t>Price impact on adjusted operating income, %</t>
  </si>
  <si>
    <t>Organic local-currency revenue growth, %</t>
  </si>
  <si>
    <t>Acquisition/divestiture impact on adjusted operating income, %</t>
  </si>
  <si>
    <t>Adjusted operating income growth, %</t>
  </si>
  <si>
    <t>Volume impact on adjusted operating income, %</t>
  </si>
  <si>
    <t>FX impact on adjusted operating income, %</t>
  </si>
  <si>
    <t>Restructuring impact on adjusted operating income, %</t>
  </si>
  <si>
    <t>Other impact on adjusted operating income, %</t>
  </si>
  <si>
    <t>Safety and Industrial goodwill, mm</t>
  </si>
  <si>
    <t>Transportation and Electronics goodwill, mm</t>
  </si>
  <si>
    <t>Health Care goodwill, mm</t>
  </si>
  <si>
    <t>Consumer goodwill, mm</t>
  </si>
  <si>
    <t>Organic growth incremental margin, %</t>
  </si>
  <si>
    <t>Safety and Industrial CAPEX, mm</t>
  </si>
  <si>
    <t>Transportation and Electronics CAPEX, mm</t>
  </si>
  <si>
    <t>Health Care CAPEX, mm</t>
  </si>
  <si>
    <t>Consumer CAPEX, mm</t>
  </si>
  <si>
    <t>Corporate and unallocated CAPEX, mm</t>
  </si>
  <si>
    <t>Refinitiv</t>
  </si>
  <si>
    <t>SJ &amp; PZ</t>
  </si>
  <si>
    <t>FY2021</t>
  </si>
  <si>
    <t>z_8ZF0D70112_MO_GA_TotalDivestitureSalesGrowth</t>
  </si>
  <si>
    <t>z_8ZF0D70112_MO_OS_FCFconversion</t>
  </si>
  <si>
    <t>z_8ZF0D70112_MO_GA_TotalRevenueGrowth</t>
  </si>
  <si>
    <t>Americas Capital Spending, mm</t>
  </si>
  <si>
    <t>Americas PP&amp;E, mm</t>
  </si>
  <si>
    <t>Americas Employees, # of employees</t>
  </si>
  <si>
    <t>Q1-2021</t>
  </si>
  <si>
    <t>Unrestated</t>
  </si>
  <si>
    <t xml:space="preserve">Updated with PR. Due to changes in the measure of segment operating performance and in accounting principles for determining net periodic pension and postretirement plan cost, 2021 results are not comparable to prior years.
2019 segmented results have been restated for the realignment of customer account activity which impacts the amount of dual credit business segments receive, and for the realignment of certain product lines between/within business segments.
Model uses segmented EBIT margins forecasted directly to EBIT on the revised income statement. Any inputs for cost items above EBIT are dummy inputs and exist for "display-only" purposes (do not affect output of the model).
</t>
  </si>
  <si>
    <t>ON</t>
  </si>
  <si>
    <t>Drivers Worksheet</t>
  </si>
  <si>
    <t>Simplified FCF Calculation</t>
  </si>
  <si>
    <t>Total Tax</t>
  </si>
  <si>
    <t>Net Change in WC</t>
  </si>
  <si>
    <t>FCF - Firm</t>
  </si>
  <si>
    <t>Consensus Estimates</t>
  </si>
  <si>
    <t>Qrly Periods - LTM</t>
  </si>
  <si>
    <t>Qrly Periods - NTM</t>
  </si>
  <si>
    <t>HY Periods - LTM</t>
  </si>
  <si>
    <t>HY Periods - NTM</t>
  </si>
  <si>
    <t>MRQ</t>
  </si>
  <si>
    <t>Current</t>
  </si>
  <si>
    <t>MRHY</t>
  </si>
  <si>
    <t>MRQ-1</t>
  </si>
  <si>
    <t>CQ+1</t>
  </si>
  <si>
    <t>MRHY-1</t>
  </si>
  <si>
    <t>CHY+1</t>
  </si>
  <si>
    <t>Historical</t>
  </si>
  <si>
    <t>Forecast</t>
  </si>
  <si>
    <t>MRQ-2</t>
  </si>
  <si>
    <t>CQ+2</t>
  </si>
  <si>
    <t>LTM</t>
  </si>
  <si>
    <t>NTM</t>
  </si>
  <si>
    <t>CAGR/Avg</t>
  </si>
  <si>
    <t>MRQ-3</t>
  </si>
  <si>
    <t>CQ+3</t>
  </si>
  <si>
    <t>Income Statement - Summary</t>
  </si>
  <si>
    <t>YoY Growth</t>
  </si>
  <si>
    <t>2 Yr Stack Growth</t>
  </si>
  <si>
    <t>3 Yr Stack Growth</t>
  </si>
  <si>
    <t>Margin</t>
  </si>
  <si>
    <t>Incremental Margin</t>
  </si>
  <si>
    <t>Tax Rate</t>
  </si>
  <si>
    <t xml:space="preserve"> </t>
  </si>
  <si>
    <t>Adjusted EPS</t>
  </si>
  <si>
    <t>Free Cash Flow</t>
  </si>
  <si>
    <t>Working Capital</t>
  </si>
  <si>
    <t>CFO, net</t>
  </si>
  <si>
    <t>FCF</t>
  </si>
  <si>
    <t>FCF / Share</t>
  </si>
  <si>
    <t>Share Buyback</t>
  </si>
  <si>
    <t>Net Change in Cash / (Debt)</t>
  </si>
  <si>
    <t>Depreciation</t>
  </si>
  <si>
    <t>Depr. As % of Capex</t>
  </si>
  <si>
    <t>Capex as % of Sales</t>
  </si>
  <si>
    <t>FCFE</t>
  </si>
  <si>
    <t>FCFF</t>
  </si>
  <si>
    <t>Stock Price</t>
  </si>
  <si>
    <t>Share Count</t>
  </si>
  <si>
    <t>Market Cap</t>
  </si>
  <si>
    <t>Operating Leases</t>
  </si>
  <si>
    <t>Enterprise Value</t>
  </si>
  <si>
    <t>NCI, Prefs, and Other</t>
  </si>
  <si>
    <t>Enterprise Value after NCI, Prefs, Other</t>
  </si>
  <si>
    <t>EV (incl. Op. Leases) / Sales</t>
  </si>
  <si>
    <t>P/E</t>
  </si>
  <si>
    <t>EV (incl. Op. Leases) / Adj. EBITDA</t>
  </si>
  <si>
    <t>P/Sales</t>
  </si>
  <si>
    <t>FCF Yield</t>
  </si>
  <si>
    <t>Market Cap/FCFE</t>
  </si>
  <si>
    <t>EV / Sales</t>
  </si>
  <si>
    <t>EV / Adj. EBITDA</t>
  </si>
  <si>
    <t>Leverage Ratios</t>
  </si>
  <si>
    <t>Adj. EBITDA-to-Interest Coverage Ratio</t>
  </si>
  <si>
    <t>Net Debt / Adj. EBITDA</t>
  </si>
  <si>
    <t>Debt / Adj. EBITDA</t>
  </si>
  <si>
    <t>FCF / Debt</t>
  </si>
  <si>
    <t>Debt/Equity Ratio</t>
  </si>
  <si>
    <t>Debt/Asset Ratio</t>
  </si>
  <si>
    <t>Debt/Capital Ratio</t>
  </si>
  <si>
    <t>Net Debt/Capital Ratio</t>
  </si>
  <si>
    <t>Cash Conversion Cycle</t>
  </si>
  <si>
    <t>Days in Period</t>
  </si>
  <si>
    <t>Accounts Receivable</t>
  </si>
  <si>
    <t>Average Accounts Receivable</t>
  </si>
  <si>
    <t>Revenue</t>
  </si>
  <si>
    <t>Days of Sales Outstanding</t>
  </si>
  <si>
    <t>Inventory</t>
  </si>
  <si>
    <t>Average Inventory</t>
  </si>
  <si>
    <t>Days of Inventory Outstanding</t>
  </si>
  <si>
    <t>Days of Payables Outstanding</t>
  </si>
  <si>
    <t>ROA</t>
  </si>
  <si>
    <t>Book Value of Debt</t>
  </si>
  <si>
    <t>Book Value of Op. Leases</t>
  </si>
  <si>
    <t>Average Book Value of Debt and Op. Leases</t>
  </si>
  <si>
    <t>Adj. Net Income</t>
  </si>
  <si>
    <t>Adj. EBITDA Margin, %</t>
  </si>
  <si>
    <t>Tax Rate, %</t>
  </si>
  <si>
    <t>Adj. Net Income Margin, %</t>
  </si>
  <si>
    <t>Days in the Period</t>
  </si>
  <si>
    <t>Avg. DSO</t>
  </si>
  <si>
    <t>Avg. DIO</t>
  </si>
  <si>
    <t>Avg. DPO</t>
  </si>
  <si>
    <t>Avg. Cash Conversion Cycle</t>
  </si>
  <si>
    <t>Capital Intensity Ratios</t>
  </si>
  <si>
    <t>CAPEX</t>
  </si>
  <si>
    <t>WC</t>
  </si>
  <si>
    <t>PP&amp;E</t>
  </si>
  <si>
    <t>Working Capital Turnover</t>
  </si>
  <si>
    <t>Fixed Asset Turnover</t>
  </si>
  <si>
    <t>Total Asset Turnover</t>
  </si>
  <si>
    <t>Capex / D&amp;A</t>
  </si>
  <si>
    <t>Capex / PP&amp;E</t>
  </si>
  <si>
    <t>Capex / Revenue</t>
  </si>
  <si>
    <t>D&amp;A / PP&amp;E</t>
  </si>
  <si>
    <t>Liquidity Ratios</t>
  </si>
  <si>
    <t>Total Cash</t>
  </si>
  <si>
    <t>ST Op. Leases</t>
  </si>
  <si>
    <t>Current Ratio</t>
  </si>
  <si>
    <t>Quick Ratio</t>
  </si>
  <si>
    <t>Cash Ratio</t>
  </si>
  <si>
    <t>Solvency and Leverage Ratios</t>
  </si>
  <si>
    <t>Total Op. Leases</t>
  </si>
  <si>
    <t>Total Shareholders' Equity</t>
  </si>
  <si>
    <t>Total NCI</t>
  </si>
  <si>
    <t>LT Debt (incl. Op. Leases) / Assets</t>
  </si>
  <si>
    <t>=(LT Debt + LT Op. Leases) / Total Assets</t>
  </si>
  <si>
    <t>Total Debt (incl. Op. Leases) / Assets</t>
  </si>
  <si>
    <t>=(Debt + Op. Leases) / Total Assets</t>
  </si>
  <si>
    <t>LT Debt (incl. Op. Leases) / Capital</t>
  </si>
  <si>
    <t>=(LT Debt + LT Op. Leases) / Capital</t>
  </si>
  <si>
    <t>Total Debt (incl. Op. Leases) / Capital</t>
  </si>
  <si>
    <t>=(Debt + Op. Leases) / Total Capital</t>
  </si>
  <si>
    <t>LT Debt (incl. Op. Leases) / Equity</t>
  </si>
  <si>
    <t>=(LT Debt + LT Op. Leases) / Total Equity</t>
  </si>
  <si>
    <t>Total Debt (incl. Op. Leases) / Equity</t>
  </si>
  <si>
    <t>=(Debt + Op. Leases) / Total Equity</t>
  </si>
  <si>
    <t>LT Debt/Assets</t>
  </si>
  <si>
    <t>Total Debt/Assets</t>
  </si>
  <si>
    <t>LT Debt / Capital</t>
  </si>
  <si>
    <t>Total Debt / Capital</t>
  </si>
  <si>
    <t>LT Debt / Equity</t>
  </si>
  <si>
    <t>Total Debt / Equity</t>
  </si>
  <si>
    <t>Financial Leverage Ratio</t>
  </si>
  <si>
    <t>=Avg Total Assets / Avg. Total Equity</t>
  </si>
  <si>
    <t>Total Liabilities / Total Assets</t>
  </si>
  <si>
    <t>Coverage Ratios</t>
  </si>
  <si>
    <t>EBIT / Interest Expense</t>
  </si>
  <si>
    <t>EBITDA / Interest Expense</t>
  </si>
  <si>
    <t>(EBITDA-CAPEX) / Interest Expense</t>
  </si>
  <si>
    <t>Total Debt (incl. Op. Leases) / EBITDA</t>
  </si>
  <si>
    <t>Total Debt (incl. Op. Leases) / (EBITDA-CAPEX)</t>
  </si>
  <si>
    <t>Total Debt (incl. Op. Leases) / CFO</t>
  </si>
  <si>
    <t>Net Debt (incl. Op. Leases) / EBITDA</t>
  </si>
  <si>
    <t>Net Debt (incl. Op. Leases) / (EBITDA-CAPEX)</t>
  </si>
  <si>
    <t>Net Debt (incl. Op. Leases) / CFO</t>
  </si>
  <si>
    <t>Total Debt / EBITDA</t>
  </si>
  <si>
    <t>Total Debt / (EBITDA-CAPEX)</t>
  </si>
  <si>
    <t>Total Debt / CFO</t>
  </si>
  <si>
    <t>Net Debt / (EBITDA-CAPEX)</t>
  </si>
  <si>
    <t>Net Debt / CFO</t>
  </si>
  <si>
    <t>LTM NOPAT</t>
  </si>
  <si>
    <t>=LTM NOPAT / Total Capital</t>
  </si>
  <si>
    <t>DuPont Analysis</t>
  </si>
  <si>
    <t>NI/EBT</t>
  </si>
  <si>
    <t>EBT/EBIT</t>
  </si>
  <si>
    <t>EBIT Margin</t>
  </si>
  <si>
    <t>Asset Turnover</t>
  </si>
  <si>
    <t>Valuation Ratios</t>
  </si>
  <si>
    <t>Op. Leases</t>
  </si>
  <si>
    <t>EV</t>
  </si>
  <si>
    <t>Prefs and Other EV Components</t>
  </si>
  <si>
    <t>EV (incl. NCI, Prefs, and Other)</t>
  </si>
  <si>
    <t>EV (incl. Op. Leases) / EBITDA</t>
  </si>
  <si>
    <t>Debt (incl. Op Leases) / EV (incl. Op. Leases)</t>
  </si>
  <si>
    <t>Net Debt (incl. Op. Leases) / EV (incl. Op. Leases)</t>
  </si>
  <si>
    <t>EV/EBITDA</t>
  </si>
  <si>
    <t>EV/Sales</t>
  </si>
  <si>
    <t>Debt/EV</t>
  </si>
  <si>
    <t>Net Debt/EV</t>
  </si>
  <si>
    <t>P/B</t>
  </si>
  <si>
    <t>Adj. Shares Outstanding</t>
  </si>
  <si>
    <t>FCF per share</t>
  </si>
  <si>
    <t>FCF / Total Debt (incl. Op. Leases)</t>
  </si>
  <si>
    <t>FCF / Total Debt</t>
  </si>
  <si>
    <t>Dividends Paid</t>
  </si>
  <si>
    <t>Dividend Payout Ratio</t>
  </si>
  <si>
    <t>Retention Ratio</t>
  </si>
  <si>
    <t>* Avg are calculated using fiscal period 0 and fiscal period -1, so Q4 is calculated as Avg (Q4,Q3)</t>
  </si>
  <si>
    <t>** Capital and Equity in the Solvency Ratios section include SE and NCI</t>
  </si>
  <si>
    <t>BASE (From Model)</t>
  </si>
  <si>
    <t>BULL</t>
  </si>
  <si>
    <t>BEAR</t>
  </si>
  <si>
    <t>Total Revenue</t>
  </si>
  <si>
    <t>COGS</t>
  </si>
  <si>
    <t>R&amp;D</t>
  </si>
  <si>
    <t>S&amp;M</t>
  </si>
  <si>
    <t>Equity Value</t>
  </si>
  <si>
    <t>S/O</t>
  </si>
  <si>
    <t>Current Price</t>
  </si>
  <si>
    <t>Total Return</t>
  </si>
  <si>
    <t>Annualized Return</t>
  </si>
  <si>
    <t>Most Recent Quarter:</t>
  </si>
  <si>
    <t>Discounted Cash Flow Analysis</t>
  </si>
  <si>
    <t>Operating Cash Flow before WC (Levered)</t>
  </si>
  <si>
    <t>After Tax Interest Expense</t>
  </si>
  <si>
    <t>Operating Cash Flow before WC (Unlevered)</t>
  </si>
  <si>
    <t>Acquisition</t>
  </si>
  <si>
    <t>Free Cash Flow to Firm (FCFF)</t>
  </si>
  <si>
    <t>Present Value of FCFF</t>
  </si>
  <si>
    <t>FCFF Growth Rate</t>
  </si>
  <si>
    <t>Capex, as % of Net Revenue</t>
  </si>
  <si>
    <t>Change in WC, as % of Net Revenue</t>
  </si>
  <si>
    <t>FCFF Terminal Growth Rate</t>
  </si>
  <si>
    <t>Discount Rate</t>
  </si>
  <si>
    <t>Implied Terminal Multiple</t>
  </si>
  <si>
    <t>Present Value</t>
  </si>
  <si>
    <t>% of EV</t>
  </si>
  <si>
    <t>Sum of Present Value of Projected FCFF</t>
  </si>
  <si>
    <t>Present Value of Terminal Value</t>
  </si>
  <si>
    <t>Implied Enterprise Value, mm</t>
  </si>
  <si>
    <t>Less: Debt</t>
  </si>
  <si>
    <t>Less: Operating Leases</t>
  </si>
  <si>
    <t>Less: Preferred Equity</t>
  </si>
  <si>
    <t>Less: Unfunded Pension Liabilities</t>
  </si>
  <si>
    <t>Less: Noncontrolling Interest</t>
  </si>
  <si>
    <t>Plus: Cash &amp; Cash Equiv.</t>
  </si>
  <si>
    <t>Plus: Equity Investments</t>
  </si>
  <si>
    <t>Other Adjustments</t>
  </si>
  <si>
    <t>Implied Equity Value, mm</t>
  </si>
  <si>
    <t>Diluted Shares Outstanding</t>
  </si>
  <si>
    <t>Implied Share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</si>
</sst>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6">
    <numFmt numFmtId="44" formatCode="_(&quot;$&quot;* #,##0.00_);_(&quot;$&quot;* \(#,##0.00\);_(&quot;$&quot;* &quot;-&quot;??_);_(@_)"/>
    <numFmt numFmtId="43" formatCode="_(* #,##0.00_);_(* \(#,##0.00\);_(* &quot;-&quot;??_);_(@_)"/>
    <numFmt numFmtId="164" formatCode="_(* #,##0.0_);_(* \(#,##0.0\);_(* &quot;-&quot;??_);_(@_)"/>
    <numFmt numFmtId="165" formatCode="_(&quot;$&quot;* #,##0_);_(&quot;$&quot;* \(#,##0\);_(&quot;$&quot;* &quot;-&quot;??_);_(@_)"/>
    <numFmt numFmtId="166" formatCode="_(* #,##0_);_(* \(#,##0\);_(* &quot;-&quot;??_);_(@_)"/>
    <numFmt numFmtId="167" formatCode="_(* 0.0%_);_(* \-0.0%_);_(* &quot;-&quot;??_);_(@_)"/>
    <numFmt numFmtId="168" formatCode="_(* #,##0.0_);_(* \(#,##0.0\);_(* &quot;-&quot;??_);@"/>
    <numFmt numFmtId="169" formatCode="_(&quot;$&quot;* 0.00_);_(&quot;$&quot;* \(0.00\);_(&quot;$&quot;* &quot;-&quot;??_);_(@_)"/>
    <numFmt numFmtId="170" formatCode="_(* 0.0\ \x_);\ _(* &quot;n/a&quot;_);_(* &quot;-&quot;??_);_(@_)"/>
    <numFmt numFmtId="171" formatCode=";;;"/>
    <numFmt numFmtId="172" formatCode="_(&quot;$&quot;* 0.000_);_(&quot;$&quot;* \(0.000\);_(&quot;$&quot;* &quot;-&quot;??_);_(@_)"/>
    <numFmt numFmtId="173" formatCode="_(* #,##0.0_);_(* \(#,##0.0\);_(* &quot;-&quot;??_);_(&quot;Bloomberg &gt;&gt; &quot;@_)"/>
    <numFmt numFmtId="174" formatCode="_(* #,##0.0_);_(* \(#,##0.0\);_(* &quot;-&quot;??_);_(&quot;Capital IQ &gt;&gt; &quot;@_)"/>
    <numFmt numFmtId="175" formatCode="_(* #,##0.0_);_(* \(#,##0.0\);_(* &quot;-&quot;??_);_(&quot;FactSet &gt;&gt; &quot;@_)"/>
    <numFmt numFmtId="176" formatCode="_(* #,##0.0_);_(* \(#,##0.0\);_(* &quot;-&quot;??_);_(&quot;Ticker :   &quot;@_)"/>
    <numFmt numFmtId="177" formatCode="_(&quot;$&quot;* 0.00_);_(&quot;$&quot;* \(0.00\);_(&quot;$&quot;* &quot;-&quot;??_);_(@\ * \ &quot;Toggle  &gt;&gt;&gt;&quot;_)"/>
    <numFmt numFmtId="178" formatCode="_(* 0.0%_);_(* &quot;NMF&quot;_);_(* &quot;-&quot;??_);_(@_)"/>
    <numFmt numFmtId="179" formatCode="_(* 0.0%_);_(* &quot;n/a&quot;_);_(* &quot;-&quot;??_);_(@_)"/>
    <numFmt numFmtId="180" formatCode="_(* #,##0.0_);_(* \(#,##0.0\);_(* &quot;-&quot;??_);_(&quot;Model Sheet Currency :   &quot;@_)"/>
    <numFmt numFmtId="181" formatCode="_(* #,##0.0_);_(* \(#,##0.0\);_(* &quot;-&quot;??_);_(&quot;Canalyst Security Identification #: &quot;@_)"/>
    <numFmt numFmtId="182" formatCode="_(* #,##0.0_);_(* \(#,##0.0\);_(* &quot;-&quot;??_);_(&quot;Model Version #: &quot;@_)"/>
    <numFmt numFmtId="183" formatCode="_(* #,##0.0_);_(* \(#,##0.0\);_(* &quot; - &quot;??_);_(&quot;Last Price (&quot;@&quot;) &quot;_)"/>
    <numFmt numFmtId="184" formatCode="_(* #,##0.0_);_(* \(#,##0.0\);_(* &quot;-&quot;??_);_(&quot;Real-Time Stock Price :   &quot;@_)"/>
    <numFmt numFmtId="185" formatCode="_(&quot;$&quot;* 0.00_);_(&quot;$&quot;* \(0.00\);_(&quot;$&quot;* &quot; - &quot;??_);_(@_)"/>
    <numFmt numFmtId="186" formatCode="_(* #,##0.000_);_(* \(#,##0.000\);_(* &quot;-&quot;??_);_(@_)"/>
    <numFmt numFmtId="187" formatCode="&quot;Most Recent Period:&quot;"/>
    <numFmt numFmtId="188" formatCode="_(* #,##0&quot;bps&quot;_);_(* \(#,##0&quot;bps&quot;\);_(* &quot;   -&quot;?_);_(@_)"/>
    <numFmt numFmtId="189" formatCode="_(* #,##0.0_);_(* \(#,##0.0\);_(* &quot; -&quot;??_);_(&quot;Refinitiv &gt;&gt; &quot;@_)"/>
    <numFmt numFmtId="190" formatCode="yyyy\-mm\-dd"/>
    <numFmt numFmtId="191" formatCode="_(* 0%_);_(* \-0%_);_(* &quot;-&quot;??_);_(@_)"/>
    <numFmt numFmtId="192" formatCode="yyyy/mm/dd\ "/>
    <numFmt numFmtId="193" formatCode="&quot;$&quot;#,##0.00"/>
    <numFmt numFmtId="194" formatCode="mm/dd/yy;@"/>
    <numFmt numFmtId="195" formatCode="0.0%"/>
    <numFmt numFmtId="196" formatCode="#,##0.0\x_);\(#,##0.0\x\)"/>
    <numFmt numFmtId="198" formatCode="_(#,##0.0%_);_(\(#,##0.0%\)_);_(#,##0.0%_)"/>
    <numFmt numFmtId="199" formatCode="#,##0.0_ \x_);\(#,##0.0_ \x\);#,##0.0_ \x_);@_ _x_)"/>
    <numFmt numFmtId="200" formatCode="_(* 0.0\ \x_);\ _(\-0.0\x_);_(* &quot;-&quot;\x??_);_(@_)"/>
    <numFmt numFmtId="201" formatCode="0.0"/>
    <numFmt numFmtId="202" formatCode="0.0\ \x"/>
    <numFmt numFmtId="203" formatCode="&quot; DCF as of:   &quot;\ yyyy/mm/dd"/>
    <numFmt numFmtId="204" formatCode="_(* #,##0.0_);_(* \(#,##0.0\);_(* &quot;-&quot;??_);_(&quot;Ticker:   &quot;@_)"/>
    <numFmt numFmtId="205" formatCode="_-&quot;$&quot;* #,##0.00_-;\-&quot;$&quot;* #,##0.00_-;_-&quot;$&quot;* &quot;-&quot;??_-;_-@_-"/>
    <numFmt numFmtId="206" formatCode="_(* #,##0_);_(* \(#,##0\);_(* &quot;-&quot;??_);_(&quot;Remaining &quot;@_)"/>
    <numFmt numFmtId="207" formatCode="_(* 0.0%_);_(* \-0.0%_);_(* &quot;0.0%&quot;_);_(@_)"/>
    <numFmt numFmtId="208" formatCode="_(* 0.0%_);_(* \(0.0%\);_(* &quot;-&quot;??_);_(@_)"/>
  </numFmts>
  <fonts count="91" x14ac:knownFonts="1">
    <font>
      <sz val="11"/>
      <name val="Calibri"/>
      <family val="2"/>
    </font>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1"/>
      <name val="Calibri"/>
      <family val="2"/>
      <scheme val="minor"/>
    </font>
    <font>
      <b/>
      <sz val="11"/>
      <name val="Calibri"/>
      <family val="2"/>
    </font>
    <font>
      <b/>
      <sz val="11"/>
      <color theme="0"/>
      <name val="Calibri"/>
      <family val="2"/>
    </font>
    <font>
      <sz val="11"/>
      <name val="Calibri"/>
      <family val="2"/>
      <scheme val="minor"/>
    </font>
    <font>
      <sz val="11"/>
      <color rgb="FFFF0000"/>
      <name val="Calibri"/>
      <family val="2"/>
    </font>
    <font>
      <sz val="11"/>
      <color theme="0"/>
      <name val="Calibri"/>
      <family val="2"/>
      <scheme val="minor"/>
    </font>
    <font>
      <sz val="22"/>
      <color theme="1"/>
      <name val="Calibri"/>
      <family val="2"/>
      <scheme val="minor"/>
    </font>
    <font>
      <u/>
      <sz val="11"/>
      <color theme="10"/>
      <name val="Calibri"/>
      <family val="2"/>
    </font>
    <font>
      <sz val="14"/>
      <color theme="1"/>
      <name val="Calibri"/>
      <family val="2"/>
      <scheme val="minor"/>
    </font>
    <font>
      <b/>
      <sz val="11"/>
      <color rgb="FFFF0000"/>
      <name val="Calibri"/>
      <family val="2"/>
    </font>
    <font>
      <sz val="11"/>
      <color rgb="FF006100"/>
      <name val="Calibri"/>
      <family val="2"/>
      <scheme val="minor"/>
    </font>
    <font>
      <sz val="10"/>
      <color theme="1"/>
      <name val="Calibri"/>
      <family val="2"/>
      <scheme val="minor"/>
    </font>
    <font>
      <b/>
      <sz val="10"/>
      <color theme="1"/>
      <name val="Calibri"/>
      <family val="2"/>
      <scheme val="minor"/>
    </font>
    <font>
      <b/>
      <sz val="14"/>
      <color rgb="FFFF0000"/>
      <name val="Calibri"/>
      <family val="2"/>
      <scheme val="minor"/>
    </font>
    <font>
      <b/>
      <sz val="14"/>
      <color theme="1"/>
      <name val="Calibri"/>
      <family val="2"/>
      <scheme val="minor"/>
    </font>
    <font>
      <sz val="14"/>
      <name val="Calibri"/>
      <family val="2"/>
      <scheme val="minor"/>
    </font>
    <font>
      <i/>
      <sz val="11"/>
      <name val="Calibri"/>
      <family val="2"/>
    </font>
    <font>
      <u/>
      <sz val="22"/>
      <color theme="10"/>
      <name val="Calibri"/>
      <family val="2"/>
      <scheme val="minor"/>
    </font>
    <font>
      <sz val="11"/>
      <color rgb="FF000000"/>
      <name val="Calibri"/>
      <family val="2"/>
      <scheme val="minor"/>
    </font>
    <font>
      <b/>
      <sz val="11"/>
      <color rgb="FFFFFFFF"/>
      <name val="Calibri"/>
      <family val="2"/>
    </font>
    <font>
      <b/>
      <sz val="11"/>
      <color rgb="FF000000"/>
      <name val="Calibri"/>
      <family val="2"/>
    </font>
    <font>
      <b/>
      <sz val="11"/>
      <color rgb="FF000000"/>
      <name val="Calibri"/>
      <family val="2"/>
      <scheme val="minor"/>
    </font>
    <font>
      <sz val="11"/>
      <color rgb="FF000000"/>
      <name val="Calibri"/>
      <family val="2"/>
    </font>
    <font>
      <i/>
      <sz val="11"/>
      <color rgb="FF000000"/>
      <name val="Calibri"/>
      <family val="2"/>
    </font>
    <font>
      <sz val="10"/>
      <color theme="0"/>
      <name val="Calibri"/>
      <family val="2"/>
      <scheme val="minor"/>
    </font>
    <font>
      <i/>
      <sz val="11"/>
      <color rgb="FF000000"/>
      <name val="Calibri"/>
      <family val="2"/>
      <scheme val="minor"/>
    </font>
    <font>
      <b/>
      <sz val="11"/>
      <color rgb="FFFFFFFF"/>
      <name val="Calibri"/>
      <family val="2"/>
      <scheme val="minor"/>
    </font>
    <font>
      <sz val="11"/>
      <color rgb="FFFFFFFF"/>
      <name val="Calibri"/>
      <family val="2"/>
    </font>
    <font>
      <b/>
      <i/>
      <sz val="11"/>
      <color rgb="FF000000"/>
      <name val="Calibri"/>
      <family val="2"/>
    </font>
    <font>
      <b/>
      <i/>
      <sz val="11"/>
      <color rgb="FF000000"/>
      <name val="Calibri"/>
      <family val="2"/>
      <scheme val="minor"/>
    </font>
    <font>
      <sz val="11"/>
      <color theme="0" tint="-4.5686208685567796E-2"/>
      <name val="Calibri"/>
      <family val="2"/>
    </font>
    <font>
      <sz val="11"/>
      <color rgb="FFF2F2F2"/>
      <name val="Calibri"/>
      <family val="2"/>
    </font>
    <font>
      <u/>
      <sz val="22"/>
      <color rgb="FF000000"/>
      <name val="Calibri"/>
      <family val="2"/>
      <scheme val="minor"/>
    </font>
    <font>
      <u/>
      <sz val="11"/>
      <color rgb="FF0000FF"/>
      <name val="Calibri"/>
      <family val="2"/>
      <scheme val="minor"/>
    </font>
    <font>
      <sz val="11"/>
      <color rgb="FF0000FF"/>
      <name val="Calibri"/>
      <family val="2"/>
    </font>
    <font>
      <b/>
      <i/>
      <sz val="11"/>
      <name val="Calibri"/>
      <family val="2"/>
    </font>
    <font>
      <b/>
      <i/>
      <sz val="11"/>
      <color rgb="FFFF0000"/>
      <name val="Calibri"/>
      <family val="2"/>
    </font>
    <font>
      <u/>
      <sz val="14"/>
      <color rgb="FF0000FF"/>
      <name val="Calibri"/>
      <family val="2"/>
      <scheme val="minor"/>
    </font>
    <font>
      <b/>
      <sz val="9"/>
      <name val="Tahoma"/>
      <family val="2"/>
    </font>
    <font>
      <sz val="9"/>
      <name val="Tahoma"/>
      <family val="2"/>
    </font>
    <font>
      <i/>
      <sz val="11"/>
      <color rgb="FFFF0000"/>
      <name val="Calibri"/>
      <family val="2"/>
    </font>
    <font>
      <sz val="7"/>
      <color rgb="FF000000"/>
      <name val="Calibri"/>
      <family val="2"/>
      <scheme val="minor"/>
    </font>
    <font>
      <b/>
      <sz val="7"/>
      <color rgb="FF000000"/>
      <name val="Calibri"/>
      <family val="2"/>
      <scheme val="minor"/>
    </font>
    <font>
      <sz val="11"/>
      <name val="Calibri"/>
      <family val="2"/>
    </font>
    <font>
      <b/>
      <sz val="9"/>
      <name val="Tahoma"/>
      <family val="2"/>
      <charset val="1"/>
    </font>
    <font>
      <sz val="9"/>
      <name val="Tahoma"/>
      <family val="2"/>
      <charset val="1"/>
    </font>
    <font>
      <b/>
      <sz val="11"/>
      <color theme="0"/>
      <name val="Calibri"/>
      <family val="2"/>
      <scheme val="minor"/>
    </font>
    <font>
      <sz val="11"/>
      <color rgb="FFFF0000"/>
      <name val="Calibri"/>
      <family val="2"/>
      <scheme val="minor"/>
    </font>
    <font>
      <sz val="14"/>
      <color indexed="8"/>
      <name val="Calibri"/>
      <family val="2"/>
      <scheme val="minor"/>
    </font>
    <font>
      <sz val="10"/>
      <name val="Arial"/>
      <family val="2"/>
    </font>
    <font>
      <b/>
      <sz val="10"/>
      <name val="Tahoma"/>
      <family val="2"/>
    </font>
    <font>
      <sz val="10"/>
      <name val="Tahoma"/>
      <family val="2"/>
    </font>
    <font>
      <sz val="10"/>
      <name val="Times New Roman"/>
      <family val="1"/>
    </font>
    <font>
      <b/>
      <sz val="11"/>
      <color rgb="FF0000FF"/>
      <name val="Calibri"/>
      <family val="2"/>
      <scheme val="minor"/>
    </font>
    <font>
      <sz val="11"/>
      <color rgb="FF0000FF"/>
      <name val="Calibri"/>
      <family val="2"/>
      <scheme val="minor"/>
    </font>
    <font>
      <sz val="11"/>
      <color indexed="12"/>
      <name val="Calibri"/>
      <family val="2"/>
      <scheme val="minor"/>
    </font>
    <font>
      <sz val="10"/>
      <color rgb="FF00B050"/>
      <name val="Tahoma"/>
      <family val="2"/>
    </font>
    <font>
      <b/>
      <sz val="10"/>
      <color rgb="FF0000FF"/>
      <name val="Tahoma"/>
      <family val="2"/>
    </font>
    <font>
      <b/>
      <i/>
      <sz val="11"/>
      <color indexed="12"/>
      <name val="Calibri"/>
      <family val="2"/>
      <scheme val="minor"/>
    </font>
    <font>
      <b/>
      <sz val="11"/>
      <color indexed="12"/>
      <name val="Calibri"/>
      <family val="2"/>
      <scheme val="minor"/>
    </font>
    <font>
      <b/>
      <u val="singleAccounting"/>
      <sz val="11"/>
      <name val="Calibri"/>
      <family val="2"/>
      <scheme val="minor"/>
    </font>
    <font>
      <i/>
      <sz val="11"/>
      <name val="Calibri"/>
      <family val="2"/>
      <scheme val="minor"/>
    </font>
    <font>
      <b/>
      <sz val="11"/>
      <color indexed="17"/>
      <name val="Calibri"/>
      <family val="2"/>
      <scheme val="minor"/>
    </font>
    <font>
      <b/>
      <sz val="11"/>
      <color rgb="FF008000"/>
      <name val="Calibri"/>
      <family val="2"/>
      <scheme val="minor"/>
    </font>
    <font>
      <i/>
      <sz val="10"/>
      <name val="Calibri"/>
      <family val="2"/>
      <scheme val="minor"/>
    </font>
    <font>
      <sz val="10"/>
      <name val="Calibri"/>
      <family val="2"/>
      <scheme val="minor"/>
    </font>
    <font>
      <i/>
      <sz val="10"/>
      <color rgb="FF990033"/>
      <name val="Calibri"/>
      <family val="2"/>
      <scheme val="minor"/>
    </font>
    <font>
      <sz val="10"/>
      <color rgb="FF990033"/>
      <name val="Calibri"/>
      <family val="2"/>
      <scheme val="minor"/>
    </font>
    <font>
      <b/>
      <i/>
      <sz val="11"/>
      <color indexed="17"/>
      <name val="Calibri"/>
      <family val="2"/>
      <scheme val="minor"/>
    </font>
    <font>
      <b/>
      <i/>
      <sz val="11"/>
      <name val="Calibri"/>
      <family val="2"/>
      <scheme val="minor"/>
    </font>
    <font>
      <sz val="11"/>
      <color indexed="17"/>
      <name val="Calibri"/>
      <family val="2"/>
      <scheme val="minor"/>
    </font>
    <font>
      <sz val="11"/>
      <color rgb="FF008000"/>
      <name val="Calibri"/>
      <family val="2"/>
      <scheme val="minor"/>
    </font>
    <font>
      <i/>
      <sz val="11"/>
      <color rgb="FF0000FF"/>
      <name val="Calibri"/>
      <family val="2"/>
      <scheme val="minor"/>
    </font>
    <font>
      <i/>
      <sz val="11"/>
      <color indexed="12"/>
      <name val="Calibri"/>
      <family val="2"/>
      <scheme val="minor"/>
    </font>
    <font>
      <sz val="11"/>
      <color indexed="17"/>
      <name val="Calibri"/>
      <family val="2"/>
    </font>
    <font>
      <sz val="11"/>
      <color rgb="FF990033"/>
      <name val="Calibri"/>
      <family val="2"/>
      <scheme val="minor"/>
    </font>
    <font>
      <b/>
      <sz val="11"/>
      <color rgb="FF990033"/>
      <name val="Calibri"/>
      <family val="2"/>
      <scheme val="minor"/>
    </font>
    <font>
      <i/>
      <sz val="10"/>
      <color indexed="12"/>
      <name val="Calibri"/>
      <family val="2"/>
      <scheme val="minor"/>
    </font>
    <font>
      <i/>
      <sz val="10"/>
      <color rgb="FF0000FF"/>
      <name val="Calibri"/>
      <family val="2"/>
      <scheme val="minor"/>
    </font>
    <font>
      <sz val="10"/>
      <color rgb="FF0000FF"/>
      <name val="Calibri"/>
      <family val="2"/>
      <scheme val="minor"/>
    </font>
    <font>
      <b/>
      <sz val="10"/>
      <color rgb="FF0000FF"/>
      <name val="Calibri"/>
      <family val="2"/>
      <scheme val="minor"/>
    </font>
    <font>
      <b/>
      <sz val="9"/>
      <color indexed="81"/>
      <name val="Tahoma"/>
      <family val="2"/>
    </font>
    <font>
      <sz val="9"/>
      <color indexed="81"/>
      <name val="Tahoma"/>
      <family val="2"/>
    </font>
    <font>
      <i/>
      <sz val="9"/>
      <color indexed="81"/>
      <name val="Tahoma"/>
      <family val="2"/>
    </font>
    <font>
      <u/>
      <sz val="22"/>
      <name val="Calibri"/>
      <family val="2"/>
      <scheme val="minor"/>
    </font>
    <font>
      <sz val="11"/>
      <color theme="0"/>
      <name val="Calibri"/>
      <family val="2"/>
    </font>
  </fonts>
  <fills count="18">
    <fill>
      <patternFill patternType="none"/>
    </fill>
    <fill>
      <patternFill patternType="gray125"/>
    </fill>
    <fill>
      <patternFill patternType="solid">
        <fgColor rgb="FFC6EFCE"/>
        <bgColor indexed="64"/>
      </patternFill>
    </fill>
    <fill>
      <patternFill patternType="solid">
        <fgColor rgb="FFF2F2F2"/>
        <bgColor indexed="64"/>
      </patternFill>
    </fill>
    <fill>
      <patternFill patternType="solid">
        <fgColor theme="0"/>
        <bgColor indexed="64"/>
      </patternFill>
    </fill>
    <fill>
      <patternFill patternType="solid">
        <fgColor theme="0" tint="-4.5686208685567796E-2"/>
        <bgColor indexed="64"/>
      </patternFill>
    </fill>
    <fill>
      <patternFill patternType="solid">
        <fgColor rgb="FF89E0FF"/>
        <bgColor indexed="64"/>
      </patternFill>
    </fill>
    <fill>
      <patternFill patternType="solid">
        <fgColor theme="0" tint="-0.24567400128177741"/>
        <bgColor indexed="64"/>
      </patternFill>
    </fill>
    <fill>
      <patternFill patternType="solid">
        <fgColor rgb="FFFBCE20"/>
        <bgColor indexed="64"/>
      </patternFill>
    </fill>
    <fill>
      <patternFill patternType="solid">
        <fgColor rgb="FFFFFFFF"/>
        <bgColor indexed="64"/>
      </patternFill>
    </fill>
    <fill>
      <patternFill patternType="solid">
        <fgColor rgb="FF000000"/>
        <bgColor indexed="64"/>
      </patternFill>
    </fill>
    <fill>
      <patternFill patternType="solid">
        <fgColor theme="1"/>
        <bgColor indexed="64"/>
      </patternFill>
    </fill>
    <fill>
      <patternFill patternType="solid">
        <fgColor rgb="FFBFBFBF"/>
        <bgColor indexed="64"/>
      </patternFill>
    </fill>
    <fill>
      <patternFill patternType="solid">
        <fgColor rgb="FFFFFFFF"/>
        <bgColor indexed="64"/>
      </patternFill>
    </fill>
    <fill>
      <patternFill patternType="solid">
        <fgColor rgb="FF89E0FF"/>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rgb="FFFFFF00"/>
        <bgColor indexed="64"/>
      </patternFill>
    </fill>
  </fills>
  <borders count="57">
    <border>
      <left/>
      <right/>
      <top/>
      <bottom/>
      <diagonal/>
    </border>
    <border>
      <left/>
      <right style="thin">
        <color auto="1"/>
      </right>
      <top/>
      <bottom style="thin">
        <color auto="1"/>
      </bottom>
      <diagonal/>
    </border>
    <border>
      <left/>
      <right/>
      <top/>
      <bottom style="thin">
        <color auto="1"/>
      </bottom>
      <diagonal/>
    </border>
    <border>
      <left style="thin">
        <color auto="1"/>
      </left>
      <right/>
      <top/>
      <bottom style="thin">
        <color auto="1"/>
      </bottom>
      <diagonal/>
    </border>
    <border>
      <left/>
      <right style="thin">
        <color auto="1"/>
      </right>
      <top/>
      <bottom/>
      <diagonal/>
    </border>
    <border>
      <left style="thin">
        <color auto="1"/>
      </left>
      <right/>
      <top/>
      <bottom/>
      <diagonal/>
    </border>
    <border>
      <left/>
      <right style="thin">
        <color auto="1"/>
      </right>
      <top style="thin">
        <color auto="1"/>
      </top>
      <bottom/>
      <diagonal/>
    </border>
    <border>
      <left/>
      <right/>
      <top style="thin">
        <color auto="1"/>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top/>
      <bottom style="thin">
        <color rgb="FF000000"/>
      </bottom>
      <diagonal/>
    </border>
    <border>
      <left/>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auto="1"/>
      </left>
      <right style="thin">
        <color auto="1"/>
      </right>
      <top/>
      <bottom style="thin">
        <color auto="1"/>
      </bottom>
      <diagonal/>
    </border>
    <border>
      <left style="thin">
        <color auto="1"/>
      </left>
      <right style="thin">
        <color auto="1"/>
      </right>
      <top style="thin">
        <color auto="1"/>
      </top>
      <bottom style="thin">
        <color rgb="FF000000"/>
      </bottom>
      <diagonal/>
    </border>
    <border>
      <left style="thin">
        <color rgb="FF000000"/>
      </left>
      <right style="thin">
        <color auto="1"/>
      </right>
      <top style="thin">
        <color auto="1"/>
      </top>
      <bottom style="thin">
        <color rgb="FF000000"/>
      </bottom>
      <diagonal/>
    </border>
    <border>
      <left style="thin">
        <color rgb="FF000000"/>
      </left>
      <right style="thin">
        <color auto="1"/>
      </right>
      <top/>
      <bottom style="thin">
        <color rgb="FF000000"/>
      </bottom>
      <diagonal/>
    </border>
    <border>
      <left style="thin">
        <color auto="1"/>
      </left>
      <right style="thin">
        <color auto="1"/>
      </right>
      <top/>
      <bottom style="thin">
        <color rgb="FF000000"/>
      </bottom>
      <diagonal/>
    </border>
    <border>
      <left style="thin">
        <color auto="1"/>
      </left>
      <right style="thin">
        <color rgb="FF000000"/>
      </right>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top style="thin">
        <color rgb="FF000000"/>
      </top>
      <bottom style="thin">
        <color rgb="FF000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ck">
        <color auto="1"/>
      </right>
      <top/>
      <bottom/>
      <diagonal/>
    </border>
    <border>
      <left/>
      <right style="thick">
        <color auto="1"/>
      </right>
      <top style="thin">
        <color auto="1"/>
      </top>
      <bottom/>
      <diagonal/>
    </border>
    <border>
      <left/>
      <right style="thick">
        <color auto="1"/>
      </right>
      <top/>
      <bottom style="thin">
        <color auto="1"/>
      </bottom>
      <diagonal/>
    </border>
    <border>
      <left/>
      <right style="thick">
        <color auto="1"/>
      </right>
      <top style="thin">
        <color auto="1"/>
      </top>
      <bottom style="thin">
        <color auto="1"/>
      </bottom>
      <diagonal/>
    </border>
    <border>
      <left/>
      <right style="thick">
        <color auto="1"/>
      </right>
      <top/>
      <bottom style="thin">
        <color rgb="FF000000"/>
      </bottom>
      <diagonal/>
    </border>
    <border>
      <left/>
      <right style="thick">
        <color auto="1"/>
      </right>
      <top style="thin">
        <color rgb="FF000000"/>
      </top>
      <bottom/>
      <diagonal/>
    </border>
    <border>
      <left/>
      <right style="thick">
        <color auto="1"/>
      </right>
      <top style="thin">
        <color rgb="FF000000"/>
      </top>
      <bottom style="thin">
        <color rgb="FF000000"/>
      </bottom>
      <diagonal/>
    </border>
    <border>
      <left/>
      <right/>
      <top/>
      <bottom style="medium">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style="medium">
        <color auto="1"/>
      </right>
      <top style="medium">
        <color auto="1"/>
      </top>
      <bottom style="medium">
        <color auto="1"/>
      </bottom>
      <diagonal/>
    </border>
    <border>
      <left style="medium">
        <color auto="1"/>
      </left>
      <right/>
      <top/>
      <bottom style="medium">
        <color auto="1"/>
      </bottom>
      <diagonal/>
    </border>
    <border>
      <left/>
      <right style="medium">
        <color auto="1"/>
      </right>
      <top/>
      <bottom style="medium">
        <color auto="1"/>
      </bottom>
      <diagonal/>
    </border>
    <border>
      <left/>
      <right/>
      <top style="thin">
        <color auto="1"/>
      </top>
      <bottom style="double">
        <color auto="1"/>
      </bottom>
      <diagonal/>
    </border>
    <border>
      <left/>
      <right style="thin">
        <color auto="1"/>
      </right>
      <top style="thin">
        <color auto="1"/>
      </top>
      <bottom style="double">
        <color auto="1"/>
      </bottom>
      <diagonal/>
    </border>
    <border>
      <left/>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s>
  <cellStyleXfs count="30">
    <xf numFmtId="0" fontId="0" fillId="0" borderId="0"/>
    <xf numFmtId="44" fontId="48" fillId="0" borderId="0"/>
    <xf numFmtId="44" fontId="2" fillId="0" borderId="0"/>
    <xf numFmtId="44" fontId="48" fillId="0" borderId="0"/>
    <xf numFmtId="44" fontId="2" fillId="0" borderId="0"/>
    <xf numFmtId="0" fontId="15" fillId="2" borderId="0"/>
    <xf numFmtId="0" fontId="4" fillId="0" borderId="0"/>
    <xf numFmtId="0" fontId="12" fillId="0" borderId="0">
      <alignment vertical="top"/>
      <protection locked="0"/>
    </xf>
    <xf numFmtId="0" fontId="2" fillId="0" borderId="0"/>
    <xf numFmtId="0" fontId="2" fillId="0" borderId="0"/>
    <xf numFmtId="0" fontId="2" fillId="0" borderId="0"/>
    <xf numFmtId="0" fontId="2" fillId="0" borderId="0"/>
    <xf numFmtId="0" fontId="48" fillId="0" borderId="0"/>
    <xf numFmtId="9" fontId="2" fillId="0" borderId="0"/>
    <xf numFmtId="9" fontId="2" fillId="0" borderId="0"/>
    <xf numFmtId="0" fontId="1" fillId="0" borderId="0"/>
    <xf numFmtId="0" fontId="54" fillId="0" borderId="0"/>
    <xf numFmtId="44" fontId="57" fillId="0" borderId="0" applyFont="0" applyFill="0" applyBorder="0" applyAlignment="0" applyProtection="0"/>
    <xf numFmtId="0" fontId="57" fillId="0" borderId="0"/>
    <xf numFmtId="43" fontId="57" fillId="0" borderId="0" applyFont="0" applyFill="0" applyBorder="0" applyAlignment="0" applyProtection="0"/>
    <xf numFmtId="0" fontId="1" fillId="0" borderId="0"/>
    <xf numFmtId="9" fontId="1" fillId="0" borderId="0" applyFont="0" applyFill="0" applyBorder="0" applyAlignment="0" applyProtection="0"/>
    <xf numFmtId="9" fontId="48" fillId="0" borderId="0" applyFont="0" applyFill="0" applyBorder="0" applyAlignment="0" applyProtection="0"/>
    <xf numFmtId="43" fontId="1" fillId="0" borderId="0" applyFont="0" applyFill="0" applyBorder="0" applyAlignment="0" applyProtection="0"/>
    <xf numFmtId="9" fontId="1" fillId="0" borderId="0"/>
    <xf numFmtId="0" fontId="4" fillId="0" borderId="0" applyNumberFormat="0" applyFill="0" applyBorder="0" applyAlignment="0" applyProtection="0"/>
    <xf numFmtId="0" fontId="48" fillId="0" borderId="0"/>
    <xf numFmtId="0" fontId="48" fillId="0" borderId="0"/>
    <xf numFmtId="44" fontId="48" fillId="0" borderId="0" applyFont="0" applyFill="0" applyBorder="0" applyAlignment="0" applyProtection="0"/>
    <xf numFmtId="205" fontId="48" fillId="0" borderId="0" applyFont="0" applyFill="0" applyBorder="0" applyAlignment="0" applyProtection="0"/>
  </cellStyleXfs>
  <cellXfs count="1528">
    <xf numFmtId="0" fontId="0" fillId="0" borderId="0" xfId="0" applyNumberFormat="1" applyFont="1" applyFill="1" applyBorder="1"/>
    <xf numFmtId="0" fontId="42" fillId="3" borderId="0" xfId="6" applyFont="1" applyFill="1"/>
    <xf numFmtId="0" fontId="2" fillId="0" borderId="1" xfId="10" applyNumberFormat="1" applyFont="1" applyFill="1" applyBorder="1" applyAlignment="1">
      <alignment vertical="top" wrapText="1"/>
    </xf>
    <xf numFmtId="0" fontId="2" fillId="0" borderId="2" xfId="10" applyNumberFormat="1" applyFont="1" applyFill="1" applyBorder="1" applyAlignment="1">
      <alignment vertical="top" wrapText="1"/>
    </xf>
    <xf numFmtId="0" fontId="2" fillId="0" borderId="3" xfId="10" applyNumberFormat="1" applyFont="1" applyFill="1" applyBorder="1" applyAlignment="1">
      <alignment vertical="top" wrapText="1"/>
    </xf>
    <xf numFmtId="0" fontId="2" fillId="0" borderId="4" xfId="10" applyNumberFormat="1" applyFont="1" applyFill="1" applyBorder="1" applyAlignment="1">
      <alignment vertical="top" wrapText="1"/>
    </xf>
    <xf numFmtId="0" fontId="2" fillId="0" borderId="0" xfId="10" applyNumberFormat="1" applyFont="1" applyFill="1" applyBorder="1" applyAlignment="1">
      <alignment vertical="top" wrapText="1"/>
    </xf>
    <xf numFmtId="0" fontId="2" fillId="0" borderId="5" xfId="10" applyNumberFormat="1" applyFont="1" applyFill="1" applyBorder="1" applyAlignment="1">
      <alignment vertical="top" wrapText="1"/>
    </xf>
    <xf numFmtId="0" fontId="2" fillId="0" borderId="6" xfId="10" applyNumberFormat="1" applyFont="1" applyFill="1" applyBorder="1" applyAlignment="1">
      <alignment vertical="top" wrapText="1"/>
    </xf>
    <xf numFmtId="0" fontId="2" fillId="0" borderId="7" xfId="10" applyNumberFormat="1" applyFont="1" applyFill="1" applyBorder="1" applyAlignment="1">
      <alignment vertical="top" wrapText="1"/>
    </xf>
    <xf numFmtId="0" fontId="46" fillId="0" borderId="8" xfId="10" applyNumberFormat="1" applyFont="1" applyFill="1" applyBorder="1" applyAlignment="1">
      <alignment vertical="top" wrapText="1"/>
    </xf>
    <xf numFmtId="0" fontId="2" fillId="4" borderId="0" xfId="10" quotePrefix="1" applyNumberFormat="1" applyFont="1" applyFill="1" applyBorder="1" applyAlignment="1">
      <alignment horizontal="left" vertical="top" wrapText="1"/>
    </xf>
    <xf numFmtId="0" fontId="11" fillId="5" borderId="0" xfId="10" applyNumberFormat="1" applyFont="1" applyFill="1" applyBorder="1" applyAlignment="1">
      <alignment horizontal="center"/>
    </xf>
    <xf numFmtId="0" fontId="2" fillId="0" borderId="0" xfId="10" applyNumberFormat="1" applyFont="1" applyFill="1" applyBorder="1"/>
    <xf numFmtId="0" fontId="0" fillId="0" borderId="0" xfId="12" applyNumberFormat="1" applyFont="1" applyFill="1" applyBorder="1"/>
    <xf numFmtId="164" fontId="0" fillId="0" borderId="0" xfId="0" applyNumberFormat="1" applyFont="1" applyFill="1" applyBorder="1"/>
    <xf numFmtId="167" fontId="6" fillId="6" borderId="0" xfId="0" applyNumberFormat="1" applyFont="1" applyFill="1" applyBorder="1"/>
    <xf numFmtId="169" fontId="6" fillId="6" borderId="0" xfId="0" applyNumberFormat="1" applyFont="1" applyFill="1" applyBorder="1"/>
    <xf numFmtId="169" fontId="6" fillId="6" borderId="0" xfId="1" applyNumberFormat="1" applyFont="1" applyFill="1" applyBorder="1" applyAlignment="1">
      <alignment horizontal="right" indent="1"/>
    </xf>
    <xf numFmtId="169" fontId="6" fillId="6" borderId="0" xfId="1" applyNumberFormat="1" applyFont="1" applyFill="1" applyBorder="1"/>
    <xf numFmtId="167" fontId="9" fillId="6" borderId="0" xfId="0" applyNumberFormat="1" applyFont="1" applyFill="1" applyBorder="1" applyAlignment="1">
      <alignment horizontal="right"/>
    </xf>
    <xf numFmtId="164" fontId="6" fillId="0" borderId="0" xfId="0" applyNumberFormat="1" applyFont="1" applyFill="1" applyBorder="1"/>
    <xf numFmtId="0" fontId="2" fillId="4" borderId="0" xfId="10" applyNumberFormat="1" applyFont="1" applyFill="1" applyBorder="1"/>
    <xf numFmtId="0" fontId="2" fillId="5" borderId="0" xfId="10" applyNumberFormat="1" applyFont="1" applyFill="1" applyBorder="1"/>
    <xf numFmtId="0" fontId="2" fillId="5" borderId="0" xfId="10" applyNumberFormat="1" applyFont="1" applyFill="1" applyBorder="1"/>
    <xf numFmtId="0" fontId="2" fillId="0" borderId="0" xfId="10" applyNumberFormat="1" applyFont="1" applyFill="1" applyBorder="1"/>
    <xf numFmtId="0" fontId="2" fillId="0" borderId="0" xfId="10" applyNumberFormat="1" applyFont="1" applyFill="1" applyBorder="1"/>
    <xf numFmtId="0" fontId="16" fillId="5" borderId="0" xfId="10" applyNumberFormat="1" applyFont="1" applyFill="1" applyBorder="1"/>
    <xf numFmtId="0" fontId="17" fillId="5" borderId="0" xfId="10" applyNumberFormat="1" applyFont="1" applyFill="1" applyBorder="1"/>
    <xf numFmtId="1" fontId="16" fillId="5" borderId="0" xfId="10" applyNumberFormat="1" applyFont="1" applyFill="1" applyBorder="1" applyAlignment="1">
      <alignment horizontal="center"/>
    </xf>
    <xf numFmtId="0" fontId="13" fillId="5" borderId="0" xfId="10" applyNumberFormat="1" applyFont="1" applyFill="1" applyBorder="1"/>
    <xf numFmtId="1" fontId="18" fillId="7" borderId="0" xfId="10" applyNumberFormat="1" applyFont="1" applyFill="1" applyBorder="1" applyAlignment="1">
      <alignment horizontal="center" vertical="center"/>
    </xf>
    <xf numFmtId="0" fontId="2" fillId="5" borderId="0" xfId="10" applyNumberFormat="1" applyFont="1" applyFill="1" applyBorder="1" applyAlignment="1">
      <alignment vertical="center"/>
    </xf>
    <xf numFmtId="0" fontId="19" fillId="5" borderId="0" xfId="10" applyNumberFormat="1" applyFont="1" applyFill="1" applyBorder="1" applyAlignment="1">
      <alignment vertical="center"/>
    </xf>
    <xf numFmtId="14" fontId="13" fillId="8" borderId="0" xfId="10" applyNumberFormat="1" applyFont="1" applyFill="1" applyBorder="1" applyAlignment="1">
      <alignment horizontal="center" vertical="center"/>
    </xf>
    <xf numFmtId="0" fontId="13" fillId="5" borderId="0" xfId="10" applyNumberFormat="1" applyFont="1" applyFill="1" applyBorder="1" applyAlignment="1">
      <alignment horizontal="center"/>
    </xf>
    <xf numFmtId="0" fontId="2" fillId="4" borderId="0" xfId="10" applyNumberFormat="1" applyFont="1" applyFill="1" applyBorder="1"/>
    <xf numFmtId="0" fontId="2" fillId="4" borderId="9" xfId="10" applyNumberFormat="1" applyFont="1" applyFill="1" applyBorder="1" applyAlignment="1">
      <alignment horizontal="center"/>
    </xf>
    <xf numFmtId="0" fontId="8" fillId="4" borderId="9" xfId="10" applyNumberFormat="1" applyFont="1" applyFill="1" applyBorder="1" applyAlignment="1">
      <alignment horizontal="center"/>
    </xf>
    <xf numFmtId="14" fontId="8" fillId="4" borderId="9" xfId="10" applyNumberFormat="1" applyFont="1" applyFill="1" applyBorder="1" applyAlignment="1">
      <alignment horizontal="center"/>
    </xf>
    <xf numFmtId="0" fontId="13" fillId="0" borderId="0" xfId="10" applyNumberFormat="1" applyFont="1" applyFill="1" applyBorder="1" applyAlignment="1">
      <alignment vertical="center"/>
    </xf>
    <xf numFmtId="170" fontId="6" fillId="6" borderId="0" xfId="0" applyNumberFormat="1" applyFont="1" applyFill="1" applyBorder="1" applyAlignment="1">
      <alignment horizontal="right"/>
    </xf>
    <xf numFmtId="170" fontId="0" fillId="6" borderId="0" xfId="0" applyNumberFormat="1" applyFont="1" applyFill="1" applyBorder="1" applyAlignment="1">
      <alignment horizontal="right"/>
    </xf>
    <xf numFmtId="0" fontId="13" fillId="5" borderId="0" xfId="10" applyNumberFormat="1" applyFont="1" applyFill="1" applyBorder="1" applyAlignment="1">
      <alignment vertical="center"/>
    </xf>
    <xf numFmtId="0" fontId="0" fillId="0" borderId="0" xfId="0" applyNumberFormat="1" applyFont="1" applyFill="1" applyBorder="1"/>
    <xf numFmtId="172" fontId="0" fillId="6" borderId="0" xfId="0" applyNumberFormat="1" applyFont="1" applyFill="1" applyBorder="1"/>
    <xf numFmtId="166" fontId="0" fillId="6" borderId="0" xfId="0" applyNumberFormat="1" applyFont="1" applyFill="1" applyBorder="1"/>
    <xf numFmtId="167" fontId="0" fillId="6" borderId="0" xfId="0" applyNumberFormat="1" applyFont="1" applyFill="1" applyBorder="1" applyAlignment="1">
      <alignment horizontal="right"/>
    </xf>
    <xf numFmtId="164" fontId="0" fillId="0" borderId="0" xfId="0" applyNumberFormat="1" applyFont="1" applyFill="1" applyBorder="1"/>
    <xf numFmtId="172" fontId="9" fillId="6" borderId="0" xfId="0" applyNumberFormat="1" applyFont="1" applyFill="1" applyBorder="1"/>
    <xf numFmtId="167" fontId="14" fillId="6" borderId="0" xfId="0" applyNumberFormat="1" applyFont="1" applyFill="1" applyBorder="1"/>
    <xf numFmtId="164" fontId="6" fillId="0" borderId="0" xfId="0" applyNumberFormat="1" applyFont="1" applyFill="1" applyBorder="1" applyAlignment="1">
      <alignment horizontal="center"/>
    </xf>
    <xf numFmtId="167" fontId="6" fillId="0" borderId="0" xfId="0" applyNumberFormat="1" applyFont="1" applyFill="1" applyBorder="1"/>
    <xf numFmtId="169" fontId="0" fillId="0" borderId="0" xfId="0" applyNumberFormat="1" applyFont="1" applyFill="1" applyBorder="1"/>
    <xf numFmtId="164" fontId="21" fillId="0" borderId="0" xfId="0" applyNumberFormat="1" applyFont="1" applyFill="1" applyBorder="1"/>
    <xf numFmtId="169" fontId="6" fillId="0" borderId="0" xfId="0" applyNumberFormat="1" applyFont="1" applyFill="1" applyBorder="1"/>
    <xf numFmtId="169" fontId="21" fillId="0" borderId="0" xfId="0" applyNumberFormat="1" applyFont="1" applyFill="1" applyBorder="1"/>
    <xf numFmtId="172" fontId="0" fillId="0" borderId="0" xfId="0" applyNumberFormat="1" applyFont="1" applyFill="1" applyBorder="1"/>
    <xf numFmtId="170" fontId="6" fillId="0" borderId="0" xfId="0" applyNumberFormat="1" applyFont="1" applyFill="1" applyBorder="1"/>
    <xf numFmtId="170" fontId="0" fillId="0" borderId="0" xfId="0" applyNumberFormat="1" applyFont="1" applyFill="1" applyBorder="1"/>
    <xf numFmtId="166" fontId="0" fillId="0" borderId="0" xfId="0" applyNumberFormat="1" applyFont="1" applyFill="1" applyBorder="1"/>
    <xf numFmtId="167" fontId="6" fillId="6" borderId="7" xfId="0" applyNumberFormat="1" applyFont="1" applyFill="1" applyBorder="1" applyAlignment="1">
      <alignment horizontal="right"/>
    </xf>
    <xf numFmtId="0" fontId="19" fillId="5" borderId="0" xfId="10" applyNumberFormat="1" applyFont="1" applyFill="1" applyBorder="1" applyAlignment="1">
      <alignment horizontal="center" vertical="center"/>
    </xf>
    <xf numFmtId="0" fontId="20" fillId="8" borderId="0" xfId="10" applyNumberFormat="1" applyFont="1" applyFill="1" applyBorder="1" applyAlignment="1">
      <alignment horizontal="center" vertical="center"/>
    </xf>
    <xf numFmtId="0" fontId="2" fillId="5" borderId="0" xfId="10" applyNumberFormat="1" applyFont="1" applyFill="1" applyBorder="1" applyAlignment="1">
      <alignment vertical="center"/>
    </xf>
    <xf numFmtId="0" fontId="17" fillId="5" borderId="0" xfId="10" quotePrefix="1" applyNumberFormat="1" applyFont="1" applyFill="1" applyBorder="1"/>
    <xf numFmtId="0" fontId="19" fillId="5" borderId="0" xfId="10" applyNumberFormat="1" applyFont="1" applyFill="1" applyBorder="1"/>
    <xf numFmtId="166" fontId="0" fillId="6" borderId="2" xfId="0" applyNumberFormat="1" applyFont="1" applyFill="1" applyBorder="1"/>
    <xf numFmtId="166" fontId="6" fillId="6" borderId="7" xfId="0" applyNumberFormat="1" applyFont="1" applyFill="1" applyBorder="1"/>
    <xf numFmtId="166" fontId="6" fillId="0" borderId="0" xfId="0" applyNumberFormat="1" applyFont="1" applyFill="1" applyBorder="1"/>
    <xf numFmtId="166" fontId="6" fillId="6" borderId="0" xfId="0" applyNumberFormat="1" applyFont="1" applyFill="1" applyBorder="1"/>
    <xf numFmtId="166" fontId="6" fillId="6" borderId="10" xfId="0" applyNumberFormat="1" applyFont="1" applyFill="1" applyBorder="1"/>
    <xf numFmtId="166" fontId="9" fillId="6" borderId="0" xfId="0" applyNumberFormat="1" applyFont="1" applyFill="1" applyBorder="1"/>
    <xf numFmtId="166" fontId="14" fillId="6" borderId="0" xfId="0" applyNumberFormat="1" applyFont="1" applyFill="1" applyBorder="1"/>
    <xf numFmtId="0" fontId="3" fillId="9" borderId="0" xfId="0" applyNumberFormat="1" applyFont="1" applyFill="1" applyBorder="1" applyAlignment="1">
      <alignment horizontal="center"/>
    </xf>
    <xf numFmtId="167" fontId="6" fillId="9" borderId="7" xfId="0" applyNumberFormat="1" applyFont="1" applyFill="1" applyBorder="1" applyAlignment="1">
      <alignment horizontal="right"/>
    </xf>
    <xf numFmtId="166" fontId="6" fillId="9" borderId="7" xfId="0" applyNumberFormat="1" applyFont="1" applyFill="1" applyBorder="1"/>
    <xf numFmtId="166" fontId="6" fillId="9" borderId="10" xfId="0" applyNumberFormat="1" applyFont="1" applyFill="1" applyBorder="1"/>
    <xf numFmtId="167" fontId="0" fillId="9" borderId="0" xfId="0" applyNumberFormat="1" applyFont="1" applyFill="1" applyBorder="1" applyAlignment="1">
      <alignment horizontal="right"/>
    </xf>
    <xf numFmtId="166" fontId="6" fillId="9" borderId="0" xfId="0" applyNumberFormat="1" applyFont="1" applyFill="1" applyBorder="1"/>
    <xf numFmtId="166" fontId="0" fillId="9" borderId="2" xfId="0" applyNumberFormat="1" applyFont="1" applyFill="1" applyBorder="1"/>
    <xf numFmtId="166" fontId="14" fillId="9" borderId="0" xfId="0" applyNumberFormat="1" applyFont="1" applyFill="1" applyBorder="1"/>
    <xf numFmtId="167" fontId="14" fillId="9" borderId="0" xfId="0" applyNumberFormat="1" applyFont="1" applyFill="1" applyBorder="1" applyAlignment="1">
      <alignment horizontal="right"/>
    </xf>
    <xf numFmtId="168" fontId="22" fillId="9" borderId="0" xfId="6" applyNumberFormat="1" applyFont="1" applyFill="1" applyBorder="1" applyAlignment="1">
      <alignment horizontal="left"/>
    </xf>
    <xf numFmtId="0" fontId="6" fillId="0" borderId="0" xfId="0" applyNumberFormat="1" applyFont="1" applyFill="1" applyBorder="1"/>
    <xf numFmtId="0" fontId="0" fillId="0" borderId="0" xfId="0" applyNumberFormat="1" applyFont="1" applyFill="1" applyBorder="1"/>
    <xf numFmtId="0" fontId="6" fillId="0" borderId="0" xfId="0" applyNumberFormat="1" applyFont="1" applyFill="1" applyBorder="1"/>
    <xf numFmtId="167" fontId="0" fillId="0" borderId="0" xfId="0" applyNumberFormat="1" applyFont="1" applyFill="1" applyBorder="1"/>
    <xf numFmtId="167" fontId="6" fillId="9" borderId="7" xfId="0" applyNumberFormat="1" applyFont="1" applyFill="1" applyBorder="1" applyAlignment="1">
      <alignment horizontal="left"/>
    </xf>
    <xf numFmtId="166" fontId="6" fillId="9" borderId="7" xfId="0" applyNumberFormat="1" applyFont="1" applyFill="1" applyBorder="1" applyAlignment="1">
      <alignment horizontal="left"/>
    </xf>
    <xf numFmtId="166" fontId="6" fillId="9" borderId="0" xfId="0" applyNumberFormat="1" applyFont="1" applyFill="1" applyBorder="1" applyAlignment="1">
      <alignment horizontal="left"/>
    </xf>
    <xf numFmtId="166" fontId="0" fillId="9" borderId="2" xfId="0" applyNumberFormat="1" applyFont="1" applyFill="1" applyBorder="1" applyAlignment="1">
      <alignment horizontal="left" indent="1"/>
    </xf>
    <xf numFmtId="166" fontId="6" fillId="9" borderId="10" xfId="0" applyNumberFormat="1" applyFont="1" applyFill="1" applyBorder="1" applyAlignment="1">
      <alignment horizontal="left"/>
    </xf>
    <xf numFmtId="164" fontId="6" fillId="9" borderId="0" xfId="0" applyNumberFormat="1" applyFont="1" applyFill="1" applyBorder="1" applyAlignment="1">
      <alignment horizontal="left"/>
    </xf>
    <xf numFmtId="167" fontId="6" fillId="9" borderId="0" xfId="0" applyNumberFormat="1" applyFont="1" applyFill="1" applyBorder="1"/>
    <xf numFmtId="169" fontId="3" fillId="9" borderId="0" xfId="1" applyNumberFormat="1" applyFont="1" applyFill="1" applyBorder="1"/>
    <xf numFmtId="169" fontId="3" fillId="9" borderId="0" xfId="0" applyNumberFormat="1" applyFont="1" applyFill="1" applyBorder="1" applyAlignment="1">
      <alignment horizontal="left"/>
    </xf>
    <xf numFmtId="170" fontId="3" fillId="9" borderId="0" xfId="0" applyNumberFormat="1" applyFont="1" applyFill="1" applyBorder="1"/>
    <xf numFmtId="0" fontId="0" fillId="0" borderId="0" xfId="0" applyNumberFormat="1" applyFont="1" applyFill="1" applyBorder="1"/>
    <xf numFmtId="167" fontId="0" fillId="9" borderId="0" xfId="0" applyNumberFormat="1" applyFont="1" applyFill="1" applyBorder="1" applyAlignment="1">
      <alignment horizontal="left"/>
    </xf>
    <xf numFmtId="164" fontId="6" fillId="9" borderId="0" xfId="0" applyNumberFormat="1" applyFont="1" applyFill="1" applyBorder="1" applyAlignment="1">
      <alignment horizontal="left" indent="1"/>
    </xf>
    <xf numFmtId="166" fontId="0" fillId="9" borderId="2" xfId="0" applyNumberFormat="1" applyFont="1" applyFill="1" applyBorder="1" applyAlignment="1">
      <alignment horizontal="left" indent="2"/>
    </xf>
    <xf numFmtId="164" fontId="3" fillId="9" borderId="0" xfId="0" applyNumberFormat="1" applyFont="1" applyFill="1" applyBorder="1"/>
    <xf numFmtId="167" fontId="24" fillId="10" borderId="0" xfId="0" applyNumberFormat="1" applyFont="1" applyFill="1" applyBorder="1"/>
    <xf numFmtId="0" fontId="26" fillId="9" borderId="0" xfId="0" applyNumberFormat="1" applyFont="1" applyFill="1" applyBorder="1" applyAlignment="1">
      <alignment horizontal="center"/>
    </xf>
    <xf numFmtId="167" fontId="27" fillId="6" borderId="0" xfId="0" applyNumberFormat="1" applyFont="1" applyFill="1" applyBorder="1" applyAlignment="1">
      <alignment horizontal="right"/>
    </xf>
    <xf numFmtId="167" fontId="25" fillId="9" borderId="7" xfId="0" applyNumberFormat="1" applyFont="1" applyFill="1" applyBorder="1" applyAlignment="1">
      <alignment horizontal="right"/>
    </xf>
    <xf numFmtId="167" fontId="25" fillId="6" borderId="7" xfId="0" applyNumberFormat="1" applyFont="1" applyFill="1" applyBorder="1" applyAlignment="1">
      <alignment horizontal="right"/>
    </xf>
    <xf numFmtId="166" fontId="27" fillId="6" borderId="0" xfId="0" applyNumberFormat="1" applyFont="1" applyFill="1" applyBorder="1"/>
    <xf numFmtId="166" fontId="25" fillId="9" borderId="7" xfId="0" applyNumberFormat="1" applyFont="1" applyFill="1" applyBorder="1"/>
    <xf numFmtId="166" fontId="25" fillId="6" borderId="7" xfId="0" applyNumberFormat="1" applyFont="1" applyFill="1" applyBorder="1"/>
    <xf numFmtId="166" fontId="25" fillId="9" borderId="0" xfId="0" applyNumberFormat="1" applyFont="1" applyFill="1" applyBorder="1"/>
    <xf numFmtId="166" fontId="25" fillId="6" borderId="0" xfId="0" applyNumberFormat="1" applyFont="1" applyFill="1" applyBorder="1"/>
    <xf numFmtId="167" fontId="25" fillId="6" borderId="0" xfId="0" applyNumberFormat="1" applyFont="1" applyFill="1" applyBorder="1" applyAlignment="1">
      <alignment horizontal="right"/>
    </xf>
    <xf numFmtId="166" fontId="25" fillId="9" borderId="10" xfId="0" applyNumberFormat="1" applyFont="1" applyFill="1" applyBorder="1"/>
    <xf numFmtId="166" fontId="25" fillId="6" borderId="10" xfId="0" applyNumberFormat="1" applyFont="1" applyFill="1" applyBorder="1"/>
    <xf numFmtId="167" fontId="25" fillId="6" borderId="0" xfId="0" applyNumberFormat="1" applyFont="1" applyFill="1" applyBorder="1"/>
    <xf numFmtId="169" fontId="25" fillId="6" borderId="0" xfId="0" applyNumberFormat="1" applyFont="1" applyFill="1" applyBorder="1"/>
    <xf numFmtId="169" fontId="28" fillId="6" borderId="0" xfId="0" applyNumberFormat="1" applyFont="1" applyFill="1" applyBorder="1" applyAlignment="1">
      <alignment horizontal="right"/>
    </xf>
    <xf numFmtId="169" fontId="25" fillId="6" borderId="0" xfId="1" applyNumberFormat="1" applyFont="1" applyFill="1" applyBorder="1"/>
    <xf numFmtId="172" fontId="27" fillId="6" borderId="0" xfId="0" applyNumberFormat="1" applyFont="1" applyFill="1" applyBorder="1"/>
    <xf numFmtId="170" fontId="25" fillId="6" borderId="0" xfId="0" applyNumberFormat="1" applyFont="1" applyFill="1" applyBorder="1" applyAlignment="1">
      <alignment horizontal="right"/>
    </xf>
    <xf numFmtId="170" fontId="27" fillId="6" borderId="0" xfId="0" applyNumberFormat="1" applyFont="1" applyFill="1" applyBorder="1" applyAlignment="1">
      <alignment horizontal="right"/>
    </xf>
    <xf numFmtId="166" fontId="27" fillId="9" borderId="2" xfId="0" applyNumberFormat="1" applyFont="1" applyFill="1" applyBorder="1"/>
    <xf numFmtId="166" fontId="27" fillId="6" borderId="2" xfId="0" applyNumberFormat="1" applyFont="1" applyFill="1" applyBorder="1"/>
    <xf numFmtId="164" fontId="23" fillId="2" borderId="0" xfId="5" applyNumberFormat="1" applyFont="1" applyFill="1" applyBorder="1"/>
    <xf numFmtId="166" fontId="28" fillId="6" borderId="0" xfId="0" applyNumberFormat="1" applyFont="1" applyFill="1" applyBorder="1" applyAlignment="1">
      <alignment horizontal="right"/>
    </xf>
    <xf numFmtId="166" fontId="28" fillId="6" borderId="0" xfId="0" applyNumberFormat="1" applyFont="1" applyFill="1" applyBorder="1" applyAlignment="1">
      <alignment horizontal="center"/>
    </xf>
    <xf numFmtId="0" fontId="5" fillId="9" borderId="0" xfId="0" applyNumberFormat="1" applyFont="1" applyFill="1" applyBorder="1" applyAlignment="1">
      <alignment horizontal="center"/>
    </xf>
    <xf numFmtId="169" fontId="21" fillId="9" borderId="0" xfId="0" applyNumberFormat="1" applyFont="1" applyFill="1" applyBorder="1"/>
    <xf numFmtId="169" fontId="6" fillId="9" borderId="0" xfId="0" applyNumberFormat="1" applyFont="1" applyFill="1" applyBorder="1"/>
    <xf numFmtId="169" fontId="6" fillId="9" borderId="0" xfId="1" applyNumberFormat="1" applyFont="1" applyFill="1" applyBorder="1"/>
    <xf numFmtId="172" fontId="0" fillId="9" borderId="0" xfId="0" applyNumberFormat="1" applyFont="1" applyFill="1" applyBorder="1"/>
    <xf numFmtId="170" fontId="6" fillId="9" borderId="0" xfId="0" applyNumberFormat="1" applyFont="1" applyFill="1" applyBorder="1"/>
    <xf numFmtId="170" fontId="0" fillId="9" borderId="0" xfId="0" applyNumberFormat="1" applyFont="1" applyFill="1" applyBorder="1"/>
    <xf numFmtId="0" fontId="16" fillId="5" borderId="0" xfId="10" applyNumberFormat="1" applyFont="1" applyFill="1" applyBorder="1" applyAlignment="1">
      <alignment horizontal="left" wrapText="1" indent="1"/>
    </xf>
    <xf numFmtId="0" fontId="16" fillId="0" borderId="0" xfId="10" applyNumberFormat="1" applyFont="1" applyFill="1" applyBorder="1"/>
    <xf numFmtId="0" fontId="16" fillId="0" borderId="0" xfId="10" applyNumberFormat="1" applyFont="1" applyFill="1" applyBorder="1"/>
    <xf numFmtId="1" fontId="6" fillId="9" borderId="0" xfId="0" applyNumberFormat="1" applyFont="1" applyFill="1" applyBorder="1" applyAlignment="1">
      <alignment horizontal="center"/>
    </xf>
    <xf numFmtId="1" fontId="25" fillId="9" borderId="0" xfId="0" applyNumberFormat="1" applyFont="1" applyFill="1" applyBorder="1" applyAlignment="1">
      <alignment horizontal="center"/>
    </xf>
    <xf numFmtId="17" fontId="8" fillId="9" borderId="0" xfId="0" applyNumberFormat="1" applyFont="1" applyFill="1" applyBorder="1" applyAlignment="1">
      <alignment horizontal="center"/>
    </xf>
    <xf numFmtId="17" fontId="23" fillId="9" borderId="0" xfId="0" applyNumberFormat="1" applyFont="1" applyFill="1" applyBorder="1" applyAlignment="1">
      <alignment horizontal="center"/>
    </xf>
    <xf numFmtId="164" fontId="0" fillId="0" borderId="0" xfId="12" applyNumberFormat="1" applyFont="1" applyFill="1" applyBorder="1"/>
    <xf numFmtId="0" fontId="0" fillId="0" borderId="0" xfId="12" applyNumberFormat="1" applyFont="1" applyFill="1" applyBorder="1"/>
    <xf numFmtId="169" fontId="6" fillId="0" borderId="0" xfId="12" applyNumberFormat="1" applyFont="1" applyFill="1" applyBorder="1"/>
    <xf numFmtId="164" fontId="0" fillId="0" borderId="0" xfId="12" applyNumberFormat="1" applyFont="1" applyFill="1" applyBorder="1"/>
    <xf numFmtId="164" fontId="6" fillId="0" borderId="0" xfId="12" applyNumberFormat="1" applyFont="1" applyFill="1" applyBorder="1"/>
    <xf numFmtId="167" fontId="0" fillId="0" borderId="0" xfId="12" applyNumberFormat="1" applyFont="1" applyFill="1" applyBorder="1"/>
    <xf numFmtId="167" fontId="6" fillId="0" borderId="0" xfId="12" applyNumberFormat="1" applyFont="1" applyFill="1" applyBorder="1"/>
    <xf numFmtId="178" fontId="6" fillId="0" borderId="0" xfId="12" applyNumberFormat="1" applyFont="1" applyFill="1" applyBorder="1"/>
    <xf numFmtId="170" fontId="6" fillId="0" borderId="0" xfId="12" applyNumberFormat="1" applyFont="1" applyFill="1" applyBorder="1"/>
    <xf numFmtId="179" fontId="6" fillId="0" borderId="0" xfId="12" applyNumberFormat="1" applyFont="1" applyFill="1" applyBorder="1"/>
    <xf numFmtId="170" fontId="0" fillId="0" borderId="0" xfId="12" applyNumberFormat="1" applyFont="1" applyFill="1" applyBorder="1"/>
    <xf numFmtId="167" fontId="0" fillId="0" borderId="0" xfId="12" applyNumberFormat="1" applyFont="1" applyFill="1" applyBorder="1"/>
    <xf numFmtId="167" fontId="0" fillId="9" borderId="0" xfId="0" applyNumberFormat="1" applyFont="1" applyFill="1" applyBorder="1" applyAlignment="1">
      <alignment horizontal="left" indent="1"/>
    </xf>
    <xf numFmtId="0" fontId="4" fillId="4" borderId="9" xfId="6" applyNumberFormat="1" applyFont="1" applyFill="1" applyBorder="1" applyAlignment="1">
      <alignment horizontal="left"/>
    </xf>
    <xf numFmtId="166" fontId="6" fillId="0" borderId="0" xfId="12" applyNumberFormat="1" applyFont="1" applyFill="1" applyBorder="1"/>
    <xf numFmtId="166" fontId="0" fillId="0" borderId="0" xfId="12" applyNumberFormat="1" applyFont="1" applyFill="1" applyBorder="1"/>
    <xf numFmtId="180" fontId="3" fillId="9" borderId="0" xfId="0" applyNumberFormat="1" applyFont="1" applyFill="1" applyBorder="1"/>
    <xf numFmtId="0" fontId="29" fillId="5" borderId="0" xfId="10" applyNumberFormat="1" applyFont="1" applyFill="1" applyBorder="1" applyAlignment="1">
      <alignment horizontal="center"/>
    </xf>
    <xf numFmtId="181" fontId="3" fillId="5" borderId="0" xfId="10" applyNumberFormat="1" applyFont="1" applyFill="1" applyBorder="1" applyAlignment="1">
      <alignment horizontal="right"/>
    </xf>
    <xf numFmtId="166" fontId="0" fillId="9" borderId="0" xfId="0" applyNumberFormat="1" applyFont="1" applyFill="1" applyBorder="1" applyAlignment="1">
      <alignment horizontal="left" indent="2"/>
    </xf>
    <xf numFmtId="166" fontId="30" fillId="9" borderId="0" xfId="0" applyNumberFormat="1" applyFont="1" applyFill="1" applyBorder="1" applyAlignment="1">
      <alignment horizontal="left" indent="1"/>
    </xf>
    <xf numFmtId="166" fontId="28" fillId="6" borderId="0" xfId="0" applyNumberFormat="1" applyFont="1" applyFill="1" applyBorder="1"/>
    <xf numFmtId="166" fontId="28" fillId="9" borderId="0" xfId="0" applyNumberFormat="1" applyFont="1" applyFill="1" applyBorder="1"/>
    <xf numFmtId="166" fontId="30" fillId="9" borderId="0" xfId="0" applyNumberFormat="1" applyFont="1" applyFill="1" applyBorder="1"/>
    <xf numFmtId="166" fontId="28" fillId="0" borderId="0" xfId="0" applyNumberFormat="1" applyFont="1" applyFill="1" applyBorder="1"/>
    <xf numFmtId="169" fontId="30" fillId="9" borderId="0" xfId="0" applyNumberFormat="1" applyFont="1" applyFill="1" applyBorder="1" applyAlignment="1">
      <alignment horizontal="left" indent="1"/>
    </xf>
    <xf numFmtId="169" fontId="28" fillId="6" borderId="0" xfId="0" applyNumberFormat="1" applyFont="1" applyFill="1" applyBorder="1"/>
    <xf numFmtId="169" fontId="28" fillId="9" borderId="0" xfId="0" applyNumberFormat="1" applyFont="1" applyFill="1" applyBorder="1"/>
    <xf numFmtId="169" fontId="30" fillId="9" borderId="0" xfId="0" applyNumberFormat="1" applyFont="1" applyFill="1" applyBorder="1"/>
    <xf numFmtId="169" fontId="28" fillId="0" borderId="0" xfId="0" applyNumberFormat="1" applyFont="1" applyFill="1" applyBorder="1"/>
    <xf numFmtId="169" fontId="30" fillId="9" borderId="0" xfId="1" applyNumberFormat="1" applyFont="1" applyFill="1" applyBorder="1"/>
    <xf numFmtId="167" fontId="21" fillId="9" borderId="0" xfId="0" applyNumberFormat="1" applyFont="1" applyFill="1" applyBorder="1" applyAlignment="1">
      <alignment horizontal="left" indent="1"/>
    </xf>
    <xf numFmtId="167" fontId="28" fillId="6" borderId="0" xfId="0" applyNumberFormat="1" applyFont="1" applyFill="1" applyBorder="1" applyAlignment="1">
      <alignment horizontal="left" indent="1"/>
    </xf>
    <xf numFmtId="167" fontId="21" fillId="0" borderId="0" xfId="0" applyNumberFormat="1" applyFont="1" applyFill="1" applyBorder="1" applyAlignment="1">
      <alignment horizontal="left" indent="1"/>
    </xf>
    <xf numFmtId="167" fontId="26" fillId="9" borderId="0" xfId="1" applyNumberFormat="1" applyFont="1" applyFill="1" applyBorder="1"/>
    <xf numFmtId="167" fontId="25" fillId="9" borderId="0" xfId="0" applyNumberFormat="1" applyFont="1" applyFill="1" applyBorder="1" applyAlignment="1">
      <alignment horizontal="right"/>
    </xf>
    <xf numFmtId="167" fontId="25" fillId="0" borderId="0" xfId="0" applyNumberFormat="1" applyFont="1" applyFill="1" applyBorder="1"/>
    <xf numFmtId="167" fontId="25" fillId="9" borderId="7" xfId="0" applyNumberFormat="1" applyFont="1" applyFill="1" applyBorder="1" applyAlignment="1">
      <alignment horizontal="left" indent="1"/>
    </xf>
    <xf numFmtId="167" fontId="26" fillId="9" borderId="7" xfId="1" applyNumberFormat="1" applyFont="1" applyFill="1" applyBorder="1"/>
    <xf numFmtId="167" fontId="30" fillId="9" borderId="0" xfId="0" applyNumberFormat="1" applyFont="1" applyFill="1" applyBorder="1" applyAlignment="1">
      <alignment horizontal="left" indent="1"/>
    </xf>
    <xf numFmtId="167" fontId="28" fillId="6" borderId="0" xfId="0" applyNumberFormat="1" applyFont="1" applyFill="1" applyBorder="1"/>
    <xf numFmtId="167" fontId="28" fillId="9" borderId="0" xfId="0" applyNumberFormat="1" applyFont="1" applyFill="1" applyBorder="1"/>
    <xf numFmtId="167" fontId="30" fillId="9" borderId="0" xfId="0" applyNumberFormat="1" applyFont="1" applyFill="1" applyBorder="1"/>
    <xf numFmtId="167" fontId="28" fillId="6" borderId="0" xfId="0" applyNumberFormat="1" applyFont="1" applyFill="1" applyBorder="1" applyAlignment="1">
      <alignment horizontal="center"/>
    </xf>
    <xf numFmtId="167" fontId="28" fillId="0" borderId="0" xfId="0" applyNumberFormat="1" applyFont="1" applyFill="1" applyBorder="1"/>
    <xf numFmtId="167" fontId="23" fillId="9" borderId="0" xfId="8" applyNumberFormat="1" applyFont="1" applyFill="1" applyBorder="1"/>
    <xf numFmtId="167" fontId="27" fillId="9" borderId="0" xfId="0" applyNumberFormat="1" applyFont="1" applyFill="1" applyBorder="1"/>
    <xf numFmtId="164" fontId="23" fillId="9" borderId="0" xfId="8" applyNumberFormat="1" applyFont="1" applyFill="1" applyBorder="1"/>
    <xf numFmtId="164" fontId="31" fillId="10" borderId="0" xfId="12" applyNumberFormat="1" applyFont="1" applyFill="1" applyBorder="1"/>
    <xf numFmtId="167" fontId="24" fillId="10" borderId="0" xfId="12" applyNumberFormat="1" applyFont="1" applyFill="1" applyBorder="1"/>
    <xf numFmtId="167" fontId="32" fillId="10" borderId="0" xfId="12" applyNumberFormat="1" applyFont="1" applyFill="1" applyBorder="1"/>
    <xf numFmtId="164" fontId="24" fillId="10" borderId="0" xfId="12" applyNumberFormat="1" applyFont="1" applyFill="1" applyBorder="1"/>
    <xf numFmtId="164" fontId="26" fillId="9" borderId="0" xfId="12" applyNumberFormat="1" applyFont="1" applyFill="1" applyBorder="1" applyAlignment="1">
      <alignment horizontal="center"/>
    </xf>
    <xf numFmtId="169" fontId="25" fillId="6" borderId="0" xfId="12" applyNumberFormat="1" applyFont="1" applyFill="1" applyBorder="1"/>
    <xf numFmtId="166" fontId="25" fillId="6" borderId="7" xfId="12" applyNumberFormat="1" applyFont="1" applyFill="1" applyBorder="1"/>
    <xf numFmtId="166" fontId="25" fillId="9" borderId="7" xfId="12" applyNumberFormat="1" applyFont="1" applyFill="1" applyBorder="1"/>
    <xf numFmtId="166" fontId="27" fillId="6" borderId="0" xfId="12" applyNumberFormat="1" applyFont="1" applyFill="1" applyBorder="1"/>
    <xf numFmtId="166" fontId="27" fillId="9" borderId="0" xfId="12" applyNumberFormat="1" applyFont="1" applyFill="1" applyBorder="1"/>
    <xf numFmtId="167" fontId="27" fillId="9" borderId="0" xfId="0" applyNumberFormat="1" applyFont="1" applyFill="1" applyBorder="1" applyAlignment="1">
      <alignment horizontal="right"/>
    </xf>
    <xf numFmtId="167" fontId="27" fillId="6" borderId="0" xfId="12" applyNumberFormat="1" applyFont="1" applyFill="1" applyBorder="1" applyAlignment="1">
      <alignment horizontal="right"/>
    </xf>
    <xf numFmtId="167" fontId="27" fillId="9" borderId="0" xfId="12" applyNumberFormat="1" applyFont="1" applyFill="1" applyBorder="1" applyAlignment="1">
      <alignment horizontal="right"/>
    </xf>
    <xf numFmtId="166" fontId="27" fillId="9" borderId="0" xfId="0" applyNumberFormat="1" applyFont="1" applyFill="1" applyBorder="1"/>
    <xf numFmtId="169" fontId="25" fillId="9" borderId="0" xfId="12" applyNumberFormat="1" applyFont="1" applyFill="1" applyBorder="1"/>
    <xf numFmtId="167" fontId="25" fillId="6" borderId="0" xfId="12" applyNumberFormat="1" applyFont="1" applyFill="1" applyBorder="1" applyAlignment="1">
      <alignment horizontal="center"/>
    </xf>
    <xf numFmtId="167" fontId="25" fillId="9" borderId="0" xfId="12" applyNumberFormat="1" applyFont="1" applyFill="1" applyBorder="1" applyAlignment="1">
      <alignment horizontal="center"/>
    </xf>
    <xf numFmtId="167" fontId="27" fillId="9" borderId="0" xfId="12" applyNumberFormat="1" applyFont="1" applyFill="1" applyBorder="1" applyAlignment="1">
      <alignment horizontal="center"/>
    </xf>
    <xf numFmtId="167" fontId="27" fillId="6" borderId="0" xfId="12" applyNumberFormat="1" applyFont="1" applyFill="1" applyBorder="1"/>
    <xf numFmtId="167" fontId="25" fillId="6" borderId="7" xfId="12" applyNumberFormat="1" applyFont="1" applyFill="1" applyBorder="1" applyAlignment="1">
      <alignment horizontal="right"/>
    </xf>
    <xf numFmtId="167" fontId="25" fillId="9" borderId="7" xfId="12" applyNumberFormat="1" applyFont="1" applyFill="1" applyBorder="1" applyAlignment="1">
      <alignment horizontal="right"/>
    </xf>
    <xf numFmtId="167" fontId="25" fillId="6" borderId="0" xfId="12" applyNumberFormat="1" applyFont="1" applyFill="1" applyBorder="1" applyAlignment="1">
      <alignment horizontal="right"/>
    </xf>
    <xf numFmtId="167" fontId="25" fillId="9" borderId="0" xfId="12" applyNumberFormat="1" applyFont="1" applyFill="1" applyBorder="1" applyAlignment="1">
      <alignment horizontal="right"/>
    </xf>
    <xf numFmtId="178" fontId="25" fillId="6" borderId="0" xfId="12" applyNumberFormat="1" applyFont="1" applyFill="1" applyBorder="1" applyAlignment="1">
      <alignment horizontal="right"/>
    </xf>
    <xf numFmtId="178" fontId="25" fillId="9" borderId="0" xfId="12" applyNumberFormat="1" applyFont="1" applyFill="1" applyBorder="1" applyAlignment="1">
      <alignment horizontal="right"/>
    </xf>
    <xf numFmtId="170" fontId="25" fillId="9" borderId="0" xfId="12" applyNumberFormat="1" applyFont="1" applyFill="1" applyBorder="1" applyAlignment="1">
      <alignment horizontal="right"/>
    </xf>
    <xf numFmtId="170" fontId="25" fillId="9" borderId="0" xfId="12" applyNumberFormat="1" applyFont="1" applyFill="1" applyBorder="1"/>
    <xf numFmtId="179" fontId="25" fillId="9" borderId="0" xfId="12" applyNumberFormat="1" applyFont="1" applyFill="1" applyBorder="1" applyAlignment="1">
      <alignment horizontal="right"/>
    </xf>
    <xf numFmtId="170" fontId="27" fillId="6" borderId="0" xfId="12" applyNumberFormat="1" applyFont="1" applyFill="1" applyBorder="1" applyAlignment="1">
      <alignment horizontal="right"/>
    </xf>
    <xf numFmtId="170" fontId="27" fillId="9" borderId="0" xfId="12" applyNumberFormat="1" applyFont="1" applyFill="1" applyBorder="1" applyAlignment="1">
      <alignment horizontal="right"/>
    </xf>
    <xf numFmtId="170" fontId="27" fillId="9" borderId="0" xfId="12" applyNumberFormat="1" applyFont="1" applyFill="1" applyBorder="1"/>
    <xf numFmtId="172" fontId="2" fillId="9" borderId="0" xfId="1" applyNumberFormat="1" applyFont="1" applyFill="1" applyBorder="1"/>
    <xf numFmtId="170" fontId="2" fillId="9" borderId="0" xfId="0" applyNumberFormat="1" applyFont="1" applyFill="1" applyBorder="1"/>
    <xf numFmtId="167" fontId="6" fillId="6" borderId="0" xfId="0" applyNumberFormat="1" applyFont="1" applyFill="1" applyBorder="1" applyAlignment="1">
      <alignment horizontal="right"/>
    </xf>
    <xf numFmtId="167" fontId="14" fillId="6" borderId="0" xfId="0" applyNumberFormat="1" applyFont="1" applyFill="1" applyBorder="1" applyAlignment="1">
      <alignment horizontal="right"/>
    </xf>
    <xf numFmtId="167" fontId="6" fillId="0" borderId="0" xfId="0" applyNumberFormat="1" applyFont="1" applyFill="1" applyBorder="1"/>
    <xf numFmtId="167" fontId="6" fillId="9" borderId="0" xfId="0" applyNumberFormat="1" applyFont="1" applyFill="1" applyBorder="1" applyAlignment="1">
      <alignment horizontal="right"/>
    </xf>
    <xf numFmtId="167" fontId="6" fillId="9" borderId="0" xfId="0" applyNumberFormat="1" applyFont="1" applyFill="1" applyBorder="1" applyAlignment="1">
      <alignment horizontal="left"/>
    </xf>
    <xf numFmtId="14" fontId="8" fillId="4" borderId="9" xfId="10" applyNumberFormat="1" applyFont="1" applyFill="1" applyBorder="1" applyAlignment="1">
      <alignment horizontal="center"/>
    </xf>
    <xf numFmtId="0" fontId="8" fillId="4" borderId="9" xfId="10" applyNumberFormat="1" applyFont="1" applyFill="1" applyBorder="1" applyAlignment="1">
      <alignment horizontal="center"/>
    </xf>
    <xf numFmtId="0" fontId="2" fillId="4" borderId="9" xfId="10" applyNumberFormat="1" applyFont="1" applyFill="1" applyBorder="1" applyAlignment="1">
      <alignment horizontal="center"/>
    </xf>
    <xf numFmtId="0" fontId="4" fillId="4" borderId="9" xfId="6" applyNumberFormat="1" applyFont="1" applyFill="1" applyBorder="1" applyAlignment="1">
      <alignment horizontal="left"/>
    </xf>
    <xf numFmtId="167" fontId="6" fillId="9" borderId="0" xfId="0" applyNumberFormat="1" applyFont="1" applyFill="1" applyBorder="1" applyAlignment="1">
      <alignment horizontal="left" indent="2"/>
    </xf>
    <xf numFmtId="167" fontId="25" fillId="9" borderId="0" xfId="0" applyNumberFormat="1" applyFont="1" applyFill="1" applyBorder="1" applyAlignment="1">
      <alignment horizontal="left" indent="2"/>
    </xf>
    <xf numFmtId="167" fontId="25" fillId="9" borderId="0" xfId="0" applyNumberFormat="1" applyFont="1" applyFill="1" applyBorder="1" applyAlignment="1">
      <alignment horizontal="left" indent="1"/>
    </xf>
    <xf numFmtId="167" fontId="6" fillId="9" borderId="0" xfId="0" applyNumberFormat="1" applyFont="1" applyFill="1" applyBorder="1" applyAlignment="1">
      <alignment horizontal="left" indent="1"/>
    </xf>
    <xf numFmtId="166" fontId="0" fillId="9" borderId="0" xfId="0" applyNumberFormat="1" applyFont="1" applyFill="1" applyBorder="1" applyAlignment="1">
      <alignment horizontal="left"/>
    </xf>
    <xf numFmtId="177" fontId="6" fillId="9" borderId="0" xfId="0" applyNumberFormat="1" applyFont="1" applyFill="1" applyBorder="1" applyAlignment="1">
      <alignment horizontal="left"/>
    </xf>
    <xf numFmtId="167" fontId="28" fillId="9" borderId="0" xfId="0" applyNumberFormat="1" applyFont="1" applyFill="1" applyBorder="1" applyAlignment="1">
      <alignment horizontal="left" indent="3"/>
    </xf>
    <xf numFmtId="166" fontId="28" fillId="9" borderId="0" xfId="0" applyNumberFormat="1" applyFont="1" applyFill="1" applyBorder="1" applyAlignment="1">
      <alignment horizontal="left" indent="3"/>
    </xf>
    <xf numFmtId="169" fontId="28" fillId="9" borderId="0" xfId="0" applyNumberFormat="1" applyFont="1" applyFill="1" applyBorder="1" applyAlignment="1">
      <alignment horizontal="left" indent="3"/>
    </xf>
    <xf numFmtId="167" fontId="9" fillId="9" borderId="0" xfId="0" applyNumberFormat="1" applyFont="1" applyFill="1" applyBorder="1" applyAlignment="1">
      <alignment horizontal="right"/>
    </xf>
    <xf numFmtId="166" fontId="9" fillId="9" borderId="0" xfId="0" applyNumberFormat="1" applyFont="1" applyFill="1" applyBorder="1"/>
    <xf numFmtId="167" fontId="28" fillId="9" borderId="0" xfId="0" applyNumberFormat="1" applyFont="1" applyFill="1" applyBorder="1" applyAlignment="1">
      <alignment horizontal="left" indent="1"/>
    </xf>
    <xf numFmtId="167" fontId="14" fillId="9" borderId="0" xfId="0" applyNumberFormat="1" applyFont="1" applyFill="1" applyBorder="1"/>
    <xf numFmtId="169" fontId="25" fillId="9" borderId="0" xfId="0" applyNumberFormat="1" applyFont="1" applyFill="1" applyBorder="1"/>
    <xf numFmtId="169" fontId="25" fillId="9" borderId="0" xfId="1" applyNumberFormat="1" applyFont="1" applyFill="1" applyBorder="1"/>
    <xf numFmtId="172" fontId="9" fillId="9" borderId="0" xfId="0" applyNumberFormat="1" applyFont="1" applyFill="1" applyBorder="1"/>
    <xf numFmtId="14" fontId="16" fillId="5" borderId="0" xfId="10" applyNumberFormat="1" applyFont="1" applyFill="1" applyBorder="1"/>
    <xf numFmtId="167" fontId="6" fillId="0" borderId="0" xfId="0" applyNumberFormat="1" applyFont="1" applyFill="1" applyBorder="1" applyAlignment="1">
      <alignment horizontal="left" indent="1"/>
    </xf>
    <xf numFmtId="166" fontId="25" fillId="6" borderId="0" xfId="12" applyNumberFormat="1" applyFont="1" applyFill="1" applyBorder="1"/>
    <xf numFmtId="166" fontId="25" fillId="9" borderId="0" xfId="12" applyNumberFormat="1" applyFont="1" applyFill="1" applyBorder="1"/>
    <xf numFmtId="166" fontId="0" fillId="0" borderId="0" xfId="12" applyNumberFormat="1" applyFont="1" applyFill="1" applyBorder="1"/>
    <xf numFmtId="164" fontId="27" fillId="9" borderId="0" xfId="0" applyNumberFormat="1" applyFont="1" applyFill="1" applyBorder="1" applyAlignment="1">
      <alignment horizontal="left" indent="3"/>
    </xf>
    <xf numFmtId="164" fontId="27" fillId="0" borderId="0" xfId="0" applyNumberFormat="1" applyFont="1" applyFill="1" applyBorder="1"/>
    <xf numFmtId="0" fontId="0" fillId="0" borderId="0" xfId="0" applyNumberFormat="1" applyFont="1" applyFill="1" applyBorder="1"/>
    <xf numFmtId="0" fontId="7" fillId="0" borderId="0" xfId="0" applyNumberFormat="1" applyFont="1" applyFill="1" applyBorder="1" applyAlignment="1">
      <alignment horizontal="left"/>
    </xf>
    <xf numFmtId="0" fontId="7" fillId="0" borderId="0" xfId="0" applyNumberFormat="1" applyFont="1" applyFill="1" applyBorder="1" applyAlignment="1">
      <alignment horizontal="center"/>
    </xf>
    <xf numFmtId="0" fontId="0" fillId="0" borderId="0" xfId="0" applyNumberFormat="1" applyFont="1" applyFill="1" applyBorder="1"/>
    <xf numFmtId="0" fontId="35" fillId="0" borderId="0" xfId="0" applyNumberFormat="1" applyFont="1" applyFill="1" applyBorder="1"/>
    <xf numFmtId="0" fontId="6" fillId="0" borderId="0" xfId="0" applyNumberFormat="1" applyFont="1" applyFill="1" applyBorder="1"/>
    <xf numFmtId="0" fontId="21" fillId="0" borderId="0" xfId="0" applyNumberFormat="1" applyFont="1" applyFill="1" applyBorder="1"/>
    <xf numFmtId="167" fontId="0" fillId="0" borderId="0" xfId="0" applyNumberFormat="1" applyFont="1" applyFill="1" applyBorder="1"/>
    <xf numFmtId="0" fontId="0" fillId="0" borderId="0" xfId="0" applyNumberFormat="1" applyFont="1" applyFill="1" applyBorder="1" applyAlignment="1">
      <alignment horizontal="left"/>
    </xf>
    <xf numFmtId="0" fontId="9" fillId="0" borderId="0" xfId="0" applyNumberFormat="1" applyFont="1" applyFill="1" applyBorder="1"/>
    <xf numFmtId="17" fontId="34" fillId="9" borderId="0" xfId="12" applyNumberFormat="1" applyFont="1" applyFill="1" applyBorder="1" applyAlignment="1">
      <alignment horizontal="center"/>
    </xf>
    <xf numFmtId="0" fontId="2" fillId="4" borderId="9" xfId="10" applyNumberFormat="1" applyFont="1" applyFill="1" applyBorder="1" applyAlignment="1">
      <alignment horizontal="center"/>
    </xf>
    <xf numFmtId="0" fontId="36" fillId="9" borderId="0" xfId="0" applyNumberFormat="1" applyFont="1" applyFill="1" applyBorder="1"/>
    <xf numFmtId="166" fontId="27" fillId="9" borderId="7" xfId="0" applyNumberFormat="1" applyFont="1" applyFill="1" applyBorder="1"/>
    <xf numFmtId="166" fontId="27" fillId="6" borderId="7" xfId="0" applyNumberFormat="1" applyFont="1" applyFill="1" applyBorder="1"/>
    <xf numFmtId="17" fontId="2" fillId="9" borderId="0" xfId="0" applyNumberFormat="1" applyFont="1" applyFill="1" applyBorder="1" applyAlignment="1">
      <alignment horizontal="center"/>
    </xf>
    <xf numFmtId="182" fontId="3" fillId="5" borderId="0" xfId="10" applyNumberFormat="1" applyFont="1" applyFill="1" applyBorder="1" applyAlignment="1">
      <alignment horizontal="right"/>
    </xf>
    <xf numFmtId="171" fontId="0" fillId="9" borderId="0" xfId="0" applyNumberFormat="1" applyFont="1" applyFill="1" applyBorder="1"/>
    <xf numFmtId="168" fontId="37" fillId="9" borderId="0" xfId="6" applyNumberFormat="1" applyFont="1" applyFill="1" applyBorder="1" applyAlignment="1">
      <alignment horizontal="left"/>
    </xf>
    <xf numFmtId="0" fontId="25" fillId="9" borderId="0" xfId="0" applyNumberFormat="1" applyFont="1" applyFill="1" applyBorder="1"/>
    <xf numFmtId="0" fontId="28" fillId="9" borderId="0" xfId="0" applyNumberFormat="1" applyFont="1" applyFill="1" applyBorder="1"/>
    <xf numFmtId="0" fontId="27" fillId="9" borderId="0" xfId="0" applyNumberFormat="1" applyFont="1" applyFill="1" applyBorder="1" applyAlignment="1">
      <alignment horizontal="left"/>
    </xf>
    <xf numFmtId="0" fontId="27" fillId="9" borderId="0" xfId="0" applyNumberFormat="1" applyFont="1" applyFill="1" applyBorder="1"/>
    <xf numFmtId="0" fontId="27" fillId="9" borderId="0" xfId="0" applyNumberFormat="1" applyFont="1" applyFill="1" applyBorder="1" applyAlignment="1">
      <alignment horizontal="right"/>
    </xf>
    <xf numFmtId="0" fontId="27" fillId="9" borderId="0" xfId="0" applyNumberFormat="1" applyFont="1" applyFill="1" applyBorder="1" applyAlignment="1">
      <alignment horizontal="center"/>
    </xf>
    <xf numFmtId="0" fontId="24" fillId="10" borderId="0" xfId="0" applyNumberFormat="1" applyFont="1" applyFill="1" applyBorder="1" applyAlignment="1">
      <alignment horizontal="left"/>
    </xf>
    <xf numFmtId="0" fontId="24" fillId="10" borderId="0" xfId="0" applyNumberFormat="1" applyFont="1" applyFill="1" applyBorder="1" applyAlignment="1">
      <alignment horizontal="centerContinuous"/>
    </xf>
    <xf numFmtId="0" fontId="24" fillId="10" borderId="0" xfId="0" applyNumberFormat="1" applyFont="1" applyFill="1" applyBorder="1" applyAlignment="1">
      <alignment horizontal="center"/>
    </xf>
    <xf numFmtId="167" fontId="24" fillId="10" borderId="0" xfId="0" applyNumberFormat="1" applyFont="1" applyFill="1" applyBorder="1" applyAlignment="1">
      <alignment horizontal="center"/>
    </xf>
    <xf numFmtId="0" fontId="27" fillId="3" borderId="0" xfId="0" applyNumberFormat="1" applyFont="1" applyFill="1" applyBorder="1"/>
    <xf numFmtId="0" fontId="28" fillId="3" borderId="0" xfId="0" applyNumberFormat="1" applyFont="1" applyFill="1" applyBorder="1"/>
    <xf numFmtId="167" fontId="27" fillId="3" borderId="0" xfId="0" applyNumberFormat="1" applyFont="1" applyFill="1" applyBorder="1"/>
    <xf numFmtId="167" fontId="27" fillId="3" borderId="0" xfId="0" applyNumberFormat="1" applyFont="1" applyFill="1" applyBorder="1" applyAlignment="1">
      <alignment horizontal="right"/>
    </xf>
    <xf numFmtId="14" fontId="27" fillId="3" borderId="0" xfId="0" applyNumberFormat="1" applyFont="1" applyFill="1" applyBorder="1" applyAlignment="1">
      <alignment horizontal="left"/>
    </xf>
    <xf numFmtId="164" fontId="27" fillId="3" borderId="0" xfId="0" applyNumberFormat="1" applyFont="1" applyFill="1" applyBorder="1"/>
    <xf numFmtId="164" fontId="27" fillId="3" borderId="0" xfId="0" applyNumberFormat="1" applyFont="1" applyFill="1" applyBorder="1" applyAlignment="1">
      <alignment horizontal="right"/>
    </xf>
    <xf numFmtId="169" fontId="27" fillId="3" borderId="0" xfId="0" applyNumberFormat="1" applyFont="1" applyFill="1" applyBorder="1"/>
    <xf numFmtId="169" fontId="27" fillId="3" borderId="0" xfId="0" applyNumberFormat="1" applyFont="1" applyFill="1" applyBorder="1" applyAlignment="1">
      <alignment horizontal="right"/>
    </xf>
    <xf numFmtId="0" fontId="24" fillId="9" borderId="0" xfId="0" applyNumberFormat="1" applyFont="1" applyFill="1" applyBorder="1" applyAlignment="1">
      <alignment horizontal="left"/>
    </xf>
    <xf numFmtId="0" fontId="24" fillId="9" borderId="0" xfId="0" applyNumberFormat="1" applyFont="1" applyFill="1" applyBorder="1" applyAlignment="1">
      <alignment horizontal="center"/>
    </xf>
    <xf numFmtId="0" fontId="25" fillId="3" borderId="0" xfId="0" applyNumberFormat="1" applyFont="1" applyFill="1" applyBorder="1"/>
    <xf numFmtId="167" fontId="25" fillId="3" borderId="0" xfId="0" applyNumberFormat="1" applyFont="1" applyFill="1" applyBorder="1" applyAlignment="1">
      <alignment horizontal="right"/>
    </xf>
    <xf numFmtId="164" fontId="25" fillId="3" borderId="0" xfId="0" applyNumberFormat="1" applyFont="1" applyFill="1" applyBorder="1" applyAlignment="1">
      <alignment horizontal="right"/>
    </xf>
    <xf numFmtId="169" fontId="25" fillId="3" borderId="0" xfId="0" applyNumberFormat="1" applyFont="1" applyFill="1" applyBorder="1" applyAlignment="1">
      <alignment horizontal="right"/>
    </xf>
    <xf numFmtId="167" fontId="25" fillId="9" borderId="0" xfId="0" applyNumberFormat="1" applyFont="1" applyFill="1" applyBorder="1"/>
    <xf numFmtId="0" fontId="39" fillId="9" borderId="0" xfId="0" applyNumberFormat="1" applyFont="1" applyFill="1" applyBorder="1"/>
    <xf numFmtId="164" fontId="26" fillId="9" borderId="0" xfId="12" applyNumberFormat="1" applyFont="1" applyFill="1" applyBorder="1" applyAlignment="1">
      <alignment horizontal="left"/>
    </xf>
    <xf numFmtId="164" fontId="34" fillId="9" borderId="0" xfId="12" applyNumberFormat="1" applyFont="1" applyFill="1" applyBorder="1" applyAlignment="1">
      <alignment horizontal="center"/>
    </xf>
    <xf numFmtId="164" fontId="25" fillId="9" borderId="0" xfId="12" applyNumberFormat="1" applyFont="1" applyFill="1" applyBorder="1" applyAlignment="1">
      <alignment horizontal="left"/>
    </xf>
    <xf numFmtId="164" fontId="27" fillId="9" borderId="0" xfId="12" applyNumberFormat="1" applyFont="1" applyFill="1" applyBorder="1" applyAlignment="1">
      <alignment horizontal="left" indent="1"/>
    </xf>
    <xf numFmtId="164" fontId="27" fillId="9" borderId="0" xfId="12" applyNumberFormat="1" applyFont="1" applyFill="1" applyBorder="1" applyAlignment="1">
      <alignment horizontal="left" indent="3"/>
    </xf>
    <xf numFmtId="166" fontId="25" fillId="9" borderId="7" xfId="12" applyNumberFormat="1" applyFont="1" applyFill="1" applyBorder="1" applyAlignment="1">
      <alignment horizontal="left"/>
    </xf>
    <xf numFmtId="166" fontId="25" fillId="9" borderId="7" xfId="12" applyNumberFormat="1" applyFont="1" applyFill="1" applyBorder="1" applyAlignment="1">
      <alignment horizontal="left" indent="3"/>
    </xf>
    <xf numFmtId="166" fontId="27" fillId="9" borderId="0" xfId="12" applyNumberFormat="1" applyFont="1" applyFill="1" applyBorder="1" applyAlignment="1">
      <alignment horizontal="left" indent="1"/>
    </xf>
    <xf numFmtId="166" fontId="27" fillId="9" borderId="0" xfId="12" applyNumberFormat="1" applyFont="1" applyFill="1" applyBorder="1" applyAlignment="1">
      <alignment horizontal="left" indent="3"/>
    </xf>
    <xf numFmtId="164" fontId="25" fillId="9" borderId="0" xfId="12" applyNumberFormat="1" applyFont="1" applyFill="1" applyBorder="1" applyAlignment="1">
      <alignment horizontal="left" indent="3"/>
    </xf>
    <xf numFmtId="167" fontId="27" fillId="9" borderId="0" xfId="0" applyNumberFormat="1" applyFont="1" applyFill="1" applyBorder="1" applyAlignment="1">
      <alignment horizontal="left" indent="1"/>
    </xf>
    <xf numFmtId="167" fontId="23" fillId="9" borderId="0" xfId="1" applyNumberFormat="1" applyFont="1" applyFill="1" applyBorder="1"/>
    <xf numFmtId="167" fontId="25" fillId="9" borderId="7" xfId="0" applyNumberFormat="1" applyFont="1" applyFill="1" applyBorder="1" applyAlignment="1">
      <alignment horizontal="left"/>
    </xf>
    <xf numFmtId="167" fontId="27" fillId="9" borderId="0" xfId="12" applyNumberFormat="1" applyFont="1" applyFill="1" applyBorder="1" applyAlignment="1">
      <alignment horizontal="left"/>
    </xf>
    <xf numFmtId="167" fontId="23" fillId="9" borderId="0" xfId="3" applyNumberFormat="1" applyFont="1" applyFill="1" applyBorder="1"/>
    <xf numFmtId="166" fontId="27" fillId="9" borderId="0" xfId="0" applyNumberFormat="1" applyFont="1" applyFill="1" applyBorder="1" applyAlignment="1">
      <alignment horizontal="left" indent="1"/>
    </xf>
    <xf numFmtId="166" fontId="27" fillId="9" borderId="0" xfId="0" applyNumberFormat="1" applyFont="1" applyFill="1" applyBorder="1" applyAlignment="1">
      <alignment horizontal="left" indent="3"/>
    </xf>
    <xf numFmtId="166" fontId="25" fillId="9" borderId="7" xfId="0" applyNumberFormat="1" applyFont="1" applyFill="1" applyBorder="1" applyAlignment="1">
      <alignment horizontal="left"/>
    </xf>
    <xf numFmtId="166" fontId="25" fillId="9" borderId="7" xfId="0" applyNumberFormat="1" applyFont="1" applyFill="1" applyBorder="1" applyAlignment="1">
      <alignment horizontal="left" indent="3"/>
    </xf>
    <xf numFmtId="164" fontId="27" fillId="9" borderId="0" xfId="12" applyNumberFormat="1" applyFont="1" applyFill="1" applyBorder="1" applyAlignment="1">
      <alignment horizontal="left" indent="4"/>
    </xf>
    <xf numFmtId="166" fontId="25" fillId="9" borderId="0" xfId="12" applyNumberFormat="1" applyFont="1" applyFill="1" applyBorder="1" applyAlignment="1">
      <alignment horizontal="left"/>
    </xf>
    <xf numFmtId="166" fontId="25" fillId="9" borderId="0" xfId="12" applyNumberFormat="1" applyFont="1" applyFill="1" applyBorder="1" applyAlignment="1">
      <alignment horizontal="left" indent="3"/>
    </xf>
    <xf numFmtId="169" fontId="26" fillId="9" borderId="0" xfId="3" applyNumberFormat="1" applyFont="1" applyFill="1" applyBorder="1"/>
    <xf numFmtId="169" fontId="25" fillId="9" borderId="0" xfId="12" applyNumberFormat="1" applyFont="1" applyFill="1" applyBorder="1" applyAlignment="1">
      <alignment horizontal="left" indent="3"/>
    </xf>
    <xf numFmtId="167" fontId="27" fillId="9" borderId="0" xfId="12" applyNumberFormat="1" applyFont="1" applyFill="1" applyBorder="1"/>
    <xf numFmtId="167" fontId="27" fillId="9" borderId="0" xfId="12" applyNumberFormat="1" applyFont="1" applyFill="1" applyBorder="1" applyAlignment="1">
      <alignment horizontal="left" indent="1"/>
    </xf>
    <xf numFmtId="167" fontId="25" fillId="9" borderId="7" xfId="12" applyNumberFormat="1" applyFont="1" applyFill="1" applyBorder="1" applyAlignment="1">
      <alignment horizontal="left"/>
    </xf>
    <xf numFmtId="167" fontId="26" fillId="9" borderId="7" xfId="3" applyNumberFormat="1" applyFont="1" applyFill="1" applyBorder="1"/>
    <xf numFmtId="167" fontId="25" fillId="9" borderId="0" xfId="12" applyNumberFormat="1" applyFont="1" applyFill="1" applyBorder="1" applyAlignment="1">
      <alignment horizontal="left"/>
    </xf>
    <xf numFmtId="167" fontId="26" fillId="9" borderId="0" xfId="3" applyNumberFormat="1" applyFont="1" applyFill="1" applyBorder="1"/>
    <xf numFmtId="178" fontId="25" fillId="9" borderId="0" xfId="12" applyNumberFormat="1" applyFont="1" applyFill="1" applyBorder="1" applyAlignment="1">
      <alignment horizontal="left"/>
    </xf>
    <xf numFmtId="178" fontId="26" fillId="9" borderId="0" xfId="3" applyNumberFormat="1" applyFont="1" applyFill="1" applyBorder="1"/>
    <xf numFmtId="170" fontId="26" fillId="9" borderId="0" xfId="12" applyNumberFormat="1" applyFont="1" applyFill="1" applyBorder="1"/>
    <xf numFmtId="170" fontId="25" fillId="9" borderId="0" xfId="12" applyNumberFormat="1" applyFont="1" applyFill="1" applyBorder="1" applyAlignment="1">
      <alignment horizontal="left" indent="3"/>
    </xf>
    <xf numFmtId="179" fontId="25" fillId="9" borderId="0" xfId="12" applyNumberFormat="1" applyFont="1" applyFill="1" applyBorder="1" applyAlignment="1">
      <alignment horizontal="left"/>
    </xf>
    <xf numFmtId="179" fontId="26" fillId="9" borderId="0" xfId="3" applyNumberFormat="1" applyFont="1" applyFill="1" applyBorder="1"/>
    <xf numFmtId="166" fontId="26" fillId="9" borderId="0" xfId="3" applyNumberFormat="1" applyFont="1" applyFill="1" applyBorder="1"/>
    <xf numFmtId="170" fontId="23" fillId="9" borderId="0" xfId="12" applyNumberFormat="1" applyFont="1" applyFill="1" applyBorder="1"/>
    <xf numFmtId="170" fontId="27" fillId="9" borderId="0" xfId="12" applyNumberFormat="1" applyFont="1" applyFill="1" applyBorder="1" applyAlignment="1">
      <alignment horizontal="left" indent="3"/>
    </xf>
    <xf numFmtId="0" fontId="27" fillId="9" borderId="0" xfId="12" applyNumberFormat="1" applyFont="1" applyFill="1" applyBorder="1"/>
    <xf numFmtId="164" fontId="23" fillId="9" borderId="11" xfId="8" applyNumberFormat="1" applyFont="1" applyFill="1" applyBorder="1"/>
    <xf numFmtId="164" fontId="27" fillId="9" borderId="11" xfId="0" applyNumberFormat="1" applyFont="1" applyFill="1" applyBorder="1"/>
    <xf numFmtId="164" fontId="6" fillId="9" borderId="12" xfId="0" applyNumberFormat="1" applyFont="1" applyFill="1" applyBorder="1"/>
    <xf numFmtId="185" fontId="0" fillId="0" borderId="0" xfId="0" applyNumberFormat="1" applyFont="1" applyFill="1" applyBorder="1"/>
    <xf numFmtId="166" fontId="0" fillId="0" borderId="0" xfId="0" applyNumberFormat="1" applyFont="1" applyFill="1" applyBorder="1"/>
    <xf numFmtId="185" fontId="9" fillId="9" borderId="0" xfId="0" applyNumberFormat="1" applyFont="1" applyFill="1" applyBorder="1"/>
    <xf numFmtId="185" fontId="0" fillId="9" borderId="0" xfId="0" applyNumberFormat="1" applyFont="1" applyFill="1" applyBorder="1"/>
    <xf numFmtId="164" fontId="0" fillId="9" borderId="0" xfId="0" applyNumberFormat="1" applyFont="1" applyFill="1" applyBorder="1" applyAlignment="1">
      <alignment horizontal="left" indent="1"/>
    </xf>
    <xf numFmtId="0" fontId="0" fillId="9" borderId="0" xfId="0" applyNumberFormat="1" applyFont="1" applyFill="1" applyBorder="1"/>
    <xf numFmtId="166" fontId="0" fillId="9" borderId="0" xfId="0" applyNumberFormat="1" applyFont="1" applyFill="1" applyBorder="1" applyAlignment="1">
      <alignment horizontal="left" indent="1"/>
    </xf>
    <xf numFmtId="166" fontId="0" fillId="9" borderId="0" xfId="0" applyNumberFormat="1" applyFont="1" applyFill="1" applyBorder="1"/>
    <xf numFmtId="166" fontId="0" fillId="9" borderId="11" xfId="0" applyNumberFormat="1" applyFont="1" applyFill="1" applyBorder="1" applyAlignment="1">
      <alignment horizontal="left" indent="1"/>
    </xf>
    <xf numFmtId="166" fontId="0" fillId="9" borderId="11" xfId="0" applyNumberFormat="1" applyFont="1" applyFill="1" applyBorder="1"/>
    <xf numFmtId="0" fontId="32" fillId="10" borderId="0" xfId="0" applyNumberFormat="1" applyFont="1" applyFill="1" applyBorder="1"/>
    <xf numFmtId="164" fontId="24" fillId="10" borderId="0" xfId="0" applyNumberFormat="1" applyFont="1" applyFill="1" applyBorder="1" applyAlignment="1">
      <alignment horizontal="left"/>
    </xf>
    <xf numFmtId="164" fontId="24" fillId="10" borderId="0" xfId="0" applyNumberFormat="1" applyFont="1" applyFill="1" applyBorder="1" applyAlignment="1">
      <alignment horizontal="left" indent="3"/>
    </xf>
    <xf numFmtId="164" fontId="40" fillId="9" borderId="0" xfId="0" applyNumberFormat="1" applyFont="1" applyFill="1" applyBorder="1" applyAlignment="1">
      <alignment horizontal="left" indent="1"/>
    </xf>
    <xf numFmtId="167" fontId="40" fillId="6" borderId="0" xfId="0" applyNumberFormat="1" applyFont="1" applyFill="1" applyBorder="1"/>
    <xf numFmtId="167" fontId="40" fillId="9" borderId="0" xfId="0" applyNumberFormat="1" applyFont="1" applyFill="1" applyBorder="1"/>
    <xf numFmtId="167" fontId="41" fillId="9" borderId="0" xfId="0" applyNumberFormat="1" applyFont="1" applyFill="1" applyBorder="1"/>
    <xf numFmtId="167" fontId="41" fillId="6" borderId="0" xfId="0" applyNumberFormat="1" applyFont="1" applyFill="1" applyBorder="1"/>
    <xf numFmtId="0" fontId="6" fillId="9" borderId="0" xfId="0" applyNumberFormat="1" applyFont="1" applyFill="1" applyBorder="1"/>
    <xf numFmtId="167" fontId="0" fillId="9" borderId="0" xfId="0" applyNumberFormat="1" applyFont="1" applyFill="1" applyBorder="1"/>
    <xf numFmtId="164" fontId="27" fillId="9" borderId="13" xfId="0" applyNumberFormat="1" applyFont="1" applyFill="1" applyBorder="1"/>
    <xf numFmtId="164" fontId="27" fillId="9" borderId="14" xfId="0" applyNumberFormat="1" applyFont="1" applyFill="1" applyBorder="1"/>
    <xf numFmtId="164" fontId="23" fillId="9" borderId="15" xfId="8" applyNumberFormat="1" applyFont="1" applyFill="1" applyBorder="1" applyAlignment="1">
      <alignment horizontal="left" indent="1"/>
    </xf>
    <xf numFmtId="164" fontId="23" fillId="9" borderId="16" xfId="8" applyNumberFormat="1" applyFont="1" applyFill="1" applyBorder="1" applyAlignment="1">
      <alignment horizontal="left" indent="1"/>
    </xf>
    <xf numFmtId="167" fontId="25" fillId="9" borderId="0" xfId="12" applyNumberFormat="1" applyFont="1" applyFill="1" applyBorder="1"/>
    <xf numFmtId="178" fontId="25" fillId="9" borderId="0" xfId="12" applyNumberFormat="1" applyFont="1" applyFill="1" applyBorder="1"/>
    <xf numFmtId="179" fontId="25" fillId="9" borderId="0" xfId="12" applyNumberFormat="1" applyFont="1" applyFill="1" applyBorder="1"/>
    <xf numFmtId="14" fontId="8" fillId="4" borderId="17" xfId="10" applyNumberFormat="1" applyFont="1" applyFill="1" applyBorder="1" applyAlignment="1">
      <alignment horizontal="center"/>
    </xf>
    <xf numFmtId="0" fontId="8" fillId="4" borderId="17" xfId="10" applyNumberFormat="1" applyFont="1" applyFill="1" applyBorder="1" applyAlignment="1">
      <alignment horizontal="center"/>
    </xf>
    <xf numFmtId="0" fontId="2" fillId="4" borderId="17" xfId="10" applyNumberFormat="1" applyFont="1" applyFill="1" applyBorder="1" applyAlignment="1">
      <alignment horizontal="center"/>
    </xf>
    <xf numFmtId="0" fontId="4" fillId="4" borderId="17" xfId="6" applyNumberFormat="1" applyFont="1" applyFill="1" applyBorder="1" applyAlignment="1">
      <alignment horizontal="left"/>
    </xf>
    <xf numFmtId="0" fontId="8" fillId="4" borderId="18" xfId="10" applyNumberFormat="1" applyFont="1" applyFill="1" applyBorder="1" applyAlignment="1">
      <alignment horizontal="center"/>
    </xf>
    <xf numFmtId="14" fontId="8" fillId="4" borderId="19" xfId="10" applyNumberFormat="1" applyFont="1" applyFill="1" applyBorder="1" applyAlignment="1">
      <alignment horizontal="center"/>
    </xf>
    <xf numFmtId="169" fontId="27" fillId="9" borderId="0" xfId="0" applyNumberFormat="1" applyFont="1" applyFill="1" applyBorder="1"/>
    <xf numFmtId="169" fontId="23" fillId="9" borderId="0" xfId="1" applyNumberFormat="1" applyFont="1" applyFill="1" applyBorder="1"/>
    <xf numFmtId="14" fontId="8" fillId="4" borderId="20" xfId="10" applyNumberFormat="1" applyFont="1" applyFill="1" applyBorder="1" applyAlignment="1">
      <alignment horizontal="center"/>
    </xf>
    <xf numFmtId="0" fontId="8" fillId="4" borderId="21" xfId="10" applyNumberFormat="1" applyFont="1" applyFill="1" applyBorder="1" applyAlignment="1">
      <alignment horizontal="center"/>
    </xf>
    <xf numFmtId="0" fontId="2" fillId="4" borderId="21" xfId="10" applyNumberFormat="1" applyFont="1" applyFill="1" applyBorder="1" applyAlignment="1">
      <alignment horizontal="center"/>
    </xf>
    <xf numFmtId="0" fontId="4" fillId="4" borderId="22" xfId="6" applyNumberFormat="1" applyFont="1" applyFill="1" applyBorder="1" applyAlignment="1">
      <alignment horizontal="left"/>
    </xf>
    <xf numFmtId="164" fontId="0" fillId="0" borderId="0" xfId="0" applyNumberFormat="1" applyFont="1" applyFill="1" applyBorder="1"/>
    <xf numFmtId="166" fontId="27" fillId="9" borderId="0" xfId="0" applyNumberFormat="1" applyFont="1" applyFill="1" applyBorder="1" applyAlignment="1">
      <alignment horizontal="left" indent="2"/>
    </xf>
    <xf numFmtId="0" fontId="2" fillId="4" borderId="21" xfId="10" applyNumberFormat="1" applyFont="1" applyFill="1" applyBorder="1" applyAlignment="1">
      <alignment horizontal="center"/>
    </xf>
    <xf numFmtId="186" fontId="9" fillId="9" borderId="0" xfId="0" applyNumberFormat="1" applyFont="1" applyFill="1" applyBorder="1"/>
    <xf numFmtId="164" fontId="27" fillId="9" borderId="12" xfId="0" applyNumberFormat="1" applyFont="1" applyFill="1" applyBorder="1"/>
    <xf numFmtId="164" fontId="23" fillId="9" borderId="12" xfId="8" applyNumberFormat="1" applyFont="1" applyFill="1" applyBorder="1"/>
    <xf numFmtId="164" fontId="27" fillId="9" borderId="23" xfId="0" applyNumberFormat="1" applyFont="1" applyFill="1" applyBorder="1"/>
    <xf numFmtId="165" fontId="26" fillId="9" borderId="24" xfId="8" applyNumberFormat="1" applyFont="1" applyFill="1" applyBorder="1" applyAlignment="1">
      <alignment horizontal="left"/>
    </xf>
    <xf numFmtId="165" fontId="23" fillId="9" borderId="15" xfId="8" applyNumberFormat="1" applyFont="1" applyFill="1" applyBorder="1" applyAlignment="1">
      <alignment horizontal="left"/>
    </xf>
    <xf numFmtId="17" fontId="23" fillId="9" borderId="0" xfId="8" applyNumberFormat="1" applyFont="1" applyFill="1" applyBorder="1"/>
    <xf numFmtId="17" fontId="27" fillId="9" borderId="0" xfId="0" applyNumberFormat="1" applyFont="1" applyFill="1" applyBorder="1"/>
    <xf numFmtId="17" fontId="27" fillId="9" borderId="13" xfId="0" applyNumberFormat="1" applyFont="1" applyFill="1" applyBorder="1"/>
    <xf numFmtId="185" fontId="23" fillId="9" borderId="15" xfId="8" applyNumberFormat="1" applyFont="1" applyFill="1" applyBorder="1" applyAlignment="1">
      <alignment horizontal="left" indent="1"/>
    </xf>
    <xf numFmtId="185" fontId="27" fillId="9" borderId="0" xfId="0" applyNumberFormat="1" applyFont="1" applyFill="1" applyBorder="1"/>
    <xf numFmtId="185" fontId="23" fillId="9" borderId="0" xfId="8" applyNumberFormat="1" applyFont="1" applyFill="1" applyBorder="1"/>
    <xf numFmtId="185" fontId="27" fillId="9" borderId="13" xfId="0" applyNumberFormat="1" applyFont="1" applyFill="1" applyBorder="1"/>
    <xf numFmtId="185" fontId="0" fillId="0" borderId="0" xfId="0" applyNumberFormat="1" applyFont="1" applyFill="1" applyBorder="1"/>
    <xf numFmtId="185" fontId="23" fillId="9" borderId="15" xfId="8" applyNumberFormat="1" applyFont="1" applyFill="1" applyBorder="1" applyAlignment="1">
      <alignment horizontal="left" indent="2"/>
    </xf>
    <xf numFmtId="186" fontId="23" fillId="9" borderId="15" xfId="8" applyNumberFormat="1" applyFont="1" applyFill="1" applyBorder="1" applyAlignment="1">
      <alignment horizontal="left" indent="1"/>
    </xf>
    <xf numFmtId="186" fontId="0" fillId="9" borderId="0" xfId="0" applyNumberFormat="1" applyFont="1" applyFill="1" applyBorder="1"/>
    <xf numFmtId="186" fontId="0" fillId="0" borderId="0" xfId="0" applyNumberFormat="1" applyFont="1" applyFill="1" applyBorder="1"/>
    <xf numFmtId="186" fontId="23" fillId="9" borderId="15" xfId="8" applyNumberFormat="1" applyFont="1" applyFill="1" applyBorder="1" applyAlignment="1">
      <alignment horizontal="left" indent="2"/>
    </xf>
    <xf numFmtId="185" fontId="0" fillId="9" borderId="0" xfId="0" applyNumberFormat="1" applyFont="1" applyFill="1" applyBorder="1" applyAlignment="1">
      <alignment horizontal="left" indent="1"/>
    </xf>
    <xf numFmtId="185" fontId="0" fillId="6" borderId="0" xfId="0" applyNumberFormat="1" applyFont="1" applyFill="1" applyBorder="1" applyAlignment="1">
      <alignment horizontal="right"/>
    </xf>
    <xf numFmtId="185" fontId="0" fillId="9" borderId="0" xfId="0" applyNumberFormat="1" applyFont="1" applyFill="1" applyBorder="1" applyAlignment="1">
      <alignment horizontal="right"/>
    </xf>
    <xf numFmtId="185" fontId="27" fillId="6" borderId="0" xfId="0" applyNumberFormat="1" applyFont="1" applyFill="1" applyBorder="1"/>
    <xf numFmtId="186" fontId="0" fillId="9" borderId="0" xfId="0" applyNumberFormat="1" applyFont="1" applyFill="1" applyBorder="1" applyAlignment="1">
      <alignment horizontal="left" indent="1"/>
    </xf>
    <xf numFmtId="186" fontId="0" fillId="6" borderId="0" xfId="0" applyNumberFormat="1" applyFont="1" applyFill="1" applyBorder="1" applyAlignment="1">
      <alignment horizontal="right"/>
    </xf>
    <xf numFmtId="186" fontId="0" fillId="9" borderId="0" xfId="0" applyNumberFormat="1" applyFont="1" applyFill="1" applyBorder="1" applyAlignment="1">
      <alignment horizontal="right"/>
    </xf>
    <xf numFmtId="186" fontId="27" fillId="6" borderId="0" xfId="0" applyNumberFormat="1" applyFont="1" applyFill="1" applyBorder="1"/>
    <xf numFmtId="185" fontId="14" fillId="9" borderId="0" xfId="0" applyNumberFormat="1" applyFont="1" applyFill="1" applyBorder="1" applyAlignment="1">
      <alignment horizontal="left"/>
    </xf>
    <xf numFmtId="185" fontId="6" fillId="6" borderId="0" xfId="0" applyNumberFormat="1" applyFont="1" applyFill="1" applyBorder="1" applyAlignment="1">
      <alignment horizontal="right"/>
    </xf>
    <xf numFmtId="185" fontId="6" fillId="9" borderId="0" xfId="0" applyNumberFormat="1" applyFont="1" applyFill="1" applyBorder="1" applyAlignment="1">
      <alignment horizontal="right"/>
    </xf>
    <xf numFmtId="185" fontId="25" fillId="6" borderId="0" xfId="0" applyNumberFormat="1" applyFont="1" applyFill="1" applyBorder="1"/>
    <xf numFmtId="185" fontId="6" fillId="9" borderId="0" xfId="0" applyNumberFormat="1" applyFont="1" applyFill="1" applyBorder="1"/>
    <xf numFmtId="185" fontId="6" fillId="0" borderId="0" xfId="0" applyNumberFormat="1" applyFont="1" applyFill="1" applyBorder="1"/>
    <xf numFmtId="0" fontId="4" fillId="0" borderId="14" xfId="6" applyNumberFormat="1" applyFont="1" applyFill="1" applyBorder="1"/>
    <xf numFmtId="0" fontId="2" fillId="4" borderId="18" xfId="10" applyNumberFormat="1" applyFont="1" applyFill="1" applyBorder="1" applyAlignment="1">
      <alignment horizontal="center"/>
    </xf>
    <xf numFmtId="0" fontId="2" fillId="4" borderId="21" xfId="10" applyNumberFormat="1" applyFont="1" applyFill="1" applyBorder="1" applyAlignment="1">
      <alignment horizontal="center"/>
    </xf>
    <xf numFmtId="0" fontId="38" fillId="3" borderId="0" xfId="6" applyFont="1" applyFill="1"/>
    <xf numFmtId="0" fontId="4" fillId="0" borderId="14" xfId="6" applyBorder="1"/>
    <xf numFmtId="166" fontId="27" fillId="9" borderId="7" xfId="0" applyNumberFormat="1" applyFont="1" applyFill="1" applyBorder="1" applyAlignment="1">
      <alignment horizontal="left" indent="1"/>
    </xf>
    <xf numFmtId="166" fontId="27" fillId="9" borderId="7" xfId="0" applyNumberFormat="1" applyFont="1" applyFill="1" applyBorder="1" applyAlignment="1">
      <alignment horizontal="left" indent="3"/>
    </xf>
    <xf numFmtId="166" fontId="25" fillId="9" borderId="0" xfId="0" applyNumberFormat="1" applyFont="1" applyFill="1" applyBorder="1" applyAlignment="1">
      <alignment horizontal="left"/>
    </xf>
    <xf numFmtId="166" fontId="25" fillId="9" borderId="0" xfId="0" applyNumberFormat="1" applyFont="1" applyFill="1" applyBorder="1" applyAlignment="1">
      <alignment horizontal="left" indent="3"/>
    </xf>
    <xf numFmtId="164" fontId="25" fillId="9" borderId="0" xfId="0" applyNumberFormat="1" applyFont="1" applyFill="1" applyBorder="1" applyAlignment="1">
      <alignment horizontal="left"/>
    </xf>
    <xf numFmtId="164" fontId="25" fillId="9" borderId="0" xfId="0" applyNumberFormat="1" applyFont="1" applyFill="1" applyBorder="1" applyAlignment="1">
      <alignment horizontal="left" indent="3"/>
    </xf>
    <xf numFmtId="164" fontId="27" fillId="9" borderId="0" xfId="0" applyNumberFormat="1" applyFont="1" applyFill="1" applyBorder="1" applyAlignment="1">
      <alignment horizontal="left" indent="1"/>
    </xf>
    <xf numFmtId="164" fontId="30" fillId="9" borderId="0" xfId="0" applyNumberFormat="1" applyFont="1" applyFill="1" applyBorder="1" applyAlignment="1">
      <alignment horizontal="left" indent="1"/>
    </xf>
    <xf numFmtId="164" fontId="28" fillId="9" borderId="0" xfId="0" applyNumberFormat="1" applyFont="1" applyFill="1" applyBorder="1" applyAlignment="1">
      <alignment horizontal="left" indent="3"/>
    </xf>
    <xf numFmtId="166" fontId="25" fillId="9" borderId="10" xfId="0" applyNumberFormat="1" applyFont="1" applyFill="1" applyBorder="1" applyAlignment="1">
      <alignment horizontal="left"/>
    </xf>
    <xf numFmtId="166" fontId="25" fillId="9" borderId="10" xfId="0" applyNumberFormat="1" applyFont="1" applyFill="1" applyBorder="1" applyAlignment="1">
      <alignment horizontal="left" indent="3"/>
    </xf>
    <xf numFmtId="167" fontId="25" fillId="9" borderId="0" xfId="0" applyNumberFormat="1" applyFont="1" applyFill="1" applyBorder="1" applyAlignment="1">
      <alignment horizontal="left" indent="3"/>
    </xf>
    <xf numFmtId="166" fontId="0" fillId="6" borderId="0" xfId="0" applyNumberFormat="1" applyFont="1" applyFill="1" applyBorder="1" applyAlignment="1">
      <alignment horizontal="right"/>
    </xf>
    <xf numFmtId="166" fontId="0" fillId="9" borderId="0" xfId="0" applyNumberFormat="1" applyFont="1" applyFill="1" applyBorder="1" applyAlignment="1">
      <alignment horizontal="right"/>
    </xf>
    <xf numFmtId="166" fontId="6" fillId="6" borderId="7" xfId="0" applyNumberFormat="1" applyFont="1" applyFill="1" applyBorder="1" applyAlignment="1">
      <alignment horizontal="right"/>
    </xf>
    <xf numFmtId="166" fontId="6" fillId="9" borderId="7" xfId="0" applyNumberFormat="1" applyFont="1" applyFill="1" applyBorder="1" applyAlignment="1">
      <alignment horizontal="right"/>
    </xf>
    <xf numFmtId="166" fontId="6" fillId="6" borderId="0" xfId="0" applyNumberFormat="1" applyFont="1" applyFill="1" applyBorder="1" applyAlignment="1">
      <alignment horizontal="right"/>
    </xf>
    <xf numFmtId="166" fontId="6" fillId="9" borderId="0" xfId="0" applyNumberFormat="1" applyFont="1" applyFill="1" applyBorder="1" applyAlignment="1">
      <alignment horizontal="right"/>
    </xf>
    <xf numFmtId="167" fontId="21" fillId="9" borderId="0" xfId="0" applyNumberFormat="1" applyFont="1" applyFill="1" applyBorder="1"/>
    <xf numFmtId="167" fontId="21" fillId="0" borderId="0" xfId="0" applyNumberFormat="1" applyFont="1" applyFill="1" applyBorder="1"/>
    <xf numFmtId="166" fontId="23" fillId="9" borderId="0" xfId="1" applyNumberFormat="1" applyFont="1" applyFill="1" applyBorder="1"/>
    <xf numFmtId="166" fontId="27" fillId="6" borderId="0" xfId="0" applyNumberFormat="1" applyFont="1" applyFill="1" applyBorder="1" applyAlignment="1">
      <alignment horizontal="right"/>
    </xf>
    <xf numFmtId="166" fontId="27" fillId="9" borderId="0" xfId="0" applyNumberFormat="1" applyFont="1" applyFill="1" applyBorder="1" applyAlignment="1">
      <alignment horizontal="right"/>
    </xf>
    <xf numFmtId="167" fontId="30" fillId="9" borderId="0" xfId="1" applyNumberFormat="1" applyFont="1" applyFill="1" applyBorder="1"/>
    <xf numFmtId="167" fontId="28" fillId="6" borderId="0" xfId="0" applyNumberFormat="1" applyFont="1" applyFill="1" applyBorder="1" applyAlignment="1">
      <alignment horizontal="right"/>
    </xf>
    <xf numFmtId="167" fontId="28" fillId="9" borderId="0" xfId="0" applyNumberFormat="1" applyFont="1" applyFill="1" applyBorder="1" applyAlignment="1">
      <alignment horizontal="right"/>
    </xf>
    <xf numFmtId="167" fontId="45" fillId="9" borderId="0" xfId="0" applyNumberFormat="1" applyFont="1" applyFill="1" applyBorder="1" applyAlignment="1">
      <alignment horizontal="right"/>
    </xf>
    <xf numFmtId="167" fontId="45" fillId="6" borderId="0" xfId="0" applyNumberFormat="1" applyFont="1" applyFill="1" applyBorder="1" applyAlignment="1">
      <alignment horizontal="right"/>
    </xf>
    <xf numFmtId="166" fontId="26" fillId="9" borderId="7" xfId="1" applyNumberFormat="1" applyFont="1" applyFill="1" applyBorder="1"/>
    <xf numFmtId="166" fontId="25" fillId="6" borderId="7" xfId="0" applyNumberFormat="1" applyFont="1" applyFill="1" applyBorder="1" applyAlignment="1">
      <alignment horizontal="right"/>
    </xf>
    <xf numFmtId="166" fontId="25" fillId="9" borderId="7" xfId="0" applyNumberFormat="1" applyFont="1" applyFill="1" applyBorder="1" applyAlignment="1">
      <alignment horizontal="right"/>
    </xf>
    <xf numFmtId="187" fontId="19" fillId="5" borderId="0" xfId="10" applyNumberFormat="1" applyFont="1" applyFill="1" applyBorder="1" applyAlignment="1">
      <alignment horizontal="center" vertical="center"/>
    </xf>
    <xf numFmtId="0" fontId="6" fillId="9" borderId="0" xfId="0" applyNumberFormat="1" applyFont="1" applyFill="1" applyBorder="1" applyAlignment="1">
      <alignment horizontal="center"/>
    </xf>
    <xf numFmtId="167" fontId="27" fillId="9" borderId="2" xfId="0" applyNumberFormat="1" applyFont="1" applyFill="1" applyBorder="1" applyAlignment="1">
      <alignment horizontal="right"/>
    </xf>
    <xf numFmtId="166" fontId="0" fillId="9" borderId="2" xfId="0" applyNumberFormat="1" applyFont="1" applyFill="1" applyBorder="1" applyAlignment="1">
      <alignment horizontal="right"/>
    </xf>
    <xf numFmtId="167" fontId="27" fillId="9" borderId="2" xfId="0" applyNumberFormat="1" applyFont="1" applyFill="1" applyBorder="1" applyAlignment="1">
      <alignment horizontal="left" indent="1"/>
    </xf>
    <xf numFmtId="166" fontId="27" fillId="9" borderId="10" xfId="0" applyNumberFormat="1" applyFont="1" applyFill="1" applyBorder="1"/>
    <xf numFmtId="164" fontId="27" fillId="9" borderId="25" xfId="0" applyNumberFormat="1" applyFont="1" applyFill="1" applyBorder="1"/>
    <xf numFmtId="166" fontId="27" fillId="9" borderId="2" xfId="12" applyNumberFormat="1" applyFont="1" applyFill="1" applyBorder="1"/>
    <xf numFmtId="166" fontId="27" fillId="9" borderId="2" xfId="0" applyNumberFormat="1" applyFont="1" applyFill="1" applyBorder="1" applyAlignment="1">
      <alignment horizontal="right"/>
    </xf>
    <xf numFmtId="167" fontId="27" fillId="9" borderId="2" xfId="12" applyNumberFormat="1" applyFont="1" applyFill="1" applyBorder="1" applyAlignment="1">
      <alignment horizontal="right"/>
    </xf>
    <xf numFmtId="167" fontId="23" fillId="9" borderId="2" xfId="1" applyNumberFormat="1" applyFont="1" applyFill="1" applyBorder="1"/>
    <xf numFmtId="166" fontId="27" fillId="9" borderId="2" xfId="0" applyNumberFormat="1" applyFont="1" applyFill="1" applyBorder="1" applyAlignment="1">
      <alignment horizontal="left" indent="1"/>
    </xf>
    <xf numFmtId="166" fontId="27" fillId="9" borderId="2" xfId="0" applyNumberFormat="1" applyFont="1" applyFill="1" applyBorder="1" applyAlignment="1">
      <alignment horizontal="left" indent="3"/>
    </xf>
    <xf numFmtId="166" fontId="27" fillId="9" borderId="10" xfId="0" applyNumberFormat="1" applyFont="1" applyFill="1" applyBorder="1" applyAlignment="1">
      <alignment horizontal="left" indent="1"/>
    </xf>
    <xf numFmtId="166" fontId="27" fillId="9" borderId="10" xfId="0" applyNumberFormat="1" applyFont="1" applyFill="1" applyBorder="1" applyAlignment="1">
      <alignment horizontal="left" indent="3"/>
    </xf>
    <xf numFmtId="164" fontId="30" fillId="9" borderId="7" xfId="0" applyNumberFormat="1" applyFont="1" applyFill="1" applyBorder="1" applyAlignment="1">
      <alignment horizontal="left" indent="1"/>
    </xf>
    <xf numFmtId="164" fontId="28" fillId="9" borderId="7" xfId="0" applyNumberFormat="1" applyFont="1" applyFill="1" applyBorder="1" applyAlignment="1">
      <alignment horizontal="left" indent="3"/>
    </xf>
    <xf numFmtId="164" fontId="6" fillId="9" borderId="15" xfId="0" applyNumberFormat="1" applyFont="1" applyFill="1" applyBorder="1"/>
    <xf numFmtId="164" fontId="0" fillId="9" borderId="15" xfId="0" applyNumberFormat="1" applyFont="1" applyFill="1" applyBorder="1"/>
    <xf numFmtId="169" fontId="0" fillId="9" borderId="15" xfId="0" applyNumberFormat="1" applyFont="1" applyFill="1" applyBorder="1"/>
    <xf numFmtId="164" fontId="23" fillId="9" borderId="25" xfId="8" applyNumberFormat="1" applyFont="1" applyFill="1" applyBorder="1" applyAlignment="1">
      <alignment horizontal="left" indent="1"/>
    </xf>
    <xf numFmtId="164" fontId="23" fillId="9" borderId="25" xfId="8" applyNumberFormat="1" applyFont="1" applyFill="1" applyBorder="1"/>
    <xf numFmtId="185" fontId="0" fillId="9" borderId="15" xfId="0" applyNumberFormat="1" applyFont="1" applyFill="1" applyBorder="1"/>
    <xf numFmtId="186" fontId="0" fillId="9" borderId="15" xfId="0" applyNumberFormat="1" applyFont="1" applyFill="1" applyBorder="1"/>
    <xf numFmtId="167" fontId="27" fillId="6" borderId="2" xfId="0" applyNumberFormat="1" applyFont="1" applyFill="1" applyBorder="1" applyAlignment="1">
      <alignment horizontal="right"/>
    </xf>
    <xf numFmtId="166" fontId="0" fillId="6" borderId="2" xfId="0" applyNumberFormat="1" applyFont="1" applyFill="1" applyBorder="1" applyAlignment="1">
      <alignment horizontal="right"/>
    </xf>
    <xf numFmtId="166" fontId="27" fillId="6" borderId="10" xfId="0" applyNumberFormat="1" applyFont="1" applyFill="1" applyBorder="1"/>
    <xf numFmtId="164" fontId="27" fillId="9" borderId="2" xfId="0" applyNumberFormat="1" applyFont="1" applyFill="1" applyBorder="1"/>
    <xf numFmtId="164" fontId="23" fillId="9" borderId="2" xfId="8" applyNumberFormat="1" applyFont="1" applyFill="1" applyBorder="1"/>
    <xf numFmtId="167" fontId="27" fillId="9" borderId="4" xfId="0" applyNumberFormat="1" applyFont="1" applyFill="1" applyBorder="1"/>
    <xf numFmtId="164" fontId="27" fillId="9" borderId="4" xfId="0" applyNumberFormat="1" applyFont="1" applyFill="1" applyBorder="1"/>
    <xf numFmtId="169" fontId="27" fillId="9" borderId="4" xfId="0" applyNumberFormat="1" applyFont="1" applyFill="1" applyBorder="1"/>
    <xf numFmtId="164" fontId="27" fillId="9" borderId="1" xfId="0" applyNumberFormat="1" applyFont="1" applyFill="1" applyBorder="1"/>
    <xf numFmtId="164" fontId="23" fillId="9" borderId="5" xfId="8" applyNumberFormat="1" applyFont="1" applyFill="1" applyBorder="1" applyAlignment="1">
      <alignment horizontal="left" indent="1"/>
    </xf>
    <xf numFmtId="169" fontId="23" fillId="9" borderId="5" xfId="8" applyNumberFormat="1" applyFont="1" applyFill="1" applyBorder="1" applyAlignment="1">
      <alignment horizontal="left" indent="1"/>
    </xf>
    <xf numFmtId="164" fontId="23" fillId="9" borderId="3" xfId="8" applyNumberFormat="1" applyFont="1" applyFill="1" applyBorder="1" applyAlignment="1">
      <alignment horizontal="left" indent="1"/>
    </xf>
    <xf numFmtId="164" fontId="26" fillId="9" borderId="26" xfId="8" applyNumberFormat="1" applyFont="1" applyFill="1" applyBorder="1"/>
    <xf numFmtId="173" fontId="23" fillId="9" borderId="27" xfId="8" applyNumberFormat="1" applyFont="1" applyFill="1" applyBorder="1" applyAlignment="1">
      <alignment horizontal="left" indent="1"/>
    </xf>
    <xf numFmtId="174" fontId="23" fillId="9" borderId="27" xfId="8" applyNumberFormat="1" applyFont="1" applyFill="1" applyBorder="1" applyAlignment="1">
      <alignment horizontal="left" indent="1"/>
    </xf>
    <xf numFmtId="175" fontId="23" fillId="9" borderId="27" xfId="8" applyNumberFormat="1" applyFont="1" applyFill="1" applyBorder="1" applyAlignment="1">
      <alignment horizontal="left" indent="1"/>
    </xf>
    <xf numFmtId="164" fontId="26" fillId="9" borderId="8" xfId="8" applyNumberFormat="1" applyFont="1" applyFill="1" applyBorder="1"/>
    <xf numFmtId="164" fontId="27" fillId="9" borderId="2" xfId="12" applyNumberFormat="1" applyFont="1" applyFill="1" applyBorder="1" applyAlignment="1">
      <alignment horizontal="left" indent="1"/>
    </xf>
    <xf numFmtId="164" fontId="27" fillId="9" borderId="2" xfId="12" applyNumberFormat="1" applyFont="1" applyFill="1" applyBorder="1" applyAlignment="1">
      <alignment horizontal="left" indent="3"/>
    </xf>
    <xf numFmtId="166" fontId="27" fillId="9" borderId="2" xfId="12" applyNumberFormat="1" applyFont="1" applyFill="1" applyBorder="1" applyAlignment="1">
      <alignment horizontal="left" indent="1"/>
    </xf>
    <xf numFmtId="166" fontId="27" fillId="9" borderId="2" xfId="12" applyNumberFormat="1" applyFont="1" applyFill="1" applyBorder="1" applyAlignment="1">
      <alignment horizontal="left" indent="3"/>
    </xf>
    <xf numFmtId="166" fontId="27" fillId="6" borderId="2" xfId="12" applyNumberFormat="1" applyFont="1" applyFill="1" applyBorder="1"/>
    <xf numFmtId="166" fontId="23" fillId="9" borderId="2" xfId="1" applyNumberFormat="1" applyFont="1" applyFill="1" applyBorder="1"/>
    <xf numFmtId="166" fontId="27" fillId="6" borderId="2" xfId="0" applyNumberFormat="1" applyFont="1" applyFill="1" applyBorder="1" applyAlignment="1">
      <alignment horizontal="right"/>
    </xf>
    <xf numFmtId="167" fontId="27" fillId="9" borderId="2" xfId="12" applyNumberFormat="1" applyFont="1" applyFill="1" applyBorder="1" applyAlignment="1">
      <alignment horizontal="left" indent="1"/>
    </xf>
    <xf numFmtId="167" fontId="23" fillId="9" borderId="2" xfId="3" applyNumberFormat="1" applyFont="1" applyFill="1" applyBorder="1"/>
    <xf numFmtId="167" fontId="27" fillId="6" borderId="2" xfId="12" applyNumberFormat="1" applyFont="1" applyFill="1" applyBorder="1" applyAlignment="1">
      <alignment horizontal="right"/>
    </xf>
    <xf numFmtId="167" fontId="27" fillId="6" borderId="2" xfId="12" applyNumberFormat="1" applyFont="1" applyFill="1" applyBorder="1"/>
    <xf numFmtId="0" fontId="10" fillId="11" borderId="9" xfId="10" applyNumberFormat="1" applyFont="1" applyFill="1" applyBorder="1" applyAlignment="1">
      <alignment horizontal="center"/>
    </xf>
    <xf numFmtId="0" fontId="4" fillId="0" borderId="9" xfId="6" applyBorder="1"/>
    <xf numFmtId="167" fontId="27" fillId="9" borderId="7" xfId="0" applyNumberFormat="1" applyFont="1" applyFill="1" applyBorder="1" applyAlignment="1">
      <alignment horizontal="left" indent="1"/>
    </xf>
    <xf numFmtId="167" fontId="23" fillId="9" borderId="7" xfId="1" applyNumberFormat="1" applyFont="1" applyFill="1" applyBorder="1"/>
    <xf numFmtId="167" fontId="27" fillId="6" borderId="7" xfId="0" applyNumberFormat="1" applyFont="1" applyFill="1" applyBorder="1" applyAlignment="1">
      <alignment horizontal="right"/>
    </xf>
    <xf numFmtId="167" fontId="27" fillId="9" borderId="7" xfId="0" applyNumberFormat="1" applyFont="1" applyFill="1" applyBorder="1" applyAlignment="1">
      <alignment horizontal="right"/>
    </xf>
    <xf numFmtId="167" fontId="0" fillId="9" borderId="0" xfId="0" applyNumberFormat="1" applyFont="1" applyFill="1" applyBorder="1" applyAlignment="1">
      <alignment horizontal="left" indent="2"/>
    </xf>
    <xf numFmtId="167" fontId="27" fillId="9" borderId="0" xfId="0" applyNumberFormat="1" applyFont="1" applyFill="1" applyBorder="1" applyAlignment="1">
      <alignment horizontal="left" indent="2"/>
    </xf>
    <xf numFmtId="167" fontId="0" fillId="9" borderId="7" xfId="0" applyNumberFormat="1" applyFont="1" applyFill="1" applyBorder="1" applyAlignment="1">
      <alignment horizontal="left" indent="1"/>
    </xf>
    <xf numFmtId="167" fontId="0" fillId="6" borderId="7" xfId="0" applyNumberFormat="1" applyFont="1" applyFill="1" applyBorder="1" applyAlignment="1">
      <alignment horizontal="right"/>
    </xf>
    <xf numFmtId="167" fontId="0" fillId="9" borderId="7" xfId="0" applyNumberFormat="1" applyFont="1" applyFill="1" applyBorder="1" applyAlignment="1">
      <alignment horizontal="right"/>
    </xf>
    <xf numFmtId="166" fontId="26" fillId="9" borderId="0" xfId="1" applyNumberFormat="1" applyFont="1" applyFill="1" applyBorder="1"/>
    <xf numFmtId="166" fontId="25" fillId="6" borderId="0" xfId="0" applyNumberFormat="1" applyFont="1" applyFill="1" applyBorder="1" applyAlignment="1">
      <alignment horizontal="right"/>
    </xf>
    <xf numFmtId="166" fontId="25" fillId="9" borderId="0" xfId="0" applyNumberFormat="1" applyFont="1" applyFill="1" applyBorder="1" applyAlignment="1">
      <alignment horizontal="right"/>
    </xf>
    <xf numFmtId="167" fontId="6" fillId="6" borderId="0" xfId="0" applyNumberFormat="1" applyFont="1" applyFill="1" applyBorder="1" applyAlignment="1">
      <alignment horizontal="left" indent="1"/>
    </xf>
    <xf numFmtId="167" fontId="25" fillId="6" borderId="0" xfId="0" applyNumberFormat="1" applyFont="1" applyFill="1" applyBorder="1" applyAlignment="1">
      <alignment horizontal="left" indent="1"/>
    </xf>
    <xf numFmtId="169" fontId="6" fillId="9" borderId="0" xfId="0" applyNumberFormat="1" applyFont="1" applyFill="1" applyBorder="1" applyAlignment="1">
      <alignment horizontal="left"/>
    </xf>
    <xf numFmtId="169" fontId="0" fillId="9" borderId="0" xfId="0" applyNumberFormat="1" applyFont="1" applyFill="1" applyBorder="1" applyAlignment="1">
      <alignment horizontal="left" indent="1"/>
    </xf>
    <xf numFmtId="169" fontId="0" fillId="6" borderId="0" xfId="0" applyNumberFormat="1" applyFont="1" applyFill="1" applyBorder="1"/>
    <xf numFmtId="169" fontId="0" fillId="9" borderId="0" xfId="0" applyNumberFormat="1" applyFont="1" applyFill="1" applyBorder="1"/>
    <xf numFmtId="169" fontId="6" fillId="9" borderId="7" xfId="0" applyNumberFormat="1" applyFont="1" applyFill="1" applyBorder="1" applyAlignment="1">
      <alignment horizontal="left"/>
    </xf>
    <xf numFmtId="169" fontId="6" fillId="6" borderId="7" xfId="0" applyNumberFormat="1" applyFont="1" applyFill="1" applyBorder="1"/>
    <xf numFmtId="169" fontId="6" fillId="9" borderId="7" xfId="0" applyNumberFormat="1" applyFont="1" applyFill="1" applyBorder="1"/>
    <xf numFmtId="167" fontId="0" fillId="9" borderId="0" xfId="0" applyNumberFormat="1" applyFont="1" applyFill="1" applyBorder="1" applyAlignment="1">
      <alignment horizontal="left" indent="3"/>
    </xf>
    <xf numFmtId="167" fontId="0" fillId="6" borderId="0" xfId="0" applyNumberFormat="1" applyFont="1" applyFill="1" applyBorder="1"/>
    <xf numFmtId="167" fontId="6" fillId="6" borderId="7" xfId="0" applyNumberFormat="1" applyFont="1" applyFill="1" applyBorder="1"/>
    <xf numFmtId="167" fontId="6" fillId="9" borderId="7" xfId="0" applyNumberFormat="1" applyFont="1" applyFill="1" applyBorder="1"/>
    <xf numFmtId="166" fontId="0" fillId="9" borderId="7" xfId="0" applyNumberFormat="1" applyFont="1" applyFill="1" applyBorder="1" applyAlignment="1">
      <alignment horizontal="left" indent="1"/>
    </xf>
    <xf numFmtId="166" fontId="0" fillId="6" borderId="7" xfId="0" applyNumberFormat="1" applyFont="1" applyFill="1" applyBorder="1" applyAlignment="1">
      <alignment horizontal="right"/>
    </xf>
    <xf numFmtId="166" fontId="0" fillId="9" borderId="7" xfId="0" applyNumberFormat="1" applyFont="1" applyFill="1" applyBorder="1" applyAlignment="1">
      <alignment horizontal="right"/>
    </xf>
    <xf numFmtId="166" fontId="27" fillId="9" borderId="0" xfId="0" applyNumberFormat="1" applyFont="1" applyFill="1" applyBorder="1" applyAlignment="1">
      <alignment horizontal="left"/>
    </xf>
    <xf numFmtId="167" fontId="25" fillId="9" borderId="0" xfId="0" applyNumberFormat="1" applyFont="1" applyFill="1" applyBorder="1" applyAlignment="1">
      <alignment horizontal="left"/>
    </xf>
    <xf numFmtId="167" fontId="27" fillId="9" borderId="0" xfId="0" applyNumberFormat="1" applyFont="1" applyFill="1" applyBorder="1" applyAlignment="1">
      <alignment horizontal="left"/>
    </xf>
    <xf numFmtId="14" fontId="13" fillId="3" borderId="0" xfId="10" applyNumberFormat="1" applyFont="1" applyFill="1" applyBorder="1" applyAlignment="1">
      <alignment horizontal="center" vertical="center"/>
    </xf>
    <xf numFmtId="0" fontId="8" fillId="4" borderId="9" xfId="10" applyNumberFormat="1" applyFont="1" applyFill="1" applyBorder="1" applyAlignment="1">
      <alignment horizontal="left"/>
    </xf>
    <xf numFmtId="0" fontId="8" fillId="4" borderId="18" xfId="10" applyNumberFormat="1" applyFont="1" applyFill="1" applyBorder="1" applyAlignment="1">
      <alignment horizontal="left"/>
    </xf>
    <xf numFmtId="0" fontId="8" fillId="4" borderId="21" xfId="10" applyNumberFormat="1" applyFont="1" applyFill="1" applyBorder="1" applyAlignment="1">
      <alignment horizontal="left"/>
    </xf>
    <xf numFmtId="0" fontId="8" fillId="4" borderId="17" xfId="10" applyNumberFormat="1" applyFont="1" applyFill="1" applyBorder="1" applyAlignment="1">
      <alignment horizontal="left"/>
    </xf>
    <xf numFmtId="0" fontId="4" fillId="0" borderId="17" xfId="6" applyBorder="1"/>
    <xf numFmtId="170" fontId="25" fillId="9" borderId="0" xfId="0" applyNumberFormat="1" applyFont="1" applyFill="1" applyBorder="1" applyAlignment="1">
      <alignment horizontal="right"/>
    </xf>
    <xf numFmtId="166" fontId="0" fillId="6" borderId="11" xfId="0" applyNumberFormat="1" applyFont="1" applyFill="1" applyBorder="1"/>
    <xf numFmtId="166" fontId="27" fillId="9" borderId="11" xfId="0" applyNumberFormat="1" applyFont="1" applyFill="1" applyBorder="1"/>
    <xf numFmtId="166" fontId="27" fillId="6" borderId="11" xfId="0" applyNumberFormat="1" applyFont="1" applyFill="1" applyBorder="1"/>
    <xf numFmtId="172" fontId="3" fillId="9" borderId="0" xfId="1" applyNumberFormat="1" applyFont="1" applyFill="1" applyBorder="1"/>
    <xf numFmtId="185" fontId="14" fillId="9" borderId="0" xfId="0" applyNumberFormat="1" applyFont="1" applyFill="1" applyBorder="1"/>
    <xf numFmtId="185" fontId="14" fillId="6" borderId="0" xfId="0" applyNumberFormat="1" applyFont="1" applyFill="1" applyBorder="1"/>
    <xf numFmtId="164" fontId="3" fillId="9" borderId="6" xfId="8" applyNumberFormat="1" applyFont="1" applyFill="1" applyBorder="1" applyAlignment="1">
      <alignment horizontal="left"/>
    </xf>
    <xf numFmtId="164" fontId="2" fillId="9" borderId="4" xfId="8" applyNumberFormat="1" applyFont="1" applyFill="1" applyBorder="1" applyAlignment="1">
      <alignment horizontal="left" indent="1"/>
    </xf>
    <xf numFmtId="0" fontId="10" fillId="11" borderId="26" xfId="10" applyNumberFormat="1" applyFont="1" applyFill="1" applyBorder="1" applyAlignment="1">
      <alignment horizontal="center"/>
    </xf>
    <xf numFmtId="0" fontId="4" fillId="9" borderId="28" xfId="6" applyFill="1" applyBorder="1"/>
    <xf numFmtId="0" fontId="4" fillId="9" borderId="29" xfId="6" applyFill="1" applyBorder="1"/>
    <xf numFmtId="0" fontId="21" fillId="9" borderId="0" xfId="0" applyNumberFormat="1" applyFont="1" applyFill="1" applyBorder="1"/>
    <xf numFmtId="167" fontId="0" fillId="6" borderId="2" xfId="0" applyNumberFormat="1" applyFont="1" applyFill="1" applyBorder="1"/>
    <xf numFmtId="167" fontId="0" fillId="9" borderId="2" xfId="0" applyNumberFormat="1" applyFont="1" applyFill="1" applyBorder="1"/>
    <xf numFmtId="167" fontId="27" fillId="9" borderId="2" xfId="0" applyNumberFormat="1" applyFont="1" applyFill="1" applyBorder="1" applyAlignment="1">
      <alignment horizontal="left" indent="2"/>
    </xf>
    <xf numFmtId="167" fontId="27" fillId="6" borderId="0" xfId="0" applyNumberFormat="1" applyFont="1" applyFill="1" applyBorder="1"/>
    <xf numFmtId="166" fontId="9" fillId="9" borderId="0" xfId="0" applyNumberFormat="1" applyFont="1" applyFill="1" applyBorder="1" applyAlignment="1">
      <alignment horizontal="right"/>
    </xf>
    <xf numFmtId="166" fontId="9" fillId="6" borderId="0" xfId="0" applyNumberFormat="1" applyFont="1" applyFill="1" applyBorder="1" applyAlignment="1">
      <alignment horizontal="right"/>
    </xf>
    <xf numFmtId="166" fontId="24" fillId="10" borderId="0" xfId="0" applyNumberFormat="1" applyFont="1" applyFill="1" applyBorder="1" applyAlignment="1">
      <alignment horizontal="right"/>
    </xf>
    <xf numFmtId="164" fontId="21" fillId="9" borderId="0" xfId="0" applyNumberFormat="1" applyFont="1" applyFill="1" applyBorder="1" applyAlignment="1">
      <alignment horizontal="left"/>
    </xf>
    <xf numFmtId="167" fontId="21" fillId="6" borderId="0" xfId="0" applyNumberFormat="1" applyFont="1" applyFill="1" applyBorder="1" applyAlignment="1">
      <alignment horizontal="right"/>
    </xf>
    <xf numFmtId="167" fontId="21" fillId="9" borderId="0" xfId="0" applyNumberFormat="1" applyFont="1" applyFill="1" applyBorder="1" applyAlignment="1">
      <alignment horizontal="right"/>
    </xf>
    <xf numFmtId="166" fontId="25" fillId="9" borderId="12" xfId="0" applyNumberFormat="1" applyFont="1" applyFill="1" applyBorder="1" applyAlignment="1">
      <alignment horizontal="right"/>
    </xf>
    <xf numFmtId="166" fontId="25" fillId="6" borderId="12" xfId="0" applyNumberFormat="1" applyFont="1" applyFill="1" applyBorder="1" applyAlignment="1">
      <alignment horizontal="right"/>
    </xf>
    <xf numFmtId="170" fontId="25" fillId="6" borderId="0" xfId="12" applyNumberFormat="1" applyFont="1" applyFill="1" applyBorder="1" applyAlignment="1">
      <alignment horizontal="right"/>
    </xf>
    <xf numFmtId="179" fontId="25" fillId="6" borderId="0" xfId="12" applyNumberFormat="1" applyFont="1" applyFill="1" applyBorder="1" applyAlignment="1">
      <alignment horizontal="right"/>
    </xf>
    <xf numFmtId="166" fontId="21" fillId="9" borderId="0" xfId="0" applyNumberFormat="1" applyFont="1" applyFill="1" applyBorder="1"/>
    <xf numFmtId="166" fontId="0" fillId="9" borderId="7" xfId="0" applyNumberFormat="1" applyFont="1" applyFill="1" applyBorder="1"/>
    <xf numFmtId="177" fontId="25" fillId="9" borderId="0" xfId="12" applyNumberFormat="1" applyFont="1" applyFill="1" applyBorder="1" applyAlignment="1">
      <alignment horizontal="left" indent="1"/>
    </xf>
    <xf numFmtId="185" fontId="14" fillId="9" borderId="0" xfId="12" applyNumberFormat="1" applyFont="1" applyFill="1" applyBorder="1" applyAlignment="1">
      <alignment horizontal="left"/>
    </xf>
    <xf numFmtId="185" fontId="25" fillId="6" borderId="0" xfId="12" applyNumberFormat="1" applyFont="1" applyFill="1" applyBorder="1" applyAlignment="1">
      <alignment horizontal="right"/>
    </xf>
    <xf numFmtId="185" fontId="25" fillId="9" borderId="0" xfId="12" applyNumberFormat="1" applyFont="1" applyFill="1" applyBorder="1" applyAlignment="1">
      <alignment horizontal="right"/>
    </xf>
    <xf numFmtId="185" fontId="25" fillId="6" borderId="0" xfId="12" applyNumberFormat="1" applyFont="1" applyFill="1" applyBorder="1"/>
    <xf numFmtId="169" fontId="18" fillId="12" borderId="0" xfId="1" applyNumberFormat="1" applyFont="1" applyFill="1" applyBorder="1" applyAlignment="1">
      <alignment horizontal="center" vertical="center"/>
    </xf>
    <xf numFmtId="166" fontId="24" fillId="10" borderId="0" xfId="12" applyNumberFormat="1" applyFont="1" applyFill="1" applyBorder="1"/>
    <xf numFmtId="166" fontId="24" fillId="10" borderId="0" xfId="0" applyNumberFormat="1" applyFont="1" applyFill="1" applyBorder="1"/>
    <xf numFmtId="186" fontId="23" fillId="9" borderId="0" xfId="8" applyNumberFormat="1" applyFont="1" applyFill="1" applyBorder="1"/>
    <xf numFmtId="186" fontId="27" fillId="9" borderId="0" xfId="0" applyNumberFormat="1" applyFont="1" applyFill="1" applyBorder="1"/>
    <xf numFmtId="186" fontId="27" fillId="9" borderId="13" xfId="0" applyNumberFormat="1" applyFont="1" applyFill="1" applyBorder="1"/>
    <xf numFmtId="167" fontId="0" fillId="6" borderId="0" xfId="0" applyNumberFormat="1" applyFont="1" applyFill="1" applyBorder="1" applyAlignment="1">
      <alignment horizontal="left" indent="1"/>
    </xf>
    <xf numFmtId="167" fontId="27" fillId="6" borderId="0" xfId="0" applyNumberFormat="1" applyFont="1" applyFill="1" applyBorder="1" applyAlignment="1">
      <alignment horizontal="left" indent="1"/>
    </xf>
    <xf numFmtId="167" fontId="0" fillId="0" borderId="0" xfId="0" applyNumberFormat="1" applyFont="1" applyFill="1" applyBorder="1" applyAlignment="1">
      <alignment horizontal="left" indent="1"/>
    </xf>
    <xf numFmtId="167" fontId="0" fillId="9" borderId="2" xfId="0" applyNumberFormat="1" applyFont="1" applyFill="1" applyBorder="1" applyAlignment="1">
      <alignment horizontal="left" indent="1"/>
    </xf>
    <xf numFmtId="167" fontId="0" fillId="6" borderId="2" xfId="0" applyNumberFormat="1" applyFont="1" applyFill="1" applyBorder="1" applyAlignment="1">
      <alignment horizontal="left" indent="1"/>
    </xf>
    <xf numFmtId="167" fontId="27" fillId="6" borderId="2" xfId="0" applyNumberFormat="1" applyFont="1" applyFill="1" applyBorder="1" applyAlignment="1">
      <alignment horizontal="left" indent="1"/>
    </xf>
    <xf numFmtId="167" fontId="6" fillId="9" borderId="0" xfId="0" applyNumberFormat="1" applyFont="1" applyFill="1" applyAlignment="1">
      <alignment horizontal="left"/>
    </xf>
    <xf numFmtId="167" fontId="6" fillId="6" borderId="0" xfId="0" applyNumberFormat="1" applyFont="1" applyFill="1"/>
    <xf numFmtId="167" fontId="6" fillId="9" borderId="0" xfId="0" applyNumberFormat="1" applyFont="1" applyFill="1"/>
    <xf numFmtId="0" fontId="6" fillId="0" borderId="0" xfId="0" applyFont="1"/>
    <xf numFmtId="188" fontId="21" fillId="9" borderId="0" xfId="0" applyNumberFormat="1" applyFont="1" applyFill="1"/>
    <xf numFmtId="188" fontId="21" fillId="0" borderId="0" xfId="0" applyNumberFormat="1" applyFont="1"/>
    <xf numFmtId="167" fontId="21" fillId="9" borderId="0" xfId="0" applyNumberFormat="1" applyFont="1" applyFill="1" applyAlignment="1">
      <alignment horizontal="left" indent="1"/>
    </xf>
    <xf numFmtId="167" fontId="21" fillId="9" borderId="0" xfId="0" applyNumberFormat="1" applyFont="1" applyFill="1"/>
    <xf numFmtId="167" fontId="28" fillId="9" borderId="0" xfId="0" applyNumberFormat="1" applyFont="1" applyFill="1"/>
    <xf numFmtId="167" fontId="28" fillId="6" borderId="0" xfId="0" applyNumberFormat="1" applyFont="1" applyFill="1"/>
    <xf numFmtId="167" fontId="21" fillId="0" borderId="0" xfId="0" applyNumberFormat="1" applyFont="1"/>
    <xf numFmtId="167" fontId="0" fillId="6" borderId="2" xfId="0" applyNumberFormat="1" applyFont="1" applyFill="1" applyBorder="1" applyAlignment="1">
      <alignment horizontal="right"/>
    </xf>
    <xf numFmtId="167" fontId="0" fillId="9" borderId="2" xfId="0" applyNumberFormat="1" applyFont="1" applyFill="1" applyBorder="1" applyAlignment="1">
      <alignment horizontal="right"/>
    </xf>
    <xf numFmtId="167" fontId="0" fillId="9" borderId="2" xfId="0" applyNumberFormat="1" applyFont="1" applyFill="1" applyBorder="1" applyAlignment="1">
      <alignment horizontal="left" indent="2"/>
    </xf>
    <xf numFmtId="167" fontId="0" fillId="9" borderId="2" xfId="0" applyNumberFormat="1" applyFont="1" applyFill="1" applyBorder="1" applyAlignment="1">
      <alignment horizontal="left" indent="3"/>
    </xf>
    <xf numFmtId="167" fontId="26" fillId="9" borderId="0" xfId="1" applyNumberFormat="1" applyFont="1" applyFill="1" applyBorder="1" applyAlignment="1">
      <alignment horizontal="left" indent="1"/>
    </xf>
    <xf numFmtId="167" fontId="27" fillId="9" borderId="2" xfId="0" applyNumberFormat="1" applyFont="1" applyFill="1" applyBorder="1"/>
    <xf numFmtId="167" fontId="27" fillId="6" borderId="2" xfId="0" applyNumberFormat="1" applyFont="1" applyFill="1" applyBorder="1"/>
    <xf numFmtId="164" fontId="28" fillId="9" borderId="0" xfId="0" applyNumberFormat="1" applyFont="1" applyFill="1" applyBorder="1" applyAlignment="1">
      <alignment horizontal="left"/>
    </xf>
    <xf numFmtId="169" fontId="0" fillId="9" borderId="0" xfId="0" applyNumberFormat="1" applyFont="1" applyFill="1" applyBorder="1" applyAlignment="1">
      <alignment horizontal="left" indent="2"/>
    </xf>
    <xf numFmtId="169" fontId="0" fillId="9" borderId="2" xfId="0" applyNumberFormat="1" applyFont="1" applyFill="1" applyBorder="1" applyAlignment="1">
      <alignment horizontal="left" indent="2"/>
    </xf>
    <xf numFmtId="169" fontId="0" fillId="6" borderId="2" xfId="0" applyNumberFormat="1" applyFont="1" applyFill="1" applyBorder="1"/>
    <xf numFmtId="169" fontId="0" fillId="9" borderId="2" xfId="0" applyNumberFormat="1" applyFill="1" applyBorder="1"/>
    <xf numFmtId="169" fontId="0" fillId="6" borderId="2" xfId="0" applyNumberFormat="1" applyFill="1" applyBorder="1"/>
    <xf numFmtId="167" fontId="27" fillId="9" borderId="0" xfId="12" applyNumberFormat="1" applyFont="1" applyFill="1" applyBorder="1" applyAlignment="1">
      <alignment horizontal="left" indent="4"/>
    </xf>
    <xf numFmtId="167" fontId="25" fillId="9" borderId="0" xfId="12" applyNumberFormat="1" applyFont="1" applyFill="1" applyBorder="1" applyAlignment="1">
      <alignment horizontal="left" indent="4"/>
    </xf>
    <xf numFmtId="167" fontId="25" fillId="6" borderId="0" xfId="12" applyNumberFormat="1" applyFont="1" applyFill="1" applyBorder="1"/>
    <xf numFmtId="188" fontId="27" fillId="9" borderId="0" xfId="12" applyNumberFormat="1" applyFont="1" applyFill="1" applyBorder="1"/>
    <xf numFmtId="188" fontId="0" fillId="0" borderId="0" xfId="12" applyNumberFormat="1" applyFont="1" applyFill="1" applyBorder="1"/>
    <xf numFmtId="167" fontId="27" fillId="2" borderId="0" xfId="0" applyNumberFormat="1" applyFont="1" applyFill="1" applyBorder="1"/>
    <xf numFmtId="0" fontId="2" fillId="4" borderId="9" xfId="10" applyNumberFormat="1" applyFont="1" applyFill="1" applyBorder="1" applyAlignment="1">
      <alignment horizontal="center"/>
    </xf>
    <xf numFmtId="167" fontId="21" fillId="6" borderId="0" xfId="0" applyNumberFormat="1" applyFont="1" applyFill="1" applyBorder="1"/>
    <xf numFmtId="169" fontId="0" fillId="9" borderId="0" xfId="0" applyNumberFormat="1" applyFill="1" applyBorder="1"/>
    <xf numFmtId="169" fontId="0" fillId="6" borderId="0" xfId="0" applyNumberFormat="1" applyFill="1" applyBorder="1"/>
    <xf numFmtId="190" fontId="9" fillId="9" borderId="0" xfId="0" applyNumberFormat="1" applyFont="1" applyFill="1" applyBorder="1"/>
    <xf numFmtId="189" fontId="23" fillId="9" borderId="17" xfId="8" applyNumberFormat="1" applyFont="1" applyFill="1" applyBorder="1" applyAlignment="1">
      <alignment horizontal="left" indent="1"/>
    </xf>
    <xf numFmtId="164" fontId="25" fillId="9" borderId="12" xfId="0" applyNumberFormat="1" applyFont="1" applyFill="1" applyBorder="1" applyAlignment="1">
      <alignment horizontal="left"/>
    </xf>
    <xf numFmtId="164" fontId="25" fillId="9" borderId="12" xfId="0" applyNumberFormat="1" applyFont="1" applyFill="1" applyBorder="1" applyAlignment="1">
      <alignment horizontal="left" indent="3"/>
    </xf>
    <xf numFmtId="166" fontId="0" fillId="6" borderId="7" xfId="0" applyNumberFormat="1" applyFont="1" applyFill="1" applyBorder="1"/>
    <xf numFmtId="191" fontId="0" fillId="9" borderId="0" xfId="0" applyNumberFormat="1" applyFont="1" applyFill="1" applyBorder="1" applyAlignment="1">
      <alignment horizontal="left"/>
    </xf>
    <xf numFmtId="191" fontId="0" fillId="6" borderId="0" xfId="0" applyNumberFormat="1" applyFont="1" applyFill="1" applyBorder="1"/>
    <xf numFmtId="191" fontId="0" fillId="9" borderId="0" xfId="0" applyNumberFormat="1" applyFont="1" applyFill="1" applyBorder="1"/>
    <xf numFmtId="166" fontId="28" fillId="9" borderId="0" xfId="0" applyNumberFormat="1" applyFont="1" applyFill="1" applyAlignment="1">
      <alignment horizontal="left" indent="1"/>
    </xf>
    <xf numFmtId="166" fontId="28" fillId="9" borderId="0" xfId="0" applyNumberFormat="1" applyFont="1" applyFill="1" applyAlignment="1">
      <alignment horizontal="left" indent="3"/>
    </xf>
    <xf numFmtId="166" fontId="28" fillId="6" borderId="0" xfId="0" applyNumberFormat="1" applyFont="1" applyFill="1"/>
    <xf numFmtId="166" fontId="21" fillId="9" borderId="0" xfId="0" applyNumberFormat="1" applyFont="1" applyFill="1" applyAlignment="1">
      <alignment horizontal="left" indent="1"/>
    </xf>
    <xf numFmtId="166" fontId="21" fillId="6" borderId="0" xfId="0" applyNumberFormat="1" applyFont="1" applyFill="1" applyBorder="1"/>
    <xf numFmtId="166" fontId="28" fillId="9" borderId="0" xfId="0" applyNumberFormat="1" applyFont="1" applyFill="1"/>
    <xf numFmtId="167" fontId="28" fillId="9" borderId="0" xfId="12" applyNumberFormat="1" applyFont="1" applyFill="1" applyBorder="1" applyAlignment="1">
      <alignment horizontal="left" indent="1"/>
    </xf>
    <xf numFmtId="167" fontId="28" fillId="9" borderId="0" xfId="12" applyNumberFormat="1" applyFont="1" applyFill="1" applyBorder="1" applyAlignment="1">
      <alignment horizontal="left" indent="4"/>
    </xf>
    <xf numFmtId="167" fontId="28" fillId="6" borderId="0" xfId="12" applyNumberFormat="1" applyFont="1" applyFill="1" applyBorder="1"/>
    <xf numFmtId="167" fontId="28" fillId="9" borderId="0" xfId="12" applyNumberFormat="1" applyFont="1" applyFill="1" applyBorder="1"/>
    <xf numFmtId="166" fontId="28" fillId="9" borderId="0" xfId="12" applyNumberFormat="1" applyFont="1" applyFill="1" applyBorder="1" applyAlignment="1">
      <alignment horizontal="left" indent="1"/>
    </xf>
    <xf numFmtId="166" fontId="28" fillId="9" borderId="0" xfId="12" applyNumberFormat="1" applyFont="1" applyFill="1" applyBorder="1" applyAlignment="1">
      <alignment horizontal="left" indent="4"/>
    </xf>
    <xf numFmtId="166" fontId="28" fillId="6" borderId="0" xfId="12" applyNumberFormat="1" applyFont="1" applyFill="1" applyBorder="1"/>
    <xf numFmtId="166" fontId="28" fillId="9" borderId="0" xfId="12" applyNumberFormat="1" applyFont="1" applyFill="1" applyBorder="1"/>
    <xf numFmtId="166" fontId="27" fillId="9" borderId="0" xfId="12" applyNumberFormat="1" applyFont="1" applyFill="1" applyBorder="1" applyAlignment="1">
      <alignment horizontal="left" indent="4"/>
    </xf>
    <xf numFmtId="166" fontId="27" fillId="9" borderId="2" xfId="12" applyNumberFormat="1" applyFont="1" applyFill="1" applyBorder="1" applyAlignment="1">
      <alignment horizontal="left" indent="4"/>
    </xf>
    <xf numFmtId="166" fontId="25" fillId="9" borderId="0" xfId="12" applyNumberFormat="1" applyFont="1" applyFill="1" applyBorder="1" applyAlignment="1">
      <alignment horizontal="left" indent="4"/>
    </xf>
    <xf numFmtId="164" fontId="6" fillId="9" borderId="0" xfId="0" applyNumberFormat="1" applyFont="1" applyFill="1" applyBorder="1"/>
    <xf numFmtId="164" fontId="21" fillId="9" borderId="0" xfId="0" applyNumberFormat="1" applyFont="1" applyFill="1" applyBorder="1"/>
    <xf numFmtId="166" fontId="23" fillId="9" borderId="0" xfId="8" applyNumberFormat="1" applyFont="1" applyFill="1" applyBorder="1"/>
    <xf numFmtId="167" fontId="21" fillId="9" borderId="2" xfId="0" applyNumberFormat="1" applyFont="1" applyFill="1" applyBorder="1" applyAlignment="1">
      <alignment horizontal="left" indent="1"/>
    </xf>
    <xf numFmtId="167" fontId="21" fillId="6" borderId="2" xfId="0" applyNumberFormat="1" applyFont="1" applyFill="1" applyBorder="1" applyAlignment="1">
      <alignment horizontal="right"/>
    </xf>
    <xf numFmtId="167" fontId="21" fillId="9" borderId="2" xfId="0" applyNumberFormat="1" applyFont="1" applyFill="1" applyBorder="1" applyAlignment="1">
      <alignment horizontal="right"/>
    </xf>
    <xf numFmtId="167" fontId="40" fillId="9" borderId="0" xfId="0" applyNumberFormat="1" applyFont="1" applyFill="1" applyBorder="1" applyAlignment="1">
      <alignment horizontal="left"/>
    </xf>
    <xf numFmtId="167" fontId="40" fillId="6" borderId="0" xfId="0" applyNumberFormat="1" applyFont="1" applyFill="1" applyBorder="1" applyAlignment="1">
      <alignment horizontal="right"/>
    </xf>
    <xf numFmtId="167" fontId="40" fillId="9" borderId="0" xfId="0" applyNumberFormat="1" applyFont="1" applyFill="1" applyBorder="1" applyAlignment="1">
      <alignment horizontal="right"/>
    </xf>
    <xf numFmtId="167" fontId="40" fillId="0" borderId="0" xfId="0" applyNumberFormat="1" applyFont="1" applyFill="1" applyBorder="1"/>
    <xf numFmtId="167" fontId="14" fillId="9" borderId="0" xfId="0" applyNumberFormat="1" applyFont="1" applyFill="1" applyBorder="1" applyAlignment="1">
      <alignment horizontal="left" indent="1"/>
    </xf>
    <xf numFmtId="176" fontId="2" fillId="9" borderId="0" xfId="0" applyNumberFormat="1" applyFont="1" applyFill="1" applyBorder="1" applyAlignment="1">
      <alignment horizontal="left"/>
    </xf>
    <xf numFmtId="183" fontId="3" fillId="9" borderId="0" xfId="0" applyNumberFormat="1" applyFont="1" applyFill="1" applyBorder="1" applyAlignment="1">
      <alignment horizontal="left"/>
    </xf>
    <xf numFmtId="169" fontId="5" fillId="9" borderId="0" xfId="1" applyNumberFormat="1" applyFont="1" applyFill="1" applyBorder="1" applyAlignment="1">
      <alignment horizontal="center"/>
    </xf>
    <xf numFmtId="164" fontId="6" fillId="9" borderId="0" xfId="0" applyNumberFormat="1" applyFont="1" applyFill="1" applyBorder="1" applyAlignment="1">
      <alignment horizontal="center"/>
    </xf>
    <xf numFmtId="184" fontId="3" fillId="9" borderId="0" xfId="0" applyNumberFormat="1" applyFont="1" applyFill="1" applyBorder="1"/>
    <xf numFmtId="172" fontId="27" fillId="9" borderId="0" xfId="0" applyNumberFormat="1" applyFont="1" applyFill="1" applyBorder="1"/>
    <xf numFmtId="185" fontId="25" fillId="9" borderId="0" xfId="0" applyNumberFormat="1" applyFont="1" applyFill="1" applyBorder="1"/>
    <xf numFmtId="170" fontId="27" fillId="9" borderId="0" xfId="0" applyNumberFormat="1" applyFont="1" applyFill="1" applyBorder="1" applyAlignment="1">
      <alignment horizontal="right"/>
    </xf>
    <xf numFmtId="168" fontId="23" fillId="9" borderId="0" xfId="0" applyNumberFormat="1" applyFont="1" applyFill="1" applyBorder="1" applyAlignment="1">
      <alignment horizontal="center"/>
    </xf>
    <xf numFmtId="0" fontId="26" fillId="9" borderId="0" xfId="1" applyNumberFormat="1" applyFont="1" applyFill="1" applyBorder="1" applyAlignment="1">
      <alignment horizontal="center"/>
    </xf>
    <xf numFmtId="166" fontId="23" fillId="9" borderId="7" xfId="1" applyNumberFormat="1" applyFont="1" applyFill="1" applyBorder="1"/>
    <xf numFmtId="166" fontId="27" fillId="9" borderId="7" xfId="0" applyNumberFormat="1" applyFont="1" applyFill="1" applyBorder="1" applyAlignment="1">
      <alignment horizontal="right"/>
    </xf>
    <xf numFmtId="167" fontId="30" fillId="9" borderId="2" xfId="1" applyNumberFormat="1" applyFont="1" applyFill="1" applyBorder="1"/>
    <xf numFmtId="167" fontId="28" fillId="9" borderId="2" xfId="0" applyNumberFormat="1" applyFont="1" applyFill="1" applyBorder="1" applyAlignment="1">
      <alignment horizontal="right"/>
    </xf>
    <xf numFmtId="167" fontId="34" fillId="9" borderId="0" xfId="1" applyNumberFormat="1" applyFont="1" applyFill="1" applyBorder="1"/>
    <xf numFmtId="167" fontId="33" fillId="9" borderId="0" xfId="0" applyNumberFormat="1" applyFont="1" applyFill="1" applyBorder="1" applyAlignment="1">
      <alignment horizontal="right"/>
    </xf>
    <xf numFmtId="167" fontId="25" fillId="9" borderId="0" xfId="0" applyNumberFormat="1" applyFont="1" applyFill="1" applyAlignment="1">
      <alignment horizontal="left" indent="4"/>
    </xf>
    <xf numFmtId="167" fontId="28" fillId="9" borderId="0" xfId="0" applyNumberFormat="1" applyFont="1" applyFill="1" applyAlignment="1">
      <alignment horizontal="left" indent="3"/>
    </xf>
    <xf numFmtId="167" fontId="28" fillId="9" borderId="0" xfId="0" applyNumberFormat="1" applyFont="1" applyFill="1" applyAlignment="1">
      <alignment horizontal="left" indent="1"/>
    </xf>
    <xf numFmtId="164" fontId="27" fillId="9" borderId="0" xfId="0" applyNumberFormat="1" applyFont="1" applyFill="1" applyBorder="1" applyAlignment="1">
      <alignment horizontal="left"/>
    </xf>
    <xf numFmtId="164" fontId="27" fillId="9" borderId="0" xfId="0" applyNumberFormat="1" applyFont="1" applyFill="1" applyBorder="1" applyAlignment="1">
      <alignment horizontal="left" indent="4"/>
    </xf>
    <xf numFmtId="167" fontId="27" fillId="9" borderId="0" xfId="0" applyNumberFormat="1" applyFont="1" applyFill="1" applyBorder="1" applyAlignment="1">
      <alignment horizontal="left" indent="4"/>
    </xf>
    <xf numFmtId="167" fontId="27" fillId="9" borderId="2" xfId="0" applyNumberFormat="1" applyFont="1" applyFill="1" applyBorder="1" applyAlignment="1">
      <alignment horizontal="left" indent="4"/>
    </xf>
    <xf numFmtId="167" fontId="25" fillId="9" borderId="0" xfId="0" applyNumberFormat="1" applyFont="1" applyFill="1" applyBorder="1" applyAlignment="1">
      <alignment horizontal="left" indent="4"/>
    </xf>
    <xf numFmtId="167" fontId="27" fillId="9" borderId="0" xfId="0" applyNumberFormat="1" applyFont="1" applyFill="1" applyBorder="1" applyAlignment="1">
      <alignment horizontal="left" indent="3"/>
    </xf>
    <xf numFmtId="167" fontId="27" fillId="9" borderId="2" xfId="0" applyNumberFormat="1" applyFont="1" applyFill="1" applyBorder="1" applyAlignment="1">
      <alignment horizontal="left" indent="3"/>
    </xf>
    <xf numFmtId="167" fontId="25" fillId="9" borderId="7" xfId="0" applyNumberFormat="1" applyFont="1" applyFill="1" applyBorder="1" applyAlignment="1">
      <alignment horizontal="left" indent="3"/>
    </xf>
    <xf numFmtId="167" fontId="25" fillId="9" borderId="7" xfId="0" applyNumberFormat="1" applyFont="1" applyFill="1" applyBorder="1"/>
    <xf numFmtId="169" fontId="25" fillId="9" borderId="0" xfId="0" applyNumberFormat="1" applyFont="1" applyFill="1" applyBorder="1" applyAlignment="1">
      <alignment horizontal="left" indent="3"/>
    </xf>
    <xf numFmtId="169" fontId="27" fillId="9" borderId="0" xfId="0" applyNumberFormat="1" applyFont="1" applyFill="1" applyBorder="1" applyAlignment="1">
      <alignment horizontal="left" indent="3"/>
    </xf>
    <xf numFmtId="169" fontId="25" fillId="9" borderId="7" xfId="0" applyNumberFormat="1" applyFont="1" applyFill="1" applyBorder="1" applyAlignment="1">
      <alignment horizontal="left" indent="3"/>
    </xf>
    <xf numFmtId="169" fontId="25" fillId="9" borderId="7" xfId="0" applyNumberFormat="1" applyFont="1" applyFill="1" applyBorder="1"/>
    <xf numFmtId="169" fontId="27" fillId="9" borderId="2" xfId="0" applyNumberFormat="1" applyFont="1" applyFill="1" applyBorder="1" applyAlignment="1">
      <alignment horizontal="left" indent="3"/>
    </xf>
    <xf numFmtId="169" fontId="27" fillId="9" borderId="2" xfId="0" applyNumberFormat="1" applyFont="1" applyFill="1" applyBorder="1"/>
    <xf numFmtId="169" fontId="25" fillId="9" borderId="0" xfId="0" applyNumberFormat="1" applyFont="1" applyFill="1" applyBorder="1" applyAlignment="1">
      <alignment horizontal="left"/>
    </xf>
    <xf numFmtId="191" fontId="27" fillId="9" borderId="0" xfId="0" applyNumberFormat="1" applyFont="1" applyFill="1" applyBorder="1" applyAlignment="1">
      <alignment horizontal="left" indent="3"/>
    </xf>
    <xf numFmtId="191" fontId="27" fillId="9" borderId="0" xfId="0" applyNumberFormat="1" applyFont="1" applyFill="1" applyBorder="1"/>
    <xf numFmtId="167" fontId="30" fillId="9" borderId="0" xfId="1" applyNumberFormat="1" applyFont="1" applyFill="1" applyBorder="1" applyAlignment="1">
      <alignment horizontal="left" indent="1"/>
    </xf>
    <xf numFmtId="167" fontId="23" fillId="9" borderId="0" xfId="1" applyNumberFormat="1" applyFont="1" applyFill="1" applyBorder="1" applyAlignment="1">
      <alignment horizontal="left" indent="1"/>
    </xf>
    <xf numFmtId="167" fontId="23" fillId="9" borderId="2" xfId="1" applyNumberFormat="1" applyFont="1" applyFill="1" applyBorder="1" applyAlignment="1">
      <alignment horizontal="left" indent="1"/>
    </xf>
    <xf numFmtId="172" fontId="27" fillId="9" borderId="0" xfId="0" applyNumberFormat="1" applyFont="1" applyFill="1" applyBorder="1" applyAlignment="1">
      <alignment horizontal="left" indent="3"/>
    </xf>
    <xf numFmtId="172" fontId="23" fillId="9" borderId="0" xfId="1" applyNumberFormat="1" applyFont="1" applyFill="1" applyBorder="1"/>
    <xf numFmtId="172" fontId="25" fillId="9" borderId="0" xfId="0" applyNumberFormat="1" applyFont="1" applyFill="1" applyBorder="1" applyAlignment="1">
      <alignment horizontal="left" indent="3"/>
    </xf>
    <xf numFmtId="166" fontId="27" fillId="9" borderId="11" xfId="0" applyNumberFormat="1" applyFont="1" applyFill="1" applyBorder="1" applyAlignment="1">
      <alignment horizontal="left" indent="3"/>
    </xf>
    <xf numFmtId="170" fontId="25" fillId="9" borderId="0" xfId="0" applyNumberFormat="1" applyFont="1" applyFill="1" applyBorder="1" applyAlignment="1">
      <alignment horizontal="left" indent="3"/>
    </xf>
    <xf numFmtId="170" fontId="25" fillId="9" borderId="0" xfId="0" applyNumberFormat="1" applyFont="1" applyFill="1" applyBorder="1"/>
    <xf numFmtId="0" fontId="27" fillId="9" borderId="0" xfId="0" applyNumberFormat="1" applyFont="1" applyFill="1" applyBorder="1" applyAlignment="1">
      <alignment horizontal="left" indent="3"/>
    </xf>
    <xf numFmtId="170" fontId="23" fillId="9" borderId="0" xfId="0" applyNumberFormat="1" applyFont="1" applyFill="1" applyBorder="1"/>
    <xf numFmtId="170" fontId="27" fillId="9" borderId="0" xfId="0" applyNumberFormat="1" applyFont="1" applyFill="1" applyBorder="1" applyAlignment="1">
      <alignment horizontal="left" indent="3"/>
    </xf>
    <xf numFmtId="170" fontId="27" fillId="9" borderId="0" xfId="0" applyNumberFormat="1" applyFont="1" applyFill="1" applyBorder="1"/>
    <xf numFmtId="185" fontId="23" fillId="9" borderId="0" xfId="1" applyNumberFormat="1" applyFont="1" applyFill="1" applyBorder="1"/>
    <xf numFmtId="186" fontId="23" fillId="9" borderId="0" xfId="1" applyNumberFormat="1" applyFont="1" applyFill="1" applyBorder="1"/>
    <xf numFmtId="164" fontId="27" fillId="9" borderId="0" xfId="0" applyNumberFormat="1" applyFont="1" applyFill="1" applyBorder="1" applyAlignment="1">
      <alignment horizontal="left" indent="2"/>
    </xf>
    <xf numFmtId="164" fontId="25" fillId="9" borderId="0" xfId="0" applyNumberFormat="1" applyFont="1" applyFill="1" applyBorder="1" applyAlignment="1">
      <alignment horizontal="left" indent="1"/>
    </xf>
    <xf numFmtId="167" fontId="33" fillId="9" borderId="0" xfId="0" applyNumberFormat="1" applyFont="1" applyFill="1" applyBorder="1" applyAlignment="1">
      <alignment horizontal="left" indent="3"/>
    </xf>
    <xf numFmtId="167" fontId="33" fillId="9" borderId="0" xfId="0" applyNumberFormat="1" applyFont="1" applyFill="1" applyBorder="1"/>
    <xf numFmtId="164" fontId="23" fillId="9" borderId="11" xfId="8" applyNumberFormat="1" applyFont="1" applyFill="1" applyBorder="1" applyAlignment="1">
      <alignment horizontal="left" indent="1"/>
    </xf>
    <xf numFmtId="166" fontId="25" fillId="9" borderId="15" xfId="0" applyNumberFormat="1" applyFont="1" applyFill="1" applyBorder="1"/>
    <xf numFmtId="166" fontId="26" fillId="9" borderId="0" xfId="8" applyNumberFormat="1" applyFont="1" applyFill="1" applyBorder="1"/>
    <xf numFmtId="166" fontId="27" fillId="9" borderId="15" xfId="0" applyNumberFormat="1" applyFont="1" applyFill="1" applyBorder="1"/>
    <xf numFmtId="164" fontId="23" fillId="9" borderId="12" xfId="8" applyNumberFormat="1" applyFont="1" applyFill="1" applyBorder="1" applyAlignment="1">
      <alignment horizontal="left" indent="1"/>
    </xf>
    <xf numFmtId="166" fontId="27" fillId="9" borderId="12" xfId="0" applyNumberFormat="1" applyFont="1" applyFill="1" applyBorder="1"/>
    <xf numFmtId="164" fontId="23" fillId="9" borderId="1" xfId="8" applyNumberFormat="1" applyFont="1" applyFill="1" applyBorder="1" applyAlignment="1">
      <alignment horizontal="left" indent="1"/>
    </xf>
    <xf numFmtId="166" fontId="23" fillId="9" borderId="11" xfId="8" applyNumberFormat="1" applyFont="1" applyFill="1" applyBorder="1"/>
    <xf numFmtId="0" fontId="27" fillId="9" borderId="12" xfId="0" applyNumberFormat="1" applyFont="1" applyFill="1" applyBorder="1"/>
    <xf numFmtId="1" fontId="6" fillId="6" borderId="0" xfId="0" applyNumberFormat="1" applyFont="1" applyFill="1" applyBorder="1" applyAlignment="1">
      <alignment horizontal="center"/>
    </xf>
    <xf numFmtId="17" fontId="0" fillId="6" borderId="0" xfId="0" applyNumberFormat="1" applyFont="1" applyFill="1" applyBorder="1" applyAlignment="1">
      <alignment horizontal="center"/>
    </xf>
    <xf numFmtId="0" fontId="6" fillId="6" borderId="0" xfId="0" applyNumberFormat="1" applyFont="1" applyFill="1" applyBorder="1" applyAlignment="1">
      <alignment horizontal="center"/>
    </xf>
    <xf numFmtId="166" fontId="27" fillId="6" borderId="7" xfId="0" applyNumberFormat="1" applyFont="1" applyFill="1" applyBorder="1" applyAlignment="1">
      <alignment horizontal="right"/>
    </xf>
    <xf numFmtId="167" fontId="28" fillId="6" borderId="2" xfId="0" applyNumberFormat="1" applyFont="1" applyFill="1" applyBorder="1" applyAlignment="1">
      <alignment horizontal="right"/>
    </xf>
    <xf numFmtId="167" fontId="33" fillId="6" borderId="0" xfId="0" applyNumberFormat="1" applyFont="1" applyFill="1" applyBorder="1" applyAlignment="1">
      <alignment horizontal="right"/>
    </xf>
    <xf numFmtId="167" fontId="25" fillId="6" borderId="7" xfId="0" applyNumberFormat="1" applyFont="1" applyFill="1" applyBorder="1"/>
    <xf numFmtId="169" fontId="27" fillId="6" borderId="0" xfId="0" applyNumberFormat="1" applyFont="1" applyFill="1" applyBorder="1"/>
    <xf numFmtId="169" fontId="25" fillId="6" borderId="7" xfId="0" applyNumberFormat="1" applyFont="1" applyFill="1" applyBorder="1"/>
    <xf numFmtId="169" fontId="27" fillId="6" borderId="2" xfId="0" applyNumberFormat="1" applyFont="1" applyFill="1" applyBorder="1"/>
    <xf numFmtId="191" fontId="27" fillId="6" borderId="0" xfId="0" applyNumberFormat="1" applyFont="1" applyFill="1" applyBorder="1"/>
    <xf numFmtId="0" fontId="27" fillId="6" borderId="0" xfId="0" applyNumberFormat="1" applyFont="1" applyFill="1" applyBorder="1"/>
    <xf numFmtId="167" fontId="33" fillId="6" borderId="0" xfId="0" applyNumberFormat="1" applyFont="1" applyFill="1" applyBorder="1"/>
    <xf numFmtId="17" fontId="2" fillId="6" borderId="0" xfId="0" applyNumberFormat="1" applyFont="1" applyFill="1" applyBorder="1" applyAlignment="1">
      <alignment horizontal="center"/>
    </xf>
    <xf numFmtId="0" fontId="3" fillId="6" borderId="0" xfId="0" applyNumberFormat="1" applyFont="1" applyFill="1" applyBorder="1" applyAlignment="1">
      <alignment horizontal="center"/>
    </xf>
    <xf numFmtId="1" fontId="25" fillId="6" borderId="0" xfId="0" applyNumberFormat="1" applyFont="1" applyFill="1" applyBorder="1" applyAlignment="1">
      <alignment horizontal="center"/>
    </xf>
    <xf numFmtId="17" fontId="23" fillId="6" borderId="0" xfId="0" applyNumberFormat="1" applyFont="1" applyFill="1" applyBorder="1" applyAlignment="1">
      <alignment horizontal="center"/>
    </xf>
    <xf numFmtId="0" fontId="26" fillId="6" borderId="0" xfId="0" applyNumberFormat="1" applyFont="1" applyFill="1" applyBorder="1" applyAlignment="1">
      <alignment horizontal="center"/>
    </xf>
    <xf numFmtId="169" fontId="30" fillId="6" borderId="0" xfId="0" applyNumberFormat="1" applyFont="1" applyFill="1" applyBorder="1"/>
    <xf numFmtId="164" fontId="24" fillId="10" borderId="0" xfId="0" applyNumberFormat="1" applyFont="1" applyFill="1" applyBorder="1"/>
    <xf numFmtId="164" fontId="27" fillId="9" borderId="0" xfId="0" applyNumberFormat="1" applyFont="1" applyFill="1" applyBorder="1"/>
    <xf numFmtId="164" fontId="28" fillId="9" borderId="0" xfId="0" applyNumberFormat="1" applyFont="1" applyFill="1" applyBorder="1"/>
    <xf numFmtId="164" fontId="0" fillId="9" borderId="0" xfId="0" applyNumberFormat="1" applyFont="1" applyFill="1" applyBorder="1"/>
    <xf numFmtId="164" fontId="31" fillId="10" borderId="0" xfId="0" applyNumberFormat="1" applyFont="1" applyFill="1" applyBorder="1"/>
    <xf numFmtId="164" fontId="27" fillId="9" borderId="0" xfId="0" applyNumberFormat="1" applyFont="1" applyFill="1" applyBorder="1" applyAlignment="1">
      <alignment horizontal="right"/>
    </xf>
    <xf numFmtId="0" fontId="25" fillId="9" borderId="6" xfId="0" applyNumberFormat="1" applyFont="1" applyFill="1" applyBorder="1"/>
    <xf numFmtId="166" fontId="23" fillId="9" borderId="4" xfId="8" applyNumberFormat="1" applyFont="1" applyFill="1" applyBorder="1"/>
    <xf numFmtId="166" fontId="23" fillId="9" borderId="1" xfId="8" applyNumberFormat="1" applyFont="1" applyFill="1" applyBorder="1"/>
    <xf numFmtId="1" fontId="6" fillId="9" borderId="30" xfId="0" applyNumberFormat="1" applyFont="1" applyFill="1" applyBorder="1" applyAlignment="1">
      <alignment horizontal="center"/>
    </xf>
    <xf numFmtId="17" fontId="2" fillId="9" borderId="30" xfId="0" applyNumberFormat="1" applyFont="1" applyFill="1" applyBorder="1" applyAlignment="1">
      <alignment horizontal="center"/>
    </xf>
    <xf numFmtId="0" fontId="3" fillId="9" borderId="30" xfId="0" applyNumberFormat="1" applyFont="1" applyFill="1" applyBorder="1" applyAlignment="1">
      <alignment horizontal="center"/>
    </xf>
    <xf numFmtId="167" fontId="24" fillId="10" borderId="30" xfId="0" applyNumberFormat="1" applyFont="1" applyFill="1" applyBorder="1"/>
    <xf numFmtId="167" fontId="0" fillId="9" borderId="30" xfId="0" applyNumberFormat="1" applyFont="1" applyFill="1" applyBorder="1" applyAlignment="1">
      <alignment horizontal="right"/>
    </xf>
    <xf numFmtId="167" fontId="25" fillId="9" borderId="31" xfId="0" applyNumberFormat="1" applyFont="1" applyFill="1" applyBorder="1" applyAlignment="1">
      <alignment horizontal="right"/>
    </xf>
    <xf numFmtId="167" fontId="27" fillId="9" borderId="30" xfId="0" applyNumberFormat="1" applyFont="1" applyFill="1" applyBorder="1" applyAlignment="1">
      <alignment horizontal="right"/>
    </xf>
    <xf numFmtId="166" fontId="6" fillId="9" borderId="30" xfId="0" applyNumberFormat="1" applyFont="1" applyFill="1" applyBorder="1" applyAlignment="1">
      <alignment horizontal="right"/>
    </xf>
    <xf numFmtId="166" fontId="0" fillId="9" borderId="30" xfId="0" applyNumberFormat="1" applyFont="1" applyFill="1" applyBorder="1" applyAlignment="1">
      <alignment horizontal="right"/>
    </xf>
    <xf numFmtId="166" fontId="0" fillId="9" borderId="31" xfId="0" applyNumberFormat="1" applyFont="1" applyFill="1" applyBorder="1" applyAlignment="1">
      <alignment horizontal="right"/>
    </xf>
    <xf numFmtId="166" fontId="6" fillId="9" borderId="31" xfId="0" applyNumberFormat="1" applyFont="1" applyFill="1" applyBorder="1" applyAlignment="1">
      <alignment horizontal="right"/>
    </xf>
    <xf numFmtId="166" fontId="25" fillId="9" borderId="30" xfId="0" applyNumberFormat="1" applyFont="1" applyFill="1" applyBorder="1" applyAlignment="1">
      <alignment horizontal="right"/>
    </xf>
    <xf numFmtId="166" fontId="27" fillId="9" borderId="30" xfId="0" applyNumberFormat="1" applyFont="1" applyFill="1" applyBorder="1" applyAlignment="1">
      <alignment horizontal="right"/>
    </xf>
    <xf numFmtId="166" fontId="27" fillId="9" borderId="32" xfId="0" applyNumberFormat="1" applyFont="1" applyFill="1" applyBorder="1" applyAlignment="1">
      <alignment horizontal="right"/>
    </xf>
    <xf numFmtId="167" fontId="21" fillId="9" borderId="30" xfId="0" applyNumberFormat="1" applyFont="1" applyFill="1" applyBorder="1" applyAlignment="1">
      <alignment horizontal="right"/>
    </xf>
    <xf numFmtId="167" fontId="21" fillId="9" borderId="32" xfId="0" applyNumberFormat="1" applyFont="1" applyFill="1" applyBorder="1" applyAlignment="1">
      <alignment horizontal="right"/>
    </xf>
    <xf numFmtId="167" fontId="40" fillId="9" borderId="30" xfId="0" applyNumberFormat="1" applyFont="1" applyFill="1" applyBorder="1" applyAlignment="1">
      <alignment horizontal="right"/>
    </xf>
    <xf numFmtId="167" fontId="0" fillId="9" borderId="32" xfId="0" applyNumberFormat="1" applyFont="1" applyFill="1" applyBorder="1" applyAlignment="1">
      <alignment horizontal="right"/>
    </xf>
    <xf numFmtId="167" fontId="6" fillId="9" borderId="30" xfId="0" applyNumberFormat="1" applyFont="1" applyFill="1" applyBorder="1" applyAlignment="1">
      <alignment horizontal="right"/>
    </xf>
    <xf numFmtId="166" fontId="0" fillId="9" borderId="32" xfId="0" applyNumberFormat="1" applyFont="1" applyFill="1" applyBorder="1" applyAlignment="1">
      <alignment horizontal="right"/>
    </xf>
    <xf numFmtId="167" fontId="6" fillId="9" borderId="30" xfId="0" applyNumberFormat="1" applyFont="1" applyFill="1" applyBorder="1"/>
    <xf numFmtId="166" fontId="21" fillId="9" borderId="30" xfId="0" applyNumberFormat="1" applyFont="1" applyFill="1" applyBorder="1"/>
    <xf numFmtId="167" fontId="21" fillId="9" borderId="30" xfId="0" applyNumberFormat="1" applyFont="1" applyFill="1" applyBorder="1"/>
    <xf numFmtId="167" fontId="28" fillId="9" borderId="30" xfId="0" applyNumberFormat="1" applyFont="1" applyFill="1" applyBorder="1"/>
    <xf numFmtId="167" fontId="27" fillId="9" borderId="32" xfId="0" applyNumberFormat="1" applyFont="1" applyFill="1" applyBorder="1" applyAlignment="1">
      <alignment horizontal="right"/>
    </xf>
    <xf numFmtId="167" fontId="25" fillId="9" borderId="30" xfId="0" applyNumberFormat="1" applyFont="1" applyFill="1" applyBorder="1" applyAlignment="1">
      <alignment horizontal="right"/>
    </xf>
    <xf numFmtId="167" fontId="25" fillId="9" borderId="30" xfId="0" applyNumberFormat="1" applyFont="1" applyFill="1" applyBorder="1" applyAlignment="1">
      <alignment horizontal="left" indent="1"/>
    </xf>
    <xf numFmtId="166" fontId="28" fillId="9" borderId="30" xfId="0" applyNumberFormat="1" applyFont="1" applyFill="1" applyBorder="1"/>
    <xf numFmtId="166" fontId="25" fillId="9" borderId="31" xfId="0" applyNumberFormat="1" applyFont="1" applyFill="1" applyBorder="1" applyAlignment="1">
      <alignment horizontal="right"/>
    </xf>
    <xf numFmtId="167" fontId="28" fillId="9" borderId="30" xfId="0" applyNumberFormat="1" applyFont="1" applyFill="1" applyBorder="1" applyAlignment="1">
      <alignment horizontal="right"/>
    </xf>
    <xf numFmtId="167" fontId="27" fillId="9" borderId="31" xfId="0" applyNumberFormat="1" applyFont="1" applyFill="1" applyBorder="1" applyAlignment="1">
      <alignment horizontal="right"/>
    </xf>
    <xf numFmtId="164" fontId="27" fillId="9" borderId="30" xfId="0" applyNumberFormat="1" applyFont="1" applyFill="1" applyBorder="1"/>
    <xf numFmtId="167" fontId="0" fillId="9" borderId="30" xfId="0" applyNumberFormat="1" applyFont="1" applyFill="1" applyBorder="1"/>
    <xf numFmtId="167" fontId="0" fillId="9" borderId="32" xfId="0" applyNumberFormat="1" applyFont="1" applyFill="1" applyBorder="1"/>
    <xf numFmtId="167" fontId="27" fillId="9" borderId="30" xfId="0" applyNumberFormat="1" applyFont="1" applyFill="1" applyBorder="1"/>
    <xf numFmtId="166" fontId="27" fillId="9" borderId="30" xfId="0" applyNumberFormat="1" applyFont="1" applyFill="1" applyBorder="1"/>
    <xf numFmtId="166" fontId="27" fillId="9" borderId="32" xfId="0" applyNumberFormat="1" applyFont="1" applyFill="1" applyBorder="1"/>
    <xf numFmtId="166" fontId="25" fillId="9" borderId="30" xfId="0" applyNumberFormat="1" applyFont="1" applyFill="1" applyBorder="1"/>
    <xf numFmtId="167" fontId="27" fillId="9" borderId="32" xfId="0" applyNumberFormat="1" applyFont="1" applyFill="1" applyBorder="1"/>
    <xf numFmtId="167" fontId="25" fillId="9" borderId="30" xfId="0" applyNumberFormat="1" applyFont="1" applyFill="1" applyBorder="1"/>
    <xf numFmtId="166" fontId="27" fillId="9" borderId="31" xfId="0" applyNumberFormat="1" applyFont="1" applyFill="1" applyBorder="1"/>
    <xf numFmtId="166" fontId="25" fillId="9" borderId="31" xfId="0" applyNumberFormat="1" applyFont="1" applyFill="1" applyBorder="1"/>
    <xf numFmtId="167" fontId="6" fillId="9" borderId="31" xfId="0" applyNumberFormat="1" applyFont="1" applyFill="1" applyBorder="1"/>
    <xf numFmtId="169" fontId="27" fillId="9" borderId="30" xfId="0" applyNumberFormat="1" applyFont="1" applyFill="1" applyBorder="1"/>
    <xf numFmtId="169" fontId="6" fillId="9" borderId="31" xfId="0" applyNumberFormat="1" applyFont="1" applyFill="1" applyBorder="1"/>
    <xf numFmtId="169" fontId="0" fillId="9" borderId="30" xfId="0" applyNumberFormat="1" applyFill="1" applyBorder="1"/>
    <xf numFmtId="169" fontId="27" fillId="9" borderId="32" xfId="0" applyNumberFormat="1" applyFont="1" applyFill="1" applyBorder="1"/>
    <xf numFmtId="169" fontId="25" fillId="9" borderId="30" xfId="0" applyNumberFormat="1" applyFont="1" applyFill="1" applyBorder="1"/>
    <xf numFmtId="166" fontId="6" fillId="9" borderId="30" xfId="0" applyNumberFormat="1" applyFont="1" applyFill="1" applyBorder="1"/>
    <xf numFmtId="166" fontId="0" fillId="9" borderId="32" xfId="0" applyNumberFormat="1" applyFont="1" applyFill="1" applyBorder="1"/>
    <xf numFmtId="166" fontId="0" fillId="9" borderId="30" xfId="0" applyNumberFormat="1" applyFont="1" applyFill="1" applyBorder="1"/>
    <xf numFmtId="191" fontId="0" fillId="9" borderId="30" xfId="0" applyNumberFormat="1" applyFont="1" applyFill="1" applyBorder="1"/>
    <xf numFmtId="167" fontId="6" fillId="9" borderId="31" xfId="0" applyNumberFormat="1" applyFont="1" applyFill="1" applyBorder="1" applyAlignment="1">
      <alignment horizontal="right"/>
    </xf>
    <xf numFmtId="167" fontId="28" fillId="9" borderId="30" xfId="0" applyNumberFormat="1" applyFont="1" applyFill="1" applyBorder="1" applyAlignment="1">
      <alignment horizontal="left" indent="1"/>
    </xf>
    <xf numFmtId="167" fontId="0" fillId="9" borderId="30" xfId="0" applyNumberFormat="1" applyFont="1" applyFill="1" applyBorder="1" applyAlignment="1">
      <alignment horizontal="left" indent="1"/>
    </xf>
    <xf numFmtId="167" fontId="0" fillId="9" borderId="32" xfId="0" applyNumberFormat="1" applyFont="1" applyFill="1" applyBorder="1" applyAlignment="1">
      <alignment horizontal="left" indent="1"/>
    </xf>
    <xf numFmtId="167" fontId="6" fillId="9" borderId="30" xfId="0" applyNumberFormat="1" applyFont="1" applyFill="1" applyBorder="1" applyAlignment="1">
      <alignment horizontal="left" indent="1"/>
    </xf>
    <xf numFmtId="166" fontId="6" fillId="9" borderId="31" xfId="0" applyNumberFormat="1" applyFont="1" applyFill="1" applyBorder="1"/>
    <xf numFmtId="166" fontId="6" fillId="9" borderId="33" xfId="0" applyNumberFormat="1" applyFont="1" applyFill="1" applyBorder="1"/>
    <xf numFmtId="169" fontId="28" fillId="9" borderId="30" xfId="0" applyNumberFormat="1" applyFont="1" applyFill="1" applyBorder="1"/>
    <xf numFmtId="166" fontId="27" fillId="9" borderId="33" xfId="0" applyNumberFormat="1" applyFont="1" applyFill="1" applyBorder="1"/>
    <xf numFmtId="166" fontId="0" fillId="9" borderId="31" xfId="0" applyNumberFormat="1" applyFont="1" applyFill="1" applyBorder="1"/>
    <xf numFmtId="169" fontId="6" fillId="9" borderId="30" xfId="1" applyNumberFormat="1" applyFont="1" applyFill="1" applyBorder="1"/>
    <xf numFmtId="172" fontId="27" fillId="9" borderId="30" xfId="0" applyNumberFormat="1" applyFont="1" applyFill="1" applyBorder="1"/>
    <xf numFmtId="185" fontId="25" fillId="9" borderId="30" xfId="0" applyNumberFormat="1" applyFont="1" applyFill="1" applyBorder="1"/>
    <xf numFmtId="166" fontId="0" fillId="9" borderId="34" xfId="0" applyNumberFormat="1" applyFont="1" applyFill="1" applyBorder="1"/>
    <xf numFmtId="170" fontId="25" fillId="9" borderId="30" xfId="0" applyNumberFormat="1" applyFont="1" applyFill="1" applyBorder="1" applyAlignment="1">
      <alignment horizontal="right"/>
    </xf>
    <xf numFmtId="0" fontId="27" fillId="9" borderId="30" xfId="0" applyNumberFormat="1" applyFont="1" applyFill="1" applyBorder="1"/>
    <xf numFmtId="185" fontId="6" fillId="9" borderId="30" xfId="0" applyNumberFormat="1" applyFont="1" applyFill="1" applyBorder="1" applyAlignment="1">
      <alignment horizontal="right"/>
    </xf>
    <xf numFmtId="170" fontId="27" fillId="9" borderId="30" xfId="0" applyNumberFormat="1" applyFont="1" applyFill="1" applyBorder="1" applyAlignment="1">
      <alignment horizontal="right"/>
    </xf>
    <xf numFmtId="185" fontId="0" fillId="9" borderId="30" xfId="0" applyNumberFormat="1" applyFont="1" applyFill="1" applyBorder="1" applyAlignment="1">
      <alignment horizontal="right"/>
    </xf>
    <xf numFmtId="186" fontId="0" fillId="9" borderId="30" xfId="0" applyNumberFormat="1" applyFont="1" applyFill="1" applyBorder="1" applyAlignment="1">
      <alignment horizontal="right"/>
    </xf>
    <xf numFmtId="167" fontId="40" fillId="9" borderId="30" xfId="0" applyNumberFormat="1" applyFont="1" applyFill="1" applyBorder="1"/>
    <xf numFmtId="166" fontId="24" fillId="10" borderId="30" xfId="0" applyNumberFormat="1" applyFont="1" applyFill="1" applyBorder="1" applyAlignment="1">
      <alignment horizontal="right"/>
    </xf>
    <xf numFmtId="166" fontId="25" fillId="9" borderId="35" xfId="0" applyNumberFormat="1" applyFont="1" applyFill="1" applyBorder="1" applyAlignment="1">
      <alignment horizontal="right"/>
    </xf>
    <xf numFmtId="164" fontId="31" fillId="10" borderId="30" xfId="0" applyNumberFormat="1" applyFont="1" applyFill="1" applyBorder="1"/>
    <xf numFmtId="0" fontId="25" fillId="9" borderId="30" xfId="0" applyNumberFormat="1" applyFont="1" applyFill="1" applyBorder="1"/>
    <xf numFmtId="166" fontId="27" fillId="9" borderId="34" xfId="0" applyNumberFormat="1" applyFont="1" applyFill="1" applyBorder="1"/>
    <xf numFmtId="164" fontId="27" fillId="9" borderId="32" xfId="0" applyNumberFormat="1" applyFont="1" applyFill="1" applyBorder="1"/>
    <xf numFmtId="164" fontId="27" fillId="9" borderId="36" xfId="0" applyNumberFormat="1" applyFont="1" applyFill="1" applyBorder="1"/>
    <xf numFmtId="164" fontId="27" fillId="9" borderId="35" xfId="0" applyNumberFormat="1" applyFont="1" applyFill="1" applyBorder="1"/>
    <xf numFmtId="17" fontId="27" fillId="9" borderId="30" xfId="0" applyNumberFormat="1" applyFont="1" applyFill="1" applyBorder="1"/>
    <xf numFmtId="185" fontId="27" fillId="9" borderId="30" xfId="0" applyNumberFormat="1" applyFont="1" applyFill="1" applyBorder="1"/>
    <xf numFmtId="186" fontId="27" fillId="9" borderId="30" xfId="0" applyNumberFormat="1" applyFont="1" applyFill="1" applyBorder="1"/>
    <xf numFmtId="164" fontId="27" fillId="9" borderId="34" xfId="0" applyNumberFormat="1" applyFont="1" applyFill="1" applyBorder="1"/>
    <xf numFmtId="17" fontId="33" fillId="6" borderId="0" xfId="12" applyNumberFormat="1" applyFont="1" applyFill="1" applyBorder="1" applyAlignment="1">
      <alignment horizontal="center"/>
    </xf>
    <xf numFmtId="164" fontId="25" fillId="6" borderId="0" xfId="12" applyNumberFormat="1" applyFont="1" applyFill="1" applyBorder="1" applyAlignment="1">
      <alignment horizontal="center"/>
    </xf>
    <xf numFmtId="17" fontId="34" fillId="6" borderId="0" xfId="12" applyNumberFormat="1" applyFont="1" applyFill="1" applyBorder="1" applyAlignment="1">
      <alignment horizontal="center"/>
    </xf>
    <xf numFmtId="164" fontId="26" fillId="6" borderId="0" xfId="12" applyNumberFormat="1" applyFont="1" applyFill="1" applyBorder="1" applyAlignment="1">
      <alignment horizontal="center"/>
    </xf>
    <xf numFmtId="164" fontId="25" fillId="9" borderId="0" xfId="12" applyNumberFormat="1" applyFont="1" applyFill="1" applyBorder="1"/>
    <xf numFmtId="164" fontId="32" fillId="10" borderId="0" xfId="12" applyNumberFormat="1" applyFont="1" applyFill="1" applyBorder="1"/>
    <xf numFmtId="164" fontId="27" fillId="9" borderId="0" xfId="12" applyNumberFormat="1" applyFont="1" applyFill="1" applyBorder="1"/>
    <xf numFmtId="17" fontId="34" fillId="9" borderId="30" xfId="12" applyNumberFormat="1" applyFont="1" applyFill="1" applyBorder="1" applyAlignment="1">
      <alignment horizontal="center"/>
    </xf>
    <xf numFmtId="164" fontId="26" fillId="9" borderId="30" xfId="12" applyNumberFormat="1" applyFont="1" applyFill="1" applyBorder="1" applyAlignment="1">
      <alignment horizontal="center"/>
    </xf>
    <xf numFmtId="164" fontId="31" fillId="10" borderId="30" xfId="12" applyNumberFormat="1" applyFont="1" applyFill="1" applyBorder="1"/>
    <xf numFmtId="185" fontId="25" fillId="9" borderId="30" xfId="12" applyNumberFormat="1" applyFont="1" applyFill="1" applyBorder="1" applyAlignment="1">
      <alignment horizontal="right"/>
    </xf>
    <xf numFmtId="166" fontId="25" fillId="9" borderId="31" xfId="12" applyNumberFormat="1" applyFont="1" applyFill="1" applyBorder="1"/>
    <xf numFmtId="166" fontId="27" fillId="9" borderId="30" xfId="12" applyNumberFormat="1" applyFont="1" applyFill="1" applyBorder="1"/>
    <xf numFmtId="166" fontId="27" fillId="9" borderId="32" xfId="12" applyNumberFormat="1" applyFont="1" applyFill="1" applyBorder="1"/>
    <xf numFmtId="167" fontId="27" fillId="9" borderId="30" xfId="12" applyNumberFormat="1" applyFont="1" applyFill="1" applyBorder="1" applyAlignment="1">
      <alignment horizontal="right"/>
    </xf>
    <xf numFmtId="166" fontId="25" fillId="9" borderId="30" xfId="12" applyNumberFormat="1" applyFont="1" applyFill="1" applyBorder="1"/>
    <xf numFmtId="167" fontId="25" fillId="9" borderId="30" xfId="12" applyNumberFormat="1" applyFont="1" applyFill="1" applyBorder="1"/>
    <xf numFmtId="166" fontId="28" fillId="9" borderId="30" xfId="12" applyNumberFormat="1" applyFont="1" applyFill="1" applyBorder="1"/>
    <xf numFmtId="167" fontId="28" fillId="9" borderId="30" xfId="12" applyNumberFormat="1" applyFont="1" applyFill="1" applyBorder="1"/>
    <xf numFmtId="167" fontId="27" fillId="9" borderId="30" xfId="12" applyNumberFormat="1" applyFont="1" applyFill="1" applyBorder="1"/>
    <xf numFmtId="169" fontId="25" fillId="9" borderId="30" xfId="12" applyNumberFormat="1" applyFont="1" applyFill="1" applyBorder="1"/>
    <xf numFmtId="167" fontId="32" fillId="10" borderId="30" xfId="12" applyNumberFormat="1" applyFont="1" applyFill="1" applyBorder="1"/>
    <xf numFmtId="167" fontId="25" fillId="9" borderId="30" xfId="12" applyNumberFormat="1" applyFont="1" applyFill="1" applyBorder="1" applyAlignment="1">
      <alignment horizontal="center"/>
    </xf>
    <xf numFmtId="167" fontId="27" fillId="9" borderId="32" xfId="12" applyNumberFormat="1" applyFont="1" applyFill="1" applyBorder="1" applyAlignment="1">
      <alignment horizontal="right"/>
    </xf>
    <xf numFmtId="167" fontId="25" fillId="9" borderId="31" xfId="12" applyNumberFormat="1" applyFont="1" applyFill="1" applyBorder="1" applyAlignment="1">
      <alignment horizontal="right"/>
    </xf>
    <xf numFmtId="167" fontId="25" fillId="9" borderId="30" xfId="12" applyNumberFormat="1" applyFont="1" applyFill="1" applyBorder="1" applyAlignment="1">
      <alignment horizontal="right"/>
    </xf>
    <xf numFmtId="178" fontId="25" fillId="9" borderId="30" xfId="12" applyNumberFormat="1" applyFont="1" applyFill="1" applyBorder="1" applyAlignment="1">
      <alignment horizontal="right"/>
    </xf>
    <xf numFmtId="170" fontId="25" fillId="9" borderId="30" xfId="12" applyNumberFormat="1" applyFont="1" applyFill="1" applyBorder="1"/>
    <xf numFmtId="179" fontId="25" fillId="9" borderId="30" xfId="12" applyNumberFormat="1" applyFont="1" applyFill="1" applyBorder="1" applyAlignment="1">
      <alignment horizontal="right"/>
    </xf>
    <xf numFmtId="170" fontId="27" fillId="9" borderId="30" xfId="12" applyNumberFormat="1" applyFont="1" applyFill="1" applyBorder="1"/>
    <xf numFmtId="167" fontId="0" fillId="9" borderId="31" xfId="0" applyNumberFormat="1" applyFont="1" applyFill="1" applyBorder="1" applyAlignment="1">
      <alignment horizontal="right"/>
    </xf>
    <xf numFmtId="169" fontId="6" fillId="9" borderId="30" xfId="0" applyNumberFormat="1" applyFont="1" applyFill="1" applyBorder="1"/>
    <xf numFmtId="169" fontId="0" fillId="9" borderId="32" xfId="0" applyNumberFormat="1" applyFill="1" applyBorder="1"/>
    <xf numFmtId="172" fontId="0" fillId="9" borderId="30" xfId="0" applyNumberFormat="1" applyFont="1" applyFill="1" applyBorder="1"/>
    <xf numFmtId="164" fontId="24" fillId="10" borderId="0" xfId="0" applyNumberFormat="1" applyFont="1" applyFill="1" applyBorder="1"/>
    <xf numFmtId="164" fontId="24" fillId="10" borderId="30" xfId="0" applyNumberFormat="1" applyFont="1" applyFill="1" applyBorder="1"/>
    <xf numFmtId="164" fontId="27" fillId="6" borderId="0" xfId="0" applyNumberFormat="1" applyFont="1" applyFill="1" applyBorder="1"/>
    <xf numFmtId="164" fontId="27" fillId="9" borderId="0" xfId="0" applyNumberFormat="1" applyFont="1" applyFill="1" applyBorder="1"/>
    <xf numFmtId="164" fontId="27" fillId="9" borderId="30" xfId="0" applyNumberFormat="1" applyFont="1" applyFill="1" applyBorder="1"/>
    <xf numFmtId="164" fontId="25" fillId="6" borderId="0" xfId="0" applyNumberFormat="1" applyFont="1" applyFill="1" applyBorder="1"/>
    <xf numFmtId="164" fontId="25" fillId="9" borderId="0" xfId="0" applyNumberFormat="1" applyFont="1" applyFill="1" applyBorder="1"/>
    <xf numFmtId="164" fontId="25" fillId="9" borderId="30" xfId="0" applyNumberFormat="1" applyFont="1" applyFill="1" applyBorder="1"/>
    <xf numFmtId="164" fontId="28" fillId="6" borderId="0" xfId="0" applyNumberFormat="1" applyFont="1" applyFill="1" applyBorder="1"/>
    <xf numFmtId="164" fontId="28" fillId="9" borderId="0" xfId="0" applyNumberFormat="1" applyFont="1" applyFill="1" applyBorder="1"/>
    <xf numFmtId="164" fontId="28" fillId="9" borderId="30" xfId="0" applyNumberFormat="1" applyFont="1" applyFill="1" applyBorder="1"/>
    <xf numFmtId="164" fontId="28" fillId="6" borderId="7" xfId="0" applyNumberFormat="1" applyFont="1" applyFill="1" applyBorder="1"/>
    <xf numFmtId="164" fontId="28" fillId="9" borderId="7" xfId="0" applyNumberFormat="1" applyFont="1" applyFill="1" applyBorder="1"/>
    <xf numFmtId="164" fontId="28" fillId="9" borderId="31" xfId="0" applyNumberFormat="1" applyFont="1" applyFill="1" applyBorder="1"/>
    <xf numFmtId="164" fontId="0" fillId="9" borderId="0" xfId="0" applyNumberFormat="1" applyFont="1" applyFill="1" applyBorder="1"/>
    <xf numFmtId="164" fontId="31" fillId="10" borderId="0" xfId="0" applyNumberFormat="1" applyFont="1" applyFill="1" applyBorder="1"/>
    <xf numFmtId="164" fontId="31" fillId="10" borderId="30" xfId="0" applyNumberFormat="1" applyFont="1" applyFill="1" applyBorder="1"/>
    <xf numFmtId="164" fontId="27" fillId="9" borderId="0" xfId="0" applyNumberFormat="1" applyFont="1" applyFill="1" applyBorder="1" applyAlignment="1">
      <alignment horizontal="right"/>
    </xf>
    <xf numFmtId="164" fontId="27" fillId="9" borderId="30" xfId="0" applyNumberFormat="1" applyFont="1" applyFill="1" applyBorder="1" applyAlignment="1">
      <alignment horizontal="right"/>
    </xf>
    <xf numFmtId="164" fontId="23" fillId="2" borderId="0" xfId="5" applyNumberFormat="1" applyFont="1" applyFill="1" applyBorder="1" applyAlignment="1">
      <alignment horizontal="right"/>
    </xf>
    <xf numFmtId="164" fontId="23" fillId="2" borderId="30" xfId="5" applyNumberFormat="1" applyFont="1" applyFill="1" applyBorder="1" applyAlignment="1">
      <alignment horizontal="right"/>
    </xf>
    <xf numFmtId="164" fontId="25" fillId="9" borderId="8" xfId="0" applyNumberFormat="1" applyFont="1" applyFill="1" applyBorder="1"/>
    <xf numFmtId="164" fontId="25" fillId="9" borderId="7" xfId="0" applyNumberFormat="1" applyFont="1" applyFill="1" applyBorder="1"/>
    <xf numFmtId="164" fontId="25" fillId="9" borderId="31" xfId="0" applyNumberFormat="1" applyFont="1" applyFill="1" applyBorder="1"/>
    <xf numFmtId="164" fontId="25" fillId="9" borderId="6" xfId="0" applyNumberFormat="1" applyFont="1" applyFill="1" applyBorder="1"/>
    <xf numFmtId="164" fontId="25" fillId="9" borderId="5" xfId="0" applyNumberFormat="1" applyFont="1" applyFill="1" applyBorder="1"/>
    <xf numFmtId="164" fontId="25" fillId="9" borderId="4" xfId="0" applyNumberFormat="1" applyFont="1" applyFill="1" applyBorder="1"/>
    <xf numFmtId="164" fontId="27" fillId="6" borderId="2" xfId="12" applyNumberFormat="1" applyFont="1" applyFill="1" applyBorder="1"/>
    <xf numFmtId="164" fontId="27" fillId="9" borderId="2" xfId="12" applyNumberFormat="1" applyFont="1" applyFill="1" applyBorder="1"/>
    <xf numFmtId="164" fontId="27" fillId="9" borderId="32" xfId="12" applyNumberFormat="1" applyFont="1" applyFill="1" applyBorder="1"/>
    <xf numFmtId="164" fontId="25" fillId="6" borderId="0" xfId="12" applyNumberFormat="1" applyFont="1" applyFill="1" applyBorder="1"/>
    <xf numFmtId="164" fontId="25" fillId="9" borderId="0" xfId="12" applyNumberFormat="1" applyFont="1" applyFill="1" applyBorder="1"/>
    <xf numFmtId="164" fontId="25" fillId="9" borderId="30" xfId="12" applyNumberFormat="1" applyFont="1" applyFill="1" applyBorder="1"/>
    <xf numFmtId="164" fontId="32" fillId="10" borderId="0" xfId="12" applyNumberFormat="1" applyFont="1" applyFill="1" applyBorder="1"/>
    <xf numFmtId="164" fontId="32" fillId="10" borderId="30" xfId="12" applyNumberFormat="1" applyFont="1" applyFill="1" applyBorder="1"/>
    <xf numFmtId="164" fontId="27" fillId="6" borderId="0" xfId="12" applyNumberFormat="1" applyFont="1" applyFill="1" applyBorder="1"/>
    <xf numFmtId="164" fontId="27" fillId="9" borderId="0" xfId="12" applyNumberFormat="1" applyFont="1" applyFill="1" applyBorder="1"/>
    <xf numFmtId="164" fontId="27" fillId="9" borderId="30" xfId="12" applyNumberFormat="1" applyFont="1" applyFill="1" applyBorder="1"/>
    <xf numFmtId="164" fontId="3" fillId="9" borderId="0" xfId="0" applyNumberFormat="1" applyFont="1" applyFill="1" applyBorder="1"/>
    <xf numFmtId="164" fontId="24" fillId="10" borderId="0" xfId="0" applyNumberFormat="1" applyFont="1" applyFill="1" applyBorder="1"/>
    <xf numFmtId="166" fontId="25" fillId="13" borderId="0" xfId="0" applyNumberFormat="1" applyFont="1" applyFill="1" applyBorder="1" applyAlignment="1" applyProtection="1">
      <alignment horizontal="left" indent="3"/>
    </xf>
    <xf numFmtId="166" fontId="25" fillId="14" borderId="0" xfId="0" applyNumberFormat="1" applyFont="1" applyFill="1" applyBorder="1" applyAlignment="1" applyProtection="1"/>
    <xf numFmtId="166" fontId="25" fillId="13" borderId="0" xfId="0" applyNumberFormat="1" applyFont="1" applyFill="1" applyBorder="1" applyAlignment="1" applyProtection="1"/>
    <xf numFmtId="166" fontId="6" fillId="13" borderId="0" xfId="0" applyNumberFormat="1" applyFont="1" applyFill="1" applyBorder="1" applyAlignment="1" applyProtection="1"/>
    <xf numFmtId="166" fontId="25" fillId="13" borderId="0" xfId="0" applyNumberFormat="1" applyFont="1" applyFill="1" applyBorder="1" applyAlignment="1" applyProtection="1">
      <alignment horizontal="left" indent="1"/>
    </xf>
    <xf numFmtId="169" fontId="25" fillId="13" borderId="0" xfId="0" applyNumberFormat="1" applyFont="1" applyFill="1" applyBorder="1" applyAlignment="1" applyProtection="1">
      <alignment horizontal="left" indent="3"/>
    </xf>
    <xf numFmtId="169" fontId="6" fillId="14" borderId="0" xfId="0" applyNumberFormat="1" applyFont="1" applyFill="1" applyBorder="1" applyAlignment="1" applyProtection="1"/>
    <xf numFmtId="169" fontId="6" fillId="13" borderId="0" xfId="0" applyNumberFormat="1" applyFont="1" applyFill="1" applyBorder="1" applyAlignment="1" applyProtection="1"/>
    <xf numFmtId="169" fontId="25" fillId="13" borderId="0" xfId="0" applyNumberFormat="1" applyFont="1" applyFill="1" applyBorder="1" applyAlignment="1" applyProtection="1"/>
    <xf numFmtId="169" fontId="25" fillId="14" borderId="0" xfId="0" applyNumberFormat="1" applyFont="1" applyFill="1" applyBorder="1" applyAlignment="1" applyProtection="1"/>
    <xf numFmtId="169" fontId="3" fillId="13" borderId="0" xfId="0" applyNumberFormat="1" applyFont="1" applyFill="1" applyBorder="1" applyAlignment="1" applyProtection="1">
      <alignment horizontal="left" indent="1"/>
    </xf>
    <xf numFmtId="170" fontId="27" fillId="13" borderId="0" xfId="0" applyNumberFormat="1" applyFont="1" applyFill="1" applyBorder="1" applyAlignment="1" applyProtection="1">
      <alignment horizontal="left" indent="3"/>
    </xf>
    <xf numFmtId="170" fontId="0" fillId="14" borderId="0" xfId="0" applyNumberFormat="1" applyFont="1" applyFill="1" applyBorder="1" applyAlignment="1" applyProtection="1">
      <alignment horizontal="right"/>
    </xf>
    <xf numFmtId="170" fontId="27" fillId="13" borderId="0" xfId="0" applyNumberFormat="1" applyFont="1" applyFill="1" applyBorder="1" applyAlignment="1" applyProtection="1">
      <alignment horizontal="right"/>
    </xf>
    <xf numFmtId="170" fontId="27" fillId="13" borderId="0" xfId="0" applyNumberFormat="1" applyFont="1" applyFill="1" applyBorder="1" applyAlignment="1" applyProtection="1"/>
    <xf numFmtId="170" fontId="27" fillId="14" borderId="0" xfId="0" applyNumberFormat="1" applyFont="1" applyFill="1" applyBorder="1" applyAlignment="1" applyProtection="1">
      <alignment horizontal="right"/>
    </xf>
    <xf numFmtId="170" fontId="2" fillId="13" borderId="0" xfId="0" applyNumberFormat="1" applyFont="1" applyFill="1" applyBorder="1" applyAlignment="1" applyProtection="1">
      <alignment horizontal="left" indent="1"/>
    </xf>
    <xf numFmtId="166" fontId="6" fillId="9" borderId="0" xfId="0" applyNumberFormat="1" applyFont="1" applyFill="1" applyBorder="1" applyAlignment="1">
      <alignment horizontal="left" indent="1"/>
    </xf>
    <xf numFmtId="166" fontId="25" fillId="9" borderId="0" xfId="0" applyNumberFormat="1" applyFont="1" applyFill="1" applyBorder="1" applyAlignment="1">
      <alignment horizontal="left" indent="1"/>
    </xf>
    <xf numFmtId="164" fontId="23" fillId="13" borderId="0" xfId="0" applyNumberFormat="1" applyFont="1" applyFill="1" applyBorder="1" applyAlignment="1" applyProtection="1">
      <alignment horizontal="left" indent="1"/>
    </xf>
    <xf numFmtId="164" fontId="27" fillId="13" borderId="0" xfId="0" applyNumberFormat="1" applyFont="1" applyFill="1" applyBorder="1" applyAlignment="1" applyProtection="1"/>
    <xf numFmtId="167" fontId="23" fillId="13" borderId="0" xfId="0" applyNumberFormat="1" applyFont="1" applyFill="1" applyBorder="1" applyAlignment="1" applyProtection="1"/>
    <xf numFmtId="167" fontId="27" fillId="13" borderId="0" xfId="0" applyNumberFormat="1" applyFont="1" applyFill="1" applyBorder="1" applyAlignment="1" applyProtection="1"/>
    <xf numFmtId="164" fontId="23" fillId="13" borderId="0" xfId="0" applyNumberFormat="1" applyFont="1" applyFill="1" applyBorder="1" applyAlignment="1" applyProtection="1"/>
    <xf numFmtId="169" fontId="23" fillId="13" borderId="0" xfId="0" applyNumberFormat="1" applyFont="1" applyFill="1" applyBorder="1" applyAlignment="1" applyProtection="1">
      <alignment horizontal="left" indent="1"/>
    </xf>
    <xf numFmtId="169" fontId="27" fillId="13" borderId="0" xfId="0" applyNumberFormat="1" applyFont="1" applyFill="1" applyBorder="1" applyAlignment="1" applyProtection="1"/>
    <xf numFmtId="169" fontId="23" fillId="13" borderId="0" xfId="0" applyNumberFormat="1" applyFont="1" applyFill="1" applyBorder="1" applyAlignment="1" applyProtection="1"/>
    <xf numFmtId="166" fontId="9" fillId="12" borderId="0" xfId="0" applyNumberFormat="1" applyFont="1" applyFill="1" applyBorder="1" applyAlignment="1">
      <alignment horizontal="right"/>
    </xf>
    <xf numFmtId="167" fontId="9" fillId="12" borderId="0" xfId="0" applyNumberFormat="1" applyFont="1" applyFill="1" applyBorder="1" applyAlignment="1">
      <alignment horizontal="right"/>
    </xf>
    <xf numFmtId="166" fontId="14" fillId="9" borderId="0" xfId="0" applyNumberFormat="1" applyFont="1" applyFill="1" applyBorder="1" applyAlignment="1">
      <alignment horizontal="right"/>
    </xf>
    <xf numFmtId="166" fontId="14" fillId="12" borderId="7" xfId="0" applyNumberFormat="1" applyFont="1" applyFill="1" applyBorder="1" applyAlignment="1">
      <alignment horizontal="right"/>
    </xf>
    <xf numFmtId="166" fontId="9" fillId="12" borderId="2" xfId="0" applyNumberFormat="1" applyFont="1" applyFill="1" applyBorder="1" applyAlignment="1">
      <alignment horizontal="right"/>
    </xf>
    <xf numFmtId="167" fontId="14" fillId="12" borderId="0" xfId="0" applyNumberFormat="1" applyFont="1" applyFill="1" applyBorder="1" applyAlignment="1">
      <alignment horizontal="left" indent="1"/>
    </xf>
    <xf numFmtId="166" fontId="28" fillId="9" borderId="0" xfId="0" applyNumberFormat="1" applyFont="1" applyFill="1" applyBorder="1" applyAlignment="1">
      <alignment horizontal="left" indent="1"/>
    </xf>
    <xf numFmtId="166" fontId="45" fillId="9" borderId="0" xfId="0" applyNumberFormat="1" applyFont="1" applyFill="1" applyBorder="1"/>
    <xf numFmtId="166" fontId="45" fillId="6" borderId="0" xfId="0" applyNumberFormat="1" applyFont="1" applyFill="1" applyBorder="1"/>
    <xf numFmtId="166" fontId="45" fillId="12" borderId="0" xfId="0" applyNumberFormat="1" applyFont="1" applyFill="1"/>
    <xf numFmtId="166" fontId="14" fillId="6" borderId="0" xfId="0" applyNumberFormat="1" applyFont="1" applyFill="1" applyBorder="1" applyAlignment="1">
      <alignment horizontal="right"/>
    </xf>
    <xf numFmtId="167" fontId="45" fillId="12" borderId="0" xfId="0" applyNumberFormat="1" applyFont="1" applyFill="1" applyBorder="1" applyAlignment="1">
      <alignment horizontal="right"/>
    </xf>
    <xf numFmtId="167" fontId="14" fillId="12" borderId="0" xfId="0" applyNumberFormat="1" applyFont="1" applyFill="1" applyBorder="1" applyAlignment="1">
      <alignment horizontal="right"/>
    </xf>
    <xf numFmtId="166" fontId="9" fillId="12" borderId="0" xfId="0" applyNumberFormat="1" applyFont="1" applyFill="1" applyBorder="1"/>
    <xf numFmtId="166" fontId="9" fillId="12" borderId="2" xfId="0" applyNumberFormat="1" applyFont="1" applyFill="1" applyBorder="1"/>
    <xf numFmtId="166" fontId="9" fillId="12" borderId="10" xfId="0" applyNumberFormat="1" applyFont="1" applyFill="1" applyBorder="1"/>
    <xf numFmtId="166" fontId="9" fillId="12" borderId="7" xfId="0" applyNumberFormat="1" applyFont="1" applyFill="1" applyBorder="1"/>
    <xf numFmtId="167" fontId="14" fillId="12" borderId="0" xfId="0" applyNumberFormat="1" applyFont="1" applyFill="1" applyBorder="1"/>
    <xf numFmtId="166" fontId="14" fillId="12" borderId="0" xfId="0" applyNumberFormat="1" applyFont="1" applyFill="1" applyBorder="1"/>
    <xf numFmtId="172" fontId="2" fillId="9" borderId="0" xfId="1" applyNumberFormat="1" applyFont="1" applyFill="1" applyBorder="1" applyAlignment="1">
      <alignment horizontal="left" indent="1"/>
    </xf>
    <xf numFmtId="172" fontId="9" fillId="12" borderId="0" xfId="0" applyNumberFormat="1" applyFont="1" applyFill="1" applyBorder="1"/>
    <xf numFmtId="172" fontId="3" fillId="9" borderId="0" xfId="1" applyNumberFormat="1" applyFont="1" applyFill="1" applyBorder="1" applyAlignment="1">
      <alignment horizontal="left" indent="1"/>
    </xf>
    <xf numFmtId="185" fontId="14" fillId="12" borderId="0" xfId="0" applyNumberFormat="1" applyFont="1" applyFill="1" applyBorder="1"/>
    <xf numFmtId="167" fontId="41" fillId="12" borderId="0" xfId="0" applyNumberFormat="1" applyFont="1" applyFill="1" applyBorder="1"/>
    <xf numFmtId="164" fontId="28" fillId="9" borderId="0" xfId="0" applyNumberFormat="1" applyFont="1" applyFill="1" applyBorder="1" applyAlignment="1">
      <alignment horizontal="left" indent="1"/>
    </xf>
    <xf numFmtId="164" fontId="21" fillId="9" borderId="0" xfId="0" applyNumberFormat="1" applyFont="1" applyFill="1" applyBorder="1" applyAlignment="1">
      <alignment horizontal="left" indent="1"/>
    </xf>
    <xf numFmtId="164" fontId="24" fillId="10" borderId="30" xfId="0" applyNumberFormat="1" applyFont="1" applyFill="1" applyBorder="1"/>
    <xf numFmtId="166" fontId="6" fillId="13" borderId="30" xfId="0" applyNumberFormat="1" applyFont="1" applyFill="1" applyBorder="1" applyAlignment="1" applyProtection="1"/>
    <xf numFmtId="169" fontId="6" fillId="13" borderId="30" xfId="0" applyNumberFormat="1" applyFont="1" applyFill="1" applyBorder="1" applyAlignment="1" applyProtection="1"/>
    <xf numFmtId="170" fontId="27" fillId="13" borderId="30" xfId="0" applyNumberFormat="1" applyFont="1" applyFill="1" applyBorder="1" applyAlignment="1" applyProtection="1">
      <alignment horizontal="right"/>
    </xf>
    <xf numFmtId="164" fontId="27" fillId="13" borderId="30" xfId="0" applyNumberFormat="1" applyFont="1" applyFill="1" applyBorder="1" applyAlignment="1" applyProtection="1"/>
    <xf numFmtId="169" fontId="27" fillId="13" borderId="30" xfId="0" applyNumberFormat="1" applyFont="1" applyFill="1" applyBorder="1" applyAlignment="1" applyProtection="1"/>
    <xf numFmtId="167" fontId="23" fillId="14" borderId="0" xfId="0" applyNumberFormat="1" applyFont="1" applyFill="1" applyBorder="1" applyAlignment="1" applyProtection="1"/>
    <xf numFmtId="164" fontId="23" fillId="14" borderId="0" xfId="0" applyNumberFormat="1" applyFont="1" applyFill="1" applyBorder="1" applyAlignment="1" applyProtection="1"/>
    <xf numFmtId="169" fontId="23" fillId="14" borderId="0" xfId="0" applyNumberFormat="1" applyFont="1" applyFill="1" applyBorder="1" applyAlignment="1" applyProtection="1"/>
    <xf numFmtId="167" fontId="27" fillId="14" borderId="0" xfId="0" applyNumberFormat="1" applyFont="1" applyFill="1" applyBorder="1" applyAlignment="1" applyProtection="1"/>
    <xf numFmtId="164" fontId="27" fillId="14" borderId="0" xfId="0" applyNumberFormat="1" applyFont="1" applyFill="1" applyBorder="1" applyAlignment="1" applyProtection="1"/>
    <xf numFmtId="169" fontId="27" fillId="14" borderId="0" xfId="0" applyNumberFormat="1" applyFont="1" applyFill="1" applyBorder="1" applyAlignment="1" applyProtection="1"/>
    <xf numFmtId="170" fontId="23" fillId="13" borderId="0" xfId="0" applyNumberFormat="1" applyFont="1" applyFill="1" applyBorder="1" applyAlignment="1" applyProtection="1">
      <alignment horizontal="left" indent="1"/>
    </xf>
    <xf numFmtId="172" fontId="26" fillId="9" borderId="0" xfId="1" applyNumberFormat="1" applyFont="1" applyFill="1" applyBorder="1" applyAlignment="1">
      <alignment horizontal="left" indent="1"/>
    </xf>
    <xf numFmtId="164" fontId="33" fillId="9" borderId="0" xfId="0" applyNumberFormat="1" applyFont="1" applyFill="1" applyBorder="1" applyAlignment="1">
      <alignment horizontal="left" indent="1"/>
    </xf>
    <xf numFmtId="167" fontId="33" fillId="9" borderId="30" xfId="0" applyNumberFormat="1" applyFont="1" applyFill="1" applyBorder="1"/>
    <xf numFmtId="0" fontId="53" fillId="0" borderId="37" xfId="15" applyFont="1" applyBorder="1"/>
    <xf numFmtId="0" fontId="53" fillId="0" borderId="0" xfId="15" applyFont="1"/>
    <xf numFmtId="0" fontId="55" fillId="15" borderId="38" xfId="16" applyFont="1" applyFill="1" applyBorder="1"/>
    <xf numFmtId="0" fontId="55" fillId="15" borderId="39" xfId="16" applyFont="1" applyFill="1" applyBorder="1"/>
    <xf numFmtId="0" fontId="56" fillId="0" borderId="0" xfId="16" applyFont="1"/>
    <xf numFmtId="0" fontId="58" fillId="0" borderId="0" xfId="17" applyNumberFormat="1" applyFont="1"/>
    <xf numFmtId="192" fontId="59" fillId="0" borderId="0" xfId="18" applyNumberFormat="1" applyFont="1" applyAlignment="1">
      <alignment horizontal="left"/>
    </xf>
    <xf numFmtId="0" fontId="60" fillId="0" borderId="0" xfId="18" applyFont="1"/>
    <xf numFmtId="0" fontId="60" fillId="0" borderId="0" xfId="18" applyFont="1" applyAlignment="1">
      <alignment horizontal="center"/>
    </xf>
    <xf numFmtId="0" fontId="56" fillId="0" borderId="40" xfId="16" applyFont="1" applyBorder="1"/>
    <xf numFmtId="0" fontId="61" fillId="0" borderId="41" xfId="16" applyFont="1" applyBorder="1"/>
    <xf numFmtId="192" fontId="60" fillId="0" borderId="0" xfId="18" applyNumberFormat="1" applyFont="1" applyAlignment="1">
      <alignment horizontal="left"/>
    </xf>
    <xf numFmtId="0" fontId="62" fillId="15" borderId="42" xfId="16" applyFont="1" applyFill="1" applyBorder="1" applyAlignment="1">
      <alignment horizontal="center" vertical="center"/>
    </xf>
    <xf numFmtId="193" fontId="56" fillId="0" borderId="0" xfId="16" applyNumberFormat="1" applyFont="1"/>
    <xf numFmtId="0" fontId="56" fillId="0" borderId="43" xfId="16" applyFont="1" applyBorder="1"/>
    <xf numFmtId="0" fontId="61" fillId="0" borderId="44" xfId="16" applyFont="1" applyBorder="1"/>
    <xf numFmtId="0" fontId="58" fillId="0" borderId="0" xfId="18" applyFont="1" applyAlignment="1">
      <alignment horizontal="center"/>
    </xf>
    <xf numFmtId="194" fontId="63" fillId="0" borderId="0" xfId="18" applyNumberFormat="1" applyFont="1" applyAlignment="1">
      <alignment horizontal="center"/>
    </xf>
    <xf numFmtId="0" fontId="64" fillId="0" borderId="0" xfId="18" applyFont="1" applyAlignment="1">
      <alignment horizontal="center"/>
    </xf>
    <xf numFmtId="0" fontId="5" fillId="0" borderId="2" xfId="18" applyFont="1" applyBorder="1" applyAlignment="1">
      <alignment horizontal="centerContinuous" vertical="center"/>
    </xf>
    <xf numFmtId="0" fontId="5" fillId="0" borderId="0" xfId="18" applyFont="1" applyAlignment="1">
      <alignment horizontal="center"/>
    </xf>
    <xf numFmtId="0" fontId="61" fillId="0" borderId="0" xfId="16" applyFont="1"/>
    <xf numFmtId="0" fontId="58" fillId="0" borderId="0" xfId="18" applyFont="1"/>
    <xf numFmtId="0" fontId="64" fillId="0" borderId="0" xfId="18" applyFont="1"/>
    <xf numFmtId="0" fontId="65" fillId="0" borderId="0" xfId="18" applyFont="1" applyAlignment="1">
      <alignment horizontal="center"/>
    </xf>
    <xf numFmtId="0" fontId="65" fillId="0" borderId="4" xfId="18" applyFont="1" applyBorder="1" applyAlignment="1">
      <alignment horizontal="center"/>
    </xf>
    <xf numFmtId="0" fontId="8" fillId="0" borderId="0" xfId="18" applyFont="1"/>
    <xf numFmtId="0" fontId="51" fillId="11" borderId="0" xfId="18" applyFont="1" applyFill="1"/>
    <xf numFmtId="0" fontId="10" fillId="11" borderId="0" xfId="18" applyFont="1" applyFill="1"/>
    <xf numFmtId="0" fontId="10" fillId="11" borderId="4" xfId="18" applyFont="1" applyFill="1" applyBorder="1"/>
    <xf numFmtId="0" fontId="8" fillId="11" borderId="0" xfId="18" applyFont="1" applyFill="1"/>
    <xf numFmtId="0" fontId="66" fillId="0" borderId="0" xfId="18" applyFont="1"/>
    <xf numFmtId="166" fontId="58" fillId="0" borderId="0" xfId="18" applyNumberFormat="1" applyFont="1"/>
    <xf numFmtId="166" fontId="67" fillId="0" borderId="0" xfId="18" applyNumberFormat="1" applyFont="1"/>
    <xf numFmtId="166" fontId="64" fillId="0" borderId="0" xfId="18" applyNumberFormat="1" applyFont="1"/>
    <xf numFmtId="164" fontId="68" fillId="0" borderId="7" xfId="17" applyNumberFormat="1" applyFont="1" applyBorder="1" applyAlignment="1">
      <alignment horizontal="right"/>
    </xf>
    <xf numFmtId="164" fontId="68" fillId="0" borderId="6" xfId="17" applyNumberFormat="1" applyFont="1" applyBorder="1" applyAlignment="1">
      <alignment horizontal="right"/>
    </xf>
    <xf numFmtId="166" fontId="64" fillId="0" borderId="0" xfId="18" applyNumberFormat="1" applyFont="1" applyAlignment="1">
      <alignment horizontal="right"/>
    </xf>
    <xf numFmtId="167" fontId="68" fillId="0" borderId="7" xfId="17" applyNumberFormat="1" applyFont="1" applyBorder="1" applyAlignment="1">
      <alignment horizontal="right"/>
    </xf>
    <xf numFmtId="0" fontId="59" fillId="0" borderId="0" xfId="18" applyFont="1"/>
    <xf numFmtId="0" fontId="69" fillId="0" borderId="0" xfId="18" applyFont="1" applyAlignment="1">
      <alignment horizontal="left" indent="1"/>
    </xf>
    <xf numFmtId="0" fontId="70" fillId="0" borderId="0" xfId="18" applyFont="1"/>
    <xf numFmtId="195" fontId="69" fillId="0" borderId="0" xfId="17" applyNumberFormat="1" applyFont="1" applyAlignment="1">
      <alignment horizontal="right"/>
    </xf>
    <xf numFmtId="195" fontId="69" fillId="0" borderId="4" xfId="17" applyNumberFormat="1" applyFont="1" applyBorder="1" applyAlignment="1">
      <alignment horizontal="right"/>
    </xf>
    <xf numFmtId="0" fontId="8" fillId="0" borderId="0" xfId="18" applyFont="1" applyAlignment="1">
      <alignment horizontal="right"/>
    </xf>
    <xf numFmtId="0" fontId="69" fillId="0" borderId="0" xfId="18" applyFont="1" applyAlignment="1">
      <alignment horizontal="left" indent="2"/>
    </xf>
    <xf numFmtId="0" fontId="8" fillId="4" borderId="0" xfId="18" applyFont="1" applyFill="1"/>
    <xf numFmtId="0" fontId="8" fillId="4" borderId="0" xfId="18" quotePrefix="1" applyFont="1" applyFill="1"/>
    <xf numFmtId="164" fontId="59" fillId="0" borderId="0" xfId="18" applyNumberFormat="1" applyFont="1"/>
    <xf numFmtId="164" fontId="71" fillId="0" borderId="0" xfId="18" applyNumberFormat="1" applyFont="1" applyAlignment="1">
      <alignment horizontal="left" indent="1"/>
    </xf>
    <xf numFmtId="164" fontId="72" fillId="0" borderId="0" xfId="18" applyNumberFormat="1" applyFont="1"/>
    <xf numFmtId="164" fontId="71" fillId="0" borderId="0" xfId="17" applyNumberFormat="1" applyFont="1" applyAlignment="1">
      <alignment horizontal="right"/>
    </xf>
    <xf numFmtId="164" fontId="71" fillId="0" borderId="4" xfId="17" applyNumberFormat="1" applyFont="1" applyBorder="1" applyAlignment="1">
      <alignment horizontal="right"/>
    </xf>
    <xf numFmtId="164" fontId="8" fillId="0" borderId="0" xfId="18" applyNumberFormat="1" applyFont="1" applyAlignment="1">
      <alignment horizontal="right"/>
    </xf>
    <xf numFmtId="164" fontId="56" fillId="0" borderId="0" xfId="16" applyNumberFormat="1" applyFont="1"/>
    <xf numFmtId="164" fontId="8" fillId="4" borderId="0" xfId="18" quotePrefix="1" applyNumberFormat="1" applyFont="1" applyFill="1"/>
    <xf numFmtId="164" fontId="8" fillId="0" borderId="0" xfId="18" applyNumberFormat="1" applyFont="1"/>
    <xf numFmtId="0" fontId="73" fillId="0" borderId="0" xfId="18" applyFont="1"/>
    <xf numFmtId="195" fontId="74" fillId="0" borderId="0" xfId="17" applyNumberFormat="1" applyFont="1" applyAlignment="1">
      <alignment horizontal="right"/>
    </xf>
    <xf numFmtId="195" fontId="74" fillId="0" borderId="4" xfId="17" applyNumberFormat="1" applyFont="1" applyBorder="1" applyAlignment="1">
      <alignment horizontal="right"/>
    </xf>
    <xf numFmtId="0" fontId="64" fillId="0" borderId="0" xfId="18" applyFont="1" applyAlignment="1">
      <alignment horizontal="right"/>
    </xf>
    <xf numFmtId="0" fontId="75" fillId="0" borderId="0" xfId="18" applyFont="1"/>
    <xf numFmtId="164" fontId="76" fillId="0" borderId="0" xfId="17" applyNumberFormat="1" applyFont="1" applyAlignment="1">
      <alignment horizontal="right"/>
    </xf>
    <xf numFmtId="164" fontId="75" fillId="4" borderId="0" xfId="17" applyNumberFormat="1" applyFont="1" applyFill="1" applyAlignment="1">
      <alignment horizontal="right"/>
    </xf>
    <xf numFmtId="164" fontId="75" fillId="4" borderId="4" xfId="17" applyNumberFormat="1" applyFont="1" applyFill="1" applyBorder="1" applyAlignment="1">
      <alignment horizontal="right"/>
    </xf>
    <xf numFmtId="0" fontId="60" fillId="0" borderId="0" xfId="18" applyFont="1" applyAlignment="1">
      <alignment horizontal="right"/>
    </xf>
    <xf numFmtId="167" fontId="76" fillId="0" borderId="0" xfId="17" applyNumberFormat="1" applyFont="1" applyBorder="1" applyAlignment="1">
      <alignment horizontal="right"/>
    </xf>
    <xf numFmtId="0" fontId="77" fillId="0" borderId="0" xfId="18" applyFont="1"/>
    <xf numFmtId="0" fontId="69" fillId="0" borderId="0" xfId="18" applyFont="1"/>
    <xf numFmtId="0" fontId="78" fillId="0" borderId="0" xfId="18" applyFont="1" applyAlignment="1">
      <alignment horizontal="right"/>
    </xf>
    <xf numFmtId="0" fontId="78" fillId="0" borderId="0" xfId="18" applyFont="1"/>
    <xf numFmtId="0" fontId="66" fillId="0" borderId="0" xfId="18" applyFont="1" applyAlignment="1">
      <alignment horizontal="right"/>
    </xf>
    <xf numFmtId="0" fontId="71" fillId="0" borderId="0" xfId="18" applyFont="1" applyAlignment="1">
      <alignment horizontal="left" indent="1"/>
    </xf>
    <xf numFmtId="0" fontId="72" fillId="0" borderId="0" xfId="18" applyFont="1"/>
    <xf numFmtId="195" fontId="71" fillId="0" borderId="0" xfId="17" applyNumberFormat="1" applyFont="1" applyAlignment="1">
      <alignment horizontal="right"/>
    </xf>
    <xf numFmtId="195" fontId="71" fillId="0" borderId="4" xfId="17" applyNumberFormat="1" applyFont="1" applyBorder="1" applyAlignment="1">
      <alignment horizontal="right"/>
    </xf>
    <xf numFmtId="164" fontId="75" fillId="0" borderId="0" xfId="18" applyNumberFormat="1" applyFont="1"/>
    <xf numFmtId="164" fontId="60" fillId="0" borderId="0" xfId="18" applyNumberFormat="1" applyFont="1"/>
    <xf numFmtId="164" fontId="8" fillId="0" borderId="0" xfId="19" applyNumberFormat="1" applyFont="1" applyAlignment="1">
      <alignment horizontal="right"/>
    </xf>
    <xf numFmtId="164" fontId="8" fillId="0" borderId="4" xfId="19" applyNumberFormat="1" applyFont="1" applyBorder="1" applyAlignment="1">
      <alignment horizontal="right"/>
    </xf>
    <xf numFmtId="164" fontId="77" fillId="0" borderId="0" xfId="18" applyNumberFormat="1" applyFont="1"/>
    <xf numFmtId="164" fontId="76" fillId="0" borderId="0" xfId="18" applyNumberFormat="1" applyFont="1"/>
    <xf numFmtId="164" fontId="76" fillId="0" borderId="4" xfId="17" applyNumberFormat="1" applyFont="1" applyBorder="1" applyAlignment="1">
      <alignment horizontal="right"/>
    </xf>
    <xf numFmtId="164" fontId="79" fillId="0" borderId="0" xfId="17" applyNumberFormat="1" applyFont="1" applyAlignment="1">
      <alignment horizontal="right"/>
    </xf>
    <xf numFmtId="167" fontId="69" fillId="0" borderId="0" xfId="18" applyNumberFormat="1" applyFont="1" applyAlignment="1">
      <alignment horizontal="right"/>
    </xf>
    <xf numFmtId="167" fontId="69" fillId="0" borderId="4" xfId="18" applyNumberFormat="1" applyFont="1" applyBorder="1" applyAlignment="1">
      <alignment horizontal="right"/>
    </xf>
    <xf numFmtId="167" fontId="60" fillId="0" borderId="0" xfId="18" applyNumberFormat="1" applyFont="1" applyAlignment="1">
      <alignment horizontal="right"/>
    </xf>
    <xf numFmtId="0" fontId="60" fillId="0" borderId="4" xfId="18" applyFont="1" applyBorder="1" applyAlignment="1">
      <alignment horizontal="right"/>
    </xf>
    <xf numFmtId="165" fontId="60" fillId="0" borderId="0" xfId="18" applyNumberFormat="1" applyFont="1" applyAlignment="1">
      <alignment horizontal="right"/>
    </xf>
    <xf numFmtId="164" fontId="75" fillId="0" borderId="0" xfId="19" applyNumberFormat="1" applyFont="1" applyAlignment="1">
      <alignment horizontal="right"/>
    </xf>
    <xf numFmtId="164" fontId="75" fillId="0" borderId="4" xfId="19" applyNumberFormat="1" applyFont="1" applyBorder="1" applyAlignment="1">
      <alignment horizontal="right"/>
    </xf>
    <xf numFmtId="0" fontId="5" fillId="0" borderId="45" xfId="18" applyFont="1" applyBorder="1"/>
    <xf numFmtId="44" fontId="5" fillId="0" borderId="45" xfId="17" applyFont="1" applyBorder="1" applyAlignment="1">
      <alignment horizontal="right"/>
    </xf>
    <xf numFmtId="44" fontId="5" fillId="0" borderId="46" xfId="17" applyFont="1" applyBorder="1" applyAlignment="1">
      <alignment horizontal="right"/>
    </xf>
    <xf numFmtId="167" fontId="5" fillId="0" borderId="0" xfId="17" applyNumberFormat="1" applyFont="1" applyBorder="1" applyAlignment="1">
      <alignment horizontal="right"/>
    </xf>
    <xf numFmtId="164" fontId="64" fillId="0" borderId="0" xfId="18" applyNumberFormat="1" applyFont="1"/>
    <xf numFmtId="0" fontId="80" fillId="0" borderId="0" xfId="18" applyFont="1"/>
    <xf numFmtId="0" fontId="71" fillId="0" borderId="0" xfId="18" applyFont="1"/>
    <xf numFmtId="169" fontId="71" fillId="0" borderId="0" xfId="17" applyNumberFormat="1" applyFont="1" applyAlignment="1">
      <alignment horizontal="right"/>
    </xf>
    <xf numFmtId="169" fontId="80" fillId="0" borderId="0" xfId="18" applyNumberFormat="1" applyFont="1" applyAlignment="1">
      <alignment horizontal="right"/>
    </xf>
    <xf numFmtId="0" fontId="80" fillId="0" borderId="0" xfId="18" applyFont="1" applyAlignment="1">
      <alignment horizontal="right"/>
    </xf>
    <xf numFmtId="164" fontId="81" fillId="0" borderId="0" xfId="18" applyNumberFormat="1" applyFont="1"/>
    <xf numFmtId="195" fontId="78" fillId="0" borderId="0" xfId="17" applyNumberFormat="1" applyFont="1" applyAlignment="1">
      <alignment horizontal="right"/>
    </xf>
    <xf numFmtId="195" fontId="78" fillId="0" borderId="4" xfId="17" applyNumberFormat="1" applyFont="1" applyBorder="1" applyAlignment="1">
      <alignment horizontal="right"/>
    </xf>
    <xf numFmtId="165" fontId="10" fillId="11" borderId="0" xfId="18" applyNumberFormat="1" applyFont="1" applyFill="1" applyAlignment="1">
      <alignment horizontal="right"/>
    </xf>
    <xf numFmtId="165" fontId="10" fillId="11" borderId="4" xfId="18" applyNumberFormat="1" applyFont="1" applyFill="1" applyBorder="1" applyAlignment="1">
      <alignment horizontal="right"/>
    </xf>
    <xf numFmtId="0" fontId="64" fillId="11" borderId="0" xfId="18" applyFont="1" applyFill="1" applyAlignment="1">
      <alignment horizontal="right"/>
    </xf>
    <xf numFmtId="164" fontId="60" fillId="0" borderId="0" xfId="18" applyNumberFormat="1" applyFont="1" applyAlignment="1">
      <alignment horizontal="right"/>
    </xf>
    <xf numFmtId="164" fontId="58" fillId="0" borderId="0" xfId="18" applyNumberFormat="1" applyFont="1"/>
    <xf numFmtId="164" fontId="8" fillId="0" borderId="0" xfId="18" applyNumberFormat="1" applyFont="1" applyAlignment="1">
      <alignment horizontal="left" indent="1"/>
    </xf>
    <xf numFmtId="164" fontId="75" fillId="4" borderId="0" xfId="19" applyNumberFormat="1" applyFont="1" applyFill="1" applyAlignment="1">
      <alignment horizontal="right"/>
    </xf>
    <xf numFmtId="164" fontId="75" fillId="4" borderId="4" xfId="19" applyNumberFormat="1" applyFont="1" applyFill="1" applyBorder="1" applyAlignment="1">
      <alignment horizontal="right"/>
    </xf>
    <xf numFmtId="164" fontId="8" fillId="0" borderId="2" xfId="18" applyNumberFormat="1" applyFont="1" applyBorder="1" applyAlignment="1">
      <alignment horizontal="right"/>
    </xf>
    <xf numFmtId="167" fontId="8" fillId="0" borderId="2" xfId="18" applyNumberFormat="1" applyFont="1" applyBorder="1" applyAlignment="1">
      <alignment horizontal="right"/>
    </xf>
    <xf numFmtId="0" fontId="82" fillId="0" borderId="0" xfId="18" applyFont="1"/>
    <xf numFmtId="164" fontId="8" fillId="0" borderId="7" xfId="18" applyNumberFormat="1" applyFont="1" applyBorder="1"/>
    <xf numFmtId="164" fontId="60" fillId="0" borderId="7" xfId="18" applyNumberFormat="1" applyFont="1" applyBorder="1"/>
    <xf numFmtId="164" fontId="8" fillId="0" borderId="7" xfId="17" applyNumberFormat="1" applyFont="1" applyBorder="1" applyAlignment="1">
      <alignment horizontal="right"/>
    </xf>
    <xf numFmtId="164" fontId="8" fillId="0" borderId="6" xfId="17" applyNumberFormat="1" applyFont="1" applyBorder="1" applyAlignment="1">
      <alignment horizontal="right"/>
    </xf>
    <xf numFmtId="164" fontId="76" fillId="0" borderId="0" xfId="18" applyNumberFormat="1" applyFont="1" applyAlignment="1">
      <alignment horizontal="right"/>
    </xf>
    <xf numFmtId="164" fontId="5" fillId="0" borderId="45" xfId="18" applyNumberFormat="1" applyFont="1" applyBorder="1"/>
    <xf numFmtId="164" fontId="64" fillId="0" borderId="45" xfId="18" applyNumberFormat="1" applyFont="1" applyBorder="1"/>
    <xf numFmtId="164" fontId="5" fillId="0" borderId="45" xfId="17" applyNumberFormat="1" applyFont="1" applyBorder="1" applyAlignment="1">
      <alignment horizontal="right"/>
    </xf>
    <xf numFmtId="164" fontId="5" fillId="0" borderId="46" xfId="17" applyNumberFormat="1" applyFont="1" applyBorder="1" applyAlignment="1">
      <alignment horizontal="right"/>
    </xf>
    <xf numFmtId="167" fontId="5" fillId="0" borderId="45" xfId="17" applyNumberFormat="1" applyFont="1" applyBorder="1" applyAlignment="1">
      <alignment horizontal="right"/>
    </xf>
    <xf numFmtId="0" fontId="83" fillId="0" borderId="0" xfId="18" applyFont="1"/>
    <xf numFmtId="44" fontId="69" fillId="0" borderId="0" xfId="17" applyFont="1" applyAlignment="1">
      <alignment horizontal="right"/>
    </xf>
    <xf numFmtId="44" fontId="69" fillId="0" borderId="4" xfId="17" applyFont="1" applyBorder="1" applyAlignment="1">
      <alignment horizontal="right"/>
    </xf>
    <xf numFmtId="0" fontId="82" fillId="0" borderId="0" xfId="18" applyFont="1" applyAlignment="1">
      <alignment horizontal="right"/>
    </xf>
    <xf numFmtId="167" fontId="69" fillId="0" borderId="0" xfId="17" applyNumberFormat="1" applyFont="1" applyAlignment="1">
      <alignment horizontal="right"/>
    </xf>
    <xf numFmtId="164" fontId="78" fillId="0" borderId="0" xfId="18" applyNumberFormat="1" applyFont="1"/>
    <xf numFmtId="0" fontId="63" fillId="0" borderId="0" xfId="18" applyFont="1"/>
    <xf numFmtId="0" fontId="63" fillId="0" borderId="0" xfId="18" applyFont="1" applyAlignment="1">
      <alignment horizontal="right"/>
    </xf>
    <xf numFmtId="0" fontId="63" fillId="0" borderId="4" xfId="18" applyFont="1" applyBorder="1" applyAlignment="1">
      <alignment horizontal="right"/>
    </xf>
    <xf numFmtId="164" fontId="68" fillId="0" borderId="0" xfId="17" applyNumberFormat="1" applyFont="1" applyBorder="1" applyAlignment="1">
      <alignment horizontal="right"/>
    </xf>
    <xf numFmtId="164" fontId="64" fillId="0" borderId="0" xfId="18" applyNumberFormat="1" applyFont="1" applyAlignment="1">
      <alignment horizontal="right"/>
    </xf>
    <xf numFmtId="164" fontId="8" fillId="4" borderId="0" xfId="18" applyNumberFormat="1" applyFont="1" applyFill="1" applyAlignment="1">
      <alignment horizontal="left" indent="1"/>
    </xf>
    <xf numFmtId="164" fontId="63" fillId="0" borderId="0" xfId="18" applyNumberFormat="1" applyFont="1" applyAlignment="1">
      <alignment horizontal="right"/>
    </xf>
    <xf numFmtId="170" fontId="60" fillId="0" borderId="0" xfId="18" applyNumberFormat="1" applyFont="1"/>
    <xf numFmtId="167" fontId="60" fillId="0" borderId="0" xfId="18" applyNumberFormat="1" applyFont="1"/>
    <xf numFmtId="165" fontId="5" fillId="0" borderId="0" xfId="17" applyNumberFormat="1" applyFont="1" applyAlignment="1">
      <alignment horizontal="right"/>
    </xf>
    <xf numFmtId="165" fontId="5" fillId="0" borderId="4" xfId="17" applyNumberFormat="1" applyFont="1" applyBorder="1" applyAlignment="1">
      <alignment horizontal="right"/>
    </xf>
    <xf numFmtId="164" fontId="8" fillId="4" borderId="0" xfId="18" applyNumberFormat="1" applyFont="1" applyFill="1" applyAlignment="1">
      <alignment horizontal="left"/>
    </xf>
    <xf numFmtId="170" fontId="59" fillId="0" borderId="0" xfId="18" applyNumberFormat="1" applyFont="1"/>
    <xf numFmtId="170" fontId="8" fillId="0" borderId="0" xfId="18" applyNumberFormat="1" applyFont="1" applyAlignment="1">
      <alignment horizontal="left" indent="1"/>
    </xf>
    <xf numFmtId="170" fontId="8" fillId="0" borderId="0" xfId="17" applyNumberFormat="1" applyFont="1" applyAlignment="1">
      <alignment horizontal="right"/>
    </xf>
    <xf numFmtId="170" fontId="8" fillId="0" borderId="4" xfId="17" applyNumberFormat="1" applyFont="1" applyBorder="1" applyAlignment="1">
      <alignment horizontal="right"/>
    </xf>
    <xf numFmtId="170" fontId="60" fillId="0" borderId="0" xfId="18" applyNumberFormat="1" applyFont="1" applyAlignment="1">
      <alignment horizontal="right"/>
    </xf>
    <xf numFmtId="169" fontId="76" fillId="0" borderId="0" xfId="18" applyNumberFormat="1" applyFont="1"/>
    <xf numFmtId="167" fontId="59" fillId="0" borderId="0" xfId="18" applyNumberFormat="1" applyFont="1"/>
    <xf numFmtId="167" fontId="8" fillId="0" borderId="0" xfId="18" applyNumberFormat="1" applyFont="1" applyAlignment="1">
      <alignment horizontal="left" indent="1"/>
    </xf>
    <xf numFmtId="167" fontId="8" fillId="0" borderId="0" xfId="17" applyNumberFormat="1" applyFont="1" applyAlignment="1">
      <alignment horizontal="right"/>
    </xf>
    <xf numFmtId="167" fontId="8" fillId="0" borderId="4" xfId="17" applyNumberFormat="1" applyFont="1" applyBorder="1" applyAlignment="1">
      <alignment horizontal="right"/>
    </xf>
    <xf numFmtId="195" fontId="8" fillId="0" borderId="0" xfId="17" applyNumberFormat="1" applyFont="1" applyAlignment="1">
      <alignment horizontal="right"/>
    </xf>
    <xf numFmtId="195" fontId="8" fillId="0" borderId="4" xfId="17" applyNumberFormat="1" applyFont="1" applyBorder="1" applyAlignment="1">
      <alignment horizontal="right"/>
    </xf>
    <xf numFmtId="0" fontId="5" fillId="0" borderId="0" xfId="18" applyFont="1"/>
    <xf numFmtId="164" fontId="5" fillId="0" borderId="0" xfId="17" applyNumberFormat="1" applyFont="1" applyAlignment="1">
      <alignment horizontal="right"/>
    </xf>
    <xf numFmtId="164" fontId="5" fillId="0" borderId="4" xfId="17" applyNumberFormat="1" applyFont="1" applyBorder="1" applyAlignment="1">
      <alignment horizontal="right"/>
    </xf>
    <xf numFmtId="0" fontId="5" fillId="0" borderId="0" xfId="18" applyFont="1" applyAlignment="1">
      <alignment horizontal="right"/>
    </xf>
    <xf numFmtId="164" fontId="5" fillId="0" borderId="0" xfId="18" applyNumberFormat="1" applyFont="1" applyAlignment="1">
      <alignment horizontal="right"/>
    </xf>
    <xf numFmtId="167" fontId="5" fillId="0" borderId="0" xfId="18" applyNumberFormat="1" applyFont="1" applyAlignment="1">
      <alignment horizontal="right"/>
    </xf>
    <xf numFmtId="164" fontId="5" fillId="0" borderId="0" xfId="18" applyNumberFormat="1" applyFont="1"/>
    <xf numFmtId="0" fontId="10" fillId="11" borderId="0" xfId="18" applyFont="1" applyFill="1" applyAlignment="1">
      <alignment horizontal="right"/>
    </xf>
    <xf numFmtId="0" fontId="10" fillId="11" borderId="4" xfId="18" applyFont="1" applyFill="1" applyBorder="1" applyAlignment="1">
      <alignment horizontal="right"/>
    </xf>
    <xf numFmtId="0" fontId="60" fillId="11" borderId="0" xfId="18" applyFont="1" applyFill="1" applyAlignment="1">
      <alignment horizontal="right"/>
    </xf>
    <xf numFmtId="169" fontId="76" fillId="0" borderId="0" xfId="17" applyNumberFormat="1" applyFont="1" applyAlignment="1">
      <alignment horizontal="right"/>
    </xf>
    <xf numFmtId="169" fontId="76" fillId="0" borderId="0" xfId="18" applyNumberFormat="1" applyFont="1" applyAlignment="1">
      <alignment horizontal="right"/>
    </xf>
    <xf numFmtId="169" fontId="76" fillId="0" borderId="4" xfId="18" applyNumberFormat="1" applyFont="1" applyBorder="1" applyAlignment="1">
      <alignment horizontal="right"/>
    </xf>
    <xf numFmtId="164" fontId="8" fillId="4" borderId="2" xfId="18" applyNumberFormat="1" applyFont="1" applyFill="1" applyBorder="1" applyAlignment="1">
      <alignment horizontal="left" indent="1"/>
    </xf>
    <xf numFmtId="164" fontId="76" fillId="0" borderId="2" xfId="18" applyNumberFormat="1" applyFont="1" applyBorder="1"/>
    <xf numFmtId="164" fontId="8" fillId="0" borderId="2" xfId="17" applyNumberFormat="1" applyFont="1" applyBorder="1" applyAlignment="1">
      <alignment horizontal="right"/>
    </xf>
    <xf numFmtId="164" fontId="8" fillId="0" borderId="1" xfId="18" applyNumberFormat="1" applyFont="1" applyBorder="1" applyAlignment="1">
      <alignment horizontal="right"/>
    </xf>
    <xf numFmtId="164" fontId="8" fillId="0" borderId="0" xfId="18" applyNumberFormat="1" applyFont="1" applyAlignment="1">
      <alignment horizontal="left"/>
    </xf>
    <xf numFmtId="164" fontId="8" fillId="0" borderId="0" xfId="17" applyNumberFormat="1" applyFont="1" applyAlignment="1">
      <alignment horizontal="right"/>
    </xf>
    <xf numFmtId="164" fontId="8" fillId="0" borderId="4" xfId="18" applyNumberFormat="1" applyFont="1" applyBorder="1" applyAlignment="1">
      <alignment horizontal="right"/>
    </xf>
    <xf numFmtId="164" fontId="76" fillId="0" borderId="4" xfId="18" applyNumberFormat="1" applyFont="1" applyBorder="1" applyAlignment="1">
      <alignment horizontal="right"/>
    </xf>
    <xf numFmtId="164" fontId="60" fillId="0" borderId="2" xfId="18" applyNumberFormat="1" applyFont="1" applyBorder="1"/>
    <xf numFmtId="164" fontId="76" fillId="0" borderId="2" xfId="18" applyNumberFormat="1" applyFont="1" applyBorder="1" applyAlignment="1">
      <alignment horizontal="right"/>
    </xf>
    <xf numFmtId="164" fontId="76" fillId="0" borderId="1" xfId="18" applyNumberFormat="1" applyFont="1" applyBorder="1" applyAlignment="1">
      <alignment horizontal="right"/>
    </xf>
    <xf numFmtId="164" fontId="5" fillId="0" borderId="7" xfId="18" applyNumberFormat="1" applyFont="1" applyBorder="1" applyAlignment="1">
      <alignment horizontal="right"/>
    </xf>
    <xf numFmtId="164" fontId="5" fillId="0" borderId="6" xfId="18" applyNumberFormat="1" applyFont="1" applyBorder="1" applyAlignment="1">
      <alignment horizontal="right"/>
    </xf>
    <xf numFmtId="164" fontId="5" fillId="0" borderId="45" xfId="18" applyNumberFormat="1" applyFont="1" applyBorder="1" applyAlignment="1">
      <alignment horizontal="right"/>
    </xf>
    <xf numFmtId="164" fontId="5" fillId="0" borderId="46" xfId="18" applyNumberFormat="1" applyFont="1" applyBorder="1" applyAlignment="1">
      <alignment horizontal="right"/>
    </xf>
    <xf numFmtId="196" fontId="8" fillId="0" borderId="0" xfId="18" applyNumberFormat="1" applyFont="1" applyAlignment="1">
      <alignment horizontal="right"/>
    </xf>
    <xf numFmtId="196" fontId="8" fillId="0" borderId="4" xfId="18" applyNumberFormat="1" applyFont="1" applyBorder="1" applyAlignment="1">
      <alignment horizontal="right"/>
    </xf>
    <xf numFmtId="170" fontId="70" fillId="0" borderId="0" xfId="17" applyNumberFormat="1" applyFont="1" applyAlignment="1">
      <alignment horizontal="right"/>
    </xf>
    <xf numFmtId="167" fontId="8" fillId="0" borderId="0" xfId="18" applyNumberFormat="1" applyFont="1" applyAlignment="1">
      <alignment horizontal="right"/>
    </xf>
    <xf numFmtId="167" fontId="8" fillId="0" borderId="4" xfId="18" applyNumberFormat="1" applyFont="1" applyBorder="1" applyAlignment="1">
      <alignment horizontal="right"/>
    </xf>
    <xf numFmtId="44" fontId="8" fillId="0" borderId="0" xfId="17" applyFont="1" applyAlignment="1">
      <alignment horizontal="right"/>
    </xf>
    <xf numFmtId="44" fontId="8" fillId="0" borderId="4" xfId="17" applyFont="1" applyBorder="1" applyAlignment="1">
      <alignment horizontal="right"/>
    </xf>
    <xf numFmtId="0" fontId="76" fillId="0" borderId="0" xfId="18" applyFont="1"/>
    <xf numFmtId="164" fontId="60" fillId="0" borderId="4" xfId="18" applyNumberFormat="1" applyFont="1" applyBorder="1" applyAlignment="1">
      <alignment horizontal="right"/>
    </xf>
    <xf numFmtId="170" fontId="8" fillId="0" borderId="0" xfId="18" applyNumberFormat="1" applyFont="1" applyAlignment="1">
      <alignment horizontal="right"/>
    </xf>
    <xf numFmtId="170" fontId="8" fillId="0" borderId="4" xfId="18" applyNumberFormat="1" applyFont="1" applyBorder="1" applyAlignment="1">
      <alignment horizontal="right"/>
    </xf>
    <xf numFmtId="166" fontId="5" fillId="0" borderId="0" xfId="18" applyNumberFormat="1" applyFont="1" applyAlignment="1">
      <alignment horizontal="left"/>
    </xf>
    <xf numFmtId="166" fontId="5" fillId="0" borderId="0" xfId="17" applyNumberFormat="1" applyFont="1" applyAlignment="1">
      <alignment horizontal="right"/>
    </xf>
    <xf numFmtId="166" fontId="5" fillId="0" borderId="4" xfId="17" applyNumberFormat="1" applyFont="1" applyBorder="1" applyAlignment="1">
      <alignment horizontal="right"/>
    </xf>
    <xf numFmtId="164" fontId="8" fillId="0" borderId="4" xfId="17" applyNumberFormat="1" applyFont="1" applyBorder="1" applyAlignment="1">
      <alignment horizontal="right"/>
    </xf>
    <xf numFmtId="164" fontId="8" fillId="0" borderId="2" xfId="18" applyNumberFormat="1" applyFont="1" applyBorder="1" applyAlignment="1">
      <alignment horizontal="left" indent="1"/>
    </xf>
    <xf numFmtId="166" fontId="5" fillId="0" borderId="0" xfId="18" applyNumberFormat="1" applyFont="1"/>
    <xf numFmtId="166" fontId="5" fillId="0" borderId="0" xfId="18" applyNumberFormat="1" applyFont="1" applyAlignment="1">
      <alignment horizontal="right"/>
    </xf>
    <xf numFmtId="166" fontId="5" fillId="0" borderId="4" xfId="18" applyNumberFormat="1" applyFont="1" applyBorder="1" applyAlignment="1">
      <alignment horizontal="right"/>
    </xf>
    <xf numFmtId="167" fontId="64" fillId="0" borderId="0" xfId="18" applyNumberFormat="1" applyFont="1"/>
    <xf numFmtId="166" fontId="27" fillId="0" borderId="2" xfId="12" applyNumberFormat="1" applyFont="1" applyBorder="1" applyAlignment="1">
      <alignment horizontal="right"/>
    </xf>
    <xf numFmtId="167" fontId="58" fillId="0" borderId="0" xfId="18" applyNumberFormat="1" applyFont="1"/>
    <xf numFmtId="167" fontId="5" fillId="0" borderId="0" xfId="18" applyNumberFormat="1" applyFont="1"/>
    <xf numFmtId="167" fontId="5" fillId="0" borderId="4" xfId="18" applyNumberFormat="1" applyFont="1" applyBorder="1" applyAlignment="1">
      <alignment horizontal="right"/>
    </xf>
    <xf numFmtId="167" fontId="64" fillId="0" borderId="0" xfId="18" applyNumberFormat="1" applyFont="1" applyAlignment="1">
      <alignment horizontal="right"/>
    </xf>
    <xf numFmtId="166" fontId="60" fillId="0" borderId="0" xfId="18" applyNumberFormat="1" applyFont="1" applyAlignment="1">
      <alignment horizontal="right"/>
    </xf>
    <xf numFmtId="0" fontId="51" fillId="11" borderId="2" xfId="18" applyFont="1" applyFill="1" applyBorder="1"/>
    <xf numFmtId="164" fontId="8" fillId="4" borderId="0" xfId="18" applyNumberFormat="1" applyFont="1" applyFill="1" applyAlignment="1">
      <alignment horizontal="left" indent="2"/>
    </xf>
    <xf numFmtId="0" fontId="19" fillId="4" borderId="38" xfId="20" applyFont="1" applyFill="1" applyBorder="1" applyAlignment="1">
      <alignment vertical="center"/>
    </xf>
    <xf numFmtId="0" fontId="19" fillId="4" borderId="47" xfId="20" applyFont="1" applyFill="1" applyBorder="1" applyAlignment="1">
      <alignment vertical="center"/>
    </xf>
    <xf numFmtId="0" fontId="84" fillId="4" borderId="47" xfId="20" applyFont="1" applyFill="1" applyBorder="1" applyAlignment="1">
      <alignment vertical="center"/>
    </xf>
    <xf numFmtId="0" fontId="1" fillId="4" borderId="47" xfId="20" applyFill="1" applyBorder="1" applyAlignment="1">
      <alignment vertical="center"/>
    </xf>
    <xf numFmtId="0" fontId="1" fillId="4" borderId="39" xfId="20" applyFill="1" applyBorder="1" applyAlignment="1">
      <alignment vertical="center"/>
    </xf>
    <xf numFmtId="0" fontId="1" fillId="4" borderId="0" xfId="20" applyFill="1" applyAlignment="1">
      <alignment vertical="center"/>
    </xf>
    <xf numFmtId="0" fontId="1" fillId="4" borderId="40" xfId="20" applyFill="1" applyBorder="1"/>
    <xf numFmtId="0" fontId="1" fillId="4" borderId="0" xfId="20" applyFill="1"/>
    <xf numFmtId="0" fontId="84" fillId="4" borderId="0" xfId="20" applyFont="1" applyFill="1"/>
    <xf numFmtId="0" fontId="1" fillId="4" borderId="0" xfId="20" applyFill="1" applyAlignment="1">
      <alignment horizontal="center"/>
    </xf>
    <xf numFmtId="0" fontId="1" fillId="4" borderId="41" xfId="20" applyFill="1" applyBorder="1" applyAlignment="1">
      <alignment horizontal="center"/>
    </xf>
    <xf numFmtId="0" fontId="16" fillId="4" borderId="40" xfId="20" applyFont="1" applyFill="1" applyBorder="1" applyAlignment="1">
      <alignment horizontal="left" indent="1"/>
    </xf>
    <xf numFmtId="0" fontId="16" fillId="4" borderId="0" xfId="20" applyFont="1" applyFill="1" applyAlignment="1">
      <alignment horizontal="left" indent="1"/>
    </xf>
    <xf numFmtId="0" fontId="84" fillId="13" borderId="0" xfId="20" applyFont="1" applyFill="1"/>
    <xf numFmtId="0" fontId="3" fillId="13" borderId="0" xfId="20" applyFont="1" applyFill="1" applyAlignment="1">
      <alignment horizontal="right"/>
    </xf>
    <xf numFmtId="0" fontId="3" fillId="13" borderId="41" xfId="20" applyFont="1" applyFill="1" applyBorder="1" applyAlignment="1">
      <alignment horizontal="right"/>
    </xf>
    <xf numFmtId="164" fontId="51" fillId="11" borderId="40" xfId="20" applyNumberFormat="1" applyFont="1" applyFill="1" applyBorder="1" applyAlignment="1">
      <alignment horizontal="left" vertical="top"/>
    </xf>
    <xf numFmtId="164" fontId="51" fillId="11" borderId="0" xfId="20" applyNumberFormat="1" applyFont="1" applyFill="1" applyAlignment="1">
      <alignment horizontal="left" vertical="top"/>
    </xf>
    <xf numFmtId="0" fontId="85" fillId="11" borderId="0" xfId="20" applyFont="1" applyFill="1" applyAlignment="1">
      <alignment horizontal="left" vertical="top"/>
    </xf>
    <xf numFmtId="0" fontId="10" fillId="11" borderId="0" xfId="20" applyFont="1" applyFill="1"/>
    <xf numFmtId="0" fontId="10" fillId="11" borderId="0" xfId="20" applyFont="1" applyFill="1" applyAlignment="1">
      <alignment horizontal="left" vertical="top"/>
    </xf>
    <xf numFmtId="0" fontId="10" fillId="11" borderId="41" xfId="20" applyFont="1" applyFill="1" applyBorder="1"/>
    <xf numFmtId="164" fontId="8" fillId="4" borderId="40" xfId="20" applyNumberFormat="1" applyFont="1" applyFill="1" applyBorder="1" applyAlignment="1">
      <alignment horizontal="left" indent="1"/>
    </xf>
    <xf numFmtId="164" fontId="8" fillId="4" borderId="0" xfId="20" applyNumberFormat="1" applyFont="1" applyFill="1" applyAlignment="1">
      <alignment horizontal="left" indent="1"/>
    </xf>
    <xf numFmtId="164" fontId="84" fillId="13" borderId="0" xfId="20" applyNumberFormat="1" applyFont="1" applyFill="1"/>
    <xf numFmtId="164" fontId="8" fillId="16" borderId="0" xfId="21" applyNumberFormat="1" applyFont="1" applyFill="1" applyBorder="1" applyAlignment="1">
      <alignment horizontal="right"/>
    </xf>
    <xf numFmtId="164" fontId="8" fillId="4" borderId="0" xfId="21" applyNumberFormat="1" applyFont="1" applyFill="1" applyBorder="1" applyAlignment="1">
      <alignment horizontal="right"/>
    </xf>
    <xf numFmtId="164" fontId="8" fillId="16" borderId="41" xfId="21" applyNumberFormat="1" applyFont="1" applyFill="1" applyBorder="1" applyAlignment="1">
      <alignment horizontal="right"/>
    </xf>
    <xf numFmtId="164" fontId="1" fillId="4" borderId="0" xfId="20" applyNumberFormat="1" applyFill="1"/>
    <xf numFmtId="164" fontId="8" fillId="13" borderId="40" xfId="20" applyNumberFormat="1" applyFont="1" applyFill="1" applyBorder="1" applyAlignment="1">
      <alignment horizontal="left" indent="1"/>
    </xf>
    <xf numFmtId="164" fontId="8" fillId="13" borderId="0" xfId="20" applyNumberFormat="1" applyFont="1" applyFill="1" applyAlignment="1">
      <alignment horizontal="left" indent="1"/>
    </xf>
    <xf numFmtId="164" fontId="8" fillId="13" borderId="0" xfId="21" applyNumberFormat="1" applyFont="1" applyFill="1" applyBorder="1" applyAlignment="1">
      <alignment horizontal="right"/>
    </xf>
    <xf numFmtId="3" fontId="8" fillId="4" borderId="40" xfId="20" applyNumberFormat="1" applyFont="1" applyFill="1" applyBorder="1" applyAlignment="1">
      <alignment horizontal="left" indent="1"/>
    </xf>
    <xf numFmtId="3" fontId="8" fillId="4" borderId="0" xfId="20" applyNumberFormat="1" applyFont="1" applyFill="1" applyAlignment="1">
      <alignment horizontal="left" indent="1"/>
    </xf>
    <xf numFmtId="3" fontId="84" fillId="13" borderId="0" xfId="20" applyNumberFormat="1" applyFont="1" applyFill="1"/>
    <xf numFmtId="3" fontId="8" fillId="16" borderId="0" xfId="21" applyNumberFormat="1" applyFont="1" applyFill="1" applyBorder="1" applyAlignment="1">
      <alignment horizontal="right"/>
    </xf>
    <xf numFmtId="3" fontId="8" fillId="4" borderId="0" xfId="21" applyNumberFormat="1" applyFont="1" applyFill="1" applyBorder="1" applyAlignment="1">
      <alignment horizontal="right"/>
    </xf>
    <xf numFmtId="3" fontId="8" fillId="16" borderId="41" xfId="21" applyNumberFormat="1" applyFont="1" applyFill="1" applyBorder="1" applyAlignment="1">
      <alignment horizontal="right"/>
    </xf>
    <xf numFmtId="3" fontId="1" fillId="4" borderId="0" xfId="20" applyNumberFormat="1" applyFill="1"/>
    <xf numFmtId="167" fontId="8" fillId="13" borderId="40" xfId="22" applyNumberFormat="1" applyFont="1" applyFill="1" applyBorder="1" applyAlignment="1">
      <alignment horizontal="left" vertical="top" indent="1"/>
    </xf>
    <xf numFmtId="167" fontId="8" fillId="4" borderId="0" xfId="22" applyNumberFormat="1" applyFont="1" applyFill="1" applyBorder="1" applyAlignment="1">
      <alignment horizontal="left" vertical="top" indent="1"/>
    </xf>
    <xf numFmtId="167" fontId="84" fillId="13" borderId="0" xfId="22" applyNumberFormat="1" applyFont="1" applyFill="1" applyBorder="1" applyAlignment="1">
      <alignment horizontal="left" vertical="top"/>
    </xf>
    <xf numFmtId="167" fontId="1" fillId="16" borderId="0" xfId="22" applyNumberFormat="1" applyFont="1" applyFill="1" applyBorder="1"/>
    <xf numFmtId="167" fontId="8" fillId="4" borderId="0" xfId="22" applyNumberFormat="1" applyFont="1" applyFill="1" applyBorder="1" applyAlignment="1">
      <alignment horizontal="right" vertical="top" wrapText="1"/>
    </xf>
    <xf numFmtId="167" fontId="1" fillId="4" borderId="0" xfId="22" applyNumberFormat="1" applyFont="1" applyFill="1" applyBorder="1"/>
    <xf numFmtId="167" fontId="1" fillId="16" borderId="41" xfId="22" applyNumberFormat="1" applyFont="1" applyFill="1" applyBorder="1"/>
    <xf numFmtId="167" fontId="1" fillId="4" borderId="0" xfId="22" applyNumberFormat="1" applyFont="1" applyFill="1"/>
    <xf numFmtId="167" fontId="8" fillId="4" borderId="40" xfId="20" applyNumberFormat="1" applyFont="1" applyFill="1" applyBorder="1" applyAlignment="1">
      <alignment horizontal="left" vertical="top" indent="1"/>
    </xf>
    <xf numFmtId="167" fontId="8" fillId="4" borderId="0" xfId="20" applyNumberFormat="1" applyFont="1" applyFill="1" applyAlignment="1">
      <alignment horizontal="left" vertical="top" indent="1"/>
    </xf>
    <xf numFmtId="167" fontId="84" fillId="13" borderId="0" xfId="20" applyNumberFormat="1" applyFont="1" applyFill="1" applyAlignment="1">
      <alignment horizontal="left" vertical="top"/>
    </xf>
    <xf numFmtId="167" fontId="8" fillId="16" borderId="0" xfId="20" applyNumberFormat="1" applyFont="1" applyFill="1" applyAlignment="1">
      <alignment horizontal="right" vertical="top" wrapText="1"/>
    </xf>
    <xf numFmtId="167" fontId="8" fillId="4" borderId="0" xfId="20" applyNumberFormat="1" applyFont="1" applyFill="1" applyAlignment="1">
      <alignment horizontal="right" vertical="top" wrapText="1"/>
    </xf>
    <xf numFmtId="167" fontId="8" fillId="16" borderId="41" xfId="20" applyNumberFormat="1" applyFont="1" applyFill="1" applyBorder="1" applyAlignment="1">
      <alignment horizontal="right" vertical="top" wrapText="1"/>
    </xf>
    <xf numFmtId="167" fontId="1" fillId="4" borderId="0" xfId="20" applyNumberFormat="1" applyFill="1"/>
    <xf numFmtId="167" fontId="8" fillId="4" borderId="40" xfId="22" applyNumberFormat="1" applyFont="1" applyFill="1" applyBorder="1" applyAlignment="1">
      <alignment horizontal="left" vertical="top" indent="1"/>
    </xf>
    <xf numFmtId="0" fontId="8" fillId="4" borderId="40" xfId="20" applyFont="1" applyFill="1" applyBorder="1" applyAlignment="1">
      <alignment horizontal="left" vertical="top"/>
    </xf>
    <xf numFmtId="0" fontId="8" fillId="4" borderId="0" xfId="20" applyFont="1" applyFill="1" applyAlignment="1">
      <alignment horizontal="left" vertical="top"/>
    </xf>
    <xf numFmtId="0" fontId="84" fillId="13" borderId="0" xfId="20" applyFont="1" applyFill="1" applyAlignment="1">
      <alignment horizontal="left" vertical="top"/>
    </xf>
    <xf numFmtId="0" fontId="1" fillId="16" borderId="0" xfId="20" applyFill="1"/>
    <xf numFmtId="198" fontId="8" fillId="4" borderId="0" xfId="20" applyNumberFormat="1" applyFont="1" applyFill="1" applyAlignment="1">
      <alignment horizontal="right" vertical="top" wrapText="1"/>
    </xf>
    <xf numFmtId="0" fontId="1" fillId="16" borderId="41" xfId="20" applyFill="1" applyBorder="1"/>
    <xf numFmtId="164" fontId="8" fillId="4" borderId="40" xfId="22" applyNumberFormat="1" applyFont="1" applyFill="1" applyBorder="1" applyAlignment="1">
      <alignment horizontal="left" vertical="top" indent="1"/>
    </xf>
    <xf numFmtId="164" fontId="8" fillId="4" borderId="0" xfId="22" applyNumberFormat="1" applyFont="1" applyFill="1" applyBorder="1" applyAlignment="1">
      <alignment horizontal="left" vertical="top" indent="1"/>
    </xf>
    <xf numFmtId="166" fontId="8" fillId="16" borderId="0" xfId="21" applyNumberFormat="1" applyFont="1" applyFill="1" applyBorder="1" applyAlignment="1">
      <alignment horizontal="center"/>
    </xf>
    <xf numFmtId="166" fontId="8" fillId="4" borderId="0" xfId="21" applyNumberFormat="1" applyFont="1" applyFill="1" applyBorder="1" applyAlignment="1">
      <alignment horizontal="center"/>
    </xf>
    <xf numFmtId="166" fontId="8" fillId="16" borderId="41" xfId="21" applyNumberFormat="1" applyFont="1" applyFill="1" applyBorder="1" applyAlignment="1">
      <alignment horizontal="center"/>
    </xf>
    <xf numFmtId="170" fontId="84" fillId="13" borderId="0" xfId="20" quotePrefix="1" applyNumberFormat="1" applyFont="1" applyFill="1" applyAlignment="1">
      <alignment horizontal="left" vertical="top"/>
    </xf>
    <xf numFmtId="170" fontId="8" fillId="16" borderId="0" xfId="23" applyNumberFormat="1" applyFont="1" applyFill="1" applyBorder="1" applyAlignment="1">
      <alignment horizontal="right" vertical="top"/>
    </xf>
    <xf numFmtId="170" fontId="8" fillId="13" borderId="0" xfId="23" applyNumberFormat="1" applyFont="1" applyFill="1" applyBorder="1" applyAlignment="1">
      <alignment horizontal="right" vertical="top"/>
    </xf>
    <xf numFmtId="170" fontId="8" fillId="16" borderId="41" xfId="23" applyNumberFormat="1" applyFont="1" applyFill="1" applyBorder="1" applyAlignment="1">
      <alignment horizontal="right" vertical="top"/>
    </xf>
    <xf numFmtId="170" fontId="1" fillId="4" borderId="0" xfId="20" applyNumberFormat="1" applyFill="1"/>
    <xf numFmtId="199" fontId="8" fillId="16" borderId="0" xfId="23" applyNumberFormat="1" applyFont="1" applyFill="1" applyBorder="1" applyAlignment="1">
      <alignment horizontal="right" vertical="top"/>
    </xf>
    <xf numFmtId="199" fontId="8" fillId="4" borderId="0" xfId="23" applyNumberFormat="1" applyFont="1" applyFill="1" applyBorder="1" applyAlignment="1">
      <alignment horizontal="right" vertical="top"/>
    </xf>
    <xf numFmtId="199" fontId="8" fillId="16" borderId="41" xfId="23" applyNumberFormat="1" applyFont="1" applyFill="1" applyBorder="1" applyAlignment="1">
      <alignment horizontal="right" vertical="top"/>
    </xf>
    <xf numFmtId="164" fontId="8" fillId="4" borderId="40" xfId="22" applyNumberFormat="1" applyFont="1" applyFill="1" applyBorder="1" applyAlignment="1">
      <alignment horizontal="left" vertical="top" indent="2"/>
    </xf>
    <xf numFmtId="164" fontId="8" fillId="4" borderId="0" xfId="22" applyNumberFormat="1" applyFont="1" applyFill="1" applyBorder="1" applyAlignment="1">
      <alignment horizontal="left" vertical="top" indent="2"/>
    </xf>
    <xf numFmtId="164" fontId="84" fillId="13" borderId="0" xfId="20" applyNumberFormat="1" applyFont="1" applyFill="1" applyAlignment="1">
      <alignment horizontal="left" vertical="top"/>
    </xf>
    <xf numFmtId="164" fontId="8" fillId="16" borderId="0" xfId="20" applyNumberFormat="1" applyFont="1" applyFill="1" applyAlignment="1">
      <alignment horizontal="right" vertical="top" wrapText="1"/>
    </xf>
    <xf numFmtId="164" fontId="8" fillId="13" borderId="0" xfId="20" applyNumberFormat="1" applyFont="1" applyFill="1" applyAlignment="1">
      <alignment horizontal="right" vertical="top" wrapText="1"/>
    </xf>
    <xf numFmtId="164" fontId="8" fillId="4" borderId="0" xfId="20" applyNumberFormat="1" applyFont="1" applyFill="1" applyAlignment="1">
      <alignment horizontal="right" vertical="top" wrapText="1"/>
    </xf>
    <xf numFmtId="164" fontId="8" fillId="16" borderId="41" xfId="20" applyNumberFormat="1" applyFont="1" applyFill="1" applyBorder="1" applyAlignment="1">
      <alignment horizontal="right" vertical="top" wrapText="1"/>
    </xf>
    <xf numFmtId="164" fontId="8" fillId="4" borderId="48" xfId="22" applyNumberFormat="1" applyFont="1" applyFill="1" applyBorder="1" applyAlignment="1">
      <alignment horizontal="left" vertical="top" indent="2"/>
    </xf>
    <xf numFmtId="164" fontId="8" fillId="4" borderId="2" xfId="22" applyNumberFormat="1" applyFont="1" applyFill="1" applyBorder="1" applyAlignment="1">
      <alignment horizontal="left" vertical="top" indent="2"/>
    </xf>
    <xf numFmtId="164" fontId="84" fillId="13" borderId="2" xfId="20" applyNumberFormat="1" applyFont="1" applyFill="1" applyBorder="1" applyAlignment="1">
      <alignment horizontal="left" vertical="top"/>
    </xf>
    <xf numFmtId="164" fontId="8" fillId="16" borderId="2" xfId="20" applyNumberFormat="1" applyFont="1" applyFill="1" applyBorder="1" applyAlignment="1">
      <alignment horizontal="right" vertical="top" wrapText="1"/>
    </xf>
    <xf numFmtId="164" fontId="8" fillId="13" borderId="2" xfId="20" applyNumberFormat="1" applyFont="1" applyFill="1" applyBorder="1" applyAlignment="1">
      <alignment horizontal="right" vertical="top" wrapText="1"/>
    </xf>
    <xf numFmtId="164" fontId="8" fillId="4" borderId="2" xfId="20" applyNumberFormat="1" applyFont="1" applyFill="1" applyBorder="1" applyAlignment="1">
      <alignment horizontal="right" vertical="top" wrapText="1"/>
    </xf>
    <xf numFmtId="164" fontId="8" fillId="16" borderId="49" xfId="20" applyNumberFormat="1" applyFont="1" applyFill="1" applyBorder="1" applyAlignment="1">
      <alignment horizontal="right" vertical="top" wrapText="1"/>
    </xf>
    <xf numFmtId="164" fontId="5" fillId="4" borderId="40" xfId="22" applyNumberFormat="1" applyFont="1" applyFill="1" applyBorder="1" applyAlignment="1">
      <alignment horizontal="left" vertical="top" indent="1"/>
    </xf>
    <xf numFmtId="164" fontId="5" fillId="4" borderId="0" xfId="22" applyNumberFormat="1" applyFont="1" applyFill="1" applyBorder="1" applyAlignment="1">
      <alignment horizontal="left" vertical="top" indent="1"/>
    </xf>
    <xf numFmtId="164" fontId="85" fillId="13" borderId="0" xfId="20" applyNumberFormat="1" applyFont="1" applyFill="1" applyAlignment="1">
      <alignment horizontal="left" vertical="top"/>
    </xf>
    <xf numFmtId="164" fontId="5" fillId="16" borderId="0" xfId="20" applyNumberFormat="1" applyFont="1" applyFill="1" applyAlignment="1">
      <alignment horizontal="right" vertical="top" wrapText="1"/>
    </xf>
    <xf numFmtId="164" fontId="5" fillId="13" borderId="0" xfId="20" applyNumberFormat="1" applyFont="1" applyFill="1" applyAlignment="1">
      <alignment horizontal="right" vertical="top" wrapText="1"/>
    </xf>
    <xf numFmtId="164" fontId="5" fillId="4" borderId="0" xfId="20" applyNumberFormat="1" applyFont="1" applyFill="1" applyAlignment="1">
      <alignment horizontal="right" vertical="top" wrapText="1"/>
    </xf>
    <xf numFmtId="164" fontId="5" fillId="16" borderId="41" xfId="20" applyNumberFormat="1" applyFont="1" applyFill="1" applyBorder="1" applyAlignment="1">
      <alignment horizontal="right" vertical="top" wrapText="1"/>
    </xf>
    <xf numFmtId="164" fontId="3" fillId="4" borderId="0" xfId="20" applyNumberFormat="1" applyFont="1" applyFill="1"/>
    <xf numFmtId="170" fontId="84" fillId="13" borderId="0" xfId="20" applyNumberFormat="1" applyFont="1" applyFill="1" applyAlignment="1">
      <alignment horizontal="left" vertical="top"/>
    </xf>
    <xf numFmtId="170" fontId="8" fillId="4" borderId="40" xfId="20" applyNumberFormat="1" applyFont="1" applyFill="1" applyBorder="1" applyAlignment="1">
      <alignment horizontal="left" vertical="top" indent="1"/>
    </xf>
    <xf numFmtId="170" fontId="8" fillId="4" borderId="0" xfId="20" applyNumberFormat="1" applyFont="1" applyFill="1" applyAlignment="1">
      <alignment horizontal="left" vertical="top" indent="1"/>
    </xf>
    <xf numFmtId="170" fontId="8" fillId="4" borderId="0" xfId="23" applyNumberFormat="1" applyFont="1" applyFill="1" applyBorder="1" applyAlignment="1">
      <alignment horizontal="right" vertical="top"/>
    </xf>
    <xf numFmtId="167" fontId="8" fillId="16" borderId="0" xfId="21" applyNumberFormat="1" applyFont="1" applyFill="1" applyBorder="1" applyAlignment="1">
      <alignment horizontal="right"/>
    </xf>
    <xf numFmtId="167" fontId="8" fillId="4" borderId="0" xfId="21" applyNumberFormat="1" applyFont="1" applyFill="1" applyBorder="1" applyAlignment="1">
      <alignment horizontal="right"/>
    </xf>
    <xf numFmtId="167" fontId="8" fillId="16" borderId="41" xfId="21" applyNumberFormat="1" applyFont="1" applyFill="1" applyBorder="1" applyAlignment="1">
      <alignment horizontal="right"/>
    </xf>
    <xf numFmtId="195" fontId="8" fillId="16" borderId="0" xfId="21" applyNumberFormat="1" applyFont="1" applyFill="1" applyBorder="1" applyAlignment="1">
      <alignment horizontal="right"/>
    </xf>
    <xf numFmtId="195" fontId="8" fillId="4" borderId="0" xfId="21" applyNumberFormat="1" applyFont="1" applyFill="1" applyBorder="1" applyAlignment="1">
      <alignment horizontal="right"/>
    </xf>
    <xf numFmtId="195" fontId="8" fillId="16" borderId="41" xfId="21" applyNumberFormat="1" applyFont="1" applyFill="1" applyBorder="1" applyAlignment="1">
      <alignment horizontal="right"/>
    </xf>
    <xf numFmtId="170" fontId="1" fillId="16" borderId="0" xfId="20" applyNumberFormat="1" applyFill="1"/>
    <xf numFmtId="170" fontId="1" fillId="16" borderId="41" xfId="20" applyNumberFormat="1" applyFill="1" applyBorder="1"/>
    <xf numFmtId="170" fontId="8" fillId="13" borderId="40" xfId="20" applyNumberFormat="1" applyFont="1" applyFill="1" applyBorder="1" applyAlignment="1">
      <alignment horizontal="left" vertical="top" indent="1"/>
    </xf>
    <xf numFmtId="170" fontId="8" fillId="13" borderId="0" xfId="20" applyNumberFormat="1" applyFont="1" applyFill="1" applyAlignment="1">
      <alignment horizontal="left" vertical="top" indent="1"/>
    </xf>
    <xf numFmtId="167" fontId="84" fillId="13" borderId="0" xfId="22" quotePrefix="1" applyNumberFormat="1" applyFont="1" applyFill="1" applyBorder="1" applyAlignment="1">
      <alignment horizontal="left" vertical="top"/>
    </xf>
    <xf numFmtId="167" fontId="1" fillId="16" borderId="0" xfId="20" applyNumberFormat="1" applyFill="1"/>
    <xf numFmtId="167" fontId="8" fillId="4" borderId="0" xfId="20" applyNumberFormat="1" applyFont="1" applyFill="1" applyAlignment="1">
      <alignment horizontal="left" vertical="top"/>
    </xf>
    <xf numFmtId="167" fontId="1" fillId="16" borderId="41" xfId="20" applyNumberFormat="1" applyFill="1" applyBorder="1"/>
    <xf numFmtId="195" fontId="8" fillId="4" borderId="40" xfId="22" applyNumberFormat="1" applyFont="1" applyFill="1" applyBorder="1" applyAlignment="1">
      <alignment horizontal="left" vertical="top"/>
    </xf>
    <xf numFmtId="195" fontId="8" fillId="4" borderId="0" xfId="22" applyNumberFormat="1" applyFont="1" applyFill="1" applyBorder="1" applyAlignment="1">
      <alignment horizontal="left" vertical="top"/>
    </xf>
    <xf numFmtId="195" fontId="84" fillId="13" borderId="0" xfId="22" applyNumberFormat="1" applyFont="1" applyFill="1" applyBorder="1" applyAlignment="1">
      <alignment horizontal="left" vertical="top"/>
    </xf>
    <xf numFmtId="195" fontId="1" fillId="16" borderId="0" xfId="22" applyNumberFormat="1" applyFont="1" applyFill="1" applyBorder="1"/>
    <xf numFmtId="195" fontId="8" fillId="4" borderId="0" xfId="22" applyNumberFormat="1" applyFont="1" applyFill="1" applyBorder="1" applyAlignment="1">
      <alignment horizontal="right" vertical="top" wrapText="1"/>
    </xf>
    <xf numFmtId="195" fontId="1" fillId="4" borderId="0" xfId="22" applyNumberFormat="1" applyFont="1" applyFill="1" applyBorder="1"/>
    <xf numFmtId="195" fontId="1" fillId="16" borderId="41" xfId="22" applyNumberFormat="1" applyFont="1" applyFill="1" applyBorder="1"/>
    <xf numFmtId="195" fontId="1" fillId="4" borderId="0" xfId="22" applyNumberFormat="1" applyFont="1" applyFill="1"/>
    <xf numFmtId="170" fontId="8" fillId="4" borderId="40" xfId="22" applyNumberFormat="1" applyFont="1" applyFill="1" applyBorder="1" applyAlignment="1">
      <alignment horizontal="left" vertical="top" indent="1"/>
    </xf>
    <xf numFmtId="170" fontId="8" fillId="4" borderId="0" xfId="22" applyNumberFormat="1" applyFont="1" applyFill="1" applyBorder="1" applyAlignment="1">
      <alignment horizontal="left" vertical="top" indent="1"/>
    </xf>
    <xf numFmtId="170" fontId="84" fillId="13" borderId="0" xfId="22" quotePrefix="1" applyNumberFormat="1" applyFont="1" applyFill="1" applyBorder="1" applyAlignment="1">
      <alignment horizontal="left" vertical="top"/>
    </xf>
    <xf numFmtId="170" fontId="1" fillId="16" borderId="0" xfId="22" applyNumberFormat="1" applyFont="1" applyFill="1" applyBorder="1"/>
    <xf numFmtId="170" fontId="8" fillId="13" borderId="0" xfId="22" applyNumberFormat="1" applyFont="1" applyFill="1" applyBorder="1" applyAlignment="1">
      <alignment horizontal="right" vertical="top" wrapText="1"/>
    </xf>
    <xf numFmtId="170" fontId="1" fillId="13" borderId="0" xfId="22" applyNumberFormat="1" applyFont="1" applyFill="1" applyBorder="1"/>
    <xf numFmtId="170" fontId="1" fillId="16" borderId="41" xfId="22" applyNumberFormat="1" applyFont="1" applyFill="1" applyBorder="1"/>
    <xf numFmtId="170" fontId="1" fillId="4" borderId="0" xfId="22" applyNumberFormat="1" applyFont="1" applyFill="1"/>
    <xf numFmtId="2" fontId="8" fillId="4" borderId="0" xfId="20" applyNumberFormat="1" applyFont="1" applyFill="1" applyAlignment="1">
      <alignment horizontal="left" vertical="top"/>
    </xf>
    <xf numFmtId="170" fontId="8" fillId="4" borderId="40" xfId="20" applyNumberFormat="1" applyFont="1" applyFill="1" applyBorder="1" applyAlignment="1">
      <alignment horizontal="left" vertical="top"/>
    </xf>
    <xf numFmtId="170" fontId="8" fillId="4" borderId="0" xfId="20" applyNumberFormat="1" applyFont="1" applyFill="1" applyAlignment="1">
      <alignment horizontal="left" vertical="top"/>
    </xf>
    <xf numFmtId="200" fontId="8" fillId="16" borderId="0" xfId="23" applyNumberFormat="1" applyFont="1" applyFill="1" applyBorder="1" applyAlignment="1">
      <alignment horizontal="right" vertical="top"/>
    </xf>
    <xf numFmtId="200" fontId="8" fillId="4" borderId="0" xfId="23" applyNumberFormat="1" applyFont="1" applyFill="1" applyBorder="1" applyAlignment="1">
      <alignment horizontal="right" vertical="top"/>
    </xf>
    <xf numFmtId="200" fontId="8" fillId="16" borderId="41" xfId="23" applyNumberFormat="1" applyFont="1" applyFill="1" applyBorder="1" applyAlignment="1">
      <alignment horizontal="right" vertical="top"/>
    </xf>
    <xf numFmtId="170" fontId="84" fillId="4" borderId="0" xfId="20" applyNumberFormat="1" applyFont="1" applyFill="1" applyAlignment="1">
      <alignment horizontal="left" vertical="top" indent="1"/>
    </xf>
    <xf numFmtId="164" fontId="1" fillId="16" borderId="0" xfId="22" applyNumberFormat="1" applyFont="1" applyFill="1" applyBorder="1" applyAlignment="1">
      <alignment horizontal="right"/>
    </xf>
    <xf numFmtId="164" fontId="8" fillId="4" borderId="0" xfId="22" applyNumberFormat="1" applyFont="1" applyFill="1" applyBorder="1" applyAlignment="1">
      <alignment horizontal="right" vertical="top" wrapText="1"/>
    </xf>
    <xf numFmtId="164" fontId="1" fillId="4" borderId="0" xfId="22" applyNumberFormat="1" applyFont="1" applyFill="1" applyBorder="1" applyAlignment="1">
      <alignment horizontal="right"/>
    </xf>
    <xf numFmtId="164" fontId="1" fillId="16" borderId="41" xfId="22" applyNumberFormat="1" applyFont="1" applyFill="1" applyBorder="1" applyAlignment="1">
      <alignment horizontal="right"/>
    </xf>
    <xf numFmtId="167" fontId="1" fillId="16" borderId="0" xfId="22" applyNumberFormat="1" applyFont="1" applyFill="1" applyBorder="1" applyAlignment="1">
      <alignment horizontal="right"/>
    </xf>
    <xf numFmtId="167" fontId="1" fillId="4" borderId="0" xfId="22" applyNumberFormat="1" applyFont="1" applyFill="1" applyBorder="1" applyAlignment="1">
      <alignment horizontal="right"/>
    </xf>
    <xf numFmtId="167" fontId="1" fillId="16" borderId="41" xfId="22" applyNumberFormat="1" applyFont="1" applyFill="1" applyBorder="1" applyAlignment="1">
      <alignment horizontal="right"/>
    </xf>
    <xf numFmtId="195" fontId="84" fillId="13" borderId="0" xfId="22" quotePrefix="1" applyNumberFormat="1" applyFont="1" applyFill="1" applyBorder="1" applyAlignment="1">
      <alignment horizontal="left" vertical="top"/>
    </xf>
    <xf numFmtId="195" fontId="8" fillId="4" borderId="40" xfId="22" applyNumberFormat="1" applyFont="1" applyFill="1" applyBorder="1" applyAlignment="1">
      <alignment horizontal="left" vertical="top" indent="1"/>
    </xf>
    <xf numFmtId="195" fontId="8" fillId="4" borderId="0" xfId="22" applyNumberFormat="1" applyFont="1" applyFill="1" applyBorder="1" applyAlignment="1">
      <alignment horizontal="left" vertical="top" indent="1"/>
    </xf>
    <xf numFmtId="170" fontId="8" fillId="13" borderId="40" xfId="20" applyNumberFormat="1" applyFont="1" applyFill="1" applyBorder="1" applyAlignment="1">
      <alignment horizontal="left" vertical="top" indent="2"/>
    </xf>
    <xf numFmtId="170" fontId="8" fillId="13" borderId="0" xfId="20" applyNumberFormat="1" applyFont="1" applyFill="1" applyAlignment="1">
      <alignment horizontal="left" vertical="top" indent="2"/>
    </xf>
    <xf numFmtId="167" fontId="8" fillId="13" borderId="0" xfId="21" applyNumberFormat="1" applyFont="1" applyFill="1" applyBorder="1" applyAlignment="1">
      <alignment horizontal="right"/>
    </xf>
    <xf numFmtId="170" fontId="8" fillId="4" borderId="40" xfId="20" applyNumberFormat="1" applyFont="1" applyFill="1" applyBorder="1" applyAlignment="1">
      <alignment horizontal="left" vertical="top" indent="2"/>
    </xf>
    <xf numFmtId="170" fontId="8" fillId="4" borderId="0" xfId="20" applyNumberFormat="1" applyFont="1" applyFill="1" applyAlignment="1">
      <alignment horizontal="left" vertical="top" indent="2"/>
    </xf>
    <xf numFmtId="170" fontId="8" fillId="16" borderId="0" xfId="21" applyNumberFormat="1" applyFont="1" applyFill="1" applyBorder="1" applyAlignment="1">
      <alignment horizontal="right"/>
    </xf>
    <xf numFmtId="170" fontId="8" fillId="4" borderId="0" xfId="21" applyNumberFormat="1" applyFont="1" applyFill="1" applyBorder="1" applyAlignment="1">
      <alignment horizontal="right"/>
    </xf>
    <xf numFmtId="170" fontId="8" fillId="16" borderId="41" xfId="21" applyNumberFormat="1" applyFont="1" applyFill="1" applyBorder="1" applyAlignment="1">
      <alignment horizontal="right"/>
    </xf>
    <xf numFmtId="164" fontId="1" fillId="13" borderId="0" xfId="20" applyNumberFormat="1" applyFill="1"/>
    <xf numFmtId="170" fontId="8" fillId="4" borderId="48" xfId="20" applyNumberFormat="1" applyFont="1" applyFill="1" applyBorder="1" applyAlignment="1">
      <alignment horizontal="left" vertical="top" indent="2"/>
    </xf>
    <xf numFmtId="170" fontId="8" fillId="4" borderId="2" xfId="20" applyNumberFormat="1" applyFont="1" applyFill="1" applyBorder="1" applyAlignment="1">
      <alignment horizontal="left" vertical="top" indent="2"/>
    </xf>
    <xf numFmtId="164" fontId="84" fillId="13" borderId="2" xfId="20" applyNumberFormat="1" applyFont="1" applyFill="1" applyBorder="1"/>
    <xf numFmtId="170" fontId="8" fillId="16" borderId="2" xfId="21" applyNumberFormat="1" applyFont="1" applyFill="1" applyBorder="1" applyAlignment="1">
      <alignment horizontal="right"/>
    </xf>
    <xf numFmtId="170" fontId="8" fillId="4" borderId="2" xfId="21" applyNumberFormat="1" applyFont="1" applyFill="1" applyBorder="1" applyAlignment="1">
      <alignment horizontal="right"/>
    </xf>
    <xf numFmtId="170" fontId="8" fillId="16" borderId="49" xfId="21" applyNumberFormat="1" applyFont="1" applyFill="1" applyBorder="1" applyAlignment="1">
      <alignment horizontal="right"/>
    </xf>
    <xf numFmtId="170" fontId="5" fillId="4" borderId="40" xfId="20" applyNumberFormat="1" applyFont="1" applyFill="1" applyBorder="1" applyAlignment="1">
      <alignment horizontal="left" vertical="top" indent="1"/>
    </xf>
    <xf numFmtId="170" fontId="5" fillId="4" borderId="0" xfId="20" applyNumberFormat="1" applyFont="1" applyFill="1" applyAlignment="1">
      <alignment horizontal="left" vertical="top" indent="1"/>
    </xf>
    <xf numFmtId="164" fontId="85" fillId="13" borderId="0" xfId="20" applyNumberFormat="1" applyFont="1" applyFill="1"/>
    <xf numFmtId="164" fontId="5" fillId="16" borderId="0" xfId="21" applyNumberFormat="1" applyFont="1" applyFill="1" applyBorder="1" applyAlignment="1">
      <alignment horizontal="right"/>
    </xf>
    <xf numFmtId="167" fontId="5" fillId="16" borderId="0" xfId="21" applyNumberFormat="1" applyFont="1" applyFill="1" applyBorder="1" applyAlignment="1">
      <alignment horizontal="right"/>
    </xf>
    <xf numFmtId="167" fontId="5" fillId="4" borderId="0" xfId="21" applyNumberFormat="1" applyFont="1" applyFill="1" applyBorder="1" applyAlignment="1">
      <alignment horizontal="right"/>
    </xf>
    <xf numFmtId="167" fontId="5" fillId="16" borderId="41" xfId="21" applyNumberFormat="1" applyFont="1" applyFill="1" applyBorder="1" applyAlignment="1">
      <alignment horizontal="right"/>
    </xf>
    <xf numFmtId="164" fontId="8" fillId="4" borderId="40" xfId="20" applyNumberFormat="1" applyFont="1" applyFill="1" applyBorder="1" applyAlignment="1">
      <alignment horizontal="left" indent="2"/>
    </xf>
    <xf numFmtId="164" fontId="8" fillId="4" borderId="0" xfId="20" applyNumberFormat="1" applyFont="1" applyFill="1" applyAlignment="1">
      <alignment horizontal="left" indent="2"/>
    </xf>
    <xf numFmtId="164" fontId="8" fillId="16" borderId="0" xfId="23" applyNumberFormat="1" applyFont="1" applyFill="1" applyBorder="1" applyAlignment="1">
      <alignment horizontal="right" vertical="top"/>
    </xf>
    <xf numFmtId="164" fontId="8" fillId="4" borderId="0" xfId="23" applyNumberFormat="1" applyFont="1" applyFill="1" applyBorder="1" applyAlignment="1">
      <alignment horizontal="right" vertical="top"/>
    </xf>
    <xf numFmtId="164" fontId="8" fillId="16" borderId="41" xfId="23" applyNumberFormat="1" applyFont="1" applyFill="1" applyBorder="1" applyAlignment="1">
      <alignment horizontal="right" vertical="top"/>
    </xf>
    <xf numFmtId="164" fontId="8" fillId="4" borderId="48" xfId="20" applyNumberFormat="1" applyFont="1" applyFill="1" applyBorder="1" applyAlignment="1">
      <alignment horizontal="left" indent="2"/>
    </xf>
    <xf numFmtId="164" fontId="8" fillId="4" borderId="2" xfId="20" applyNumberFormat="1" applyFont="1" applyFill="1" applyBorder="1" applyAlignment="1">
      <alignment horizontal="left" indent="2"/>
    </xf>
    <xf numFmtId="164" fontId="8" fillId="16" borderId="2" xfId="23" applyNumberFormat="1" applyFont="1" applyFill="1" applyBorder="1" applyAlignment="1">
      <alignment horizontal="right" vertical="top"/>
    </xf>
    <xf numFmtId="164" fontId="8" fillId="4" borderId="2" xfId="23" applyNumberFormat="1" applyFont="1" applyFill="1" applyBorder="1" applyAlignment="1">
      <alignment horizontal="right" vertical="top"/>
    </xf>
    <xf numFmtId="164" fontId="8" fillId="16" borderId="49" xfId="23" applyNumberFormat="1" applyFont="1" applyFill="1" applyBorder="1" applyAlignment="1">
      <alignment horizontal="right" vertical="top"/>
    </xf>
    <xf numFmtId="164" fontId="5" fillId="4" borderId="40" xfId="20" applyNumberFormat="1" applyFont="1" applyFill="1" applyBorder="1" applyAlignment="1">
      <alignment horizontal="left" indent="1"/>
    </xf>
    <xf numFmtId="164" fontId="5" fillId="4" borderId="0" xfId="20" applyNumberFormat="1" applyFont="1" applyFill="1" applyAlignment="1">
      <alignment horizontal="left" indent="1"/>
    </xf>
    <xf numFmtId="164" fontId="5" fillId="16" borderId="0" xfId="23" applyNumberFormat="1" applyFont="1" applyFill="1" applyBorder="1" applyAlignment="1">
      <alignment horizontal="right" vertical="top"/>
    </xf>
    <xf numFmtId="164" fontId="5" fillId="4" borderId="0" xfId="23" applyNumberFormat="1" applyFont="1" applyFill="1" applyBorder="1" applyAlignment="1">
      <alignment horizontal="right" vertical="top"/>
    </xf>
    <xf numFmtId="164" fontId="5" fillId="16" borderId="41" xfId="23" applyNumberFormat="1" applyFont="1" applyFill="1" applyBorder="1" applyAlignment="1">
      <alignment horizontal="right" vertical="top"/>
    </xf>
    <xf numFmtId="170" fontId="8" fillId="4" borderId="40" xfId="20" applyNumberFormat="1" applyFont="1" applyFill="1" applyBorder="1" applyAlignment="1">
      <alignment horizontal="left" indent="1"/>
    </xf>
    <xf numFmtId="170" fontId="8" fillId="4" borderId="0" xfId="20" applyNumberFormat="1" applyFont="1" applyFill="1" applyAlignment="1">
      <alignment horizontal="left" indent="1"/>
    </xf>
    <xf numFmtId="167" fontId="8" fillId="4" borderId="40" xfId="20" applyNumberFormat="1" applyFont="1" applyFill="1" applyBorder="1" applyAlignment="1">
      <alignment horizontal="left" indent="1"/>
    </xf>
    <xf numFmtId="167" fontId="8" fillId="4" borderId="0" xfId="20" applyNumberFormat="1" applyFont="1" applyFill="1" applyAlignment="1">
      <alignment horizontal="left" indent="1"/>
    </xf>
    <xf numFmtId="167" fontId="8" fillId="16" borderId="0" xfId="23" applyNumberFormat="1" applyFont="1" applyFill="1" applyBorder="1" applyAlignment="1">
      <alignment horizontal="right" vertical="top"/>
    </xf>
    <xf numFmtId="167" fontId="8" fillId="4" borderId="0" xfId="23" applyNumberFormat="1" applyFont="1" applyFill="1" applyBorder="1" applyAlignment="1">
      <alignment horizontal="right" vertical="top"/>
    </xf>
    <xf numFmtId="167" fontId="8" fillId="16" borderId="41" xfId="23" applyNumberFormat="1" applyFont="1" applyFill="1" applyBorder="1" applyAlignment="1">
      <alignment horizontal="right" vertical="top"/>
    </xf>
    <xf numFmtId="170" fontId="84" fillId="13" borderId="0" xfId="20" applyNumberFormat="1" applyFont="1" applyFill="1"/>
    <xf numFmtId="0" fontId="8" fillId="4" borderId="40" xfId="20" applyFont="1" applyFill="1" applyBorder="1"/>
    <xf numFmtId="0" fontId="8" fillId="4" borderId="0" xfId="20" applyFont="1" applyFill="1"/>
    <xf numFmtId="164" fontId="5" fillId="13" borderId="0" xfId="23" applyNumberFormat="1" applyFont="1" applyFill="1" applyBorder="1" applyAlignment="1">
      <alignment horizontal="right" vertical="top"/>
    </xf>
    <xf numFmtId="167" fontId="84" fillId="13" borderId="0" xfId="20" applyNumberFormat="1" applyFont="1" applyFill="1"/>
    <xf numFmtId="169" fontId="8" fillId="4" borderId="40" xfId="20" applyNumberFormat="1" applyFont="1" applyFill="1" applyBorder="1" applyAlignment="1">
      <alignment horizontal="left" indent="1"/>
    </xf>
    <xf numFmtId="169" fontId="8" fillId="4" borderId="0" xfId="20" applyNumberFormat="1" applyFont="1" applyFill="1" applyAlignment="1">
      <alignment horizontal="left" indent="1"/>
    </xf>
    <xf numFmtId="169" fontId="84" fillId="13" borderId="0" xfId="20" applyNumberFormat="1" applyFont="1" applyFill="1"/>
    <xf numFmtId="169" fontId="8" fillId="16" borderId="0" xfId="23" applyNumberFormat="1" applyFont="1" applyFill="1" applyBorder="1" applyAlignment="1">
      <alignment horizontal="right" vertical="top"/>
    </xf>
    <xf numFmtId="169" fontId="8" fillId="4" borderId="0" xfId="23" applyNumberFormat="1" applyFont="1" applyFill="1" applyBorder="1" applyAlignment="1">
      <alignment horizontal="right" vertical="top"/>
    </xf>
    <xf numFmtId="169" fontId="8" fillId="16" borderId="41" xfId="23" applyNumberFormat="1" applyFont="1" applyFill="1" applyBorder="1" applyAlignment="1">
      <alignment horizontal="right" vertical="top"/>
    </xf>
    <xf numFmtId="169" fontId="1" fillId="4" borderId="0" xfId="20" applyNumberFormat="1" applyFill="1"/>
    <xf numFmtId="201" fontId="8" fillId="4" borderId="0" xfId="20" applyNumberFormat="1" applyFont="1" applyFill="1"/>
    <xf numFmtId="164" fontId="1" fillId="16" borderId="0" xfId="20" applyNumberFormat="1" applyFill="1"/>
    <xf numFmtId="164" fontId="1" fillId="16" borderId="41" xfId="20" applyNumberFormat="1" applyFill="1" applyBorder="1"/>
    <xf numFmtId="164" fontId="8" fillId="13" borderId="0" xfId="23" applyNumberFormat="1" applyFont="1" applyFill="1" applyBorder="1" applyAlignment="1">
      <alignment horizontal="right" vertical="top"/>
    </xf>
    <xf numFmtId="167" fontId="8" fillId="4" borderId="0" xfId="20" applyNumberFormat="1" applyFont="1" applyFill="1"/>
    <xf numFmtId="0" fontId="8" fillId="4" borderId="43" xfId="20" applyFont="1" applyFill="1" applyBorder="1" applyAlignment="1">
      <alignment horizontal="left" vertical="top"/>
    </xf>
    <xf numFmtId="0" fontId="8" fillId="4" borderId="37" xfId="20" applyFont="1" applyFill="1" applyBorder="1" applyAlignment="1">
      <alignment horizontal="left" vertical="top"/>
    </xf>
    <xf numFmtId="0" fontId="84" fillId="13" borderId="37" xfId="20" applyFont="1" applyFill="1" applyBorder="1" applyAlignment="1">
      <alignment horizontal="left" vertical="top"/>
    </xf>
    <xf numFmtId="0" fontId="1" fillId="16" borderId="37" xfId="20" applyFill="1" applyBorder="1"/>
    <xf numFmtId="0" fontId="1" fillId="4" borderId="37" xfId="20" applyFill="1" applyBorder="1"/>
    <xf numFmtId="0" fontId="1" fillId="16" borderId="44" xfId="20" applyFill="1" applyBorder="1"/>
    <xf numFmtId="3" fontId="84" fillId="4" borderId="0" xfId="20" applyNumberFormat="1" applyFont="1" applyFill="1"/>
    <xf numFmtId="0" fontId="0" fillId="4" borderId="0" xfId="0" applyFill="1"/>
    <xf numFmtId="0" fontId="0" fillId="0" borderId="0" xfId="0"/>
    <xf numFmtId="0" fontId="9" fillId="17" borderId="0" xfId="0" applyFont="1" applyFill="1" applyAlignment="1">
      <alignment horizontal="center"/>
    </xf>
    <xf numFmtId="0" fontId="7" fillId="11" borderId="0" xfId="0" applyFont="1" applyFill="1" applyAlignment="1">
      <alignment horizontal="center"/>
    </xf>
    <xf numFmtId="166" fontId="0" fillId="4" borderId="0" xfId="0" applyNumberFormat="1" applyFill="1"/>
    <xf numFmtId="195" fontId="9" fillId="4" borderId="0" xfId="24" applyNumberFormat="1" applyFont="1" applyFill="1"/>
    <xf numFmtId="0" fontId="0" fillId="4" borderId="0" xfId="0" applyFill="1" applyAlignment="1">
      <alignment horizontal="left" indent="1"/>
    </xf>
    <xf numFmtId="195" fontId="0" fillId="4" borderId="0" xfId="24" applyNumberFormat="1" applyFont="1" applyFill="1"/>
    <xf numFmtId="195" fontId="0" fillId="4" borderId="0" xfId="0" applyNumberFormat="1" applyFill="1"/>
    <xf numFmtId="0" fontId="0" fillId="4" borderId="2" xfId="0" applyFill="1" applyBorder="1" applyAlignment="1">
      <alignment horizontal="left" indent="1"/>
    </xf>
    <xf numFmtId="195" fontId="0" fillId="4" borderId="2" xfId="24" applyNumberFormat="1" applyFont="1" applyFill="1" applyBorder="1"/>
    <xf numFmtId="195" fontId="9" fillId="4" borderId="2" xfId="24" applyNumberFormat="1" applyFont="1" applyFill="1" applyBorder="1"/>
    <xf numFmtId="195" fontId="0" fillId="4" borderId="2" xfId="0" applyNumberFormat="1" applyFill="1" applyBorder="1"/>
    <xf numFmtId="0" fontId="6" fillId="4" borderId="0" xfId="0" applyFont="1" applyFill="1"/>
    <xf numFmtId="195" fontId="6" fillId="4" borderId="0" xfId="0" applyNumberFormat="1" applyFont="1" applyFill="1"/>
    <xf numFmtId="43" fontId="0" fillId="4" borderId="0" xfId="0" applyNumberFormat="1" applyFill="1"/>
    <xf numFmtId="166" fontId="6" fillId="4" borderId="0" xfId="0" applyNumberFormat="1" applyFont="1" applyFill="1"/>
    <xf numFmtId="202" fontId="14" fillId="4" borderId="0" xfId="0" applyNumberFormat="1" applyFont="1" applyFill="1"/>
    <xf numFmtId="202" fontId="6" fillId="4" borderId="0" xfId="0" applyNumberFormat="1" applyFont="1" applyFill="1"/>
    <xf numFmtId="202" fontId="9" fillId="4" borderId="0" xfId="0" applyNumberFormat="1" applyFont="1" applyFill="1"/>
    <xf numFmtId="166" fontId="0" fillId="4" borderId="2" xfId="0" applyNumberFormat="1" applyFill="1" applyBorder="1"/>
    <xf numFmtId="0" fontId="6" fillId="4" borderId="2" xfId="0" applyFont="1" applyFill="1" applyBorder="1"/>
    <xf numFmtId="0" fontId="0" fillId="4" borderId="2" xfId="0" applyFill="1" applyBorder="1"/>
    <xf numFmtId="201" fontId="0" fillId="4" borderId="0" xfId="0" applyNumberFormat="1" applyFill="1"/>
    <xf numFmtId="0" fontId="6" fillId="4" borderId="38" xfId="0" applyFont="1" applyFill="1" applyBorder="1"/>
    <xf numFmtId="43" fontId="6" fillId="17" borderId="47" xfId="0" applyNumberFormat="1" applyFont="1" applyFill="1" applyBorder="1"/>
    <xf numFmtId="43" fontId="6" fillId="17" borderId="39" xfId="0" applyNumberFormat="1" applyFont="1" applyFill="1" applyBorder="1"/>
    <xf numFmtId="0" fontId="6" fillId="4" borderId="40" xfId="0" applyFont="1" applyFill="1" applyBorder="1"/>
    <xf numFmtId="43" fontId="6" fillId="17" borderId="0" xfId="0" applyNumberFormat="1" applyFont="1" applyFill="1"/>
    <xf numFmtId="43" fontId="6" fillId="17" borderId="41" xfId="0" applyNumberFormat="1" applyFont="1" applyFill="1" applyBorder="1"/>
    <xf numFmtId="0" fontId="6" fillId="4" borderId="43" xfId="0" applyFont="1" applyFill="1" applyBorder="1"/>
    <xf numFmtId="195" fontId="6" fillId="17" borderId="37" xfId="24" applyNumberFormat="1" applyFont="1" applyFill="1" applyBorder="1"/>
    <xf numFmtId="0" fontId="6" fillId="17" borderId="37" xfId="0" applyFont="1" applyFill="1" applyBorder="1"/>
    <xf numFmtId="195" fontId="6" fillId="17" borderId="44" xfId="24" applyNumberFormat="1" applyFont="1" applyFill="1" applyBorder="1"/>
    <xf numFmtId="2" fontId="9" fillId="4" borderId="0" xfId="0" applyNumberFormat="1" applyFont="1" applyFill="1"/>
    <xf numFmtId="0" fontId="6" fillId="4" borderId="50" xfId="0" applyFont="1" applyFill="1" applyBorder="1"/>
    <xf numFmtId="195" fontId="6" fillId="17" borderId="51" xfId="24" applyNumberFormat="1" applyFont="1" applyFill="1" applyBorder="1"/>
    <xf numFmtId="0" fontId="6" fillId="17" borderId="51" xfId="0" applyFont="1" applyFill="1" applyBorder="1"/>
    <xf numFmtId="195" fontId="6" fillId="17" borderId="52" xfId="24" applyNumberFormat="1" applyFont="1" applyFill="1" applyBorder="1"/>
    <xf numFmtId="168" fontId="89" fillId="13" borderId="0" xfId="25" applyNumberFormat="1" applyFont="1" applyFill="1" applyBorder="1" applyAlignment="1">
      <alignment horizontal="left"/>
    </xf>
    <xf numFmtId="0" fontId="48" fillId="4" borderId="0" xfId="26" applyFill="1"/>
    <xf numFmtId="17" fontId="74" fillId="4" borderId="0" xfId="26" applyNumberFormat="1" applyFont="1" applyFill="1" applyAlignment="1">
      <alignment horizontal="center"/>
    </xf>
    <xf numFmtId="203" fontId="5" fillId="3" borderId="0" xfId="27" applyNumberFormat="1" applyFont="1" applyFill="1" applyAlignment="1">
      <alignment horizontal="left"/>
    </xf>
    <xf numFmtId="168" fontId="52" fillId="3" borderId="0" xfId="27" applyNumberFormat="1" applyFont="1" applyFill="1" applyAlignment="1">
      <alignment horizontal="center"/>
    </xf>
    <xf numFmtId="204" fontId="3" fillId="3" borderId="0" xfId="27" applyNumberFormat="1" applyFont="1" applyFill="1" applyAlignment="1">
      <alignment horizontal="left"/>
    </xf>
    <xf numFmtId="183" fontId="3" fillId="3" borderId="0" xfId="27" applyNumberFormat="1" applyFont="1" applyFill="1" applyAlignment="1">
      <alignment horizontal="left"/>
    </xf>
    <xf numFmtId="2" fontId="5" fillId="3" borderId="0" xfId="28" applyNumberFormat="1" applyFont="1" applyFill="1" applyBorder="1" applyAlignment="1">
      <alignment horizontal="center"/>
    </xf>
    <xf numFmtId="164" fontId="5" fillId="4" borderId="0" xfId="26" applyNumberFormat="1" applyFont="1" applyFill="1"/>
    <xf numFmtId="0" fontId="5" fillId="8" borderId="0" xfId="29" applyNumberFormat="1" applyFont="1" applyFill="1" applyBorder="1" applyAlignment="1">
      <alignment horizontal="center"/>
    </xf>
    <xf numFmtId="166" fontId="6" fillId="4" borderId="0" xfId="26" applyNumberFormat="1" applyFont="1" applyFill="1" applyAlignment="1">
      <alignment horizontal="center"/>
    </xf>
    <xf numFmtId="206" fontId="6" fillId="14" borderId="0" xfId="26" applyNumberFormat="1" applyFont="1" applyFill="1" applyAlignment="1">
      <alignment horizontal="center"/>
    </xf>
    <xf numFmtId="166" fontId="6" fillId="14" borderId="0" xfId="26" applyNumberFormat="1" applyFont="1" applyFill="1" applyAlignment="1">
      <alignment horizontal="center"/>
    </xf>
    <xf numFmtId="167" fontId="7" fillId="11" borderId="0" xfId="26" applyNumberFormat="1" applyFont="1" applyFill="1"/>
    <xf numFmtId="0" fontId="90" fillId="4" borderId="0" xfId="26" applyFont="1" applyFill="1"/>
    <xf numFmtId="164" fontId="6" fillId="4" borderId="0" xfId="26" applyNumberFormat="1" applyFont="1" applyFill="1" applyAlignment="1">
      <alignment horizontal="left"/>
    </xf>
    <xf numFmtId="164" fontId="6" fillId="4" borderId="0" xfId="26" applyNumberFormat="1" applyFont="1" applyFill="1" applyAlignment="1">
      <alignment horizontal="right"/>
    </xf>
    <xf numFmtId="164" fontId="6" fillId="14" borderId="0" xfId="26" applyNumberFormat="1" applyFont="1" applyFill="1" applyAlignment="1">
      <alignment horizontal="right"/>
    </xf>
    <xf numFmtId="164" fontId="6" fillId="4" borderId="0" xfId="26" applyNumberFormat="1" applyFont="1" applyFill="1"/>
    <xf numFmtId="164" fontId="48" fillId="4" borderId="0" xfId="26" applyNumberFormat="1" applyFill="1" applyAlignment="1">
      <alignment horizontal="left" indent="1"/>
    </xf>
    <xf numFmtId="164" fontId="48" fillId="4" borderId="0" xfId="26" applyNumberFormat="1" applyFill="1" applyAlignment="1">
      <alignment horizontal="right"/>
    </xf>
    <xf numFmtId="164" fontId="48" fillId="14" borderId="0" xfId="26" applyNumberFormat="1" applyFill="1" applyAlignment="1">
      <alignment horizontal="right"/>
    </xf>
    <xf numFmtId="164" fontId="48" fillId="4" borderId="0" xfId="26" applyNumberFormat="1" applyFill="1"/>
    <xf numFmtId="164" fontId="48" fillId="4" borderId="2" xfId="26" applyNumberFormat="1" applyFill="1" applyBorder="1" applyAlignment="1">
      <alignment horizontal="left" indent="1"/>
    </xf>
    <xf numFmtId="164" fontId="48" fillId="4" borderId="2" xfId="26" applyNumberFormat="1" applyFill="1" applyBorder="1" applyAlignment="1">
      <alignment horizontal="right"/>
    </xf>
    <xf numFmtId="164" fontId="48" fillId="14" borderId="2" xfId="26" applyNumberFormat="1" applyFill="1" applyBorder="1" applyAlignment="1">
      <alignment horizontal="right"/>
    </xf>
    <xf numFmtId="164" fontId="48" fillId="4" borderId="0" xfId="26" applyNumberFormat="1" applyFill="1" applyAlignment="1">
      <alignment horizontal="left" indent="2"/>
    </xf>
    <xf numFmtId="167" fontId="21" fillId="4" borderId="2" xfId="26" applyNumberFormat="1" applyFont="1" applyFill="1" applyBorder="1" applyAlignment="1">
      <alignment horizontal="left" indent="1"/>
    </xf>
    <xf numFmtId="167" fontId="21" fillId="4" borderId="2" xfId="26" applyNumberFormat="1" applyFont="1" applyFill="1" applyBorder="1" applyAlignment="1">
      <alignment horizontal="right"/>
    </xf>
    <xf numFmtId="167" fontId="21" fillId="14" borderId="2" xfId="26" applyNumberFormat="1" applyFont="1" applyFill="1" applyBorder="1" applyAlignment="1">
      <alignment horizontal="right"/>
    </xf>
    <xf numFmtId="167" fontId="21" fillId="4" borderId="0" xfId="26" applyNumberFormat="1" applyFont="1" applyFill="1"/>
    <xf numFmtId="164" fontId="48" fillId="4" borderId="0" xfId="26" applyNumberFormat="1" applyFill="1" applyAlignment="1">
      <alignment horizontal="left"/>
    </xf>
    <xf numFmtId="164" fontId="6" fillId="4" borderId="7" xfId="26" applyNumberFormat="1" applyFont="1" applyFill="1" applyBorder="1" applyAlignment="1">
      <alignment horizontal="left"/>
    </xf>
    <xf numFmtId="164" fontId="6" fillId="4" borderId="7" xfId="26" applyNumberFormat="1" applyFont="1" applyFill="1" applyBorder="1" applyAlignment="1">
      <alignment horizontal="right"/>
    </xf>
    <xf numFmtId="164" fontId="6" fillId="14" borderId="7" xfId="26" applyNumberFormat="1" applyFont="1" applyFill="1" applyBorder="1" applyAlignment="1">
      <alignment horizontal="right"/>
    </xf>
    <xf numFmtId="164" fontId="48" fillId="4" borderId="0" xfId="26" quotePrefix="1" applyNumberFormat="1" applyFill="1" applyAlignment="1">
      <alignment horizontal="right"/>
    </xf>
    <xf numFmtId="164" fontId="6" fillId="4" borderId="7" xfId="26" applyNumberFormat="1" applyFont="1" applyFill="1" applyBorder="1"/>
    <xf numFmtId="166" fontId="6" fillId="4" borderId="0" xfId="26" applyNumberFormat="1" applyFont="1" applyFill="1"/>
    <xf numFmtId="166" fontId="6" fillId="4" borderId="0" xfId="26" applyNumberFormat="1" applyFont="1" applyFill="1" applyAlignment="1">
      <alignment horizontal="right"/>
    </xf>
    <xf numFmtId="166" fontId="6" fillId="14" borderId="0" xfId="26" applyNumberFormat="1" applyFont="1" applyFill="1" applyAlignment="1">
      <alignment horizontal="right"/>
    </xf>
    <xf numFmtId="167" fontId="21" fillId="4" borderId="0" xfId="26" applyNumberFormat="1" applyFont="1" applyFill="1" applyAlignment="1">
      <alignment horizontal="left" indent="1"/>
    </xf>
    <xf numFmtId="167" fontId="21" fillId="4" borderId="0" xfId="26" applyNumberFormat="1" applyFont="1" applyFill="1" applyAlignment="1">
      <alignment horizontal="right"/>
    </xf>
    <xf numFmtId="167" fontId="21" fillId="14" borderId="0" xfId="26" applyNumberFormat="1" applyFont="1" applyFill="1" applyAlignment="1">
      <alignment horizontal="right"/>
    </xf>
    <xf numFmtId="167" fontId="45" fillId="13" borderId="0" xfId="26" applyNumberFormat="1" applyFont="1" applyFill="1" applyAlignment="1">
      <alignment horizontal="right"/>
    </xf>
    <xf numFmtId="167" fontId="45" fillId="14" borderId="0" xfId="26" applyNumberFormat="1" applyFont="1" applyFill="1" applyAlignment="1">
      <alignment horizontal="right"/>
    </xf>
    <xf numFmtId="167" fontId="7" fillId="4" borderId="0" xfId="26" applyNumberFormat="1" applyFont="1" applyFill="1"/>
    <xf numFmtId="207" fontId="21" fillId="4" borderId="0" xfId="26" applyNumberFormat="1" applyFont="1" applyFill="1" applyAlignment="1">
      <alignment horizontal="left" indent="1"/>
    </xf>
    <xf numFmtId="207" fontId="21" fillId="4" borderId="0" xfId="26" applyNumberFormat="1" applyFont="1" applyFill="1" applyAlignment="1">
      <alignment horizontal="right"/>
    </xf>
    <xf numFmtId="207" fontId="45" fillId="14" borderId="0" xfId="26" applyNumberFormat="1" applyFont="1" applyFill="1" applyAlignment="1">
      <alignment horizontal="right"/>
    </xf>
    <xf numFmtId="207" fontId="21" fillId="14" borderId="0" xfId="26" applyNumberFormat="1" applyFont="1" applyFill="1" applyAlignment="1">
      <alignment horizontal="right"/>
    </xf>
    <xf numFmtId="207" fontId="21" fillId="4" borderId="0" xfId="26" applyNumberFormat="1" applyFont="1" applyFill="1"/>
    <xf numFmtId="167" fontId="6" fillId="4" borderId="0" xfId="26" applyNumberFormat="1" applyFont="1" applyFill="1"/>
    <xf numFmtId="167" fontId="9" fillId="4" borderId="0" xfId="26" applyNumberFormat="1" applyFont="1" applyFill="1"/>
    <xf numFmtId="167" fontId="48" fillId="4" borderId="0" xfId="26" applyNumberFormat="1" applyFill="1"/>
    <xf numFmtId="166" fontId="48" fillId="4" borderId="0" xfId="26" applyNumberFormat="1" applyFill="1" applyAlignment="1">
      <alignment horizontal="left" indent="1"/>
    </xf>
    <xf numFmtId="166" fontId="48" fillId="4" borderId="0" xfId="26" applyNumberFormat="1" applyFill="1"/>
    <xf numFmtId="170" fontId="6" fillId="4" borderId="7" xfId="26" applyNumberFormat="1" applyFont="1" applyFill="1" applyBorder="1"/>
    <xf numFmtId="170" fontId="6" fillId="4" borderId="7" xfId="26" applyNumberFormat="1" applyFont="1" applyFill="1" applyBorder="1" applyAlignment="1">
      <alignment horizontal="right"/>
    </xf>
    <xf numFmtId="0" fontId="6" fillId="4" borderId="0" xfId="26" applyFont="1" applyFill="1" applyAlignment="1">
      <alignment horizontal="right"/>
    </xf>
    <xf numFmtId="167" fontId="40" fillId="4" borderId="0" xfId="26" applyNumberFormat="1" applyFont="1" applyFill="1" applyAlignment="1">
      <alignment horizontal="right"/>
    </xf>
    <xf numFmtId="0" fontId="48" fillId="4" borderId="0" xfId="26" applyFill="1" applyAlignment="1">
      <alignment horizontal="left" indent="1"/>
    </xf>
    <xf numFmtId="0" fontId="6" fillId="4" borderId="7" xfId="26" applyFont="1" applyFill="1" applyBorder="1" applyAlignment="1">
      <alignment horizontal="left" indent="1"/>
    </xf>
    <xf numFmtId="167" fontId="40" fillId="4" borderId="7" xfId="26" applyNumberFormat="1" applyFont="1" applyFill="1" applyBorder="1"/>
    <xf numFmtId="0" fontId="6" fillId="4" borderId="0" xfId="26" applyFont="1" applyFill="1"/>
    <xf numFmtId="166" fontId="48" fillId="4" borderId="0" xfId="26" applyNumberFormat="1" applyFill="1" applyAlignment="1">
      <alignment horizontal="left" indent="2"/>
    </xf>
    <xf numFmtId="164" fontId="9" fillId="4" borderId="0" xfId="26" applyNumberFormat="1" applyFont="1" applyFill="1"/>
    <xf numFmtId="0" fontId="6" fillId="4" borderId="53" xfId="26" applyFont="1" applyFill="1" applyBorder="1" applyAlignment="1">
      <alignment horizontal="left" indent="1"/>
    </xf>
    <xf numFmtId="164" fontId="6" fillId="4" borderId="54" xfId="26" applyNumberFormat="1" applyFont="1" applyFill="1" applyBorder="1"/>
    <xf numFmtId="0" fontId="6" fillId="4" borderId="0" xfId="26" applyFont="1" applyFill="1" applyAlignment="1">
      <alignment horizontal="left" indent="1"/>
    </xf>
    <xf numFmtId="164" fontId="14" fillId="4" borderId="0" xfId="26" applyNumberFormat="1" applyFont="1" applyFill="1"/>
    <xf numFmtId="167" fontId="40" fillId="4" borderId="0" xfId="26" applyNumberFormat="1" applyFont="1" applyFill="1"/>
    <xf numFmtId="169" fontId="6" fillId="17" borderId="55" xfId="26" applyNumberFormat="1" applyFont="1" applyFill="1" applyBorder="1" applyAlignment="1">
      <alignment horizontal="left" indent="1"/>
    </xf>
    <xf numFmtId="2" fontId="6" fillId="17" borderId="56" xfId="26" applyNumberFormat="1" applyFont="1" applyFill="1" applyBorder="1"/>
    <xf numFmtId="169" fontId="40" fillId="4" borderId="0" xfId="26" applyNumberFormat="1" applyFont="1" applyFill="1"/>
    <xf numFmtId="169" fontId="6" fillId="4" borderId="0" xfId="26" applyNumberFormat="1" applyFont="1" applyFill="1"/>
    <xf numFmtId="169" fontId="6" fillId="4" borderId="0" xfId="26" applyNumberFormat="1" applyFont="1" applyFill="1" applyAlignment="1">
      <alignment horizontal="left" indent="1"/>
    </xf>
    <xf numFmtId="169" fontId="48" fillId="4" borderId="0" xfId="26" applyNumberFormat="1" applyFill="1" applyAlignment="1">
      <alignment horizontal="left" indent="1"/>
    </xf>
    <xf numFmtId="2" fontId="48" fillId="4" borderId="0" xfId="26" applyNumberFormat="1" applyFill="1" applyAlignment="1">
      <alignment horizontal="right"/>
    </xf>
    <xf numFmtId="167" fontId="40" fillId="4" borderId="0" xfId="26" applyNumberFormat="1" applyFont="1" applyFill="1" applyAlignment="1">
      <alignment horizontal="left" indent="1"/>
    </xf>
    <xf numFmtId="208" fontId="40" fillId="4" borderId="0" xfId="26" applyNumberFormat="1" applyFont="1" applyFill="1" applyAlignment="1">
      <alignment horizontal="right"/>
    </xf>
  </cellXfs>
  <cellStyles count="30">
    <cellStyle name="Comma 2" xfId="19" xr:uid="{493ADA93-37AB-4201-AF6F-D7F5A46C4226}"/>
    <cellStyle name="Comma 2 2" xfId="23" xr:uid="{7CF1EA9E-40F5-4E9E-88C3-80EBB1F7212C}"/>
    <cellStyle name="Currency" xfId="1" builtinId="4"/>
    <cellStyle name="Currency 2" xfId="2" xr:uid="{00000000-0005-0000-0000-000006000000}"/>
    <cellStyle name="Currency 2 2" xfId="3" xr:uid="{00000000-0005-0000-0000-000007000000}"/>
    <cellStyle name="Currency 2 3" xfId="4" xr:uid="{00000000-0005-0000-0000-000008000000}"/>
    <cellStyle name="Currency 2 4" xfId="28" xr:uid="{34A30846-6CD7-44BA-833B-C69C19FEEA9E}"/>
    <cellStyle name="Currency 3 2" xfId="17" xr:uid="{A297CFE1-48C2-4E04-AF1A-30B6513C37AC}"/>
    <cellStyle name="Currency 3 2 2" xfId="29" xr:uid="{43DB895C-81E8-4419-AFBE-FF9CAE34C9C1}"/>
    <cellStyle name="Good" xfId="5" builtinId="26"/>
    <cellStyle name="Hyperlink" xfId="6" builtinId="8"/>
    <cellStyle name="Hyperlink 2" xfId="7" xr:uid="{00000000-0005-0000-0000-00000B000000}"/>
    <cellStyle name="Hyperlink 3" xfId="25" xr:uid="{8AF72429-D740-4AC0-8984-F6BC29799C66}"/>
    <cellStyle name="Normal" xfId="0" builtinId="0"/>
    <cellStyle name="Normal 2" xfId="8" xr:uid="{00000000-0005-0000-0000-00000C000000}"/>
    <cellStyle name="Normal 2 2" xfId="9" xr:uid="{00000000-0005-0000-0000-00000D000000}"/>
    <cellStyle name="Normal 2 2 2" xfId="16" xr:uid="{5586EC00-EA2B-46B7-A908-328E281CA2E4}"/>
    <cellStyle name="Normal 2 3" xfId="27" xr:uid="{B1C575C0-0E8D-4911-9DA5-4F1C5AFFFE8B}"/>
    <cellStyle name="Normal 3" xfId="10" xr:uid="{00000000-0005-0000-0000-00000E000000}"/>
    <cellStyle name="Normal 3 2" xfId="11" xr:uid="{00000000-0005-0000-0000-00000F000000}"/>
    <cellStyle name="Normal 4" xfId="12" xr:uid="{00000000-0005-0000-0000-000010000000}"/>
    <cellStyle name="Normal 4 2" xfId="26" xr:uid="{7F5B19CF-2851-40FF-8922-DCB723CE645A}"/>
    <cellStyle name="Normal 5" xfId="20" xr:uid="{4EF5893E-97B0-45EF-B90D-4226721F30D7}"/>
    <cellStyle name="Normal 5 2" xfId="18" xr:uid="{C55B68E8-2E7B-431C-A98A-944A4DAB7227}"/>
    <cellStyle name="Normal 6 2 3" xfId="15" xr:uid="{9049DEE0-BC51-4D71-A601-7274E945145C}"/>
    <cellStyle name="Percent 2" xfId="13" xr:uid="{00000000-0005-0000-0000-000011000000}"/>
    <cellStyle name="Percent 2 2" xfId="14" xr:uid="{00000000-0005-0000-0000-000012000000}"/>
    <cellStyle name="Percent 2 2 2" xfId="22" xr:uid="{56AB9E96-BFB5-41AF-B914-61690F72E524}"/>
    <cellStyle name="Percent 2 3 2 2" xfId="24" xr:uid="{DACE5FF9-00D3-4A3A-B60B-8950BBEEB41D}"/>
    <cellStyle name="Percent 3" xfId="21" xr:uid="{9EF7C0D5-EC8A-41C1-8708-E99AE6C2C0FE}"/>
  </cellStyles>
  <dxfs count="11">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ont>
        <color rgb="FFF2F2F2"/>
      </font>
      <fill>
        <patternFill>
          <bgColor rgb="FFF2F2F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190500</xdr:colOff>
      <xdr:row>2</xdr:row>
      <xdr:rowOff>152400</xdr:rowOff>
    </xdr:from>
    <xdr:ext cx="2352675" cy="904875"/>
    <xdr:pic>
      <xdr:nvPicPr>
        <xdr:cNvPr id="6" name="Picture 5">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stretch>
          <a:fillRect/>
        </a:stretch>
      </xdr:blipFill>
      <xdr:spPr bwMode="auto">
        <a:xfrm>
          <a:off x="571500" y="533400"/>
          <a:ext cx="2352675" cy="904875"/>
        </a:xfrm>
        <a:prstGeom prst="rect">
          <a:avLst/>
        </a:prstGeom>
        <a:noFill/>
        <a:ln>
          <a:noFill/>
        </a:ln>
      </xdr:spPr>
    </xdr:pic>
    <xdr:clientData/>
  </xdr:oneCellAnchor>
  <xdr:oneCellAnchor>
    <xdr:from>
      <xdr:col>16</xdr:col>
      <xdr:colOff>304800</xdr:colOff>
      <xdr:row>40</xdr:row>
      <xdr:rowOff>38100</xdr:rowOff>
    </xdr:from>
    <xdr:ext cx="333375" cy="371475"/>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a:stretch>
          <a:fillRect/>
        </a:stretch>
      </xdr:blipFill>
      <xdr:spPr>
        <a:xfrm>
          <a:off x="13982700" y="8534400"/>
          <a:ext cx="333375" cy="3714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1</xdr:col>
      <xdr:colOff>304800</xdr:colOff>
      <xdr:row>2</xdr:row>
      <xdr:rowOff>85725</xdr:rowOff>
    </xdr:from>
    <xdr:ext cx="2390775" cy="914400"/>
    <xdr:pic>
      <xdr:nvPicPr>
        <xdr:cNvPr id="6" name="Picture 5">
          <a:extLst>
            <a:ext uri="{FF2B5EF4-FFF2-40B4-BE49-F238E27FC236}">
              <a16:creationId xmlns:a16="http://schemas.microsoft.com/office/drawing/2014/main" id="{00000000-0008-0000-0500-000006000000}"/>
            </a:ext>
          </a:extLst>
        </xdr:cNvPr>
        <xdr:cNvPicPr>
          <a:picLocks noChangeAspect="1" noChangeArrowheads="1"/>
        </xdr:cNvPicPr>
      </xdr:nvPicPr>
      <xdr:blipFill>
        <a:blip xmlns:r="http://schemas.openxmlformats.org/officeDocument/2006/relationships" r:embed="rId1"/>
        <a:stretch>
          <a:fillRect/>
        </a:stretch>
      </xdr:blipFill>
      <xdr:spPr bwMode="auto">
        <a:xfrm>
          <a:off x="600075" y="466725"/>
          <a:ext cx="2390775" cy="914400"/>
        </a:xfrm>
        <a:prstGeom prst="rect">
          <a:avLst/>
        </a:prstGeom>
        <a:noFill/>
        <a:ln>
          <a:noFill/>
        </a:ln>
      </xdr:spPr>
    </xdr:pic>
    <xdr:clientData/>
  </xdr:oneCellAnchor>
  <xdr:oneCellAnchor>
    <xdr:from>
      <xdr:col>8</xdr:col>
      <xdr:colOff>228600</xdr:colOff>
      <xdr:row>43</xdr:row>
      <xdr:rowOff>38100</xdr:rowOff>
    </xdr:from>
    <xdr:ext cx="342900" cy="381000"/>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a:stretch>
          <a:fillRect/>
        </a:stretch>
      </xdr:blipFill>
      <xdr:spPr>
        <a:xfrm>
          <a:off x="11668125" y="8277225"/>
          <a:ext cx="342900" cy="3810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upport@canalyst.com?subject=Canalyst%20Support:%203M%20Company%20MMM%20US&amp;body=Model%20Version:%20Q1-2019.22" TargetMode="External"/><Relationship Id="rId1" Type="http://schemas.openxmlformats.org/officeDocument/2006/relationships/hyperlink" Target="mailto:support@canalyst.com?subject=Canalyst%20Support:%203M%20Company%20MMM%20US&amp;body=Model%20Version:%20FY2018.23"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investors.3m.com/overview/default.aspx" TargetMode="Externa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17" Type="http://schemas.openxmlformats.org/officeDocument/2006/relationships/hyperlink" Target="https://s24.q4cdn.com/834031268/files/doc_financials/2019/q4/Q4-2019-Earnings-vFINAL.pdf" TargetMode="External"/><Relationship Id="rId21" Type="http://schemas.openxmlformats.org/officeDocument/2006/relationships/hyperlink" Target="https://s2.q4cdn.com/974527301/files/doc_financials/2019/q3/Q3-2019-Earnings-Presentation.pdf" TargetMode="External"/><Relationship Id="rId42" Type="http://schemas.openxmlformats.org/officeDocument/2006/relationships/hyperlink" Target="https://s2.q4cdn.com/974527301/files/doc_financials/2019/q1/Q1-2019-Earnings-vFinal.pdf" TargetMode="External"/><Relationship Id="rId63" Type="http://schemas.openxmlformats.org/officeDocument/2006/relationships/hyperlink" Target="https://s2.q4cdn.com/974527301/files/doc_financials/2018/Q4/Q4-2018-Earnings-Presentation.pdf" TargetMode="External"/><Relationship Id="rId84" Type="http://schemas.openxmlformats.org/officeDocument/2006/relationships/hyperlink" Target="https://s2.q4cdn.com/974527301/files/doc_financials/2018/Q3/Q3-2018-Slides.pdf" TargetMode="External"/><Relationship Id="rId138" Type="http://schemas.openxmlformats.org/officeDocument/2006/relationships/hyperlink" Target="https://s24.q4cdn.com/834031268/files/doc_financials/2019/q4/Q4-2019-Earnings-vFINAL.pdf" TargetMode="External"/><Relationship Id="rId107" Type="http://schemas.openxmlformats.org/officeDocument/2006/relationships/hyperlink" Target="https://s2.q4cdn.com/974527301/files/doc_financials/2018/q1/Q1-2018-Earnings-Presentation.pdf" TargetMode="External"/><Relationship Id="rId11" Type="http://schemas.openxmlformats.org/officeDocument/2006/relationships/hyperlink" Target="https://s2.q4cdn.com/974527301/files/doc_financials/2019/q3/Q3-2019-Earnings-Presentation.pdf" TargetMode="External"/><Relationship Id="rId32" Type="http://schemas.openxmlformats.org/officeDocument/2006/relationships/hyperlink" Target="https://s2.q4cdn.com/974527301/files/doc_downloads/2019/07/Q2-2019-Earnings-Presentation.pdf" TargetMode="External"/><Relationship Id="rId53" Type="http://schemas.openxmlformats.org/officeDocument/2006/relationships/hyperlink" Target="https://s2.q4cdn.com/974527301/files/doc_financials/2018/Q4/Q4-2018-Earnings-Presentation.pdf" TargetMode="External"/><Relationship Id="rId74" Type="http://schemas.openxmlformats.org/officeDocument/2006/relationships/hyperlink" Target="https://s2.q4cdn.com/974527301/files/doc_financials/2018/Q4/Q4-2018-Earnings-Presentation.pdf" TargetMode="External"/><Relationship Id="rId128" Type="http://schemas.openxmlformats.org/officeDocument/2006/relationships/hyperlink" Target="https://s24.q4cdn.com/834031268/files/doc_financials/2019/q4/Q4-2019-Earnings-vFINAL.pdf" TargetMode="External"/><Relationship Id="rId149" Type="http://schemas.openxmlformats.org/officeDocument/2006/relationships/hyperlink" Target="https://s24.q4cdn.com/834031268/files/doc_financials/2019/q4/Q4-2019-Earnings-vFINAL.pdf" TargetMode="External"/><Relationship Id="rId5" Type="http://schemas.openxmlformats.org/officeDocument/2006/relationships/hyperlink" Target="https://s2.q4cdn.com/974527301/files/doc_financials/2019/q3/Q3-2019-Earnings-Presentation.pdf" TargetMode="External"/><Relationship Id="rId95" Type="http://schemas.openxmlformats.org/officeDocument/2006/relationships/hyperlink" Target="https://s2.q4cdn.com/974527301/files/doc_financials/2018/Q2/Q2-2018-Earnings-Slides.pdf" TargetMode="External"/><Relationship Id="rId22" Type="http://schemas.openxmlformats.org/officeDocument/2006/relationships/hyperlink" Target="https://s2.q4cdn.com/974527301/files/doc_financials/2019/q3/Q3-2019-Earnings-Presentation.pdf" TargetMode="External"/><Relationship Id="rId27" Type="http://schemas.openxmlformats.org/officeDocument/2006/relationships/hyperlink" Target="https://s2.q4cdn.com/974527301/files/doc_downloads/2019/07/Q2-2019-Earnings-Presentation.pdf" TargetMode="External"/><Relationship Id="rId43" Type="http://schemas.openxmlformats.org/officeDocument/2006/relationships/hyperlink" Target="https://s2.q4cdn.com/974527301/files/doc_financials/2019/q1/Q1-2019-Earnings-vFinal.pdf" TargetMode="External"/><Relationship Id="rId48" Type="http://schemas.openxmlformats.org/officeDocument/2006/relationships/hyperlink" Target="https://s2.q4cdn.com/974527301/files/doc_financials/2019/q1/Q1-2019-Earnings-vFinal.pdf" TargetMode="External"/><Relationship Id="rId64" Type="http://schemas.openxmlformats.org/officeDocument/2006/relationships/hyperlink" Target="https://s2.q4cdn.com/974527301/files/doc_financials/2018/Q4/Q4-2018-Earnings-Presentation.pdf" TargetMode="External"/><Relationship Id="rId69" Type="http://schemas.openxmlformats.org/officeDocument/2006/relationships/hyperlink" Target="https://s2.q4cdn.com/974527301/files/doc_financials/2018/Q4/Q4-2018-Earnings-Presentation.pdf" TargetMode="External"/><Relationship Id="rId113" Type="http://schemas.openxmlformats.org/officeDocument/2006/relationships/hyperlink" Target="https://s2.q4cdn.com/974527301/files/doc_financials/2018/q1/Q1-2018-Earnings-Presentation.pdf" TargetMode="External"/><Relationship Id="rId118" Type="http://schemas.openxmlformats.org/officeDocument/2006/relationships/hyperlink" Target="https://s24.q4cdn.com/834031268/files/doc_financials/2019/q4/Q4-2019-Earnings-vFINAL.pdf" TargetMode="External"/><Relationship Id="rId134" Type="http://schemas.openxmlformats.org/officeDocument/2006/relationships/hyperlink" Target="https://s24.q4cdn.com/834031268/files/doc_financials/2020/q1/Q1-2020-Earnings-Presentation.pdf" TargetMode="External"/><Relationship Id="rId139" Type="http://schemas.openxmlformats.org/officeDocument/2006/relationships/hyperlink" Target="https://s24.q4cdn.com/834031268/files/doc_financials/2019/q4/Q4-2019-Earnings-vFINAL.pdf" TargetMode="External"/><Relationship Id="rId80" Type="http://schemas.openxmlformats.org/officeDocument/2006/relationships/hyperlink" Target="https://s2.q4cdn.com/974527301/files/doc_financials/2018/Q3/Q3-2018-Slides.pdf" TargetMode="External"/><Relationship Id="rId85" Type="http://schemas.openxmlformats.org/officeDocument/2006/relationships/hyperlink" Target="https://s2.q4cdn.com/974527301/files/doc_financials/2018/Q3/Q3-2018-Slides.pdf" TargetMode="External"/><Relationship Id="rId150" Type="http://schemas.openxmlformats.org/officeDocument/2006/relationships/hyperlink" Target="https://s24.q4cdn.com/834031268/files/doc_financials/2020/q4/Q4-2020-Earnings-Presentation.pdf" TargetMode="External"/><Relationship Id="rId155" Type="http://schemas.openxmlformats.org/officeDocument/2006/relationships/vmlDrawing" Target="../drawings/vmlDrawing3.vml"/><Relationship Id="rId12" Type="http://schemas.openxmlformats.org/officeDocument/2006/relationships/hyperlink" Target="https://s2.q4cdn.com/974527301/files/doc_financials/2019/q3/Q3-2019-Earnings-Presentation.pdf" TargetMode="External"/><Relationship Id="rId17" Type="http://schemas.openxmlformats.org/officeDocument/2006/relationships/hyperlink" Target="https://s2.q4cdn.com/974527301/files/doc_financials/2019/q3/Q3-2019-Earnings-Presentation.pdf" TargetMode="External"/><Relationship Id="rId33" Type="http://schemas.openxmlformats.org/officeDocument/2006/relationships/hyperlink" Target="https://s2.q4cdn.com/974527301/files/doc_downloads/2019/07/Q2-2019-Earnings-Presentation.pdf" TargetMode="External"/><Relationship Id="rId38" Type="http://schemas.openxmlformats.org/officeDocument/2006/relationships/hyperlink" Target="https://s2.q4cdn.com/974527301/files/doc_financials/2019/q1/Q1-2019-Earnings-vFinal.pdf" TargetMode="External"/><Relationship Id="rId59" Type="http://schemas.openxmlformats.org/officeDocument/2006/relationships/hyperlink" Target="https://s2.q4cdn.com/974527301/files/doc_financials/2018/Q4/Q4-2018-Earnings-Presentation.pdf" TargetMode="External"/><Relationship Id="rId103" Type="http://schemas.openxmlformats.org/officeDocument/2006/relationships/hyperlink" Target="https://s2.q4cdn.com/974527301/files/doc_financials/2018/q1/Q1-2018-Earnings-Presentation.pdf" TargetMode="External"/><Relationship Id="rId108" Type="http://schemas.openxmlformats.org/officeDocument/2006/relationships/hyperlink" Target="https://s2.q4cdn.com/974527301/files/doc_financials/2018/q1/Q1-2018-Earnings-Presentation.pdf" TargetMode="External"/><Relationship Id="rId124" Type="http://schemas.openxmlformats.org/officeDocument/2006/relationships/hyperlink" Target="https://s24.q4cdn.com/834031268/files/doc_financials/2019/q4/Q4-2019-Earnings-vFINAL.pdf" TargetMode="External"/><Relationship Id="rId129" Type="http://schemas.openxmlformats.org/officeDocument/2006/relationships/hyperlink" Target="https://s24.q4cdn.com/834031268/files/doc_financials/2019/q4/Q4-2019-Earnings-vFINAL.pdf" TargetMode="External"/><Relationship Id="rId54" Type="http://schemas.openxmlformats.org/officeDocument/2006/relationships/hyperlink" Target="https://s2.q4cdn.com/974527301/files/doc_financials/2018/Q4/Q4-2018-Earnings-Presentation.pdf" TargetMode="External"/><Relationship Id="rId70" Type="http://schemas.openxmlformats.org/officeDocument/2006/relationships/hyperlink" Target="https://s2.q4cdn.com/974527301/files/doc_financials/2018/Q4/Q4-2018-Earnings-Presentation.pdf" TargetMode="External"/><Relationship Id="rId75" Type="http://schemas.openxmlformats.org/officeDocument/2006/relationships/hyperlink" Target="https://s2.q4cdn.com/974527301/files/doc_financials/2018/Q3/Q3-2018-Slides.pdf" TargetMode="External"/><Relationship Id="rId91" Type="http://schemas.openxmlformats.org/officeDocument/2006/relationships/hyperlink" Target="https://s2.q4cdn.com/974527301/files/doc_financials/2018/Q2/Q2-2018-Earnings-Slides.pdf" TargetMode="External"/><Relationship Id="rId96" Type="http://schemas.openxmlformats.org/officeDocument/2006/relationships/hyperlink" Target="https://s2.q4cdn.com/974527301/files/doc_financials/2018/Q2/Q2-2018-Earnings-Slides.pdf" TargetMode="External"/><Relationship Id="rId140" Type="http://schemas.openxmlformats.org/officeDocument/2006/relationships/hyperlink" Target="https://s24.q4cdn.com/834031268/files/doc_financials/2019/q4/Q4-2019-Earnings-vFINAL.pdf" TargetMode="External"/><Relationship Id="rId145" Type="http://schemas.openxmlformats.org/officeDocument/2006/relationships/hyperlink" Target="https://s24.q4cdn.com/834031268/files/doc_financials/2019/q4/Q4-2019-Earnings-vFINAL.pdf" TargetMode="External"/><Relationship Id="rId1" Type="http://schemas.openxmlformats.org/officeDocument/2006/relationships/hyperlink" Target="https://s2.q4cdn.com/974527301/files/doc_financials/2019/q1/Q1-2019-Earnings-vFinal.pdf" TargetMode="External"/><Relationship Id="rId6" Type="http://schemas.openxmlformats.org/officeDocument/2006/relationships/hyperlink" Target="https://s2.q4cdn.com/974527301/files/doc_financials/2019/q3/Q3-2019-Earnings-Presentation.pdf" TargetMode="External"/><Relationship Id="rId23" Type="http://schemas.openxmlformats.org/officeDocument/2006/relationships/hyperlink" Target="https://s2.q4cdn.com/974527301/files/doc_downloads/2019/07/Q2-2019-Earnings-Presentation.pdf" TargetMode="External"/><Relationship Id="rId28" Type="http://schemas.openxmlformats.org/officeDocument/2006/relationships/hyperlink" Target="https://s2.q4cdn.com/974527301/files/doc_downloads/2019/07/Q2-2019-Earnings-Presentation.pdf" TargetMode="External"/><Relationship Id="rId49" Type="http://schemas.openxmlformats.org/officeDocument/2006/relationships/hyperlink" Target="https://s2.q4cdn.com/974527301/files/doc_financials/2019/q1/Q1-2019-Earnings-vFinal.pdf" TargetMode="External"/><Relationship Id="rId114" Type="http://schemas.openxmlformats.org/officeDocument/2006/relationships/hyperlink" Target="https://s2.q4cdn.com/974527301/files/doc_financials/2018/q1/Q1-2018-Earnings-Presentation.pdf" TargetMode="External"/><Relationship Id="rId119" Type="http://schemas.openxmlformats.org/officeDocument/2006/relationships/hyperlink" Target="https://s24.q4cdn.com/834031268/files/doc_financials/2019/q4/Q4-2019-Earnings-vFINAL.pdf" TargetMode="External"/><Relationship Id="rId44" Type="http://schemas.openxmlformats.org/officeDocument/2006/relationships/hyperlink" Target="https://s2.q4cdn.com/974527301/files/doc_financials/2019/q1/Q1-2019-Earnings-vFinal.pdf" TargetMode="External"/><Relationship Id="rId60" Type="http://schemas.openxmlformats.org/officeDocument/2006/relationships/hyperlink" Target="https://s2.q4cdn.com/974527301/files/doc_financials/2018/Q4/Q4-2018-Earnings-Presentation.pdf" TargetMode="External"/><Relationship Id="rId65" Type="http://schemas.openxmlformats.org/officeDocument/2006/relationships/hyperlink" Target="https://s2.q4cdn.com/974527301/files/doc_financials/2018/Q4/Q4-2018-Earnings-Presentation.pdf" TargetMode="External"/><Relationship Id="rId81" Type="http://schemas.openxmlformats.org/officeDocument/2006/relationships/hyperlink" Target="https://s2.q4cdn.com/974527301/files/doc_financials/2018/Q3/Q3-2018-Slides.pdf" TargetMode="External"/><Relationship Id="rId86" Type="http://schemas.openxmlformats.org/officeDocument/2006/relationships/hyperlink" Target="https://s2.q4cdn.com/974527301/files/doc_financials/2018/Q3/Q3-2018-Slides.pdf" TargetMode="External"/><Relationship Id="rId130" Type="http://schemas.openxmlformats.org/officeDocument/2006/relationships/hyperlink" Target="https://s24.q4cdn.com/834031268/files/doc_financials/2019/q4/Q4-2019-Earnings-vFINAL.pdf" TargetMode="External"/><Relationship Id="rId135" Type="http://schemas.openxmlformats.org/officeDocument/2006/relationships/hyperlink" Target="https://s24.q4cdn.com/834031268/files/doc_financials/2020/q1/Q1-2020-Earnings-Presentation.pdf" TargetMode="External"/><Relationship Id="rId151" Type="http://schemas.openxmlformats.org/officeDocument/2006/relationships/hyperlink" Target="https://s24.q4cdn.com/834031268/files/doc_financials/2021/q1/Q1-2021-Earnings-Presentation.pdf" TargetMode="External"/><Relationship Id="rId156" Type="http://schemas.openxmlformats.org/officeDocument/2006/relationships/comments" Target="../comments3.xml"/><Relationship Id="rId13" Type="http://schemas.openxmlformats.org/officeDocument/2006/relationships/hyperlink" Target="https://s2.q4cdn.com/974527301/files/doc_financials/2019/q3/Q3-2019-Earnings-Presentation.pdf" TargetMode="External"/><Relationship Id="rId18" Type="http://schemas.openxmlformats.org/officeDocument/2006/relationships/hyperlink" Target="https://s2.q4cdn.com/974527301/files/doc_financials/2019/q3/Q3-2019-Earnings-Presentation.pdf" TargetMode="External"/><Relationship Id="rId39" Type="http://schemas.openxmlformats.org/officeDocument/2006/relationships/hyperlink" Target="https://s2.q4cdn.com/974527301/files/doc_financials/2019/q1/Q1-2019-Earnings-vFinal.pdf" TargetMode="External"/><Relationship Id="rId109" Type="http://schemas.openxmlformats.org/officeDocument/2006/relationships/hyperlink" Target="https://s2.q4cdn.com/974527301/files/doc_financials/2018/q1/Q1-2018-Earnings-Presentation.pdf" TargetMode="External"/><Relationship Id="rId34" Type="http://schemas.openxmlformats.org/officeDocument/2006/relationships/hyperlink" Target="https://s2.q4cdn.com/974527301/files/doc_downloads/2019/07/Q2-2019-Earnings-Presentation.pdf" TargetMode="External"/><Relationship Id="rId50" Type="http://schemas.openxmlformats.org/officeDocument/2006/relationships/hyperlink" Target="https://s2.q4cdn.com/974527301/files/doc_financials/2019/q1/Q1-2019-Earnings-vFinal.pdf" TargetMode="External"/><Relationship Id="rId55" Type="http://schemas.openxmlformats.org/officeDocument/2006/relationships/hyperlink" Target="https://s2.q4cdn.com/974527301/files/doc_financials/2018/Q4/Q4-2018-Earnings-Presentation.pdf" TargetMode="External"/><Relationship Id="rId76" Type="http://schemas.openxmlformats.org/officeDocument/2006/relationships/hyperlink" Target="https://s2.q4cdn.com/974527301/files/doc_financials/2018/Q3/Q3-2018-Slides.pdf" TargetMode="External"/><Relationship Id="rId97" Type="http://schemas.openxmlformats.org/officeDocument/2006/relationships/hyperlink" Target="https://s2.q4cdn.com/974527301/files/doc_financials/2018/Q2/Q2-2018-Earnings-Slides.pdf" TargetMode="External"/><Relationship Id="rId104" Type="http://schemas.openxmlformats.org/officeDocument/2006/relationships/hyperlink" Target="https://s2.q4cdn.com/974527301/files/doc_financials/2018/q1/Q1-2018-Earnings-Presentation.pdf" TargetMode="External"/><Relationship Id="rId120" Type="http://schemas.openxmlformats.org/officeDocument/2006/relationships/hyperlink" Target="https://s24.q4cdn.com/834031268/files/doc_financials/2019/q4/Q4-2019-Earnings-vFINAL.pdf" TargetMode="External"/><Relationship Id="rId125" Type="http://schemas.openxmlformats.org/officeDocument/2006/relationships/hyperlink" Target="https://s24.q4cdn.com/834031268/files/doc_financials/2019/q4/Q4-2019-Earnings-vFINAL.pdf" TargetMode="External"/><Relationship Id="rId141" Type="http://schemas.openxmlformats.org/officeDocument/2006/relationships/hyperlink" Target="https://s24.q4cdn.com/834031268/files/doc_financials/2019/q4/Q4-2019-Earnings-vFINAL.pdf" TargetMode="External"/><Relationship Id="rId146" Type="http://schemas.openxmlformats.org/officeDocument/2006/relationships/hyperlink" Target="https://s24.q4cdn.com/834031268/files/doc_financials/2019/q4/Q4-2019-Earnings-vFINAL.pdf" TargetMode="External"/><Relationship Id="rId7" Type="http://schemas.openxmlformats.org/officeDocument/2006/relationships/hyperlink" Target="https://s2.q4cdn.com/974527301/files/doc_financials/2019/q3/Q3-2019-Earnings-Presentation.pdf" TargetMode="External"/><Relationship Id="rId71" Type="http://schemas.openxmlformats.org/officeDocument/2006/relationships/hyperlink" Target="https://s2.q4cdn.com/974527301/files/doc_financials/2018/Q4/Q4-2018-Earnings-Presentation.pdf" TargetMode="External"/><Relationship Id="rId92" Type="http://schemas.openxmlformats.org/officeDocument/2006/relationships/hyperlink" Target="https://s2.q4cdn.com/974527301/files/doc_financials/2018/Q2/Q2-2018-Earnings-Slides.pdf" TargetMode="External"/><Relationship Id="rId2" Type="http://schemas.openxmlformats.org/officeDocument/2006/relationships/hyperlink" Target="https://s2.q4cdn.com/974527301/files/doc_financials/2019/q1/Q1-2019-Earnings-vFinal.pdf" TargetMode="External"/><Relationship Id="rId29" Type="http://schemas.openxmlformats.org/officeDocument/2006/relationships/hyperlink" Target="https://s2.q4cdn.com/974527301/files/doc_downloads/2019/07/Q2-2019-Earnings-Presentation.pdf" TargetMode="External"/><Relationship Id="rId24" Type="http://schemas.openxmlformats.org/officeDocument/2006/relationships/hyperlink" Target="https://s2.q4cdn.com/974527301/files/doc_downloads/2019/07/Q2-2019-Earnings-Presentation.pdf" TargetMode="External"/><Relationship Id="rId40" Type="http://schemas.openxmlformats.org/officeDocument/2006/relationships/hyperlink" Target="https://s2.q4cdn.com/974527301/files/doc_financials/2019/q1/Q1-2019-Earnings-vFinal.pdf" TargetMode="External"/><Relationship Id="rId45" Type="http://schemas.openxmlformats.org/officeDocument/2006/relationships/hyperlink" Target="https://s2.q4cdn.com/974527301/files/doc_financials/2019/q1/Q1-2019-Earnings-vFinal.pdf" TargetMode="External"/><Relationship Id="rId66" Type="http://schemas.openxmlformats.org/officeDocument/2006/relationships/hyperlink" Target="https://s2.q4cdn.com/974527301/files/doc_financials/2018/Q4/Q4-2018-Earnings-Presentation.pdf" TargetMode="External"/><Relationship Id="rId87" Type="http://schemas.openxmlformats.org/officeDocument/2006/relationships/hyperlink" Target="https://s2.q4cdn.com/974527301/files/doc_financials/2018/Q3/Q3-2018-Slides.pdf" TargetMode="External"/><Relationship Id="rId110" Type="http://schemas.openxmlformats.org/officeDocument/2006/relationships/hyperlink" Target="https://s2.q4cdn.com/974527301/files/doc_financials/2018/q1/Q1-2018-Earnings-Presentation.pdf" TargetMode="External"/><Relationship Id="rId115" Type="http://schemas.openxmlformats.org/officeDocument/2006/relationships/hyperlink" Target="https://s2.q4cdn.com/974527301/files/doc_financials/2018/q1/Q1-2018-Earnings-Presentation.pdf" TargetMode="External"/><Relationship Id="rId131" Type="http://schemas.openxmlformats.org/officeDocument/2006/relationships/hyperlink" Target="https://s2.q4cdn.com/974527301/files/doc_financials/2018/Q4/Q4-2018-Earnings-Presentation.pdf" TargetMode="External"/><Relationship Id="rId136" Type="http://schemas.openxmlformats.org/officeDocument/2006/relationships/hyperlink" Target="https://s24.q4cdn.com/834031268/files/doc_financials/2020/q3/Q3-2020-Earnings-Presentation-(1).pdf" TargetMode="External"/><Relationship Id="rId61" Type="http://schemas.openxmlformats.org/officeDocument/2006/relationships/hyperlink" Target="https://s2.q4cdn.com/974527301/files/doc_financials/2018/Q4/Q4-2018-Earnings-Presentation.pdf" TargetMode="External"/><Relationship Id="rId82" Type="http://schemas.openxmlformats.org/officeDocument/2006/relationships/hyperlink" Target="https://s2.q4cdn.com/974527301/files/doc_financials/2018/Q3/Q3-2018-Slides.pdf" TargetMode="External"/><Relationship Id="rId152" Type="http://schemas.openxmlformats.org/officeDocument/2006/relationships/hyperlink" Target="https://s24.q4cdn.com/834031268/files/doc_financials/2021/q1/Q1-2021-Earnings-Presentation.pdf" TargetMode="External"/><Relationship Id="rId19" Type="http://schemas.openxmlformats.org/officeDocument/2006/relationships/hyperlink" Target="https://s2.q4cdn.com/974527301/files/doc_financials/2019/q3/Q3-2019-Earnings-Presentation.pdf" TargetMode="External"/><Relationship Id="rId14" Type="http://schemas.openxmlformats.org/officeDocument/2006/relationships/hyperlink" Target="https://s2.q4cdn.com/974527301/files/doc_financials/2019/q3/Q3-2019-Earnings-Presentation.pdf" TargetMode="External"/><Relationship Id="rId30" Type="http://schemas.openxmlformats.org/officeDocument/2006/relationships/hyperlink" Target="https://s2.q4cdn.com/974527301/files/doc_downloads/2019/07/Q2-2019-Earnings-Presentation.pdf" TargetMode="External"/><Relationship Id="rId35" Type="http://schemas.openxmlformats.org/officeDocument/2006/relationships/hyperlink" Target="https://s2.q4cdn.com/974527301/files/doc_downloads/2019/07/Q2-2019-Earnings-Presentation.pdf" TargetMode="External"/><Relationship Id="rId56" Type="http://schemas.openxmlformats.org/officeDocument/2006/relationships/hyperlink" Target="https://s2.q4cdn.com/974527301/files/doc_financials/2018/Q4/Q4-2018-Earnings-Presentation.pdf" TargetMode="External"/><Relationship Id="rId77" Type="http://schemas.openxmlformats.org/officeDocument/2006/relationships/hyperlink" Target="https://s2.q4cdn.com/974527301/files/doc_financials/2018/Q3/Q3-2018-Slides.pdf" TargetMode="External"/><Relationship Id="rId100" Type="http://schemas.openxmlformats.org/officeDocument/2006/relationships/hyperlink" Target="https://s2.q4cdn.com/974527301/files/doc_financials/2018/Q2/Q2-2018-Earnings-Slides.pdf" TargetMode="External"/><Relationship Id="rId105" Type="http://schemas.openxmlformats.org/officeDocument/2006/relationships/hyperlink" Target="https://s2.q4cdn.com/974527301/files/doc_financials/2018/q1/Q1-2018-Earnings-Presentation.pdf" TargetMode="External"/><Relationship Id="rId126" Type="http://schemas.openxmlformats.org/officeDocument/2006/relationships/hyperlink" Target="https://s24.q4cdn.com/834031268/files/doc_financials/2019/q4/Q4-2019-Earnings-vFINAL.pdf" TargetMode="External"/><Relationship Id="rId147" Type="http://schemas.openxmlformats.org/officeDocument/2006/relationships/hyperlink" Target="https://s24.q4cdn.com/834031268/files/doc_financials/2019/q4/Q4-2019-Earnings-vFINAL.pdf" TargetMode="External"/><Relationship Id="rId8" Type="http://schemas.openxmlformats.org/officeDocument/2006/relationships/hyperlink" Target="https://s2.q4cdn.com/974527301/files/doc_financials/2019/q3/Q3-2019-Earnings-Presentation.pdf" TargetMode="External"/><Relationship Id="rId51" Type="http://schemas.openxmlformats.org/officeDocument/2006/relationships/hyperlink" Target="https://s2.q4cdn.com/974527301/files/doc_financials/2019/q1/Q1-2019-Earnings-vFinal.pdf" TargetMode="External"/><Relationship Id="rId72" Type="http://schemas.openxmlformats.org/officeDocument/2006/relationships/hyperlink" Target="https://s2.q4cdn.com/974527301/files/doc_financials/2019/q1/Q1-2019-Earnings-vFinal.pdf" TargetMode="External"/><Relationship Id="rId93" Type="http://schemas.openxmlformats.org/officeDocument/2006/relationships/hyperlink" Target="https://s2.q4cdn.com/974527301/files/doc_financials/2018/Q2/Q2-2018-Earnings-Slides.pdf" TargetMode="External"/><Relationship Id="rId98" Type="http://schemas.openxmlformats.org/officeDocument/2006/relationships/hyperlink" Target="https://s2.q4cdn.com/974527301/files/doc_financials/2018/Q2/Q2-2018-Earnings-Slides.pdf" TargetMode="External"/><Relationship Id="rId121" Type="http://schemas.openxmlformats.org/officeDocument/2006/relationships/hyperlink" Target="https://s24.q4cdn.com/834031268/files/doc_financials/2019/q4/Q4-2019-Earnings-vFINAL.pdf" TargetMode="External"/><Relationship Id="rId142" Type="http://schemas.openxmlformats.org/officeDocument/2006/relationships/hyperlink" Target="https://s24.q4cdn.com/834031268/files/doc_financials/2019/q4/Q4-2019-Earnings-vFINAL.pdf" TargetMode="External"/><Relationship Id="rId3" Type="http://schemas.openxmlformats.org/officeDocument/2006/relationships/hyperlink" Target="https://s2.q4cdn.com/974527301/files/doc_financials/2019/q1/Q1-2019-Earnings-vFinal.pdf" TargetMode="External"/><Relationship Id="rId25" Type="http://schemas.openxmlformats.org/officeDocument/2006/relationships/hyperlink" Target="https://s2.q4cdn.com/974527301/files/doc_downloads/2019/07/Q2-2019-Earnings-Presentation.pdf" TargetMode="External"/><Relationship Id="rId46" Type="http://schemas.openxmlformats.org/officeDocument/2006/relationships/hyperlink" Target="https://s2.q4cdn.com/974527301/files/doc_financials/2019/q1/Q1-2019-Earnings-vFinal.pdf" TargetMode="External"/><Relationship Id="rId67" Type="http://schemas.openxmlformats.org/officeDocument/2006/relationships/hyperlink" Target="https://s2.q4cdn.com/974527301/files/doc_financials/2018/Q4/Q4-2018-Earnings-Presentation.pdf" TargetMode="External"/><Relationship Id="rId116" Type="http://schemas.openxmlformats.org/officeDocument/2006/relationships/hyperlink" Target="https://s2.q4cdn.com/974527301/files/doc_financials/2018/q1/Q1-2018-Earnings-Presentation.pdf" TargetMode="External"/><Relationship Id="rId137" Type="http://schemas.openxmlformats.org/officeDocument/2006/relationships/hyperlink" Target="https://s24.q4cdn.com/834031268/files/doc_financials/2019/q4/Q4-2019-Earnings-vFINAL.pdf" TargetMode="External"/><Relationship Id="rId20" Type="http://schemas.openxmlformats.org/officeDocument/2006/relationships/hyperlink" Target="https://s2.q4cdn.com/974527301/files/doc_financials/2019/q3/Q3-2019-Earnings-Presentation.pdf" TargetMode="External"/><Relationship Id="rId41" Type="http://schemas.openxmlformats.org/officeDocument/2006/relationships/hyperlink" Target="https://s2.q4cdn.com/974527301/files/doc_financials/2019/q1/Q1-2019-Earnings-vFinal.pdf" TargetMode="External"/><Relationship Id="rId62" Type="http://schemas.openxmlformats.org/officeDocument/2006/relationships/hyperlink" Target="https://s2.q4cdn.com/974527301/files/doc_financials/2018/Q4/Q4-2018-Earnings-Presentation.pdf" TargetMode="External"/><Relationship Id="rId83" Type="http://schemas.openxmlformats.org/officeDocument/2006/relationships/hyperlink" Target="https://s2.q4cdn.com/974527301/files/doc_financials/2018/Q3/Q3-2018-Slides.pdf" TargetMode="External"/><Relationship Id="rId88" Type="http://schemas.openxmlformats.org/officeDocument/2006/relationships/hyperlink" Target="https://s2.q4cdn.com/974527301/files/doc_financials/2018/Q3/Q3-2018-Slides.pdf" TargetMode="External"/><Relationship Id="rId111" Type="http://schemas.openxmlformats.org/officeDocument/2006/relationships/hyperlink" Target="https://s2.q4cdn.com/974527301/files/doc_financials/2018/q1/Q1-2018-Earnings-Presentation.pdf" TargetMode="External"/><Relationship Id="rId132" Type="http://schemas.openxmlformats.org/officeDocument/2006/relationships/hyperlink" Target="https://s2.q4cdn.com/974527301/files/doc_financials/2018/Q4/Q4-2018-Earnings-Presentation.pdf" TargetMode="External"/><Relationship Id="rId153" Type="http://schemas.openxmlformats.org/officeDocument/2006/relationships/hyperlink" Target="https://s24.q4cdn.com/834031268/files/doc_financials/2021/q1/Q1-2021-Earnings-Presentation.pdf" TargetMode="External"/><Relationship Id="rId15" Type="http://schemas.openxmlformats.org/officeDocument/2006/relationships/hyperlink" Target="https://s2.q4cdn.com/974527301/files/doc_financials/2019/q3/Q3-2019-Earnings-Presentation.pdf" TargetMode="External"/><Relationship Id="rId36" Type="http://schemas.openxmlformats.org/officeDocument/2006/relationships/hyperlink" Target="https://s2.q4cdn.com/974527301/files/doc_downloads/2019/07/Q2-2019-Earnings-Presentation.pdf" TargetMode="External"/><Relationship Id="rId57" Type="http://schemas.openxmlformats.org/officeDocument/2006/relationships/hyperlink" Target="https://s2.q4cdn.com/974527301/files/doc_financials/2018/Q4/Q4-2018-Earnings-Presentation.pdf" TargetMode="External"/><Relationship Id="rId106" Type="http://schemas.openxmlformats.org/officeDocument/2006/relationships/hyperlink" Target="https://s2.q4cdn.com/974527301/files/doc_financials/2018/q1/Q1-2018-Earnings-Presentation.pdf" TargetMode="External"/><Relationship Id="rId127" Type="http://schemas.openxmlformats.org/officeDocument/2006/relationships/hyperlink" Target="https://s24.q4cdn.com/834031268/files/doc_financials/2019/q4/Q4-2019-Earnings-vFINAL.pdf" TargetMode="External"/><Relationship Id="rId10" Type="http://schemas.openxmlformats.org/officeDocument/2006/relationships/hyperlink" Target="https://s2.q4cdn.com/974527301/files/doc_financials/2019/q3/Q3-2019-Earnings-Presentation.pdf" TargetMode="External"/><Relationship Id="rId31" Type="http://schemas.openxmlformats.org/officeDocument/2006/relationships/hyperlink" Target="https://s2.q4cdn.com/974527301/files/doc_downloads/2019/07/Q2-2019-Earnings-Presentation.pdf" TargetMode="External"/><Relationship Id="rId52" Type="http://schemas.openxmlformats.org/officeDocument/2006/relationships/hyperlink" Target="https://s2.q4cdn.com/974527301/files/doc_financials/2018/Q4/Q4-2018-Earnings-Presentation.pdf" TargetMode="External"/><Relationship Id="rId73" Type="http://schemas.openxmlformats.org/officeDocument/2006/relationships/hyperlink" Target="https://s2.q4cdn.com/974527301/files/doc_financials/2018/Q4/Q4-2018-Earnings-Presentation.pdf" TargetMode="External"/><Relationship Id="rId78" Type="http://schemas.openxmlformats.org/officeDocument/2006/relationships/hyperlink" Target="https://s2.q4cdn.com/974527301/files/doc_financials/2018/Q3/Q3-2018-Slides.pdf" TargetMode="External"/><Relationship Id="rId94" Type="http://schemas.openxmlformats.org/officeDocument/2006/relationships/hyperlink" Target="https://s2.q4cdn.com/974527301/files/doc_financials/2018/Q2/Q2-2018-Earnings-Slides.pdf" TargetMode="External"/><Relationship Id="rId99" Type="http://schemas.openxmlformats.org/officeDocument/2006/relationships/hyperlink" Target="https://s2.q4cdn.com/974527301/files/doc_financials/2018/Q2/Q2-2018-Earnings-Slides.pdf" TargetMode="External"/><Relationship Id="rId101" Type="http://schemas.openxmlformats.org/officeDocument/2006/relationships/hyperlink" Target="https://s2.q4cdn.com/974527301/files/doc_financials/2018/Q2/Q2-2018-Earnings-Slides.pdf" TargetMode="External"/><Relationship Id="rId122" Type="http://schemas.openxmlformats.org/officeDocument/2006/relationships/hyperlink" Target="https://s24.q4cdn.com/834031268/files/doc_financials/2019/q4/Q4-2019-Earnings-vFINAL.pdf" TargetMode="External"/><Relationship Id="rId143" Type="http://schemas.openxmlformats.org/officeDocument/2006/relationships/hyperlink" Target="https://s24.q4cdn.com/834031268/files/doc_financials/2019/q4/Q4-2019-Earnings-vFINAL.pdf" TargetMode="External"/><Relationship Id="rId148" Type="http://schemas.openxmlformats.org/officeDocument/2006/relationships/hyperlink" Target="https://s24.q4cdn.com/834031268/files/doc_financials/2019/q4/Q4-2019-Earnings-vFINAL.pdf" TargetMode="External"/><Relationship Id="rId4" Type="http://schemas.openxmlformats.org/officeDocument/2006/relationships/hyperlink" Target="https://s2.q4cdn.com/974527301/files/doc_financials/2019/q1/Q1-2019-Earnings-vFinal.pdf" TargetMode="External"/><Relationship Id="rId9" Type="http://schemas.openxmlformats.org/officeDocument/2006/relationships/hyperlink" Target="https://s2.q4cdn.com/974527301/files/doc_financials/2019/q3/Q3-2019-Earnings-Presentation.pdf" TargetMode="External"/><Relationship Id="rId26" Type="http://schemas.openxmlformats.org/officeDocument/2006/relationships/hyperlink" Target="https://s2.q4cdn.com/974527301/files/doc_downloads/2019/07/Q2-2019-Earnings-Presentation.pdf" TargetMode="External"/><Relationship Id="rId47" Type="http://schemas.openxmlformats.org/officeDocument/2006/relationships/hyperlink" Target="https://s2.q4cdn.com/974527301/files/doc_financials/2019/q1/Q1-2019-Earnings-vFinal.pdf" TargetMode="External"/><Relationship Id="rId68" Type="http://schemas.openxmlformats.org/officeDocument/2006/relationships/hyperlink" Target="https://s2.q4cdn.com/974527301/files/doc_financials/2018/Q4/Q4-2018-Earnings-Presentation.pdf" TargetMode="External"/><Relationship Id="rId89" Type="http://schemas.openxmlformats.org/officeDocument/2006/relationships/hyperlink" Target="https://s2.q4cdn.com/974527301/files/doc_financials/2018/Q2/Q2-2018-Earnings-Slides.pdf" TargetMode="External"/><Relationship Id="rId112" Type="http://schemas.openxmlformats.org/officeDocument/2006/relationships/hyperlink" Target="https://s2.q4cdn.com/974527301/files/doc_financials/2018/q1/Q1-2018-Earnings-Presentation.pdf" TargetMode="External"/><Relationship Id="rId133" Type="http://schemas.openxmlformats.org/officeDocument/2006/relationships/hyperlink" Target="https://s2.q4cdn.com/974527301/files/doc_financials/2018/Q4/Q4-2018-Earnings-Presentation.pdf" TargetMode="External"/><Relationship Id="rId154" Type="http://schemas.openxmlformats.org/officeDocument/2006/relationships/hyperlink" Target="https://s24.q4cdn.com/834031268/files/doc_financials/2021/q1/Q1-2021-Earnings-Presentation.pdf" TargetMode="External"/><Relationship Id="rId16" Type="http://schemas.openxmlformats.org/officeDocument/2006/relationships/hyperlink" Target="https://s2.q4cdn.com/974527301/files/doc_financials/2019/q3/Q3-2019-Earnings-Presentation.pdf" TargetMode="External"/><Relationship Id="rId37" Type="http://schemas.openxmlformats.org/officeDocument/2006/relationships/hyperlink" Target="https://s2.q4cdn.com/974527301/files/doc_downloads/2019/07/Q2-2019-Earnings-Presentation.pdf" TargetMode="External"/><Relationship Id="rId58" Type="http://schemas.openxmlformats.org/officeDocument/2006/relationships/hyperlink" Target="https://s2.q4cdn.com/974527301/files/doc_financials/2018/Q4/Q4-2018-Earnings-Presentation.pdf" TargetMode="External"/><Relationship Id="rId79" Type="http://schemas.openxmlformats.org/officeDocument/2006/relationships/hyperlink" Target="https://s2.q4cdn.com/974527301/files/doc_financials/2018/Q3/Q3-2018-Slides.pdf" TargetMode="External"/><Relationship Id="rId102" Type="http://schemas.openxmlformats.org/officeDocument/2006/relationships/hyperlink" Target="https://s2.q4cdn.com/974527301/files/doc_financials/2018/Q2/Q2-2018-Earnings-Slides.pdf" TargetMode="External"/><Relationship Id="rId123" Type="http://schemas.openxmlformats.org/officeDocument/2006/relationships/hyperlink" Target="https://s24.q4cdn.com/834031268/files/doc_financials/2019/q4/Q4-2019-Earnings-vFINAL.pdf" TargetMode="External"/><Relationship Id="rId144" Type="http://schemas.openxmlformats.org/officeDocument/2006/relationships/hyperlink" Target="https://s24.q4cdn.com/834031268/files/doc_financials/2019/q4/Q4-2019-Earnings-vFINAL.pdf" TargetMode="External"/><Relationship Id="rId90" Type="http://schemas.openxmlformats.org/officeDocument/2006/relationships/hyperlink" Target="https://s2.q4cdn.com/974527301/files/doc_financials/2018/Q2/Q2-2018-Earnings-Slides.pdf"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8" Type="http://schemas.openxmlformats.org/officeDocument/2006/relationships/hyperlink" Target="http://s2.q4cdn.com/974527301/files/doc_financials/2017/Q3/Q3-2017-3M-Press-Release_Final.pdf" TargetMode="External"/><Relationship Id="rId13" Type="http://schemas.openxmlformats.org/officeDocument/2006/relationships/hyperlink" Target="https://s2.q4cdn.com/974527301/files/doc_financials/2019/q1/Q1-2019-Earnings-Press-Release.pdf" TargetMode="External"/><Relationship Id="rId18" Type="http://schemas.openxmlformats.org/officeDocument/2006/relationships/hyperlink" Target="https://s24.q4cdn.com/834031268/files/doc_financials/2019/q4/Q4-2019-Earnings-Press-Release-vFINAL.pdf" TargetMode="External"/><Relationship Id="rId26" Type="http://schemas.openxmlformats.org/officeDocument/2006/relationships/hyperlink" Target="https://s24.q4cdn.com/834031268/files/doc_financials/2020/q4/Q4-2020-Earnings-Press-Release.pdf" TargetMode="External"/><Relationship Id="rId3" Type="http://schemas.openxmlformats.org/officeDocument/2006/relationships/hyperlink" Target="http://s2.q4cdn.com/974527301/files/doc_financials/2018/Q3/Q3-2018-Press-Release.pdf" TargetMode="External"/><Relationship Id="rId21" Type="http://schemas.openxmlformats.org/officeDocument/2006/relationships/hyperlink" Target="https://s24.q4cdn.com/834031268/files/doc_financials/2020/q1/Q1-2020-Earnings-Press-Release.pdf" TargetMode="External"/><Relationship Id="rId7" Type="http://schemas.openxmlformats.org/officeDocument/2006/relationships/hyperlink" Target="http://s2.q4cdn.com/974527301/files/doc_financials/2018/Q4-2017-Earnings-Press-Release.pdf" TargetMode="External"/><Relationship Id="rId12" Type="http://schemas.openxmlformats.org/officeDocument/2006/relationships/hyperlink" Target="http://s2.q4cdn.com/974527301/files/doc_financials/2016/Q3/Q3-2016-3M-Earnings-Press-Release.pdf" TargetMode="External"/><Relationship Id="rId17" Type="http://schemas.openxmlformats.org/officeDocument/2006/relationships/hyperlink" Target="https://s2.q4cdn.com/974527301/files/doc_financials/2019/q3/Q3-2019-Earnings-Press-Release.pdf" TargetMode="External"/><Relationship Id="rId25" Type="http://schemas.openxmlformats.org/officeDocument/2006/relationships/hyperlink" Target="https://s24.q4cdn.com/834031268/files/doc_financials/2020/q3/Q3-2020-Earnings-Press-Release.pdf" TargetMode="External"/><Relationship Id="rId2" Type="http://schemas.openxmlformats.org/officeDocument/2006/relationships/hyperlink" Target="https://s2.q4cdn.com/974527301/files/doc_financials/2018/Q4/Q4-2018-Earnings-Press-Release.pdf" TargetMode="External"/><Relationship Id="rId16" Type="http://schemas.openxmlformats.org/officeDocument/2006/relationships/hyperlink" Target="https://investors.3m.com/news/press-release-details/2019/3M-Reports-Third-Quarter-2019-Results/default.aspx" TargetMode="External"/><Relationship Id="rId20" Type="http://schemas.openxmlformats.org/officeDocument/2006/relationships/hyperlink" Target="https://s24.q4cdn.com/834031268/files/doc_financials/2020/q1/Q1-2020-Earnings-Press-Release.pdf" TargetMode="External"/><Relationship Id="rId29" Type="http://schemas.openxmlformats.org/officeDocument/2006/relationships/hyperlink" Target="https://s24.q4cdn.com/834031268/files/doc_financials/2021/q1/Q1-2021-Earnings-Press-Release.pdf" TargetMode="External"/><Relationship Id="rId1" Type="http://schemas.openxmlformats.org/officeDocument/2006/relationships/hyperlink" Target="https://s2.q4cdn.com/974527301/files/doc_financials/2018/Q4/Q4-2018-Earnings-Press-Release.pdf" TargetMode="External"/><Relationship Id="rId6" Type="http://schemas.openxmlformats.org/officeDocument/2006/relationships/hyperlink" Target="http://investors.3m.com/news/press-release-details/2018/3M-Reports-First-Quarter-2018-Results/default.aspx" TargetMode="External"/><Relationship Id="rId11" Type="http://schemas.openxmlformats.org/officeDocument/2006/relationships/hyperlink" Target="http://s2.q4cdn.com/974527301/files/doc_financials/2016/Q4/Q4-2016-3M-Earnings-Press-Release.pdf" TargetMode="External"/><Relationship Id="rId24" Type="http://schemas.openxmlformats.org/officeDocument/2006/relationships/hyperlink" Target="https://s24.q4cdn.com/834031268/files/doc_financials/2020/q3/Q3-2020-Earnings-Press-Release.pdf" TargetMode="External"/><Relationship Id="rId5" Type="http://schemas.openxmlformats.org/officeDocument/2006/relationships/hyperlink" Target="http://investors.3m.com/news/press-release-details/2018/3M-Reports-Second-Quarter-2018-Results/default.aspx" TargetMode="External"/><Relationship Id="rId15" Type="http://schemas.openxmlformats.org/officeDocument/2006/relationships/hyperlink" Target="https://investors.3m.com/news/press-release-details/2019/3M-Reports-Second-Quarter-2019-Results/default.aspx" TargetMode="External"/><Relationship Id="rId23" Type="http://schemas.openxmlformats.org/officeDocument/2006/relationships/hyperlink" Target="https://s24.q4cdn.com/834031268/files/doc_financials/2020/q2/Q2-2020-Earnings-Press-Release.pdf" TargetMode="External"/><Relationship Id="rId28" Type="http://schemas.openxmlformats.org/officeDocument/2006/relationships/hyperlink" Target="https://s24.q4cdn.com/834031268/files/doc_financials/2021/q1/Q1-2021-Earnings-Press-Release.pdf" TargetMode="External"/><Relationship Id="rId10" Type="http://schemas.openxmlformats.org/officeDocument/2006/relationships/hyperlink" Target="http://investors.3m.com/news/press-release-details/2017/3M-Delivers-First-Quarter-Sales-of-77-Billion-and-Earnings-of-216-per-ShareCompany-Raises-Its-Full-Year-2017-Outlook/default.aspx" TargetMode="External"/><Relationship Id="rId19" Type="http://schemas.openxmlformats.org/officeDocument/2006/relationships/hyperlink" Target="https://s24.q4cdn.com/834031268/files/doc_financials/2019/q4/Q4-2019-Earnings-Press-Release-vFINAL.pdf" TargetMode="External"/><Relationship Id="rId4" Type="http://schemas.openxmlformats.org/officeDocument/2006/relationships/hyperlink" Target="http://s2.q4cdn.com/974527301/files/doc_financials/2018/Q3/Q3-2018-Press-Release.pdf" TargetMode="External"/><Relationship Id="rId9" Type="http://schemas.openxmlformats.org/officeDocument/2006/relationships/hyperlink" Target="http://investors.3m.com/news/press-release-details/2017/3M-Delivers-Second-Quarter-Sales-of-78-Billion-and-Earnings-of-258-per-Share-Company-Updates-Its-2017-Outlook/default.aspx" TargetMode="External"/><Relationship Id="rId14" Type="http://schemas.openxmlformats.org/officeDocument/2006/relationships/hyperlink" Target="https://s2.q4cdn.com/974527301/files/doc_financials/2019/q1/Q1-2019-Earnings-Press-Release.pdf" TargetMode="External"/><Relationship Id="rId22" Type="http://schemas.openxmlformats.org/officeDocument/2006/relationships/hyperlink" Target="https://investors.3m.com/news/news-details/2020/3M-Reports-Second-Quarter-2020-Results/default.aspx" TargetMode="External"/><Relationship Id="rId27" Type="http://schemas.openxmlformats.org/officeDocument/2006/relationships/hyperlink" Target="https://s24.q4cdn.com/834031268/files/doc_financials/2020/q4/Q4-2020-Earnings-Press-Release.pdf" TargetMode="External"/><Relationship Id="rId30"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B2:X57"/>
  <sheetViews>
    <sheetView showGridLines="0" zoomScaleSheetLayoutView="100" zoomScalePageLayoutView="97" workbookViewId="0"/>
  </sheetViews>
  <sheetFormatPr defaultColWidth="8.81640625" defaultRowHeight="14.5" x14ac:dyDescent="0.35"/>
  <cols>
    <col min="1" max="1" width="5.7265625" style="25" customWidth="1"/>
    <col min="2" max="2" width="7.81640625" style="25" customWidth="1"/>
    <col min="3" max="3" width="10.26953125" style="25" customWidth="1"/>
    <col min="4" max="4" width="13.7265625" style="25" customWidth="1"/>
    <col min="5" max="5" width="5.453125" style="25" customWidth="1"/>
    <col min="6" max="6" width="13.7265625" style="25" customWidth="1"/>
    <col min="7" max="7" width="6.81640625" style="25" customWidth="1"/>
    <col min="8" max="8" width="31.7265625" style="25" customWidth="1"/>
    <col min="9" max="15" width="8.81640625" style="25" customWidth="1"/>
    <col min="16" max="16" width="47.81640625" style="25" customWidth="1"/>
    <col min="17" max="19" width="8.81640625" style="25" customWidth="1"/>
    <col min="20" max="16384" width="8.81640625" style="25"/>
  </cols>
  <sheetData>
    <row r="2" spans="2:24" x14ac:dyDescent="0.35">
      <c r="B2" s="24"/>
      <c r="C2" s="24"/>
      <c r="D2" s="24"/>
      <c r="E2" s="24"/>
      <c r="F2" s="24"/>
      <c r="G2" s="24"/>
      <c r="H2" s="24"/>
      <c r="I2" s="24"/>
      <c r="J2" s="24"/>
      <c r="K2" s="24"/>
      <c r="L2" s="24"/>
      <c r="M2" s="24"/>
      <c r="N2" s="24"/>
      <c r="O2" s="24"/>
      <c r="P2" s="24"/>
      <c r="Q2" s="24"/>
      <c r="R2" s="26"/>
      <c r="S2" s="26"/>
      <c r="T2" s="26"/>
      <c r="U2" s="26"/>
      <c r="V2" s="26"/>
      <c r="W2" s="26"/>
      <c r="X2" s="26"/>
    </row>
    <row r="3" spans="2:24" x14ac:dyDescent="0.35">
      <c r="B3" s="24"/>
      <c r="C3" s="24"/>
      <c r="D3" s="24"/>
      <c r="E3" s="24"/>
      <c r="F3" s="24"/>
      <c r="G3" s="24"/>
      <c r="H3" s="24"/>
      <c r="I3" s="24"/>
      <c r="J3" s="24"/>
      <c r="K3" s="24"/>
      <c r="L3" s="24"/>
      <c r="M3" s="24"/>
      <c r="N3" s="24"/>
      <c r="O3" s="24"/>
      <c r="P3" s="24"/>
      <c r="Q3" s="24"/>
      <c r="R3" s="26"/>
      <c r="S3" s="26"/>
      <c r="T3" s="26"/>
      <c r="U3" s="26"/>
      <c r="V3" s="26"/>
      <c r="W3" s="26"/>
      <c r="X3" s="26"/>
    </row>
    <row r="4" spans="2:24" x14ac:dyDescent="0.35">
      <c r="B4" s="24"/>
      <c r="C4" s="24"/>
      <c r="D4" s="24"/>
      <c r="E4" s="24"/>
      <c r="F4" s="24"/>
      <c r="G4" s="24"/>
      <c r="H4" s="24"/>
      <c r="I4" s="24"/>
      <c r="J4" s="24"/>
      <c r="K4" s="24"/>
      <c r="L4" s="24"/>
      <c r="M4" s="24"/>
      <c r="N4" s="24"/>
      <c r="O4" s="24"/>
      <c r="P4" s="24"/>
      <c r="Q4" s="24"/>
      <c r="R4" s="26"/>
      <c r="S4" s="26"/>
      <c r="T4" s="26"/>
      <c r="U4" s="26"/>
      <c r="V4" s="26"/>
      <c r="W4" s="26"/>
      <c r="X4" s="26"/>
    </row>
    <row r="5" spans="2:24" x14ac:dyDescent="0.35">
      <c r="B5" s="24"/>
      <c r="C5" s="24"/>
      <c r="D5" s="24"/>
      <c r="E5" s="24"/>
      <c r="F5" s="24"/>
      <c r="G5" s="24"/>
      <c r="H5" s="24"/>
      <c r="I5" s="24"/>
      <c r="J5" s="24"/>
      <c r="K5" s="24"/>
      <c r="L5" s="24"/>
      <c r="M5" s="24"/>
      <c r="N5" s="24"/>
      <c r="O5" s="24"/>
      <c r="P5" s="24"/>
      <c r="Q5" s="24"/>
      <c r="R5" s="26"/>
      <c r="S5" s="26"/>
      <c r="T5" s="26"/>
      <c r="U5" s="26"/>
      <c r="V5" s="26"/>
      <c r="W5" s="26"/>
      <c r="X5" s="26"/>
    </row>
    <row r="6" spans="2:24" ht="18.5" x14ac:dyDescent="0.35">
      <c r="B6" s="24"/>
      <c r="C6" s="24"/>
      <c r="D6" s="24"/>
      <c r="E6" s="24"/>
      <c r="F6" s="24"/>
      <c r="G6" s="24"/>
      <c r="H6" s="24"/>
      <c r="I6" s="24"/>
      <c r="J6" s="24"/>
      <c r="K6" s="24"/>
      <c r="L6" s="24"/>
      <c r="M6" s="43" t="s">
        <v>0</v>
      </c>
      <c r="N6" s="24"/>
      <c r="O6" s="24"/>
      <c r="P6" s="24"/>
      <c r="Q6" s="24"/>
      <c r="R6" s="26"/>
      <c r="S6" s="26"/>
      <c r="T6" s="26"/>
      <c r="U6" s="26"/>
      <c r="V6" s="26"/>
      <c r="W6" s="26"/>
      <c r="X6" s="26"/>
    </row>
    <row r="7" spans="2:24" ht="18.5" x14ac:dyDescent="0.45">
      <c r="B7" s="24"/>
      <c r="C7" s="24"/>
      <c r="D7" s="24"/>
      <c r="E7" s="24"/>
      <c r="F7" s="24"/>
      <c r="G7" s="24"/>
      <c r="H7" s="24"/>
      <c r="I7" s="24"/>
      <c r="J7" s="24"/>
      <c r="K7" s="24"/>
      <c r="L7" s="24"/>
      <c r="M7" s="1" t="s">
        <v>1</v>
      </c>
      <c r="N7" s="1"/>
      <c r="O7" s="1"/>
      <c r="P7" s="24"/>
      <c r="Q7" s="24"/>
      <c r="R7" s="26"/>
      <c r="S7" s="26"/>
      <c r="T7" s="26"/>
      <c r="U7" s="26"/>
      <c r="V7" s="26"/>
      <c r="W7" s="26"/>
      <c r="X7" s="26"/>
    </row>
    <row r="8" spans="2:24" ht="28.5" x14ac:dyDescent="0.65">
      <c r="B8" s="24"/>
      <c r="C8" s="24"/>
      <c r="D8" s="24"/>
      <c r="E8" s="24"/>
      <c r="F8" s="12"/>
      <c r="G8" s="12"/>
      <c r="H8" s="12"/>
      <c r="I8" s="12"/>
      <c r="J8" s="12"/>
      <c r="K8" s="12"/>
      <c r="L8" s="24"/>
      <c r="M8" s="24"/>
      <c r="N8" s="24"/>
      <c r="O8" s="24"/>
      <c r="P8" s="24"/>
      <c r="Q8" s="24"/>
      <c r="R8" s="26"/>
      <c r="S8" s="26"/>
      <c r="T8" s="26"/>
      <c r="U8" s="26"/>
      <c r="V8" s="26"/>
      <c r="W8" s="26"/>
      <c r="X8" s="26"/>
    </row>
    <row r="9" spans="2:24" ht="18.5" x14ac:dyDescent="0.35">
      <c r="B9" s="24"/>
      <c r="C9" s="33" t="s">
        <v>2</v>
      </c>
      <c r="D9" s="32"/>
      <c r="E9" s="32"/>
      <c r="F9" s="32"/>
      <c r="G9" s="32"/>
      <c r="H9" s="62" t="str">
        <f>Model!A1</f>
        <v>3M Company</v>
      </c>
      <c r="I9" s="32"/>
      <c r="J9" s="32"/>
      <c r="K9" s="32"/>
      <c r="L9" s="32"/>
      <c r="M9" s="33" t="s">
        <v>3</v>
      </c>
      <c r="N9" s="32"/>
      <c r="O9" s="32"/>
      <c r="P9" s="11" t="s">
        <v>1073</v>
      </c>
      <c r="Q9" s="24"/>
      <c r="R9" s="26"/>
      <c r="S9" s="26"/>
      <c r="T9" s="26"/>
      <c r="U9" s="26"/>
      <c r="V9" s="26"/>
      <c r="W9" s="26"/>
      <c r="X9" s="26"/>
    </row>
    <row r="10" spans="2:24" ht="18.5" x14ac:dyDescent="0.45">
      <c r="B10" s="24"/>
      <c r="C10" s="30"/>
      <c r="D10" s="24"/>
      <c r="E10" s="24"/>
      <c r="F10" s="24"/>
      <c r="G10" s="24"/>
      <c r="H10" s="24"/>
      <c r="I10" s="24"/>
      <c r="J10" s="24"/>
      <c r="K10" s="24"/>
      <c r="L10" s="24"/>
      <c r="M10" s="24"/>
      <c r="N10" s="24"/>
      <c r="O10" s="24"/>
      <c r="P10" s="11"/>
      <c r="Q10" s="24"/>
      <c r="R10" s="26"/>
      <c r="S10" s="26"/>
      <c r="T10" s="26"/>
      <c r="U10" s="26"/>
      <c r="V10" s="26"/>
      <c r="W10" s="26"/>
      <c r="X10" s="26"/>
    </row>
    <row r="11" spans="2:24" ht="18.5" x14ac:dyDescent="0.35">
      <c r="B11" s="24"/>
      <c r="C11" s="33" t="s">
        <v>4</v>
      </c>
      <c r="D11" s="24"/>
      <c r="E11" s="24"/>
      <c r="F11" s="24"/>
      <c r="G11" s="24"/>
      <c r="H11" s="34">
        <f ca="1">OFFSET('Update Log'!$C$10,1,0,1,1)</f>
        <v>44313</v>
      </c>
      <c r="I11" s="24"/>
      <c r="J11" s="24"/>
      <c r="K11" s="24"/>
      <c r="L11" s="24"/>
      <c r="M11" s="24"/>
      <c r="N11" s="24"/>
      <c r="O11" s="24"/>
      <c r="P11" s="11"/>
      <c r="Q11" s="24"/>
      <c r="R11" s="26"/>
      <c r="S11" s="26"/>
      <c r="T11" s="26"/>
      <c r="U11" s="26"/>
      <c r="V11" s="26"/>
      <c r="W11" s="26"/>
      <c r="X11" s="26"/>
    </row>
    <row r="12" spans="2:24" ht="18.5" x14ac:dyDescent="0.45">
      <c r="B12" s="24"/>
      <c r="C12" s="24"/>
      <c r="D12" s="24"/>
      <c r="E12" s="24"/>
      <c r="F12" s="24"/>
      <c r="G12" s="24"/>
      <c r="H12" s="35"/>
      <c r="I12" s="24"/>
      <c r="J12" s="24"/>
      <c r="K12" s="24"/>
      <c r="L12" s="24"/>
      <c r="M12" s="24"/>
      <c r="N12" s="24"/>
      <c r="O12" s="24"/>
      <c r="P12" s="11"/>
      <c r="Q12" s="24"/>
      <c r="R12" s="26"/>
      <c r="S12" s="26"/>
      <c r="T12" s="26"/>
      <c r="U12" s="26"/>
      <c r="V12" s="26"/>
      <c r="W12" s="26"/>
      <c r="X12" s="26"/>
    </row>
    <row r="13" spans="2:24" ht="18.5" x14ac:dyDescent="0.35">
      <c r="B13" s="24"/>
      <c r="C13" s="33" t="s">
        <v>5</v>
      </c>
      <c r="D13" s="24"/>
      <c r="E13" s="24"/>
      <c r="F13" s="24"/>
      <c r="G13" s="24"/>
      <c r="H13" s="63" t="str">
        <f ca="1">OFFSET('Update Log'!$E$10,1,0,1,1)</f>
        <v>Quarterly (Earnings Report)</v>
      </c>
      <c r="I13" s="24"/>
      <c r="J13" s="24"/>
      <c r="K13" s="24"/>
      <c r="L13" s="24"/>
      <c r="M13" s="24"/>
      <c r="N13" s="24"/>
      <c r="O13" s="24"/>
      <c r="P13" s="11"/>
      <c r="Q13" s="24"/>
      <c r="R13" s="26"/>
      <c r="S13" s="26"/>
      <c r="T13" s="26"/>
      <c r="U13" s="26"/>
      <c r="V13" s="26"/>
      <c r="W13" s="26"/>
      <c r="X13" s="26"/>
    </row>
    <row r="14" spans="2:24" x14ac:dyDescent="0.35">
      <c r="B14" s="24"/>
      <c r="C14" s="24"/>
      <c r="D14" s="24"/>
      <c r="E14" s="24"/>
      <c r="F14" s="24"/>
      <c r="G14" s="24"/>
      <c r="H14" s="24"/>
      <c r="I14" s="24"/>
      <c r="J14" s="24"/>
      <c r="K14" s="24"/>
      <c r="L14" s="24"/>
      <c r="M14" s="24"/>
      <c r="N14" s="24"/>
      <c r="O14" s="24"/>
      <c r="P14" s="11"/>
      <c r="Q14" s="24"/>
      <c r="R14" s="26"/>
      <c r="S14" s="26"/>
      <c r="T14" s="26"/>
      <c r="U14" s="26"/>
      <c r="V14" s="26"/>
      <c r="W14" s="26"/>
      <c r="X14" s="26"/>
    </row>
    <row r="15" spans="2:24" ht="18.75" customHeight="1" x14ac:dyDescent="0.35">
      <c r="B15" s="24"/>
      <c r="C15" s="33" t="s">
        <v>6</v>
      </c>
      <c r="D15" s="32"/>
      <c r="E15" s="32"/>
      <c r="F15" s="32"/>
      <c r="G15" s="32"/>
      <c r="H15" s="31" t="s">
        <v>7</v>
      </c>
      <c r="I15" s="24"/>
      <c r="J15" s="28"/>
      <c r="K15" s="24"/>
      <c r="L15" s="24"/>
      <c r="M15" s="27"/>
      <c r="N15" s="24"/>
      <c r="O15" s="24"/>
      <c r="P15" s="11"/>
      <c r="Q15" s="24"/>
      <c r="R15" s="26"/>
      <c r="S15" s="26"/>
      <c r="T15" s="26"/>
      <c r="U15" s="26"/>
      <c r="V15" s="26"/>
      <c r="W15" s="26"/>
      <c r="X15" s="26"/>
    </row>
    <row r="16" spans="2:24" ht="15" customHeight="1" x14ac:dyDescent="0.35">
      <c r="B16" s="24"/>
      <c r="C16" s="64"/>
      <c r="D16" s="27"/>
      <c r="E16" s="27"/>
      <c r="F16" s="27"/>
      <c r="G16" s="27"/>
      <c r="H16" s="159">
        <f>IF(FP.DataSourceName="Bloomberg",1,IF(FP.DataSourceName="Capital IQ",2,IF(FP.DataSourceName="FactSet",3,IF(FP.DataSourceName="Refinitiv",4))))</f>
        <v>1</v>
      </c>
      <c r="I16" s="29"/>
      <c r="J16" s="28"/>
      <c r="K16" s="24"/>
      <c r="L16" s="24"/>
      <c r="M16" s="27"/>
      <c r="N16" s="24"/>
      <c r="O16" s="24"/>
      <c r="P16" s="11"/>
      <c r="Q16" s="24"/>
      <c r="R16" s="26"/>
      <c r="S16" s="26"/>
      <c r="T16" s="26"/>
      <c r="U16" s="26"/>
      <c r="V16" s="26"/>
      <c r="X16" s="26"/>
    </row>
    <row r="17" spans="2:24" s="137" customFormat="1" ht="18.5" x14ac:dyDescent="0.45">
      <c r="B17" s="27"/>
      <c r="C17" s="30"/>
      <c r="D17" s="27"/>
      <c r="E17" s="27"/>
      <c r="F17" s="27"/>
      <c r="G17" s="27"/>
      <c r="H17" s="27"/>
      <c r="I17" s="29"/>
      <c r="J17" s="28"/>
      <c r="K17" s="24"/>
      <c r="L17" s="24"/>
      <c r="M17" s="24"/>
      <c r="N17" s="27"/>
      <c r="O17" s="27"/>
      <c r="P17" s="135"/>
      <c r="Q17" s="27"/>
      <c r="R17" s="136"/>
      <c r="S17" s="136"/>
      <c r="T17" s="136"/>
      <c r="U17" s="136"/>
      <c r="V17" s="136"/>
      <c r="W17" s="26"/>
      <c r="X17" s="136"/>
    </row>
    <row r="18" spans="2:24" s="137" customFormat="1" ht="18.75" customHeight="1" x14ac:dyDescent="0.35">
      <c r="B18" s="27"/>
      <c r="C18" s="33" t="s">
        <v>8</v>
      </c>
      <c r="D18" s="32"/>
      <c r="E18" s="32"/>
      <c r="F18" s="32"/>
      <c r="G18" s="32"/>
      <c r="H18" s="31" t="s">
        <v>1074</v>
      </c>
      <c r="I18" s="65"/>
      <c r="J18" s="65"/>
      <c r="K18" s="24"/>
      <c r="L18" s="24"/>
      <c r="M18" s="24"/>
      <c r="N18" s="27"/>
      <c r="O18" s="27"/>
      <c r="P18" s="135"/>
      <c r="Q18" s="27"/>
      <c r="R18" s="136"/>
      <c r="S18" s="136"/>
      <c r="T18" s="136"/>
      <c r="U18" s="136"/>
      <c r="V18" s="136"/>
      <c r="W18" s="26"/>
      <c r="X18" s="136"/>
    </row>
    <row r="19" spans="2:24" s="137" customFormat="1" x14ac:dyDescent="0.35">
      <c r="B19" s="27"/>
      <c r="C19" s="64"/>
      <c r="D19" s="27"/>
      <c r="E19" s="27"/>
      <c r="F19" s="27"/>
      <c r="G19" s="27"/>
      <c r="H19" s="27"/>
      <c r="I19" s="29"/>
      <c r="J19" s="28"/>
      <c r="K19" s="24"/>
      <c r="L19" s="24"/>
      <c r="M19" s="24"/>
      <c r="N19" s="27"/>
      <c r="O19" s="27"/>
      <c r="P19" s="135"/>
      <c r="Q19" s="27"/>
      <c r="R19" s="136"/>
      <c r="S19" s="136"/>
      <c r="T19" s="136"/>
      <c r="U19" s="136"/>
      <c r="V19" s="136"/>
      <c r="W19" s="26"/>
      <c r="X19" s="136"/>
    </row>
    <row r="20" spans="2:24" s="137" customFormat="1" ht="18.75" customHeight="1" x14ac:dyDescent="0.45">
      <c r="B20" s="27"/>
      <c r="C20" s="66" t="s">
        <v>9</v>
      </c>
      <c r="D20" s="27"/>
      <c r="E20" s="27"/>
      <c r="F20" s="248">
        <v>44314</v>
      </c>
      <c r="G20" s="27"/>
      <c r="H20" s="580">
        <v>195.93</v>
      </c>
      <c r="I20" s="29"/>
      <c r="J20" s="28"/>
      <c r="K20" s="24"/>
      <c r="L20" s="24"/>
      <c r="M20" s="24"/>
      <c r="N20" s="27"/>
      <c r="O20" s="27"/>
      <c r="P20" s="135"/>
      <c r="Q20" s="27"/>
      <c r="R20" s="136"/>
      <c r="S20" s="136"/>
      <c r="T20" s="136"/>
      <c r="U20" s="136"/>
      <c r="V20" s="136"/>
      <c r="W20" s="26"/>
      <c r="X20" s="136"/>
    </row>
    <row r="21" spans="2:24" s="137" customFormat="1" x14ac:dyDescent="0.35">
      <c r="B21" s="27"/>
      <c r="C21" s="27"/>
      <c r="D21" s="24"/>
      <c r="E21" s="24"/>
      <c r="F21" s="24"/>
      <c r="G21" s="24"/>
      <c r="H21" s="24"/>
      <c r="I21" s="24"/>
      <c r="J21" s="24"/>
      <c r="K21" s="24"/>
      <c r="L21" s="24"/>
      <c r="M21" s="24"/>
      <c r="N21" s="27"/>
      <c r="O21" s="27"/>
      <c r="P21" s="27"/>
      <c r="Q21" s="27"/>
      <c r="R21" s="136"/>
      <c r="S21" s="136"/>
      <c r="T21" s="136"/>
      <c r="U21" s="136"/>
      <c r="V21" s="136"/>
      <c r="W21" s="136"/>
      <c r="X21" s="136"/>
    </row>
    <row r="22" spans="2:24" ht="16" customHeight="1" x14ac:dyDescent="0.35">
      <c r="B22" s="24"/>
      <c r="C22" s="10" t="s">
        <v>375</v>
      </c>
      <c r="D22" s="9"/>
      <c r="E22" s="9"/>
      <c r="F22" s="9"/>
      <c r="G22" s="9"/>
      <c r="H22" s="9"/>
      <c r="I22" s="9"/>
      <c r="J22" s="9"/>
      <c r="K22" s="9"/>
      <c r="L22" s="9"/>
      <c r="M22" s="9"/>
      <c r="N22" s="9"/>
      <c r="O22" s="9"/>
      <c r="P22" s="8"/>
      <c r="Q22" s="24"/>
      <c r="R22" s="26"/>
      <c r="S22" s="26"/>
      <c r="T22" s="26"/>
      <c r="U22" s="26"/>
      <c r="V22" s="26"/>
      <c r="W22" s="26"/>
      <c r="X22" s="26"/>
    </row>
    <row r="23" spans="2:24" ht="16" customHeight="1" x14ac:dyDescent="0.35">
      <c r="B23" s="24"/>
      <c r="C23" s="7"/>
      <c r="D23" s="6"/>
      <c r="E23" s="6"/>
      <c r="F23" s="6"/>
      <c r="G23" s="6"/>
      <c r="H23" s="6"/>
      <c r="I23" s="6"/>
      <c r="J23" s="6"/>
      <c r="K23" s="6"/>
      <c r="L23" s="6"/>
      <c r="M23" s="6"/>
      <c r="N23" s="6"/>
      <c r="O23" s="6"/>
      <c r="P23" s="5"/>
      <c r="Q23" s="24"/>
      <c r="R23" s="26"/>
      <c r="S23" s="26"/>
      <c r="T23" s="26"/>
      <c r="U23" s="26"/>
      <c r="V23" s="26"/>
      <c r="W23" s="26"/>
      <c r="X23" s="26"/>
    </row>
    <row r="24" spans="2:24" ht="16" customHeight="1" x14ac:dyDescent="0.35">
      <c r="B24" s="24"/>
      <c r="C24" s="7"/>
      <c r="D24" s="6"/>
      <c r="E24" s="6"/>
      <c r="F24" s="6"/>
      <c r="G24" s="6"/>
      <c r="H24" s="6"/>
      <c r="I24" s="6"/>
      <c r="J24" s="6"/>
      <c r="K24" s="6"/>
      <c r="L24" s="6"/>
      <c r="M24" s="6"/>
      <c r="N24" s="6"/>
      <c r="O24" s="6"/>
      <c r="P24" s="5"/>
      <c r="Q24" s="24"/>
      <c r="R24" s="26"/>
      <c r="S24" s="26"/>
      <c r="T24" s="26"/>
      <c r="U24" s="26"/>
      <c r="V24" s="26"/>
      <c r="W24" s="26"/>
      <c r="X24" s="26"/>
    </row>
    <row r="25" spans="2:24" ht="16" customHeight="1" x14ac:dyDescent="0.35">
      <c r="B25" s="24"/>
      <c r="C25" s="7"/>
      <c r="D25" s="6"/>
      <c r="E25" s="6"/>
      <c r="F25" s="6"/>
      <c r="G25" s="6"/>
      <c r="H25" s="6"/>
      <c r="I25" s="6"/>
      <c r="J25" s="6"/>
      <c r="K25" s="6"/>
      <c r="L25" s="6"/>
      <c r="M25" s="6"/>
      <c r="N25" s="6"/>
      <c r="O25" s="6"/>
      <c r="P25" s="5"/>
      <c r="Q25" s="24"/>
      <c r="R25" s="26"/>
      <c r="S25" s="26"/>
      <c r="T25" s="26"/>
      <c r="U25" s="26"/>
      <c r="V25" s="26"/>
      <c r="W25" s="26"/>
      <c r="X25" s="26"/>
    </row>
    <row r="26" spans="2:24" ht="16" customHeight="1" x14ac:dyDescent="0.35">
      <c r="B26" s="24"/>
      <c r="C26" s="7"/>
      <c r="D26" s="6"/>
      <c r="E26" s="6"/>
      <c r="F26" s="6"/>
      <c r="G26" s="6"/>
      <c r="H26" s="6"/>
      <c r="I26" s="6"/>
      <c r="J26" s="6"/>
      <c r="K26" s="6"/>
      <c r="L26" s="6"/>
      <c r="M26" s="6"/>
      <c r="N26" s="6"/>
      <c r="O26" s="6"/>
      <c r="P26" s="5"/>
      <c r="Q26" s="24"/>
      <c r="R26" s="26"/>
      <c r="S26" s="26"/>
      <c r="T26" s="26"/>
      <c r="U26" s="26"/>
      <c r="V26" s="26"/>
      <c r="W26" s="26"/>
      <c r="X26" s="26"/>
    </row>
    <row r="27" spans="2:24" ht="16" customHeight="1" x14ac:dyDescent="0.35">
      <c r="B27" s="24"/>
      <c r="C27" s="7"/>
      <c r="D27" s="6"/>
      <c r="E27" s="6"/>
      <c r="F27" s="6"/>
      <c r="G27" s="6"/>
      <c r="H27" s="6"/>
      <c r="I27" s="6"/>
      <c r="J27" s="6"/>
      <c r="K27" s="6"/>
      <c r="L27" s="6"/>
      <c r="M27" s="6"/>
      <c r="N27" s="6"/>
      <c r="O27" s="6"/>
      <c r="P27" s="5"/>
      <c r="Q27" s="24"/>
      <c r="R27" s="26"/>
      <c r="S27" s="26"/>
      <c r="T27" s="26"/>
      <c r="U27" s="26"/>
      <c r="V27" s="26"/>
      <c r="W27" s="26"/>
      <c r="X27" s="26"/>
    </row>
    <row r="28" spans="2:24" ht="16" customHeight="1" x14ac:dyDescent="0.35">
      <c r="B28" s="24"/>
      <c r="C28" s="7"/>
      <c r="D28" s="6"/>
      <c r="E28" s="6"/>
      <c r="F28" s="6"/>
      <c r="G28" s="6"/>
      <c r="H28" s="6"/>
      <c r="I28" s="6"/>
      <c r="J28" s="6"/>
      <c r="K28" s="6"/>
      <c r="L28" s="6"/>
      <c r="M28" s="6"/>
      <c r="N28" s="6"/>
      <c r="O28" s="6"/>
      <c r="P28" s="5"/>
      <c r="Q28" s="24"/>
      <c r="R28" s="26"/>
      <c r="S28" s="26"/>
      <c r="T28" s="26"/>
      <c r="U28" s="26"/>
      <c r="V28" s="26"/>
      <c r="W28" s="26"/>
      <c r="X28" s="26"/>
    </row>
    <row r="29" spans="2:24" ht="16" customHeight="1" x14ac:dyDescent="0.35">
      <c r="B29" s="24"/>
      <c r="C29" s="7"/>
      <c r="D29" s="6"/>
      <c r="E29" s="6"/>
      <c r="F29" s="6"/>
      <c r="G29" s="6"/>
      <c r="H29" s="6"/>
      <c r="I29" s="6"/>
      <c r="J29" s="6"/>
      <c r="K29" s="6"/>
      <c r="L29" s="6"/>
      <c r="M29" s="6"/>
      <c r="N29" s="6"/>
      <c r="O29" s="6"/>
      <c r="P29" s="5"/>
      <c r="Q29" s="24"/>
      <c r="R29" s="26"/>
      <c r="S29" s="26"/>
      <c r="T29" s="26"/>
      <c r="U29" s="26"/>
      <c r="V29" s="26"/>
      <c r="W29" s="26"/>
      <c r="X29" s="26"/>
    </row>
    <row r="30" spans="2:24" ht="16" customHeight="1" x14ac:dyDescent="0.35">
      <c r="B30" s="24"/>
      <c r="C30" s="7"/>
      <c r="D30" s="6"/>
      <c r="E30" s="6"/>
      <c r="F30" s="6"/>
      <c r="G30" s="6"/>
      <c r="H30" s="6"/>
      <c r="I30" s="6"/>
      <c r="J30" s="6"/>
      <c r="K30" s="6"/>
      <c r="L30" s="6"/>
      <c r="M30" s="6"/>
      <c r="N30" s="6"/>
      <c r="O30" s="6"/>
      <c r="P30" s="5"/>
      <c r="Q30" s="24"/>
      <c r="R30" s="26"/>
      <c r="S30" s="26"/>
      <c r="T30" s="26"/>
      <c r="U30" s="26"/>
      <c r="V30" s="26"/>
      <c r="W30" s="26"/>
      <c r="X30" s="26"/>
    </row>
    <row r="31" spans="2:24" ht="16" customHeight="1" x14ac:dyDescent="0.35">
      <c r="B31" s="24"/>
      <c r="C31" s="7"/>
      <c r="D31" s="6"/>
      <c r="E31" s="6"/>
      <c r="F31" s="6"/>
      <c r="G31" s="6"/>
      <c r="H31" s="6"/>
      <c r="I31" s="6"/>
      <c r="J31" s="6"/>
      <c r="K31" s="6"/>
      <c r="L31" s="6"/>
      <c r="M31" s="6"/>
      <c r="N31" s="6"/>
      <c r="O31" s="6"/>
      <c r="P31" s="5"/>
      <c r="Q31" s="24"/>
      <c r="S31" s="26"/>
      <c r="T31" s="26"/>
      <c r="U31" s="26"/>
      <c r="V31" s="26"/>
      <c r="W31" s="26"/>
      <c r="X31" s="26"/>
    </row>
    <row r="32" spans="2:24" ht="16" customHeight="1" x14ac:dyDescent="0.35">
      <c r="B32" s="24"/>
      <c r="C32" s="7"/>
      <c r="D32" s="6"/>
      <c r="E32" s="6"/>
      <c r="F32" s="6"/>
      <c r="G32" s="6"/>
      <c r="H32" s="6"/>
      <c r="I32" s="6"/>
      <c r="J32" s="6"/>
      <c r="K32" s="6"/>
      <c r="L32" s="6"/>
      <c r="M32" s="6"/>
      <c r="N32" s="6"/>
      <c r="O32" s="6"/>
      <c r="P32" s="5"/>
      <c r="Q32" s="24"/>
      <c r="S32" s="26"/>
      <c r="T32" s="26"/>
      <c r="U32" s="26"/>
      <c r="V32" s="26"/>
      <c r="W32" s="26"/>
      <c r="X32" s="26"/>
    </row>
    <row r="33" spans="2:24" ht="16" customHeight="1" x14ac:dyDescent="0.35">
      <c r="B33" s="24"/>
      <c r="C33" s="7"/>
      <c r="D33" s="6"/>
      <c r="E33" s="6"/>
      <c r="F33" s="6"/>
      <c r="G33" s="6"/>
      <c r="H33" s="6"/>
      <c r="I33" s="6"/>
      <c r="J33" s="6"/>
      <c r="K33" s="6"/>
      <c r="L33" s="6"/>
      <c r="M33" s="6"/>
      <c r="N33" s="6"/>
      <c r="O33" s="6"/>
      <c r="P33" s="5"/>
      <c r="Q33" s="24"/>
      <c r="R33" s="26"/>
      <c r="S33" s="26"/>
      <c r="T33" s="26"/>
      <c r="U33" s="26"/>
      <c r="V33" s="26"/>
      <c r="W33" s="26"/>
      <c r="X33" s="26"/>
    </row>
    <row r="34" spans="2:24" ht="16" customHeight="1" x14ac:dyDescent="0.35">
      <c r="B34" s="24"/>
      <c r="C34" s="7"/>
      <c r="D34" s="6"/>
      <c r="E34" s="6"/>
      <c r="F34" s="6"/>
      <c r="G34" s="6"/>
      <c r="H34" s="6"/>
      <c r="I34" s="6"/>
      <c r="J34" s="6"/>
      <c r="K34" s="6"/>
      <c r="L34" s="6"/>
      <c r="M34" s="6"/>
      <c r="N34" s="6"/>
      <c r="O34" s="6"/>
      <c r="P34" s="5"/>
      <c r="Q34" s="24"/>
      <c r="R34" s="26"/>
      <c r="S34" s="26"/>
      <c r="T34" s="26"/>
      <c r="U34" s="26"/>
      <c r="V34" s="26"/>
      <c r="W34" s="26"/>
      <c r="X34" s="26"/>
    </row>
    <row r="35" spans="2:24" ht="16" customHeight="1" x14ac:dyDescent="0.35">
      <c r="B35" s="24"/>
      <c r="C35" s="7"/>
      <c r="D35" s="6"/>
      <c r="E35" s="6"/>
      <c r="F35" s="6"/>
      <c r="G35" s="6"/>
      <c r="H35" s="6"/>
      <c r="I35" s="6"/>
      <c r="J35" s="6"/>
      <c r="K35" s="6"/>
      <c r="L35" s="6"/>
      <c r="M35" s="6"/>
      <c r="N35" s="6"/>
      <c r="O35" s="6"/>
      <c r="P35" s="5"/>
      <c r="Q35" s="24"/>
      <c r="R35" s="26"/>
      <c r="S35" s="26"/>
      <c r="T35" s="26"/>
      <c r="U35" s="26"/>
      <c r="V35" s="26"/>
      <c r="W35" s="26"/>
      <c r="X35" s="26"/>
    </row>
    <row r="36" spans="2:24" ht="16" customHeight="1" x14ac:dyDescent="0.35">
      <c r="B36" s="24"/>
      <c r="C36" s="7"/>
      <c r="D36" s="6"/>
      <c r="E36" s="6"/>
      <c r="F36" s="6"/>
      <c r="G36" s="6"/>
      <c r="H36" s="6"/>
      <c r="I36" s="6"/>
      <c r="J36" s="6"/>
      <c r="K36" s="6"/>
      <c r="L36" s="6"/>
      <c r="M36" s="6"/>
      <c r="N36" s="6"/>
      <c r="O36" s="6"/>
      <c r="P36" s="5"/>
      <c r="Q36" s="24"/>
      <c r="R36" s="26"/>
      <c r="S36" s="26"/>
      <c r="T36" s="26"/>
      <c r="U36" s="26"/>
      <c r="V36" s="26"/>
      <c r="W36" s="26"/>
      <c r="X36" s="26"/>
    </row>
    <row r="37" spans="2:24" ht="16" customHeight="1" x14ac:dyDescent="0.35">
      <c r="B37" s="24"/>
      <c r="C37" s="7"/>
      <c r="D37" s="6"/>
      <c r="E37" s="6"/>
      <c r="F37" s="6"/>
      <c r="G37" s="6"/>
      <c r="H37" s="6"/>
      <c r="I37" s="6"/>
      <c r="J37" s="6"/>
      <c r="K37" s="6"/>
      <c r="L37" s="6"/>
      <c r="M37" s="6"/>
      <c r="N37" s="6"/>
      <c r="O37" s="6"/>
      <c r="P37" s="5"/>
      <c r="Q37" s="24"/>
      <c r="R37" s="26"/>
      <c r="S37" s="26"/>
      <c r="T37" s="26"/>
      <c r="U37" s="26"/>
      <c r="V37" s="26"/>
      <c r="W37" s="26"/>
      <c r="X37" s="26"/>
    </row>
    <row r="38" spans="2:24" ht="16" customHeight="1" x14ac:dyDescent="0.35">
      <c r="B38" s="24"/>
      <c r="C38" s="7"/>
      <c r="D38" s="6"/>
      <c r="E38" s="6"/>
      <c r="F38" s="6"/>
      <c r="G38" s="6"/>
      <c r="H38" s="6"/>
      <c r="I38" s="6"/>
      <c r="J38" s="6"/>
      <c r="K38" s="6"/>
      <c r="L38" s="6"/>
      <c r="M38" s="6"/>
      <c r="N38" s="6"/>
      <c r="O38" s="6"/>
      <c r="P38" s="5"/>
      <c r="Q38" s="24"/>
      <c r="R38" s="26"/>
      <c r="S38" s="26"/>
      <c r="T38" s="26"/>
      <c r="U38" s="26"/>
      <c r="V38" s="26"/>
      <c r="W38" s="26"/>
      <c r="X38" s="26"/>
    </row>
    <row r="39" spans="2:24" ht="16" customHeight="1" x14ac:dyDescent="0.35">
      <c r="B39" s="24"/>
      <c r="C39" s="7"/>
      <c r="D39" s="6"/>
      <c r="E39" s="6"/>
      <c r="F39" s="6"/>
      <c r="G39" s="6"/>
      <c r="H39" s="6"/>
      <c r="I39" s="6"/>
      <c r="J39" s="6"/>
      <c r="K39" s="6"/>
      <c r="L39" s="6"/>
      <c r="M39" s="6"/>
      <c r="N39" s="6"/>
      <c r="O39" s="6"/>
      <c r="P39" s="5"/>
      <c r="Q39" s="24"/>
      <c r="R39" s="26"/>
      <c r="S39" s="26"/>
      <c r="T39" s="26"/>
      <c r="U39" s="26"/>
      <c r="V39" s="26"/>
      <c r="W39" s="26"/>
      <c r="X39" s="26"/>
    </row>
    <row r="40" spans="2:24" ht="16" customHeight="1" x14ac:dyDescent="0.35">
      <c r="B40" s="24"/>
      <c r="C40" s="7"/>
      <c r="D40" s="6"/>
      <c r="E40" s="6"/>
      <c r="F40" s="6"/>
      <c r="G40" s="6"/>
      <c r="H40" s="6"/>
      <c r="I40" s="6"/>
      <c r="J40" s="6"/>
      <c r="K40" s="6"/>
      <c r="L40" s="6"/>
      <c r="M40" s="6"/>
      <c r="N40" s="6"/>
      <c r="O40" s="6"/>
      <c r="P40" s="5"/>
      <c r="Q40" s="24"/>
      <c r="R40" s="26"/>
      <c r="S40" s="26"/>
      <c r="T40" s="26"/>
      <c r="U40" s="26"/>
      <c r="V40" s="26"/>
      <c r="W40" s="26"/>
      <c r="X40" s="26"/>
    </row>
    <row r="41" spans="2:24" ht="16" customHeight="1" x14ac:dyDescent="0.35">
      <c r="B41" s="24"/>
      <c r="C41" s="4"/>
      <c r="D41" s="3"/>
      <c r="E41" s="3"/>
      <c r="F41" s="3"/>
      <c r="G41" s="3"/>
      <c r="H41" s="3"/>
      <c r="I41" s="3"/>
      <c r="J41" s="3"/>
      <c r="K41" s="3"/>
      <c r="L41" s="3"/>
      <c r="M41" s="3"/>
      <c r="N41" s="3"/>
      <c r="O41" s="3"/>
      <c r="P41" s="2"/>
      <c r="Q41" s="24"/>
      <c r="R41" s="26"/>
      <c r="S41" s="26"/>
      <c r="T41" s="26"/>
      <c r="U41" s="26"/>
      <c r="V41" s="26"/>
      <c r="W41" s="26"/>
      <c r="X41" s="26"/>
    </row>
    <row r="42" spans="2:24" x14ac:dyDescent="0.35">
      <c r="B42" s="24"/>
      <c r="C42" s="24"/>
      <c r="D42" s="24"/>
      <c r="E42" s="24"/>
      <c r="F42" s="24"/>
      <c r="G42" s="24"/>
      <c r="H42" s="24"/>
      <c r="I42" s="24"/>
      <c r="J42" s="24"/>
      <c r="K42" s="24"/>
      <c r="L42" s="24"/>
      <c r="M42" s="24"/>
      <c r="N42" s="24"/>
      <c r="O42" s="24"/>
      <c r="P42" s="24"/>
      <c r="Q42" s="24"/>
      <c r="R42" s="26"/>
    </row>
    <row r="43" spans="2:24" x14ac:dyDescent="0.35">
      <c r="B43" s="22"/>
      <c r="C43" s="22"/>
      <c r="D43" s="22"/>
      <c r="E43" s="22"/>
      <c r="F43" s="22"/>
      <c r="G43" s="22"/>
      <c r="H43" s="22"/>
      <c r="I43" s="22"/>
      <c r="J43" s="22"/>
      <c r="K43" s="22"/>
      <c r="L43" s="22"/>
      <c r="M43" s="22"/>
      <c r="N43" s="22"/>
      <c r="O43" s="22"/>
    </row>
    <row r="44" spans="2:24" x14ac:dyDescent="0.35">
      <c r="B44" s="22"/>
      <c r="C44" s="22"/>
      <c r="D44" s="22"/>
      <c r="E44" s="22"/>
      <c r="F44" s="22"/>
      <c r="G44" s="22"/>
      <c r="H44" s="22"/>
      <c r="I44" s="22"/>
      <c r="J44" s="22"/>
      <c r="K44" s="22"/>
      <c r="L44" s="22"/>
      <c r="M44" s="22"/>
      <c r="N44" s="22"/>
      <c r="O44" s="22"/>
    </row>
    <row r="45" spans="2:24" x14ac:dyDescent="0.35">
      <c r="B45" s="22"/>
      <c r="C45" s="22"/>
      <c r="D45" s="22"/>
      <c r="E45" s="22"/>
      <c r="F45" s="22"/>
      <c r="G45" s="22"/>
      <c r="H45" s="22"/>
      <c r="I45" s="22"/>
      <c r="J45" s="22"/>
      <c r="K45" s="22"/>
      <c r="L45" s="22"/>
      <c r="M45" s="22"/>
      <c r="N45" s="22"/>
      <c r="O45" s="22"/>
    </row>
    <row r="46" spans="2:24" x14ac:dyDescent="0.35">
      <c r="B46" s="22"/>
      <c r="C46" s="22"/>
      <c r="D46" s="22"/>
      <c r="E46" s="22"/>
      <c r="F46" s="22"/>
      <c r="G46" s="22"/>
      <c r="H46" s="22"/>
      <c r="I46" s="22"/>
      <c r="J46" s="22"/>
      <c r="K46" s="22"/>
      <c r="L46" s="22"/>
      <c r="M46" s="22"/>
      <c r="N46" s="22"/>
      <c r="O46" s="22"/>
    </row>
    <row r="47" spans="2:24" x14ac:dyDescent="0.35">
      <c r="B47" s="22"/>
      <c r="C47" s="22"/>
      <c r="D47" s="22"/>
      <c r="E47" s="22"/>
      <c r="F47" s="22"/>
      <c r="G47" s="22"/>
      <c r="H47" s="22"/>
      <c r="I47" s="22"/>
      <c r="J47" s="22"/>
      <c r="K47" s="22"/>
      <c r="L47" s="22"/>
      <c r="M47" s="22"/>
      <c r="N47" s="22"/>
      <c r="O47" s="22"/>
    </row>
    <row r="48" spans="2:24" x14ac:dyDescent="0.35">
      <c r="B48" s="22"/>
      <c r="C48" s="22"/>
      <c r="D48" s="22"/>
      <c r="E48" s="22"/>
      <c r="F48" s="22"/>
      <c r="G48" s="22"/>
      <c r="H48" s="22"/>
      <c r="I48" s="22"/>
      <c r="J48" s="22"/>
      <c r="K48" s="22"/>
      <c r="L48" s="22"/>
      <c r="M48" s="22"/>
      <c r="N48" s="22"/>
      <c r="O48" s="22"/>
    </row>
    <row r="49" spans="2:15" x14ac:dyDescent="0.35">
      <c r="B49" s="22"/>
      <c r="C49" s="22"/>
      <c r="D49" s="22"/>
      <c r="E49" s="22"/>
      <c r="F49" s="22"/>
      <c r="G49" s="22"/>
      <c r="H49" s="22"/>
      <c r="I49" s="22"/>
      <c r="J49" s="22"/>
      <c r="K49" s="22"/>
      <c r="L49" s="22"/>
      <c r="M49" s="22"/>
      <c r="N49" s="22"/>
      <c r="O49" s="22"/>
    </row>
    <row r="50" spans="2:15" x14ac:dyDescent="0.35">
      <c r="B50" s="22"/>
      <c r="C50" s="22"/>
      <c r="D50" s="22"/>
      <c r="E50" s="22"/>
      <c r="F50" s="22"/>
      <c r="G50" s="22"/>
      <c r="H50" s="22"/>
      <c r="I50" s="22"/>
      <c r="J50" s="22"/>
      <c r="K50" s="22"/>
      <c r="L50" s="22"/>
      <c r="M50" s="22"/>
      <c r="N50" s="22"/>
      <c r="O50" s="22"/>
    </row>
    <row r="51" spans="2:15" x14ac:dyDescent="0.35">
      <c r="B51" s="22"/>
      <c r="C51" s="22"/>
      <c r="D51" s="22"/>
      <c r="E51" s="22"/>
      <c r="F51" s="22"/>
      <c r="G51" s="22"/>
      <c r="H51" s="22"/>
      <c r="I51" s="22"/>
      <c r="J51" s="22"/>
      <c r="K51" s="22"/>
      <c r="L51" s="22"/>
      <c r="M51" s="22"/>
      <c r="N51" s="22"/>
      <c r="O51" s="22"/>
    </row>
    <row r="52" spans="2:15" x14ac:dyDescent="0.35">
      <c r="B52" s="22"/>
      <c r="C52" s="22"/>
      <c r="D52" s="22"/>
      <c r="E52" s="22"/>
      <c r="F52" s="22"/>
      <c r="G52" s="22"/>
      <c r="H52" s="22"/>
      <c r="I52" s="22"/>
      <c r="J52" s="22"/>
      <c r="K52" s="22"/>
      <c r="L52" s="22"/>
      <c r="M52" s="22"/>
      <c r="N52" s="22"/>
      <c r="O52" s="22"/>
    </row>
    <row r="53" spans="2:15" x14ac:dyDescent="0.35">
      <c r="B53" s="22"/>
      <c r="C53" s="22"/>
      <c r="D53" s="22"/>
      <c r="E53" s="22"/>
      <c r="F53" s="22"/>
      <c r="G53" s="22"/>
      <c r="H53" s="22"/>
      <c r="I53" s="22"/>
      <c r="J53" s="22"/>
      <c r="K53" s="22"/>
      <c r="L53" s="22"/>
      <c r="M53" s="22"/>
      <c r="N53" s="22"/>
      <c r="O53" s="22"/>
    </row>
    <row r="54" spans="2:15" x14ac:dyDescent="0.35">
      <c r="B54" s="22"/>
      <c r="C54" s="22"/>
      <c r="D54" s="22"/>
      <c r="E54" s="22"/>
      <c r="F54" s="22"/>
      <c r="G54" s="22"/>
      <c r="H54" s="22"/>
      <c r="I54" s="22"/>
      <c r="J54" s="22"/>
      <c r="K54" s="22"/>
      <c r="L54" s="22"/>
      <c r="M54" s="22"/>
      <c r="N54" s="22"/>
      <c r="O54" s="22"/>
    </row>
    <row r="55" spans="2:15" x14ac:dyDescent="0.35">
      <c r="B55" s="22"/>
      <c r="C55" s="22"/>
      <c r="D55" s="22"/>
      <c r="E55" s="22"/>
      <c r="F55" s="22"/>
      <c r="G55" s="22"/>
      <c r="H55" s="22"/>
      <c r="I55" s="22"/>
      <c r="J55" s="22"/>
      <c r="K55" s="22"/>
      <c r="L55" s="22"/>
      <c r="M55" s="22"/>
      <c r="N55" s="22"/>
      <c r="O55" s="22"/>
    </row>
    <row r="56" spans="2:15" x14ac:dyDescent="0.35">
      <c r="B56" s="22"/>
      <c r="C56" s="22"/>
      <c r="D56" s="22"/>
      <c r="E56" s="22"/>
      <c r="F56" s="22"/>
      <c r="G56" s="22"/>
      <c r="H56" s="22"/>
      <c r="I56" s="22"/>
      <c r="J56" s="22"/>
      <c r="K56" s="22"/>
      <c r="L56" s="22"/>
      <c r="M56" s="22"/>
      <c r="N56" s="22"/>
      <c r="O56" s="22"/>
    </row>
    <row r="57" spans="2:15" x14ac:dyDescent="0.35">
      <c r="B57" s="22"/>
      <c r="C57" s="22"/>
      <c r="D57" s="22"/>
      <c r="E57" s="22"/>
      <c r="F57" s="22"/>
      <c r="G57" s="22"/>
      <c r="H57" s="22"/>
      <c r="I57" s="22"/>
      <c r="J57" s="22"/>
      <c r="K57" s="22"/>
      <c r="L57" s="22"/>
      <c r="M57" s="22"/>
      <c r="N57" s="22"/>
      <c r="O57" s="22"/>
    </row>
  </sheetData>
  <mergeCells count="4">
    <mergeCell ref="F8:K8"/>
    <mergeCell ref="P9:P16"/>
    <mergeCell ref="C22:P41"/>
    <mergeCell ref="M7:O7"/>
  </mergeCells>
  <conditionalFormatting sqref="C20:H20">
    <cfRule type="expression" dxfId="10" priority="2">
      <formula>AND(FP.RealTimeToggle="ON",MO.RealTime="ON")</formula>
    </cfRule>
  </conditionalFormatting>
  <dataValidations count="3">
    <dataValidation type="list" allowBlank="1" showInputMessage="1" showErrorMessage="1" sqref="H18" xr:uid="{00000000-0002-0000-0000-000000000000}">
      <formula1>"ON, OFF"</formula1>
    </dataValidation>
    <dataValidation allowBlank="1" showInputMessage="1" showErrorMessage="1" sqref="H16" xr:uid="{00000000-0002-0000-0000-000001000000}"/>
    <dataValidation type="list" allowBlank="1" showInputMessage="1" showErrorMessage="1" sqref="H15" xr:uid="{00000000-0002-0000-0000-000002000000}">
      <formula1>"Bloomberg, Capital IQ, FactSet, Refinitiv"</formula1>
    </dataValidation>
  </dataValidations>
  <hyperlinks>
    <hyperlink ref="M7" r:id="rId1" tooltip="Click to directly email Canalyst support" xr:uid="{00000000-0004-0000-0000-000000000000}"/>
    <hyperlink ref="M7:O7" r:id="rId2" tooltip="Click to directly email Canalyst support" display="support@canalyst.com" xr:uid="{00000000-0004-0000-0000-000001000000}"/>
  </hyperlinks>
  <pageMargins left="0.7" right="0.7" top="0.75" bottom="0.75" header="0.3" footer="0.3"/>
  <pageSetup scale="45" orientation="portrait" r:id="rId3"/>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EE8C7-5417-4625-B233-F818135103D1}">
  <sheetPr codeName="Sheet4"/>
  <dimension ref="A1:BH132"/>
  <sheetViews>
    <sheetView zoomScale="85" zoomScaleNormal="85" workbookViewId="0">
      <pane xSplit="2" ySplit="29" topLeftCell="C30" activePane="bottomRight" state="frozen"/>
      <selection pane="topRight" activeCell="C1" sqref="C1"/>
      <selection pane="bottomLeft" activeCell="A30" sqref="A30"/>
      <selection pane="bottomRight"/>
    </sheetView>
  </sheetViews>
  <sheetFormatPr defaultRowHeight="14.5" outlineLevelRow="1" outlineLevelCol="2" x14ac:dyDescent="0.35"/>
  <cols>
    <col min="1" max="1" width="50.7265625" customWidth="1"/>
    <col min="2" max="2" width="10.7265625" customWidth="1"/>
    <col min="3" max="6" width="9.1796875" hidden="1" customWidth="1" outlineLevel="1"/>
    <col min="7" max="10" width="9.1796875" hidden="1" customWidth="1" outlineLevel="2"/>
    <col min="11" max="11" width="9.1796875" hidden="1" customWidth="1" outlineLevel="1"/>
    <col min="12" max="15" width="9.1796875" hidden="1" customWidth="1" outlineLevel="2"/>
    <col min="16" max="16" width="9.1796875" hidden="1" customWidth="1" outlineLevel="1"/>
    <col min="17" max="20" width="9.1796875" hidden="1" customWidth="1" outlineLevel="2"/>
    <col min="21" max="21" width="9.1796875" hidden="1" customWidth="1" outlineLevel="1"/>
    <col min="22" max="25" width="9.1796875" hidden="1" customWidth="1" outlineLevel="2"/>
    <col min="26" max="26" width="9.1796875" hidden="1" customWidth="1" outlineLevel="1"/>
    <col min="27" max="30" width="9.1796875" hidden="1" customWidth="1" outlineLevel="2"/>
    <col min="31" max="31" width="9.1796875" hidden="1" customWidth="1" outlineLevel="1"/>
    <col min="32" max="35" width="9.1796875" hidden="1" customWidth="1" outlineLevel="2"/>
    <col min="36" max="36" width="9.1796875" hidden="1" customWidth="1" outlineLevel="1"/>
    <col min="37" max="40" width="9.1796875" hidden="1" customWidth="1" outlineLevel="2"/>
    <col min="41" max="41" width="9.1796875" hidden="1" customWidth="1" outlineLevel="1"/>
    <col min="42" max="59" width="9.1796875" customWidth="1"/>
  </cols>
  <sheetData>
    <row r="1" spans="1:60" ht="28.5" x14ac:dyDescent="0.65">
      <c r="A1" s="273" t="str">
        <f>Model!A1</f>
        <v>3M Company</v>
      </c>
      <c r="B1" s="877"/>
      <c r="C1" s="877"/>
      <c r="D1" s="877"/>
      <c r="E1" s="877"/>
      <c r="F1" s="877"/>
      <c r="G1" s="877"/>
      <c r="H1" s="877"/>
      <c r="I1" s="877"/>
      <c r="J1" s="877"/>
      <c r="K1" s="877"/>
      <c r="L1" s="877"/>
      <c r="M1" s="877"/>
      <c r="N1" s="877"/>
      <c r="O1" s="877"/>
      <c r="P1" s="877"/>
      <c r="Q1" s="877"/>
      <c r="R1" s="877"/>
      <c r="S1" s="877"/>
      <c r="T1" s="877"/>
      <c r="U1" s="877"/>
      <c r="V1" s="877"/>
      <c r="W1" s="877"/>
      <c r="X1" s="877"/>
      <c r="Y1" s="877"/>
      <c r="Z1" s="877"/>
      <c r="AA1" s="883"/>
      <c r="AB1" s="883"/>
      <c r="AC1" s="883"/>
      <c r="AD1" s="883"/>
      <c r="AE1" s="883"/>
      <c r="AF1" s="877"/>
      <c r="AG1" s="877"/>
      <c r="AH1" s="877"/>
      <c r="AI1" s="877"/>
      <c r="AJ1" s="877"/>
      <c r="AK1" s="877"/>
      <c r="AL1" s="877"/>
      <c r="AM1" s="877"/>
      <c r="AN1" s="877"/>
      <c r="AO1" s="877"/>
      <c r="AP1" s="877"/>
      <c r="AQ1" s="877"/>
      <c r="AR1" s="877"/>
      <c r="AS1" s="877"/>
      <c r="AT1" s="877"/>
      <c r="AU1" s="878"/>
      <c r="AV1" s="877"/>
      <c r="AW1" s="877"/>
      <c r="AX1" s="877"/>
      <c r="AY1" s="877"/>
      <c r="AZ1" s="877"/>
      <c r="BA1" s="877"/>
      <c r="BB1" s="877"/>
      <c r="BC1" s="877"/>
      <c r="BD1" s="877"/>
      <c r="BE1" s="877"/>
      <c r="BF1" s="877"/>
      <c r="BG1" s="877"/>
      <c r="BH1" s="349"/>
    </row>
    <row r="2" spans="1:60" x14ac:dyDescent="0.35">
      <c r="A2" s="662" t="str">
        <f>CHOOSE(MO.DataSourceIndex,MO.Ticker.Bloomberg,MO.Ticker.CapIQ,MO.Ticker.FactSet,MO.Ticker.Thomson)</f>
        <v>MMM US</v>
      </c>
      <c r="B2" s="670"/>
      <c r="C2" s="272">
        <f>Model!C2</f>
        <v>39813</v>
      </c>
      <c r="D2" s="277"/>
      <c r="E2" s="277"/>
      <c r="F2" s="277"/>
      <c r="G2" s="277"/>
      <c r="H2" s="277"/>
      <c r="I2" s="277"/>
      <c r="J2" s="277"/>
      <c r="K2" s="277"/>
      <c r="L2" s="277"/>
      <c r="M2" s="277"/>
      <c r="N2" s="277"/>
      <c r="O2" s="277"/>
      <c r="P2" s="277"/>
      <c r="Q2" s="277"/>
      <c r="R2" s="277"/>
      <c r="S2" s="277"/>
      <c r="T2" s="277"/>
      <c r="U2" s="277"/>
      <c r="V2" s="277"/>
      <c r="W2" s="277"/>
      <c r="X2" s="277"/>
      <c r="Y2" s="277"/>
      <c r="Z2" s="277"/>
      <c r="AA2" s="558" t="str">
        <f>Model!AA2</f>
        <v>Restated</v>
      </c>
      <c r="AB2" s="558" t="str">
        <f>Model!AB2</f>
        <v>Restated</v>
      </c>
      <c r="AC2" s="558" t="str">
        <f>Model!AC2</f>
        <v>Restated</v>
      </c>
      <c r="AD2" s="558" t="str">
        <f>Model!AD2</f>
        <v>Restated</v>
      </c>
      <c r="AE2" s="558" t="str">
        <f>Model!AE2</f>
        <v>Restated</v>
      </c>
      <c r="AF2" s="277"/>
      <c r="AG2" s="277"/>
      <c r="AH2" s="277"/>
      <c r="AI2" s="277"/>
      <c r="AJ2" s="277"/>
      <c r="AK2" s="558" t="str">
        <f>Model!AK2</f>
        <v>Restated</v>
      </c>
      <c r="AL2" s="558" t="str">
        <f>Model!AL2</f>
        <v>Restated</v>
      </c>
      <c r="AM2" s="558" t="str">
        <f>Model!AM2</f>
        <v>Restated</v>
      </c>
      <c r="AN2" s="558" t="str">
        <f>Model!AN2</f>
        <v>Restated</v>
      </c>
      <c r="AO2" s="558" t="str">
        <f>Model!AO2</f>
        <v>Restated</v>
      </c>
      <c r="AP2" s="558" t="str">
        <f>Model!AP2</f>
        <v>Unrestated</v>
      </c>
      <c r="AQ2" s="558" t="str">
        <f>Model!AQ2</f>
        <v>Unrestated</v>
      </c>
      <c r="AR2" s="558" t="str">
        <f>Model!AR2</f>
        <v>Unrestated</v>
      </c>
      <c r="AS2" s="558" t="str">
        <f>Model!AS2</f>
        <v>Unrestated</v>
      </c>
      <c r="AT2" s="558" t="str">
        <f>Model!AT2</f>
        <v>Unrestated</v>
      </c>
      <c r="AU2" s="822"/>
      <c r="AV2" s="277"/>
      <c r="AW2" s="277"/>
      <c r="AX2" s="277"/>
      <c r="AY2" s="277"/>
      <c r="AZ2" s="277"/>
      <c r="BA2" s="277"/>
      <c r="BB2" s="277"/>
      <c r="BC2" s="277"/>
      <c r="BD2" s="277"/>
      <c r="BE2" s="277"/>
      <c r="BF2" s="277"/>
      <c r="BG2" s="277"/>
      <c r="BH2" s="349"/>
    </row>
    <row r="3" spans="1:60" x14ac:dyDescent="0.35">
      <c r="A3" s="663" t="str">
        <f ca="1">HP.TradeCurrency</f>
        <v>USD</v>
      </c>
      <c r="B3" s="664">
        <f ca="1">IF(MO.RealTime="OFF",MO.LastPriceHardcoded,MO.LastPriceFormula)</f>
        <v>195.93</v>
      </c>
      <c r="C3" s="727">
        <f>Model!C3</f>
        <v>365</v>
      </c>
      <c r="D3" s="727">
        <f>Model!D3</f>
        <v>365</v>
      </c>
      <c r="E3" s="727">
        <f>Model!E3</f>
        <v>365</v>
      </c>
      <c r="F3" s="727">
        <f>Model!F3</f>
        <v>366</v>
      </c>
      <c r="G3" s="138">
        <f>Model!G3</f>
        <v>90</v>
      </c>
      <c r="H3" s="138">
        <f>Model!H3</f>
        <v>91</v>
      </c>
      <c r="I3" s="138">
        <f>Model!I3</f>
        <v>92</v>
      </c>
      <c r="J3" s="138">
        <f>Model!J3</f>
        <v>92</v>
      </c>
      <c r="K3" s="727">
        <f>Model!K3</f>
        <v>365</v>
      </c>
      <c r="L3" s="138">
        <f>Model!L3</f>
        <v>90</v>
      </c>
      <c r="M3" s="138">
        <f>Model!M3</f>
        <v>91</v>
      </c>
      <c r="N3" s="138">
        <f>Model!N3</f>
        <v>92</v>
      </c>
      <c r="O3" s="138">
        <f>Model!O3</f>
        <v>92</v>
      </c>
      <c r="P3" s="727">
        <f>Model!P3</f>
        <v>365</v>
      </c>
      <c r="Q3" s="138">
        <f>Model!Q3</f>
        <v>90</v>
      </c>
      <c r="R3" s="138">
        <f>Model!R3</f>
        <v>91</v>
      </c>
      <c r="S3" s="138">
        <f>Model!S3</f>
        <v>92</v>
      </c>
      <c r="T3" s="138">
        <f>Model!T3</f>
        <v>92</v>
      </c>
      <c r="U3" s="727">
        <f>Model!U3</f>
        <v>365</v>
      </c>
      <c r="V3" s="138">
        <f>Model!V3</f>
        <v>91</v>
      </c>
      <c r="W3" s="138">
        <f>Model!W3</f>
        <v>91</v>
      </c>
      <c r="X3" s="138">
        <f>Model!X3</f>
        <v>92</v>
      </c>
      <c r="Y3" s="138">
        <f>Model!Y3</f>
        <v>92</v>
      </c>
      <c r="Z3" s="727">
        <f>Model!Z3</f>
        <v>366</v>
      </c>
      <c r="AA3" s="138">
        <f>Model!AA3</f>
        <v>90</v>
      </c>
      <c r="AB3" s="138">
        <f>Model!AB3</f>
        <v>91</v>
      </c>
      <c r="AC3" s="138">
        <f>Model!AC3</f>
        <v>92</v>
      </c>
      <c r="AD3" s="138">
        <f>Model!AD3</f>
        <v>92</v>
      </c>
      <c r="AE3" s="727">
        <f>Model!AE3</f>
        <v>365</v>
      </c>
      <c r="AF3" s="138">
        <f>Model!AF3</f>
        <v>90</v>
      </c>
      <c r="AG3" s="138">
        <f>Model!AG3</f>
        <v>91</v>
      </c>
      <c r="AH3" s="138">
        <f>Model!AH3</f>
        <v>92</v>
      </c>
      <c r="AI3" s="138">
        <f>Model!AI3</f>
        <v>92</v>
      </c>
      <c r="AJ3" s="727">
        <f>Model!AJ3</f>
        <v>365</v>
      </c>
      <c r="AK3" s="138">
        <f>Model!AK3</f>
        <v>90</v>
      </c>
      <c r="AL3" s="138">
        <f>Model!AL3</f>
        <v>91</v>
      </c>
      <c r="AM3" s="138">
        <f>Model!AM3</f>
        <v>92</v>
      </c>
      <c r="AN3" s="138">
        <f>Model!AN3</f>
        <v>92</v>
      </c>
      <c r="AO3" s="727">
        <f>Model!AO3</f>
        <v>365</v>
      </c>
      <c r="AP3" s="138">
        <f>Model!AP3</f>
        <v>91</v>
      </c>
      <c r="AQ3" s="138">
        <f>Model!AQ3</f>
        <v>91</v>
      </c>
      <c r="AR3" s="138">
        <f>Model!AR3</f>
        <v>92</v>
      </c>
      <c r="AS3" s="138">
        <f>Model!AS3</f>
        <v>92</v>
      </c>
      <c r="AT3" s="727">
        <f>Model!AT3</f>
        <v>366</v>
      </c>
      <c r="AU3" s="755">
        <f>Model!AU3</f>
        <v>90</v>
      </c>
      <c r="AV3" s="139">
        <f>Model!AV3</f>
        <v>91</v>
      </c>
      <c r="AW3" s="139">
        <f>Model!AW3</f>
        <v>92</v>
      </c>
      <c r="AX3" s="139">
        <f>Model!AX3</f>
        <v>92</v>
      </c>
      <c r="AY3" s="742">
        <f>Model!AY3</f>
        <v>365</v>
      </c>
      <c r="AZ3" s="139">
        <f>Model!AZ3</f>
        <v>90</v>
      </c>
      <c r="BA3" s="139">
        <f>Model!BA3</f>
        <v>91</v>
      </c>
      <c r="BB3" s="139">
        <f>Model!BB3</f>
        <v>92</v>
      </c>
      <c r="BC3" s="139">
        <f>Model!BC3</f>
        <v>92</v>
      </c>
      <c r="BD3" s="742">
        <f>Model!BD3</f>
        <v>365</v>
      </c>
      <c r="BE3" s="742">
        <f>Model!BE3</f>
        <v>365</v>
      </c>
      <c r="BF3" s="742">
        <f>Model!BF3</f>
        <v>366</v>
      </c>
      <c r="BG3" s="742">
        <f>Model!BG3</f>
        <v>365</v>
      </c>
      <c r="BH3" s="349"/>
    </row>
    <row r="4" spans="1:60" x14ac:dyDescent="0.35">
      <c r="A4" s="666" t="str">
        <f>FP.DataSourceName</f>
        <v>Bloomberg</v>
      </c>
      <c r="B4" s="456" t="str">
        <f ca="1">IF(AND(MO.RealTimeStockPriceToggle,MO.LastPriceFormula&lt;&gt;"N/A"),"ON","OFF")</f>
        <v>OFF</v>
      </c>
      <c r="C4" s="728">
        <f>Model!C4</f>
        <v>40178</v>
      </c>
      <c r="D4" s="740">
        <f>Model!D4</f>
        <v>40543</v>
      </c>
      <c r="E4" s="740">
        <f>Model!E4</f>
        <v>40908</v>
      </c>
      <c r="F4" s="740">
        <f>Model!F4</f>
        <v>41274</v>
      </c>
      <c r="G4" s="270">
        <f>Model!G4</f>
        <v>41364</v>
      </c>
      <c r="H4" s="270">
        <f>Model!H4</f>
        <v>41455</v>
      </c>
      <c r="I4" s="270">
        <f>Model!I4</f>
        <v>41547</v>
      </c>
      <c r="J4" s="270">
        <f>Model!J4</f>
        <v>41639</v>
      </c>
      <c r="K4" s="740">
        <f>Model!K4</f>
        <v>41639</v>
      </c>
      <c r="L4" s="270">
        <f>Model!L4</f>
        <v>41729</v>
      </c>
      <c r="M4" s="270">
        <f>Model!M4</f>
        <v>41820</v>
      </c>
      <c r="N4" s="270">
        <f>Model!N4</f>
        <v>41912</v>
      </c>
      <c r="O4" s="270">
        <f>Model!O4</f>
        <v>42004</v>
      </c>
      <c r="P4" s="740">
        <f>Model!P4</f>
        <v>42004</v>
      </c>
      <c r="Q4" s="270">
        <f>Model!Q4</f>
        <v>42094</v>
      </c>
      <c r="R4" s="270">
        <f>Model!R4</f>
        <v>42185</v>
      </c>
      <c r="S4" s="270">
        <f>Model!S4</f>
        <v>42277</v>
      </c>
      <c r="T4" s="270">
        <f>Model!T4</f>
        <v>42369</v>
      </c>
      <c r="U4" s="740">
        <f>Model!U4</f>
        <v>42369</v>
      </c>
      <c r="V4" s="270">
        <f>Model!V4</f>
        <v>42460</v>
      </c>
      <c r="W4" s="140">
        <f>Model!W4</f>
        <v>42551</v>
      </c>
      <c r="X4" s="140">
        <f>Model!X4</f>
        <v>42643</v>
      </c>
      <c r="Y4" s="270">
        <f>Model!Y4</f>
        <v>42735</v>
      </c>
      <c r="Z4" s="740">
        <f>Model!Z4</f>
        <v>42735</v>
      </c>
      <c r="AA4" s="270">
        <f>Model!AA4</f>
        <v>42825</v>
      </c>
      <c r="AB4" s="140">
        <f>Model!AB4</f>
        <v>42916</v>
      </c>
      <c r="AC4" s="140">
        <f>Model!AC4</f>
        <v>43008</v>
      </c>
      <c r="AD4" s="270">
        <f>Model!AD4</f>
        <v>43100</v>
      </c>
      <c r="AE4" s="740">
        <f>Model!AE4</f>
        <v>43100</v>
      </c>
      <c r="AF4" s="270">
        <f>Model!AF4</f>
        <v>43190</v>
      </c>
      <c r="AG4" s="140">
        <f>Model!AG4</f>
        <v>43281</v>
      </c>
      <c r="AH4" s="140">
        <f>Model!AH4</f>
        <v>43373</v>
      </c>
      <c r="AI4" s="270">
        <f>Model!AI4</f>
        <v>43465</v>
      </c>
      <c r="AJ4" s="740">
        <f>Model!AJ4</f>
        <v>43465</v>
      </c>
      <c r="AK4" s="270">
        <f>Model!AK4</f>
        <v>43555</v>
      </c>
      <c r="AL4" s="140">
        <f>Model!AL4</f>
        <v>43646</v>
      </c>
      <c r="AM4" s="140">
        <f>Model!AM4</f>
        <v>43738</v>
      </c>
      <c r="AN4" s="270">
        <f>Model!AN4</f>
        <v>43830</v>
      </c>
      <c r="AO4" s="740">
        <f>Model!AO4</f>
        <v>43830</v>
      </c>
      <c r="AP4" s="270">
        <f>Model!AP4</f>
        <v>43921</v>
      </c>
      <c r="AQ4" s="140">
        <f>Model!AQ4</f>
        <v>44012</v>
      </c>
      <c r="AR4" s="140">
        <f>Model!AR4</f>
        <v>44104</v>
      </c>
      <c r="AS4" s="270">
        <f>Model!AS4</f>
        <v>44196</v>
      </c>
      <c r="AT4" s="740">
        <f>Model!AT4</f>
        <v>44196</v>
      </c>
      <c r="AU4" s="756">
        <f>Model!AU4</f>
        <v>44286</v>
      </c>
      <c r="AV4" s="141">
        <f>Model!AV4</f>
        <v>44377</v>
      </c>
      <c r="AW4" s="141">
        <f>Model!AW4</f>
        <v>44469</v>
      </c>
      <c r="AX4" s="141">
        <f>Model!AX4</f>
        <v>44561</v>
      </c>
      <c r="AY4" s="743">
        <f>Model!AY4</f>
        <v>44561</v>
      </c>
      <c r="AZ4" s="141">
        <f>Model!AZ4</f>
        <v>44651</v>
      </c>
      <c r="BA4" s="141">
        <f>Model!BA4</f>
        <v>44742</v>
      </c>
      <c r="BB4" s="141">
        <f>Model!BB4</f>
        <v>44834</v>
      </c>
      <c r="BC4" s="141">
        <f>Model!BC4</f>
        <v>44926</v>
      </c>
      <c r="BD4" s="743">
        <f>Model!BD4</f>
        <v>44926</v>
      </c>
      <c r="BE4" s="743">
        <f>Model!BE4</f>
        <v>45291</v>
      </c>
      <c r="BF4" s="743">
        <f>Model!BF4</f>
        <v>45657</v>
      </c>
      <c r="BG4" s="743">
        <f>Model!BG4</f>
        <v>46022</v>
      </c>
      <c r="BH4" s="349"/>
    </row>
    <row r="5" spans="1:60" x14ac:dyDescent="0.35">
      <c r="A5" s="912" t="s">
        <v>1075</v>
      </c>
      <c r="B5" s="671"/>
      <c r="C5" s="729" t="str">
        <f>Model!C5</f>
        <v>FY2009</v>
      </c>
      <c r="D5" s="741" t="str">
        <f>Model!D5</f>
        <v>FY2010</v>
      </c>
      <c r="E5" s="741" t="str">
        <f>Model!E5</f>
        <v>FY2011</v>
      </c>
      <c r="F5" s="741" t="str">
        <f>Model!F5</f>
        <v>FY2012</v>
      </c>
      <c r="G5" s="74" t="str">
        <f>Model!G5</f>
        <v>Q1-2013</v>
      </c>
      <c r="H5" s="74" t="str">
        <f>Model!H5</f>
        <v>Q2-2013</v>
      </c>
      <c r="I5" s="74" t="str">
        <f>Model!I5</f>
        <v>Q3-2013</v>
      </c>
      <c r="J5" s="74" t="str">
        <f>Model!J5</f>
        <v>Q4-2013</v>
      </c>
      <c r="K5" s="741" t="str">
        <f>Model!K5</f>
        <v>FY2013</v>
      </c>
      <c r="L5" s="74" t="str">
        <f>Model!L5</f>
        <v>Q1-2014</v>
      </c>
      <c r="M5" s="74" t="str">
        <f>Model!M5</f>
        <v>Q2-2014</v>
      </c>
      <c r="N5" s="74" t="str">
        <f>Model!N5</f>
        <v>Q3-2014</v>
      </c>
      <c r="O5" s="74" t="str">
        <f>Model!O5</f>
        <v>Q4-2014</v>
      </c>
      <c r="P5" s="741" t="str">
        <f>Model!P5</f>
        <v>FY2014</v>
      </c>
      <c r="Q5" s="74" t="str">
        <f>Model!Q5</f>
        <v>Q1-2015</v>
      </c>
      <c r="R5" s="74" t="str">
        <f>Model!R5</f>
        <v>Q2-2015</v>
      </c>
      <c r="S5" s="74" t="str">
        <f>Model!S5</f>
        <v>Q3-2015</v>
      </c>
      <c r="T5" s="74" t="str">
        <f>Model!T5</f>
        <v>Q4-2015</v>
      </c>
      <c r="U5" s="741" t="str">
        <f>Model!U5</f>
        <v>FY2015</v>
      </c>
      <c r="V5" s="74" t="str">
        <f>Model!V5</f>
        <v>Q1-2016</v>
      </c>
      <c r="W5" s="128" t="str">
        <f>Model!W5</f>
        <v>Q2-2016</v>
      </c>
      <c r="X5" s="128" t="str">
        <f>Model!X5</f>
        <v>Q3-2016</v>
      </c>
      <c r="Y5" s="74" t="str">
        <f>Model!Y5</f>
        <v>Q4-2016</v>
      </c>
      <c r="Z5" s="741" t="str">
        <f>Model!Z5</f>
        <v>FY2016</v>
      </c>
      <c r="AA5" s="74" t="str">
        <f>Model!AA5</f>
        <v>Q1-2017</v>
      </c>
      <c r="AB5" s="128" t="str">
        <f>Model!AB5</f>
        <v>Q2-2017</v>
      </c>
      <c r="AC5" s="128" t="str">
        <f>Model!AC5</f>
        <v>Q3-2017</v>
      </c>
      <c r="AD5" s="74" t="str">
        <f>Model!AD5</f>
        <v>Q4-2017</v>
      </c>
      <c r="AE5" s="741" t="str">
        <f>Model!AE5</f>
        <v>FY2017</v>
      </c>
      <c r="AF5" s="74" t="str">
        <f>Model!AF5</f>
        <v>Q1-2018</v>
      </c>
      <c r="AG5" s="128" t="str">
        <f>Model!AG5</f>
        <v>Q2-2018</v>
      </c>
      <c r="AH5" s="128" t="str">
        <f>Model!AH5</f>
        <v>Q3-2018</v>
      </c>
      <c r="AI5" s="74" t="str">
        <f>Model!AI5</f>
        <v>Q4-2018</v>
      </c>
      <c r="AJ5" s="741" t="str">
        <f>Model!AJ5</f>
        <v>FY2018</v>
      </c>
      <c r="AK5" s="74" t="str">
        <f>Model!AK5</f>
        <v>Q1-2019</v>
      </c>
      <c r="AL5" s="128" t="str">
        <f>Model!AL5</f>
        <v>Q2-2019</v>
      </c>
      <c r="AM5" s="128" t="str">
        <f>Model!AM5</f>
        <v>Q3-2019</v>
      </c>
      <c r="AN5" s="74" t="str">
        <f>Model!AN5</f>
        <v>Q4-2019</v>
      </c>
      <c r="AO5" s="741" t="str">
        <f>Model!AO5</f>
        <v>FY2019</v>
      </c>
      <c r="AP5" s="74" t="str">
        <f>Model!AP5</f>
        <v>Q1-2020</v>
      </c>
      <c r="AQ5" s="128" t="str">
        <f>Model!AQ5</f>
        <v>Q2-2020</v>
      </c>
      <c r="AR5" s="128" t="str">
        <f>Model!AR5</f>
        <v>Q3-2020</v>
      </c>
      <c r="AS5" s="74" t="str">
        <f>Model!AS5</f>
        <v>Q4-2020</v>
      </c>
      <c r="AT5" s="741" t="str">
        <f>Model!AT5</f>
        <v>FY2020</v>
      </c>
      <c r="AU5" s="757" t="str">
        <f>Model!AU5</f>
        <v>Q1-2021</v>
      </c>
      <c r="AV5" s="104" t="str">
        <f>Model!AV5</f>
        <v>Q2-2021</v>
      </c>
      <c r="AW5" s="104" t="str">
        <f>Model!AW5</f>
        <v>Q3-2021</v>
      </c>
      <c r="AX5" s="104" t="str">
        <f>Model!AX5</f>
        <v>Q4-2021</v>
      </c>
      <c r="AY5" s="744" t="str">
        <f>Model!AY5</f>
        <v>FY2021</v>
      </c>
      <c r="AZ5" s="104" t="str">
        <f>Model!AZ5</f>
        <v>Q1-2022</v>
      </c>
      <c r="BA5" s="104" t="str">
        <f>Model!BA5</f>
        <v>Q2-2022</v>
      </c>
      <c r="BB5" s="104" t="str">
        <f>Model!BB5</f>
        <v>Q3-2022</v>
      </c>
      <c r="BC5" s="104" t="str">
        <f>Model!BC5</f>
        <v>Q4-2022</v>
      </c>
      <c r="BD5" s="744" t="str">
        <f>Model!BD5</f>
        <v>FY2022</v>
      </c>
      <c r="BE5" s="744" t="str">
        <f>Model!BE5</f>
        <v>FY2023</v>
      </c>
      <c r="BF5" s="744" t="str">
        <f>Model!BF5</f>
        <v>FY2024</v>
      </c>
      <c r="BG5" s="744" t="str">
        <f>Model!BG5</f>
        <v>FY2025</v>
      </c>
      <c r="BH5" s="349"/>
    </row>
    <row r="6" spans="1:60" x14ac:dyDescent="0.35">
      <c r="A6" s="913" t="s">
        <v>725</v>
      </c>
      <c r="B6" s="913"/>
      <c r="C6" s="913"/>
      <c r="D6" s="913"/>
      <c r="E6" s="913"/>
      <c r="F6" s="913"/>
      <c r="G6" s="913"/>
      <c r="H6" s="913"/>
      <c r="I6" s="913"/>
      <c r="J6" s="913"/>
      <c r="K6" s="913"/>
      <c r="L6" s="913"/>
      <c r="M6" s="913"/>
      <c r="N6" s="913"/>
      <c r="O6" s="913"/>
      <c r="P6" s="913"/>
      <c r="Q6" s="913"/>
      <c r="R6" s="913"/>
      <c r="S6" s="913"/>
      <c r="T6" s="913"/>
      <c r="U6" s="913"/>
      <c r="V6" s="913"/>
      <c r="W6" s="913"/>
      <c r="X6" s="913"/>
      <c r="Y6" s="913"/>
      <c r="Z6" s="913"/>
      <c r="AA6" s="913"/>
      <c r="AB6" s="913"/>
      <c r="AC6" s="913"/>
      <c r="AD6" s="913"/>
      <c r="AE6" s="913"/>
      <c r="AF6" s="913"/>
      <c r="AG6" s="913"/>
      <c r="AH6" s="913"/>
      <c r="AI6" s="913"/>
      <c r="AJ6" s="913"/>
      <c r="AK6" s="913"/>
      <c r="AL6" s="913"/>
      <c r="AM6" s="913"/>
      <c r="AN6" s="913"/>
      <c r="AO6" s="913"/>
      <c r="AP6" s="913"/>
      <c r="AQ6" s="913"/>
      <c r="AR6" s="913"/>
      <c r="AS6" s="913"/>
      <c r="AT6" s="913"/>
      <c r="AU6" s="967"/>
      <c r="AV6" s="913"/>
      <c r="AW6" s="913"/>
      <c r="AX6" s="913"/>
      <c r="AY6" s="913"/>
      <c r="AZ6" s="913"/>
      <c r="BA6" s="913"/>
      <c r="BB6" s="913"/>
      <c r="BC6" s="913"/>
      <c r="BD6" s="913"/>
      <c r="BE6" s="913"/>
      <c r="BF6" s="913"/>
      <c r="BG6" s="913"/>
      <c r="BH6" s="349"/>
    </row>
    <row r="7" spans="1:60" x14ac:dyDescent="0.35">
      <c r="A7" s="918" t="str">
        <f>Model!A787</f>
        <v>Net Revenue</v>
      </c>
      <c r="B7" s="914"/>
      <c r="C7" s="915">
        <f>Model!C787</f>
        <v>23123</v>
      </c>
      <c r="D7" s="915">
        <f>Model!D787</f>
        <v>26662</v>
      </c>
      <c r="E7" s="915">
        <f>Model!E787</f>
        <v>29611</v>
      </c>
      <c r="F7" s="915">
        <f>Model!F787</f>
        <v>29904</v>
      </c>
      <c r="G7" s="916">
        <f>Model!G787</f>
        <v>7634</v>
      </c>
      <c r="H7" s="916">
        <f>Model!H787</f>
        <v>7752</v>
      </c>
      <c r="I7" s="916">
        <f>Model!I787</f>
        <v>7916</v>
      </c>
      <c r="J7" s="916">
        <f>Model!J787</f>
        <v>7569</v>
      </c>
      <c r="K7" s="915">
        <f>Model!K787</f>
        <v>30871</v>
      </c>
      <c r="L7" s="916">
        <f>Model!L787</f>
        <v>7831</v>
      </c>
      <c r="M7" s="916">
        <f>Model!M787</f>
        <v>8134</v>
      </c>
      <c r="N7" s="916">
        <f>Model!N787</f>
        <v>8137</v>
      </c>
      <c r="O7" s="916">
        <f>Model!O787</f>
        <v>7719</v>
      </c>
      <c r="P7" s="915">
        <f>Model!P787</f>
        <v>31821</v>
      </c>
      <c r="Q7" s="916">
        <f>Model!Q787</f>
        <v>7578</v>
      </c>
      <c r="R7" s="916">
        <f>Model!R787</f>
        <v>7686</v>
      </c>
      <c r="S7" s="916">
        <f>Model!S787</f>
        <v>7712</v>
      </c>
      <c r="T7" s="916">
        <f>Model!T787</f>
        <v>7298</v>
      </c>
      <c r="U7" s="915">
        <f>Model!U787</f>
        <v>30274</v>
      </c>
      <c r="V7" s="916">
        <f>Model!V787</f>
        <v>7409</v>
      </c>
      <c r="W7" s="916">
        <f>Model!W787</f>
        <v>7662</v>
      </c>
      <c r="X7" s="916">
        <f>Model!X787</f>
        <v>7709</v>
      </c>
      <c r="Y7" s="916">
        <f>Model!Y787</f>
        <v>7329</v>
      </c>
      <c r="Z7" s="915">
        <f>Model!Z787</f>
        <v>30109</v>
      </c>
      <c r="AA7" s="916">
        <f>Model!AA787</f>
        <v>7685</v>
      </c>
      <c r="AB7" s="916">
        <f>Model!AB787</f>
        <v>7810</v>
      </c>
      <c r="AC7" s="916">
        <f>Model!AC787</f>
        <v>8172</v>
      </c>
      <c r="AD7" s="916">
        <f>Model!AD787</f>
        <v>7990</v>
      </c>
      <c r="AE7" s="915">
        <f>Model!AE787</f>
        <v>31657</v>
      </c>
      <c r="AF7" s="916">
        <f>Model!AF787</f>
        <v>8278</v>
      </c>
      <c r="AG7" s="916">
        <f>Model!AG787</f>
        <v>8390</v>
      </c>
      <c r="AH7" s="916">
        <f>Model!AH787</f>
        <v>8152</v>
      </c>
      <c r="AI7" s="916">
        <f>Model!AI787</f>
        <v>7945</v>
      </c>
      <c r="AJ7" s="915">
        <f>Model!AJ787</f>
        <v>32765</v>
      </c>
      <c r="AK7" s="916">
        <f>Model!AK787</f>
        <v>7863</v>
      </c>
      <c r="AL7" s="916">
        <f>Model!AL787</f>
        <v>8171</v>
      </c>
      <c r="AM7" s="916">
        <f>Model!AM787</f>
        <v>7991</v>
      </c>
      <c r="AN7" s="916">
        <f>Model!AN787</f>
        <v>8111</v>
      </c>
      <c r="AO7" s="915">
        <f>Model!AO787</f>
        <v>32136</v>
      </c>
      <c r="AP7" s="917">
        <f>Model!AP787</f>
        <v>8075</v>
      </c>
      <c r="AQ7" s="916">
        <f>Model!AQ787</f>
        <v>7176</v>
      </c>
      <c r="AR7" s="916">
        <f>Model!AR787</f>
        <v>8350</v>
      </c>
      <c r="AS7" s="916">
        <f>Model!AS787</f>
        <v>8583</v>
      </c>
      <c r="AT7" s="915">
        <f>Model!AT787</f>
        <v>32184</v>
      </c>
      <c r="AU7" s="968">
        <f>Model!AU787</f>
        <v>8851</v>
      </c>
      <c r="AV7" s="916">
        <f>Model!AV787</f>
        <v>7668.2192000000005</v>
      </c>
      <c r="AW7" s="916">
        <f>Model!AW787</f>
        <v>8745.5720000000001</v>
      </c>
      <c r="AX7" s="916">
        <f>Model!AX787</f>
        <v>8982.3486000000012</v>
      </c>
      <c r="AY7" s="915">
        <f>Model!AY787</f>
        <v>34247.139800000004</v>
      </c>
      <c r="AZ7" s="916">
        <f>Model!AZ787</f>
        <v>9484.181700000001</v>
      </c>
      <c r="BA7" s="916">
        <f>Model!BA787</f>
        <v>8158.1654830000007</v>
      </c>
      <c r="BB7" s="916">
        <f>Model!BB787</f>
        <v>9307.9995679999993</v>
      </c>
      <c r="BC7" s="916">
        <f>Model!BC787</f>
        <v>9559.6793980000002</v>
      </c>
      <c r="BD7" s="915">
        <f>Model!BD787</f>
        <v>36510.026148999998</v>
      </c>
      <c r="BE7" s="915">
        <f>Model!BE787</f>
        <v>38860.311656844999</v>
      </c>
      <c r="BF7" s="915">
        <f>Model!BF787</f>
        <v>41368.44430713122</v>
      </c>
      <c r="BG7" s="915">
        <f>Model!BG787</f>
        <v>44045.403908700471</v>
      </c>
      <c r="BH7" s="349"/>
    </row>
    <row r="8" spans="1:60" x14ac:dyDescent="0.35">
      <c r="A8" s="918" t="str">
        <f>Model!A796</f>
        <v>Adjusted EBITDA</v>
      </c>
      <c r="B8" s="914"/>
      <c r="C8" s="915">
        <f>Model!C796</f>
        <v>5971</v>
      </c>
      <c r="D8" s="915">
        <f>Model!D796</f>
        <v>7038</v>
      </c>
      <c r="E8" s="915">
        <f>Model!E796</f>
        <v>7414</v>
      </c>
      <c r="F8" s="915">
        <f>Model!F796</f>
        <v>7771</v>
      </c>
      <c r="G8" s="916">
        <f>Model!G796</f>
        <v>1982</v>
      </c>
      <c r="H8" s="916">
        <f>Model!H796</f>
        <v>2037</v>
      </c>
      <c r="I8" s="916">
        <f>Model!I796</f>
        <v>2082</v>
      </c>
      <c r="J8" s="916">
        <f>Model!J796</f>
        <v>1936</v>
      </c>
      <c r="K8" s="915">
        <f>Model!K796</f>
        <v>8037</v>
      </c>
      <c r="L8" s="916">
        <f>Model!L796</f>
        <v>2066</v>
      </c>
      <c r="M8" s="916">
        <f>Model!M796</f>
        <v>2214</v>
      </c>
      <c r="N8" s="916">
        <f>Model!N796</f>
        <v>2251</v>
      </c>
      <c r="O8" s="916">
        <f>Model!O796</f>
        <v>2012</v>
      </c>
      <c r="P8" s="915">
        <f>Model!P796</f>
        <v>8543</v>
      </c>
      <c r="Q8" s="916">
        <f>Model!Q796</f>
        <v>2069</v>
      </c>
      <c r="R8" s="916">
        <f>Model!R796</f>
        <v>2184</v>
      </c>
      <c r="S8" s="916">
        <f>Model!S796</f>
        <v>2231</v>
      </c>
      <c r="T8" s="916">
        <f>Model!T796</f>
        <v>1897</v>
      </c>
      <c r="U8" s="915">
        <f>Model!U796</f>
        <v>8381</v>
      </c>
      <c r="V8" s="916">
        <f>Model!V796</f>
        <v>2144</v>
      </c>
      <c r="W8" s="916">
        <f>Model!W796</f>
        <v>2232</v>
      </c>
      <c r="X8" s="916">
        <f>Model!X796</f>
        <v>2272</v>
      </c>
      <c r="Y8" s="916">
        <f>Model!Y796</f>
        <v>2049</v>
      </c>
      <c r="Z8" s="915">
        <f>Model!Z796</f>
        <v>8697</v>
      </c>
      <c r="AA8" s="916">
        <f>Model!AA796</f>
        <v>2180</v>
      </c>
      <c r="AB8" s="916">
        <f>Model!AB796</f>
        <v>2533</v>
      </c>
      <c r="AC8" s="916">
        <f>Model!AC796</f>
        <v>2385</v>
      </c>
      <c r="AD8" s="916">
        <f>Model!AD796</f>
        <v>2138</v>
      </c>
      <c r="AE8" s="915">
        <f>Model!AE796</f>
        <v>9236</v>
      </c>
      <c r="AF8" s="916">
        <f>Model!AF796</f>
        <v>2286</v>
      </c>
      <c r="AG8" s="916">
        <f>Model!AG796</f>
        <v>2781</v>
      </c>
      <c r="AH8" s="916">
        <f>Model!AH796</f>
        <v>2371</v>
      </c>
      <c r="AI8" s="916">
        <f>Model!AI796</f>
        <v>2154</v>
      </c>
      <c r="AJ8" s="915">
        <f>Model!AJ796</f>
        <v>9592</v>
      </c>
      <c r="AK8" s="916">
        <f>Model!AK796</f>
        <v>2051</v>
      </c>
      <c r="AL8" s="916">
        <f>Model!AL796</f>
        <v>2078</v>
      </c>
      <c r="AM8" s="916">
        <f>Model!AM796</f>
        <v>2284</v>
      </c>
      <c r="AN8" s="916">
        <f>Model!AN796</f>
        <v>2002</v>
      </c>
      <c r="AO8" s="915">
        <f>Model!AO796</f>
        <v>8415</v>
      </c>
      <c r="AP8" s="917">
        <f>Model!AP796</f>
        <v>2118</v>
      </c>
      <c r="AQ8" s="916">
        <f>Model!AQ796</f>
        <v>1900</v>
      </c>
      <c r="AR8" s="916">
        <f>Model!AR796</f>
        <v>2390</v>
      </c>
      <c r="AS8" s="916">
        <f>Model!AS796</f>
        <v>2347</v>
      </c>
      <c r="AT8" s="915">
        <f>Model!AT796</f>
        <v>8755</v>
      </c>
      <c r="AU8" s="968">
        <f>Model!AU796</f>
        <v>2454</v>
      </c>
      <c r="AV8" s="916">
        <f>Model!AV796</f>
        <v>2120.9743847999998</v>
      </c>
      <c r="AW8" s="916">
        <f>Model!AW796</f>
        <v>2462.6915680000002</v>
      </c>
      <c r="AX8" s="916">
        <f>Model!AX796</f>
        <v>2565.0658084000002</v>
      </c>
      <c r="AY8" s="915">
        <f>Model!AY796</f>
        <v>9602.7317612000006</v>
      </c>
      <c r="AZ8" s="916">
        <f>Model!AZ796</f>
        <v>2683.7461348000006</v>
      </c>
      <c r="BA8" s="916">
        <f>Model!BA796</f>
        <v>2400.6010443519999</v>
      </c>
      <c r="BB8" s="916">
        <f>Model!BB796</f>
        <v>2541.9490585920003</v>
      </c>
      <c r="BC8" s="916">
        <f>Model!BC796</f>
        <v>2765.4050496119999</v>
      </c>
      <c r="BD8" s="915">
        <f>Model!BD796</f>
        <v>10391.701287356002</v>
      </c>
      <c r="BE8" s="915">
        <f>Model!BE796</f>
        <v>11195.589153213179</v>
      </c>
      <c r="BF8" s="915">
        <f>Model!BF796</f>
        <v>12067.758610940777</v>
      </c>
      <c r="BG8" s="915">
        <f>Model!BG796</f>
        <v>13013.838469852113</v>
      </c>
      <c r="BH8" s="349"/>
    </row>
    <row r="9" spans="1:60" x14ac:dyDescent="0.35">
      <c r="A9" s="924" t="str">
        <f>Model!A831</f>
        <v>Adjusted Earnings Per Share - WAD</v>
      </c>
      <c r="B9" s="919"/>
      <c r="C9" s="920">
        <f>Model!C831</f>
        <v>4.5181831045705385</v>
      </c>
      <c r="D9" s="920">
        <f>Model!D831</f>
        <v>5.6305995864920746</v>
      </c>
      <c r="E9" s="920">
        <f>Model!E831</f>
        <v>5.9568845618915161</v>
      </c>
      <c r="F9" s="920">
        <f>Model!F831</f>
        <v>6.3187828807052471</v>
      </c>
      <c r="G9" s="921">
        <f>Model!G831</f>
        <v>1.6080330437259649</v>
      </c>
      <c r="H9" s="921">
        <f>Model!H831</f>
        <v>1.7122014018023173</v>
      </c>
      <c r="I9" s="921">
        <f>Model!I831</f>
        <v>1.7779705117085864</v>
      </c>
      <c r="J9" s="921">
        <f>Model!J831</f>
        <v>1.6189637457801263</v>
      </c>
      <c r="K9" s="920">
        <f>Model!K831</f>
        <v>6.7171280276816603</v>
      </c>
      <c r="L9" s="921">
        <f>Model!L831</f>
        <v>1.7894736842105263</v>
      </c>
      <c r="M9" s="921">
        <f>Model!M831</f>
        <v>1.9064098705988564</v>
      </c>
      <c r="N9" s="921">
        <f>Model!N831</f>
        <v>1.9805441556467549</v>
      </c>
      <c r="O9" s="921">
        <f>Model!O831</f>
        <v>1.8113381471808265</v>
      </c>
      <c r="P9" s="920">
        <f>Model!P831</f>
        <v>7.4864048338368576</v>
      </c>
      <c r="Q9" s="921">
        <f>Model!Q831</f>
        <v>1.8468884781269252</v>
      </c>
      <c r="R9" s="921">
        <f>Model!R831</f>
        <v>2.0217729393468118</v>
      </c>
      <c r="S9" s="921">
        <f>Model!S831</f>
        <v>2.0532319391634979</v>
      </c>
      <c r="T9" s="921">
        <f>Model!T831</f>
        <v>1.6597377678285898</v>
      </c>
      <c r="U9" s="920">
        <f>Model!U831</f>
        <v>7.5847457627118642</v>
      </c>
      <c r="V9" s="921">
        <f>Model!V831</f>
        <v>2.0521487204249156</v>
      </c>
      <c r="W9" s="921">
        <f>Model!W831</f>
        <v>2.0792398131744241</v>
      </c>
      <c r="X9" s="921">
        <f>Model!X831</f>
        <v>2.1477052359405304</v>
      </c>
      <c r="Y9" s="921">
        <f>Model!Y831</f>
        <v>1.881720430107527</v>
      </c>
      <c r="Z9" s="920">
        <f>Model!Z831</f>
        <v>8.1622757394536922</v>
      </c>
      <c r="AA9" s="921">
        <f>Model!AA831</f>
        <v>2.1617647058823528</v>
      </c>
      <c r="AB9" s="921">
        <f>Model!AB831</f>
        <v>2.5832245430809402</v>
      </c>
      <c r="AC9" s="921">
        <f>Model!AC831</f>
        <v>2.3322996572547736</v>
      </c>
      <c r="AD9" s="921">
        <f>Model!AD831</f>
        <v>2.0948809911966091</v>
      </c>
      <c r="AE9" s="920">
        <f>Model!AE831</f>
        <v>9.1725150971111464</v>
      </c>
      <c r="AF9" s="921">
        <f>Model!AF831</f>
        <v>2.4955116696588866</v>
      </c>
      <c r="AG9" s="921">
        <f>Model!AG831</f>
        <v>3.0734856007944389</v>
      </c>
      <c r="AH9" s="921">
        <f>Model!AH831</f>
        <v>2.5785427807486632</v>
      </c>
      <c r="AI9" s="921">
        <f>Model!AI831</f>
        <v>2.3050961862976713</v>
      </c>
      <c r="AJ9" s="920">
        <f>Model!AJ831</f>
        <v>10.456810631229235</v>
      </c>
      <c r="AK9" s="921">
        <f>Model!AK831</f>
        <v>2.2225998300764656</v>
      </c>
      <c r="AL9" s="921">
        <f>Model!AL831</f>
        <v>2.1259170789967583</v>
      </c>
      <c r="AM9" s="921">
        <f>Model!AM831</f>
        <v>2.5797598627787308</v>
      </c>
      <c r="AN9" s="921">
        <f>Model!AN831</f>
        <v>1.9478290715634115</v>
      </c>
      <c r="AO9" s="920">
        <f>Model!AO831</f>
        <v>8.8754059135190566</v>
      </c>
      <c r="AP9" s="921">
        <f>Model!AP831</f>
        <v>2.1564918314703352</v>
      </c>
      <c r="AQ9" s="921">
        <f>Model!AQ831</f>
        <v>1.7768595041322315</v>
      </c>
      <c r="AR9" s="921">
        <f>Model!AR831</f>
        <v>2.4261675824175826</v>
      </c>
      <c r="AS9" s="921">
        <f>Model!AS831</f>
        <v>2.3784246575342465</v>
      </c>
      <c r="AT9" s="920">
        <f>Model!AT831</f>
        <v>8.7392648574373055</v>
      </c>
      <c r="AU9" s="969">
        <f>Model!AU831</f>
        <v>2.7699130138154531</v>
      </c>
      <c r="AV9" s="922">
        <f>Model!AV831</f>
        <v>2.1277394504781895</v>
      </c>
      <c r="AW9" s="922">
        <f>Model!AW831</f>
        <v>2.5985268858467312</v>
      </c>
      <c r="AX9" s="922">
        <f>Model!AX831</f>
        <v>2.7509589343274921</v>
      </c>
      <c r="AY9" s="923">
        <f>Model!AY831</f>
        <v>10.246222457541528</v>
      </c>
      <c r="AZ9" s="922">
        <f>Model!AZ831</f>
        <v>2.9292738614347562</v>
      </c>
      <c r="BA9" s="922">
        <f>Model!BA831</f>
        <v>2.5501313838264879</v>
      </c>
      <c r="BB9" s="922">
        <f>Model!BB831</f>
        <v>2.7532203892406488</v>
      </c>
      <c r="BC9" s="922">
        <f>Model!BC831</f>
        <v>3.0759518769163336</v>
      </c>
      <c r="BD9" s="923">
        <f>Model!BD831</f>
        <v>11.307259474180238</v>
      </c>
      <c r="BE9" s="923">
        <f>Model!BE831</f>
        <v>12.689222605322245</v>
      </c>
      <c r="BF9" s="923">
        <f>Model!BF831</f>
        <v>14.127609011486499</v>
      </c>
      <c r="BG9" s="923">
        <f>Model!BG831</f>
        <v>15.699836663334432</v>
      </c>
      <c r="BH9" s="349"/>
    </row>
    <row r="10" spans="1:60" x14ac:dyDescent="0.35">
      <c r="A10" s="930" t="str">
        <f>Model!A883</f>
        <v>EV/EBITDA - Avg</v>
      </c>
      <c r="B10" s="925"/>
      <c r="C10" s="926">
        <f>Model!C883</f>
        <v>8.053698856975382</v>
      </c>
      <c r="D10" s="926">
        <f>Model!D883</f>
        <v>8.9130464087809038</v>
      </c>
      <c r="E10" s="926">
        <f>Model!E883</f>
        <v>9.0340173995144308</v>
      </c>
      <c r="F10" s="926">
        <f>Model!F883</f>
        <v>8.4889233045940031</v>
      </c>
      <c r="G10" s="927"/>
      <c r="H10" s="927"/>
      <c r="I10" s="927"/>
      <c r="J10" s="927"/>
      <c r="K10" s="926">
        <f>Model!K883</f>
        <v>10.188206793579694</v>
      </c>
      <c r="L10" s="927"/>
      <c r="M10" s="927"/>
      <c r="N10" s="927"/>
      <c r="O10" s="927"/>
      <c r="P10" s="926">
        <f>Model!P883</f>
        <v>11.760734226852394</v>
      </c>
      <c r="Q10" s="927"/>
      <c r="R10" s="927"/>
      <c r="S10" s="927"/>
      <c r="T10" s="927"/>
      <c r="U10" s="926">
        <f>Model!U883</f>
        <v>13.272120152726407</v>
      </c>
      <c r="V10" s="927"/>
      <c r="W10" s="928"/>
      <c r="X10" s="928"/>
      <c r="Y10" s="927"/>
      <c r="Z10" s="926">
        <f>Model!Z883</f>
        <v>13.413944722318043</v>
      </c>
      <c r="AA10" s="927"/>
      <c r="AB10" s="928"/>
      <c r="AC10" s="928"/>
      <c r="AD10" s="927"/>
      <c r="AE10" s="926">
        <f>Model!AE883</f>
        <v>15.030387397141618</v>
      </c>
      <c r="AF10" s="927"/>
      <c r="AG10" s="928"/>
      <c r="AH10" s="928"/>
      <c r="AI10" s="927"/>
      <c r="AJ10" s="926">
        <f>Model!AJ883</f>
        <v>14.571963461167829</v>
      </c>
      <c r="AK10" s="927"/>
      <c r="AL10" s="928"/>
      <c r="AM10" s="928"/>
      <c r="AN10" s="927"/>
      <c r="AO10" s="926">
        <f>Model!AO883</f>
        <v>15.196206046459</v>
      </c>
      <c r="AP10" s="927"/>
      <c r="AQ10" s="928"/>
      <c r="AR10" s="928"/>
      <c r="AS10" s="927"/>
      <c r="AT10" s="926">
        <f>Model!AT883</f>
        <v>12.802314586582925</v>
      </c>
      <c r="AU10" s="970"/>
      <c r="AV10" s="928"/>
      <c r="AW10" s="928"/>
      <c r="AX10" s="928"/>
      <c r="AY10" s="929">
        <f>Model!AY883</f>
        <v>13.760805932703013</v>
      </c>
      <c r="AZ10" s="928"/>
      <c r="BA10" s="928"/>
      <c r="BB10" s="928"/>
      <c r="BC10" s="928"/>
      <c r="BD10" s="929">
        <f>Model!BD883</f>
        <v>12.447473393461552</v>
      </c>
      <c r="BE10" s="929">
        <f>Model!BE883</f>
        <v>11.200402982112905</v>
      </c>
      <c r="BF10" s="929">
        <f>Model!BF883</f>
        <v>10.072559820192511</v>
      </c>
      <c r="BG10" s="929">
        <f>Model!BG883</f>
        <v>8.9956785686772935</v>
      </c>
      <c r="BH10" s="349"/>
    </row>
    <row r="11" spans="1:60" x14ac:dyDescent="0.35">
      <c r="A11" s="930" t="str">
        <f>Model!A882</f>
        <v>P/E - Avg</v>
      </c>
      <c r="B11" s="925"/>
      <c r="C11" s="926">
        <f>Model!C882</f>
        <v>13.849870302223616</v>
      </c>
      <c r="D11" s="926">
        <f>Model!D882</f>
        <v>14.670506884944921</v>
      </c>
      <c r="E11" s="926">
        <f>Model!E882</f>
        <v>14.469812047630164</v>
      </c>
      <c r="F11" s="926">
        <f>Model!F882</f>
        <v>13.975792754275426</v>
      </c>
      <c r="G11" s="927"/>
      <c r="H11" s="927"/>
      <c r="I11" s="927"/>
      <c r="J11" s="927"/>
      <c r="K11" s="926">
        <f>Model!K882</f>
        <v>16.832714745653576</v>
      </c>
      <c r="L11" s="927"/>
      <c r="M11" s="927"/>
      <c r="N11" s="927"/>
      <c r="O11" s="927"/>
      <c r="P11" s="926">
        <f>Model!P882</f>
        <v>18.792565072639228</v>
      </c>
      <c r="Q11" s="927"/>
      <c r="R11" s="927"/>
      <c r="S11" s="927"/>
      <c r="T11" s="927"/>
      <c r="U11" s="926">
        <f>Model!U882</f>
        <v>20.443335195530729</v>
      </c>
      <c r="V11" s="927"/>
      <c r="W11" s="928"/>
      <c r="X11" s="928"/>
      <c r="Y11" s="927"/>
      <c r="Z11" s="926">
        <f>Model!Z882</f>
        <v>20.523381633663369</v>
      </c>
      <c r="AA11" s="927"/>
      <c r="AB11" s="928"/>
      <c r="AC11" s="928"/>
      <c r="AD11" s="927"/>
      <c r="AE11" s="926">
        <f>Model!AE882</f>
        <v>22.299227402135234</v>
      </c>
      <c r="AF11" s="927"/>
      <c r="AG11" s="928"/>
      <c r="AH11" s="928"/>
      <c r="AI11" s="927"/>
      <c r="AJ11" s="926">
        <f>Model!AJ882</f>
        <v>19.912037096032066</v>
      </c>
      <c r="AK11" s="927"/>
      <c r="AL11" s="928"/>
      <c r="AM11" s="928"/>
      <c r="AN11" s="927"/>
      <c r="AO11" s="926">
        <f>Model!AO882</f>
        <v>20.255357958974098</v>
      </c>
      <c r="AP11" s="927"/>
      <c r="AQ11" s="928"/>
      <c r="AR11" s="928"/>
      <c r="AS11" s="927"/>
      <c r="AT11" s="926">
        <f>Model!AT882</f>
        <v>18.276978027817123</v>
      </c>
      <c r="AU11" s="970"/>
      <c r="AV11" s="928"/>
      <c r="AW11" s="928"/>
      <c r="AX11" s="928"/>
      <c r="AY11" s="929">
        <f>Model!AY882</f>
        <v>19.122169249389042</v>
      </c>
      <c r="AZ11" s="928"/>
      <c r="BA11" s="928"/>
      <c r="BB11" s="928"/>
      <c r="BC11" s="928"/>
      <c r="BD11" s="929">
        <f>Model!BD882</f>
        <v>17.327806127329069</v>
      </c>
      <c r="BE11" s="929">
        <f>Model!BE882</f>
        <v>15.440662213445686</v>
      </c>
      <c r="BF11" s="929">
        <f>Model!BF882</f>
        <v>13.868588792392151</v>
      </c>
      <c r="BG11" s="929">
        <f>Model!BG882</f>
        <v>12.479747668813463</v>
      </c>
      <c r="BH11" s="349"/>
    </row>
    <row r="12" spans="1:60" x14ac:dyDescent="0.35">
      <c r="A12" s="979"/>
      <c r="B12" s="925"/>
      <c r="C12" s="929"/>
      <c r="D12" s="929"/>
      <c r="E12" s="929"/>
      <c r="F12" s="929"/>
      <c r="G12" s="927"/>
      <c r="H12" s="927"/>
      <c r="I12" s="927"/>
      <c r="J12" s="927"/>
      <c r="K12" s="929"/>
      <c r="L12" s="927"/>
      <c r="M12" s="927"/>
      <c r="N12" s="927"/>
      <c r="O12" s="927"/>
      <c r="P12" s="929"/>
      <c r="Q12" s="927"/>
      <c r="R12" s="927"/>
      <c r="S12" s="927"/>
      <c r="T12" s="927"/>
      <c r="U12" s="929"/>
      <c r="V12" s="927"/>
      <c r="W12" s="928"/>
      <c r="X12" s="928"/>
      <c r="Y12" s="927"/>
      <c r="Z12" s="929"/>
      <c r="AA12" s="927"/>
      <c r="AB12" s="928"/>
      <c r="AC12" s="928"/>
      <c r="AD12" s="927"/>
      <c r="AE12" s="929"/>
      <c r="AF12" s="927"/>
      <c r="AG12" s="928"/>
      <c r="AH12" s="928"/>
      <c r="AI12" s="927"/>
      <c r="AJ12" s="929"/>
      <c r="AK12" s="927"/>
      <c r="AL12" s="928"/>
      <c r="AM12" s="928"/>
      <c r="AN12" s="927"/>
      <c r="AO12" s="929"/>
      <c r="AP12" s="927"/>
      <c r="AQ12" s="928"/>
      <c r="AR12" s="928"/>
      <c r="AS12" s="927"/>
      <c r="AT12" s="929"/>
      <c r="AU12" s="970"/>
      <c r="AV12" s="928"/>
      <c r="AW12" s="928"/>
      <c r="AX12" s="928"/>
      <c r="AY12" s="929"/>
      <c r="AZ12" s="928"/>
      <c r="BA12" s="928"/>
      <c r="BB12" s="928"/>
      <c r="BC12" s="928"/>
      <c r="BD12" s="929"/>
      <c r="BE12" s="929"/>
      <c r="BF12" s="929"/>
      <c r="BG12" s="929"/>
      <c r="BH12" s="349"/>
    </row>
    <row r="13" spans="1:60" x14ac:dyDescent="0.35">
      <c r="A13" s="913" t="s">
        <v>1076</v>
      </c>
      <c r="B13" s="913"/>
      <c r="C13" s="913"/>
      <c r="D13" s="913"/>
      <c r="E13" s="913"/>
      <c r="F13" s="913"/>
      <c r="G13" s="913"/>
      <c r="H13" s="913"/>
      <c r="I13" s="913"/>
      <c r="J13" s="913"/>
      <c r="K13" s="913"/>
      <c r="L13" s="913"/>
      <c r="M13" s="913"/>
      <c r="N13" s="913"/>
      <c r="O13" s="913"/>
      <c r="P13" s="913"/>
      <c r="Q13" s="913"/>
      <c r="R13" s="913"/>
      <c r="S13" s="913"/>
      <c r="T13" s="913"/>
      <c r="U13" s="913"/>
      <c r="V13" s="913"/>
      <c r="W13" s="913"/>
      <c r="X13" s="913"/>
      <c r="Y13" s="913"/>
      <c r="Z13" s="913"/>
      <c r="AA13" s="913"/>
      <c r="AB13" s="913"/>
      <c r="AC13" s="913"/>
      <c r="AD13" s="913"/>
      <c r="AE13" s="913"/>
      <c r="AF13" s="913"/>
      <c r="AG13" s="913"/>
      <c r="AH13" s="913"/>
      <c r="AI13" s="913"/>
      <c r="AJ13" s="913"/>
      <c r="AK13" s="913"/>
      <c r="AL13" s="913"/>
      <c r="AM13" s="913"/>
      <c r="AN13" s="913"/>
      <c r="AO13" s="913"/>
      <c r="AP13" s="913"/>
      <c r="AQ13" s="913"/>
      <c r="AR13" s="913"/>
      <c r="AS13" s="913"/>
      <c r="AT13" s="913"/>
      <c r="AU13" s="967"/>
      <c r="AV13" s="913"/>
      <c r="AW13" s="913"/>
      <c r="AX13" s="913"/>
      <c r="AY13" s="913"/>
      <c r="AZ13" s="913"/>
      <c r="BA13" s="913"/>
      <c r="BB13" s="913"/>
      <c r="BC13" s="913"/>
      <c r="BD13" s="913"/>
      <c r="BE13" s="913"/>
      <c r="BF13" s="913"/>
      <c r="BG13" s="913"/>
      <c r="BH13" s="349"/>
    </row>
    <row r="14" spans="1:60" hidden="1" outlineLevel="1" x14ac:dyDescent="0.35">
      <c r="A14" s="426" t="s">
        <v>68</v>
      </c>
      <c r="B14" s="427"/>
      <c r="C14" s="112">
        <f>Model!C804</f>
        <v>4814</v>
      </c>
      <c r="D14" s="112">
        <f>Model!D804</f>
        <v>5918</v>
      </c>
      <c r="E14" s="112">
        <f>Model!E804</f>
        <v>6178</v>
      </c>
      <c r="F14" s="112">
        <f>Model!F804</f>
        <v>6483</v>
      </c>
      <c r="G14" s="111">
        <f>Model!G804</f>
        <v>1646</v>
      </c>
      <c r="H14" s="111">
        <f>Model!H804</f>
        <v>1702</v>
      </c>
      <c r="I14" s="111">
        <f>Model!I804</f>
        <v>1739</v>
      </c>
      <c r="J14" s="111">
        <f>Model!J804</f>
        <v>1579</v>
      </c>
      <c r="K14" s="112">
        <f>Model!K804</f>
        <v>6666</v>
      </c>
      <c r="L14" s="111">
        <f>Model!L804</f>
        <v>1716</v>
      </c>
      <c r="M14" s="111">
        <f>Model!M804</f>
        <v>1856</v>
      </c>
      <c r="N14" s="111">
        <f>Model!N804</f>
        <v>1901</v>
      </c>
      <c r="O14" s="111">
        <f>Model!O804</f>
        <v>1662</v>
      </c>
      <c r="P14" s="112">
        <f>Model!P804</f>
        <v>7135</v>
      </c>
      <c r="Q14" s="111">
        <f>Model!Q804</f>
        <v>1730</v>
      </c>
      <c r="R14" s="111">
        <f>Model!R804</f>
        <v>1840</v>
      </c>
      <c r="S14" s="111">
        <f>Model!S804</f>
        <v>1876</v>
      </c>
      <c r="T14" s="111">
        <f>Model!T804</f>
        <v>1500</v>
      </c>
      <c r="U14" s="112">
        <f>Model!U804</f>
        <v>6946</v>
      </c>
      <c r="V14" s="111">
        <f>Model!V804</f>
        <v>1788</v>
      </c>
      <c r="W14" s="111">
        <f>Model!W804</f>
        <v>1866</v>
      </c>
      <c r="X14" s="111">
        <f>Model!X804</f>
        <v>1904</v>
      </c>
      <c r="Y14" s="111">
        <f>Model!Y804</f>
        <v>1665</v>
      </c>
      <c r="Z14" s="112">
        <f>Model!Z804</f>
        <v>7223</v>
      </c>
      <c r="AA14" s="111">
        <f>Model!AA804</f>
        <v>1742</v>
      </c>
      <c r="AB14" s="111">
        <f>Model!AB804</f>
        <v>2153</v>
      </c>
      <c r="AC14" s="111">
        <f>Model!AC804</f>
        <v>2008</v>
      </c>
      <c r="AD14" s="111">
        <f>Model!AD804</f>
        <v>1789</v>
      </c>
      <c r="AE14" s="112">
        <f>Model!AE804</f>
        <v>7692</v>
      </c>
      <c r="AF14" s="111">
        <f>Model!AF804</f>
        <v>1904</v>
      </c>
      <c r="AG14" s="111">
        <f>Model!AG804</f>
        <v>2401</v>
      </c>
      <c r="AH14" s="111">
        <f>Model!AH804</f>
        <v>2016</v>
      </c>
      <c r="AI14" s="111">
        <f>Model!AI804</f>
        <v>1783</v>
      </c>
      <c r="AJ14" s="112">
        <f>Model!AJ804</f>
        <v>8104</v>
      </c>
      <c r="AK14" s="111">
        <f>Model!AK804</f>
        <v>1676</v>
      </c>
      <c r="AL14" s="111">
        <f>Model!AL804</f>
        <v>1702</v>
      </c>
      <c r="AM14" s="111">
        <f>Model!AM804</f>
        <v>1905</v>
      </c>
      <c r="AN14" s="111">
        <f>Model!AN804</f>
        <v>1539</v>
      </c>
      <c r="AO14" s="112">
        <f>Model!AO804</f>
        <v>6822</v>
      </c>
      <c r="AP14" s="111">
        <f>Model!AP804</f>
        <v>1678</v>
      </c>
      <c r="AQ14" s="111">
        <f>Model!AQ804</f>
        <v>1408</v>
      </c>
      <c r="AR14" s="111">
        <f>Model!AR804</f>
        <v>1909</v>
      </c>
      <c r="AS14" s="111">
        <f>Model!AS804</f>
        <v>1849</v>
      </c>
      <c r="AT14" s="112">
        <f>Model!AT804</f>
        <v>6844</v>
      </c>
      <c r="AU14" s="792">
        <f>Model!AU804</f>
        <v>1994</v>
      </c>
      <c r="AV14" s="111">
        <f>Model!AV804</f>
        <v>1695.9743848000003</v>
      </c>
      <c r="AW14" s="111">
        <f>Model!AW804</f>
        <v>2037.691568</v>
      </c>
      <c r="AX14" s="111">
        <f>Model!AX804</f>
        <v>2140.0658084000002</v>
      </c>
      <c r="AY14" s="112">
        <f>Model!AY804</f>
        <v>7867.7317612000006</v>
      </c>
      <c r="AZ14" s="111">
        <f>Model!AZ804</f>
        <v>2258.7461348000006</v>
      </c>
      <c r="BA14" s="111">
        <f>Model!BA804</f>
        <v>1975.6010443520001</v>
      </c>
      <c r="BB14" s="111">
        <f>Model!BB804</f>
        <v>2116.9490585920003</v>
      </c>
      <c r="BC14" s="111">
        <f>Model!BC804</f>
        <v>2340.4050496119999</v>
      </c>
      <c r="BD14" s="112">
        <f>Model!BD804</f>
        <v>8691.7012873560016</v>
      </c>
      <c r="BE14" s="112">
        <f>Model!BE804</f>
        <v>9495.5891532131791</v>
      </c>
      <c r="BF14" s="112">
        <f>Model!BF804</f>
        <v>10367.758610940777</v>
      </c>
      <c r="BG14" s="112">
        <f>Model!BG804</f>
        <v>11313.838469852113</v>
      </c>
      <c r="BH14" s="349"/>
    </row>
    <row r="15" spans="1:60" hidden="1" outlineLevel="1" x14ac:dyDescent="0.35">
      <c r="A15" s="316" t="s">
        <v>1077</v>
      </c>
      <c r="B15" s="317"/>
      <c r="C15" s="108">
        <f>-(Model!C813+Model!C814)</f>
        <v>-1388</v>
      </c>
      <c r="D15" s="108">
        <f>-(Model!D813+Model!D814)</f>
        <v>-1592</v>
      </c>
      <c r="E15" s="108">
        <f>-(Model!E813+Model!E814)</f>
        <v>-1674</v>
      </c>
      <c r="F15" s="108">
        <f>-(Model!F813+Model!F814)</f>
        <v>-1840</v>
      </c>
      <c r="G15" s="203">
        <f>-(Model!G813+Model!G814)</f>
        <v>-470</v>
      </c>
      <c r="H15" s="203">
        <f>-(Model!H813+Model!H814)</f>
        <v>-458</v>
      </c>
      <c r="I15" s="203">
        <f>-(Model!I813+Model!I814)</f>
        <v>-471</v>
      </c>
      <c r="J15" s="203">
        <f>-(Model!J813+Model!J814)</f>
        <v>-442</v>
      </c>
      <c r="K15" s="108">
        <f>-(Model!K813+Model!K814)</f>
        <v>-1841</v>
      </c>
      <c r="L15" s="203">
        <f>-(Model!L813+Model!L814)</f>
        <v>-463</v>
      </c>
      <c r="M15" s="203">
        <f>-(Model!M813+Model!M814)</f>
        <v>-537</v>
      </c>
      <c r="N15" s="203">
        <f>-(Model!N813+Model!N814)</f>
        <v>-569</v>
      </c>
      <c r="O15" s="203">
        <f>-(Model!O813+Model!O814)</f>
        <v>-459</v>
      </c>
      <c r="P15" s="108">
        <f>-(Model!P813+Model!P814)</f>
        <v>-2028</v>
      </c>
      <c r="Q15" s="203">
        <f>-(Model!Q813+Model!Q814)</f>
        <v>-502</v>
      </c>
      <c r="R15" s="203">
        <f>-(Model!R813+Model!R814)</f>
        <v>-509</v>
      </c>
      <c r="S15" s="203">
        <f>-(Model!S813+Model!S814)</f>
        <v>-547</v>
      </c>
      <c r="T15" s="203">
        <f>-(Model!T813+Model!T814)</f>
        <v>-424</v>
      </c>
      <c r="U15" s="108">
        <f>-(Model!U813+Model!U814)</f>
        <v>-1982</v>
      </c>
      <c r="V15" s="203">
        <f>-(Model!V813+Model!V814)</f>
        <v>-468</v>
      </c>
      <c r="W15" s="203">
        <f>-(Model!W813+Model!W814)</f>
        <v>-542</v>
      </c>
      <c r="X15" s="203">
        <f>-(Model!X813+Model!X814)</f>
        <v>-531</v>
      </c>
      <c r="Y15" s="203">
        <f>-(Model!Y813+Model!Y814)</f>
        <v>-454</v>
      </c>
      <c r="Z15" s="108">
        <f>-(Model!Z813+Model!Z814)</f>
        <v>-1995</v>
      </c>
      <c r="AA15" s="203">
        <f>-(Model!AA813+Model!AA814)</f>
        <v>-411</v>
      </c>
      <c r="AB15" s="203">
        <f>-(Model!AB813+Model!AB814)</f>
        <v>-557</v>
      </c>
      <c r="AC15" s="203">
        <f>-(Model!AC813+Model!AC814)</f>
        <v>-564</v>
      </c>
      <c r="AD15" s="203">
        <f>-(Model!AD813+Model!AD814)</f>
        <v>-1147</v>
      </c>
      <c r="AE15" s="108">
        <f>-(Model!AE813+Model!AE814)</f>
        <v>-2679</v>
      </c>
      <c r="AF15" s="203">
        <f>-(Model!AF813+Model!AF814)</f>
        <v>-359</v>
      </c>
      <c r="AG15" s="203">
        <f>-(Model!AG813+Model!AG814)</f>
        <v>-488</v>
      </c>
      <c r="AH15" s="203">
        <f>-(Model!AH813+Model!AH814)</f>
        <v>-419</v>
      </c>
      <c r="AI15" s="203">
        <f>-(Model!AI813+Model!AI814)</f>
        <v>-371</v>
      </c>
      <c r="AJ15" s="108">
        <f>-(Model!AJ813+Model!AJ814)</f>
        <v>-1637</v>
      </c>
      <c r="AK15" s="203">
        <f>-(Model!AK813+Model!AK814)</f>
        <v>-195</v>
      </c>
      <c r="AL15" s="203">
        <f>-(Model!AL813+Model!AL814)</f>
        <v>-315</v>
      </c>
      <c r="AM15" s="203">
        <f>-(Model!AM813+Model!AM814)</f>
        <v>-378</v>
      </c>
      <c r="AN15" s="203">
        <f>-(Model!AN813+Model!AN814)</f>
        <v>-242</v>
      </c>
      <c r="AO15" s="108">
        <f>-(Model!AO813+Model!AO814)</f>
        <v>-1130</v>
      </c>
      <c r="AP15" s="203">
        <f>-(Model!AP813+Model!AP814)</f>
        <v>-273</v>
      </c>
      <c r="AQ15" s="203">
        <f>-(Model!AQ813+Model!AQ814)</f>
        <v>-342</v>
      </c>
      <c r="AR15" s="203">
        <f>-(Model!AR813+Model!AR814)</f>
        <v>-387</v>
      </c>
      <c r="AS15" s="203">
        <f>-(Model!AS813+Model!AS814)</f>
        <v>-316</v>
      </c>
      <c r="AT15" s="108">
        <f>-(Model!AT813+Model!AT814)</f>
        <v>-1318</v>
      </c>
      <c r="AU15" s="790">
        <f>-(Model!AU813+Model!AU814)</f>
        <v>-319</v>
      </c>
      <c r="AV15" s="203">
        <f>-(Model!AV813+Model!AV814)</f>
        <v>-330.15449721895891</v>
      </c>
      <c r="AW15" s="203">
        <f>-(Model!AW813+Model!AW814)</f>
        <v>-401.42479415762085</v>
      </c>
      <c r="AX15" s="203">
        <f>-(Model!AX813+Model!AX814)</f>
        <v>-423.08804259885426</v>
      </c>
      <c r="AY15" s="108">
        <f>-(Model!AY813+Model!AY814)</f>
        <v>-1473.6673339754341</v>
      </c>
      <c r="AZ15" s="203">
        <f>-(Model!AZ813+Model!AZ814)</f>
        <v>-448.68440786392154</v>
      </c>
      <c r="BA15" s="203">
        <f>-(Model!BA813+Model!BA814)</f>
        <v>-389.01890516904007</v>
      </c>
      <c r="BB15" s="203">
        <f>-(Model!BB813+Model!BB814)</f>
        <v>-418.28184159551938</v>
      </c>
      <c r="BC15" s="203">
        <f>-(Model!BC813+Model!BC814)</f>
        <v>-465.39330098101738</v>
      </c>
      <c r="BD15" s="108">
        <f>-(Model!BD813+Model!BD814)</f>
        <v>-1721.3784556094984</v>
      </c>
      <c r="BE15" s="108">
        <f>-(Model!BE813+Model!BE814)</f>
        <v>-1891.0569495176362</v>
      </c>
      <c r="BF15" s="108">
        <f>-(Model!BF813+Model!BF814)</f>
        <v>-2076.1924302128255</v>
      </c>
      <c r="BG15" s="108">
        <f>-(Model!BG813+Model!BG814)</f>
        <v>-2277.7530844128555</v>
      </c>
      <c r="BH15" s="349"/>
    </row>
    <row r="16" spans="1:60" hidden="1" outlineLevel="1" x14ac:dyDescent="0.35">
      <c r="A16" s="316" t="s">
        <v>65</v>
      </c>
      <c r="B16" s="317"/>
      <c r="C16" s="108">
        <f>Model!C799+Model!C800</f>
        <v>1157</v>
      </c>
      <c r="D16" s="108">
        <f>Model!D799+Model!D800</f>
        <v>1120</v>
      </c>
      <c r="E16" s="108">
        <f>Model!E799+Model!E800</f>
        <v>1236</v>
      </c>
      <c r="F16" s="108">
        <f>Model!F799+Model!F800</f>
        <v>1288</v>
      </c>
      <c r="G16" s="203">
        <f>Model!G799+Model!G800</f>
        <v>336</v>
      </c>
      <c r="H16" s="203">
        <f>Model!H799+Model!H800</f>
        <v>335</v>
      </c>
      <c r="I16" s="203">
        <f>Model!I799+Model!I800</f>
        <v>343</v>
      </c>
      <c r="J16" s="203">
        <f>Model!J799+Model!J800</f>
        <v>357</v>
      </c>
      <c r="K16" s="108">
        <f>Model!K799+Model!K800</f>
        <v>1371</v>
      </c>
      <c r="L16" s="203">
        <f>Model!L799+Model!L800</f>
        <v>350</v>
      </c>
      <c r="M16" s="203">
        <f>Model!M799+Model!M800</f>
        <v>358</v>
      </c>
      <c r="N16" s="203">
        <f>Model!N799+Model!N800</f>
        <v>350</v>
      </c>
      <c r="O16" s="203">
        <f>Model!O799+Model!O800</f>
        <v>350</v>
      </c>
      <c r="P16" s="108">
        <f>Model!P799+Model!P800</f>
        <v>1408</v>
      </c>
      <c r="Q16" s="203">
        <f>Model!Q799+Model!Q800</f>
        <v>339</v>
      </c>
      <c r="R16" s="203">
        <f>Model!R799+Model!R800</f>
        <v>344</v>
      </c>
      <c r="S16" s="203">
        <f>Model!S799+Model!S800</f>
        <v>355</v>
      </c>
      <c r="T16" s="203">
        <f>Model!T799+Model!T800</f>
        <v>397</v>
      </c>
      <c r="U16" s="108">
        <f>Model!U799+Model!U800</f>
        <v>1435</v>
      </c>
      <c r="V16" s="203">
        <f>Model!V799+Model!V800</f>
        <v>356</v>
      </c>
      <c r="W16" s="203">
        <f>Model!W799+Model!W800</f>
        <v>366</v>
      </c>
      <c r="X16" s="203">
        <f>Model!X799+Model!X800</f>
        <v>368</v>
      </c>
      <c r="Y16" s="203">
        <f>Model!Y799+Model!Y800</f>
        <v>384</v>
      </c>
      <c r="Z16" s="108">
        <f>Model!Z799+Model!Z800</f>
        <v>1474</v>
      </c>
      <c r="AA16" s="203">
        <f>Model!AA799+Model!AA800</f>
        <v>438</v>
      </c>
      <c r="AB16" s="203">
        <f>Model!AB799+Model!AB800</f>
        <v>380</v>
      </c>
      <c r="AC16" s="203">
        <f>Model!AC799+Model!AC800</f>
        <v>377</v>
      </c>
      <c r="AD16" s="203">
        <f>Model!AD799+Model!AD800</f>
        <v>349</v>
      </c>
      <c r="AE16" s="108">
        <f>Model!AE799+Model!AE800</f>
        <v>1544</v>
      </c>
      <c r="AF16" s="203">
        <f>Model!AF799+Model!AF800</f>
        <v>382</v>
      </c>
      <c r="AG16" s="203">
        <f>Model!AG799+Model!AG800</f>
        <v>380</v>
      </c>
      <c r="AH16" s="203">
        <f>Model!AH799+Model!AH800</f>
        <v>355</v>
      </c>
      <c r="AI16" s="203">
        <f>Model!AI799+Model!AI800</f>
        <v>371</v>
      </c>
      <c r="AJ16" s="108">
        <f>Model!AJ799+Model!AJ800</f>
        <v>1488</v>
      </c>
      <c r="AK16" s="203">
        <f>Model!AK799+Model!AK800</f>
        <v>375</v>
      </c>
      <c r="AL16" s="203">
        <f>Model!AL799+Model!AL800</f>
        <v>376</v>
      </c>
      <c r="AM16" s="203">
        <f>Model!AM799+Model!AM800</f>
        <v>379</v>
      </c>
      <c r="AN16" s="203">
        <f>Model!AN799+Model!AN800</f>
        <v>463</v>
      </c>
      <c r="AO16" s="108">
        <f>Model!AO799+Model!AO800</f>
        <v>1593</v>
      </c>
      <c r="AP16" s="203">
        <f>Model!AP799+Model!AP800</f>
        <v>440</v>
      </c>
      <c r="AQ16" s="203">
        <f>Model!AQ799+Model!AQ800</f>
        <v>492</v>
      </c>
      <c r="AR16" s="203">
        <f>Model!AR799+Model!AR800</f>
        <v>481</v>
      </c>
      <c r="AS16" s="203">
        <f>Model!AS799+Model!AS800</f>
        <v>498</v>
      </c>
      <c r="AT16" s="108">
        <f>Model!AT799+Model!AT800</f>
        <v>1911</v>
      </c>
      <c r="AU16" s="790">
        <f>Model!AU799+Model!AU800</f>
        <v>460</v>
      </c>
      <c r="AV16" s="203">
        <f>Model!AV799+Model!AV800</f>
        <v>425</v>
      </c>
      <c r="AW16" s="203">
        <f>Model!AW799+Model!AW800</f>
        <v>425</v>
      </c>
      <c r="AX16" s="203">
        <f>Model!AX799+Model!AX800</f>
        <v>425</v>
      </c>
      <c r="AY16" s="108">
        <f>Model!AY799+Model!AY800</f>
        <v>1735</v>
      </c>
      <c r="AZ16" s="203">
        <f>Model!AZ799+Model!AZ800</f>
        <v>425</v>
      </c>
      <c r="BA16" s="203">
        <f>Model!BA799+Model!BA800</f>
        <v>425</v>
      </c>
      <c r="BB16" s="203">
        <f>Model!BB799+Model!BB800</f>
        <v>425</v>
      </c>
      <c r="BC16" s="203">
        <f>Model!BC799+Model!BC800</f>
        <v>425</v>
      </c>
      <c r="BD16" s="108">
        <f>Model!BD799+Model!BD800</f>
        <v>1700</v>
      </c>
      <c r="BE16" s="108">
        <f>Model!BE799+Model!BE800</f>
        <v>1700</v>
      </c>
      <c r="BF16" s="108">
        <f>Model!BF799+Model!BF800</f>
        <v>1700</v>
      </c>
      <c r="BG16" s="108">
        <f>Model!BG799+Model!BG800</f>
        <v>1700</v>
      </c>
      <c r="BH16" s="349"/>
    </row>
    <row r="17" spans="1:60" hidden="1" outlineLevel="1" x14ac:dyDescent="0.35">
      <c r="A17" s="350" t="s">
        <v>94</v>
      </c>
      <c r="B17" s="317"/>
      <c r="C17" s="108">
        <f>Model!C842</f>
        <v>-903</v>
      </c>
      <c r="D17" s="108">
        <f>Model!D842</f>
        <v>-1091</v>
      </c>
      <c r="E17" s="108">
        <f>Model!E842</f>
        <v>-1379</v>
      </c>
      <c r="F17" s="108">
        <f>Model!F842</f>
        <v>-1484</v>
      </c>
      <c r="G17" s="203">
        <f>Model!G842</f>
        <v>-324</v>
      </c>
      <c r="H17" s="203">
        <f>Model!H842</f>
        <v>-394</v>
      </c>
      <c r="I17" s="203">
        <f>Model!I842</f>
        <v>-404</v>
      </c>
      <c r="J17" s="203">
        <f>Model!J842</f>
        <v>-543</v>
      </c>
      <c r="K17" s="108">
        <f>Model!K842</f>
        <v>-1665</v>
      </c>
      <c r="L17" s="203">
        <f>Model!L842</f>
        <v>-293</v>
      </c>
      <c r="M17" s="203">
        <f>Model!M842</f>
        <v>-341</v>
      </c>
      <c r="N17" s="203">
        <f>Model!N842</f>
        <v>-369</v>
      </c>
      <c r="O17" s="203">
        <f>Model!O842</f>
        <v>-490</v>
      </c>
      <c r="P17" s="108">
        <f>Model!P842</f>
        <v>-1493</v>
      </c>
      <c r="Q17" s="203">
        <f>Model!Q842</f>
        <v>-291</v>
      </c>
      <c r="R17" s="203">
        <f>Model!R842</f>
        <v>-370</v>
      </c>
      <c r="S17" s="203">
        <f>Model!S842</f>
        <v>-354</v>
      </c>
      <c r="T17" s="203">
        <f>Model!T842</f>
        <v>-446</v>
      </c>
      <c r="U17" s="108">
        <f>Model!U842</f>
        <v>-1461</v>
      </c>
      <c r="V17" s="203">
        <f>Model!V842</f>
        <v>-314</v>
      </c>
      <c r="W17" s="203">
        <f>Model!W842</f>
        <v>-323</v>
      </c>
      <c r="X17" s="203">
        <f>Model!X842</f>
        <v>-347</v>
      </c>
      <c r="Y17" s="203">
        <f>Model!Y842</f>
        <v>-436</v>
      </c>
      <c r="Z17" s="108">
        <f>Model!Z842</f>
        <v>-1420</v>
      </c>
      <c r="AA17" s="203">
        <f>Model!AA842</f>
        <v>-287</v>
      </c>
      <c r="AB17" s="203">
        <f>Model!AB842</f>
        <v>-302</v>
      </c>
      <c r="AC17" s="203">
        <f>Model!AC842</f>
        <v>-325</v>
      </c>
      <c r="AD17" s="203">
        <f>Model!AD842</f>
        <v>-459</v>
      </c>
      <c r="AE17" s="108">
        <f>Model!AE842</f>
        <v>-1373</v>
      </c>
      <c r="AF17" s="203">
        <f>Model!AF842</f>
        <v>-304</v>
      </c>
      <c r="AG17" s="203">
        <f>Model!AG842</f>
        <v>-365</v>
      </c>
      <c r="AH17" s="203">
        <f>Model!AH842</f>
        <v>-377</v>
      </c>
      <c r="AI17" s="203">
        <f>Model!AI842</f>
        <v>-531</v>
      </c>
      <c r="AJ17" s="108">
        <f>Model!AJ842</f>
        <v>-1577</v>
      </c>
      <c r="AK17" s="203">
        <f>Model!AK842</f>
        <v>-391</v>
      </c>
      <c r="AL17" s="203">
        <f>Model!AL842</f>
        <v>-421</v>
      </c>
      <c r="AM17" s="203">
        <f>Model!AM842</f>
        <v>-349</v>
      </c>
      <c r="AN17" s="203">
        <f>Model!AN842</f>
        <v>-538</v>
      </c>
      <c r="AO17" s="108">
        <f>Model!AO842</f>
        <v>-1699</v>
      </c>
      <c r="AP17" s="203">
        <f>Model!AP842</f>
        <v>-332</v>
      </c>
      <c r="AQ17" s="203">
        <f>Model!AQ842</f>
        <v>-379</v>
      </c>
      <c r="AR17" s="203">
        <f>Model!AR842</f>
        <v>-368</v>
      </c>
      <c r="AS17" s="203">
        <f>Model!AS842</f>
        <v>-422</v>
      </c>
      <c r="AT17" s="108">
        <f>Model!AT842</f>
        <v>-1501</v>
      </c>
      <c r="AU17" s="790">
        <f>Model!AU842</f>
        <v>-310</v>
      </c>
      <c r="AV17" s="203">
        <f>Model!AV842</f>
        <v>-475</v>
      </c>
      <c r="AW17" s="203">
        <f>Model!AW842</f>
        <v>-475</v>
      </c>
      <c r="AX17" s="203">
        <f>Model!AX842</f>
        <v>-475</v>
      </c>
      <c r="AY17" s="108">
        <f>Model!AY842</f>
        <v>-1735</v>
      </c>
      <c r="AZ17" s="203">
        <f>Model!AZ842</f>
        <v>-475</v>
      </c>
      <c r="BA17" s="203">
        <f>Model!BA842</f>
        <v>-475</v>
      </c>
      <c r="BB17" s="203">
        <f>Model!BB842</f>
        <v>-475</v>
      </c>
      <c r="BC17" s="203">
        <f>Model!BC842</f>
        <v>-475</v>
      </c>
      <c r="BD17" s="108">
        <f>Model!BD842</f>
        <v>-1900</v>
      </c>
      <c r="BE17" s="108">
        <f>Model!BE842</f>
        <v>-1900</v>
      </c>
      <c r="BF17" s="108">
        <f>Model!BF842</f>
        <v>-1900</v>
      </c>
      <c r="BG17" s="108">
        <f>Model!BG842</f>
        <v>-1900</v>
      </c>
      <c r="BH17" s="349"/>
    </row>
    <row r="18" spans="1:60" hidden="1" outlineLevel="1" x14ac:dyDescent="0.35">
      <c r="A18" s="316" t="s">
        <v>1078</v>
      </c>
      <c r="B18" s="317"/>
      <c r="C18" s="108">
        <f>Model!C959-Model!C966</f>
        <v>-205</v>
      </c>
      <c r="D18" s="108">
        <f>Model!D959-Model!D966</f>
        <v>-136</v>
      </c>
      <c r="E18" s="108">
        <f>Model!E959-Model!E966</f>
        <v>659</v>
      </c>
      <c r="F18" s="108">
        <f>Model!F959-Model!F966</f>
        <v>197</v>
      </c>
      <c r="G18" s="203">
        <f>Model!G959-Model!G966</f>
        <v>689</v>
      </c>
      <c r="H18" s="203">
        <f>Model!H959-Model!H966</f>
        <v>-91</v>
      </c>
      <c r="I18" s="203">
        <f>Model!I959-Model!I966</f>
        <v>301</v>
      </c>
      <c r="J18" s="203">
        <f>Model!J959-Model!J966</f>
        <v>-572</v>
      </c>
      <c r="K18" s="108">
        <f>Model!K959-Model!K966</f>
        <v>327</v>
      </c>
      <c r="L18" s="203">
        <f>Model!L959-Model!L966</f>
        <v>527</v>
      </c>
      <c r="M18" s="203">
        <f>Model!M959-Model!M966</f>
        <v>117</v>
      </c>
      <c r="N18" s="203">
        <f>Model!N959-Model!N966</f>
        <v>10</v>
      </c>
      <c r="O18" s="203">
        <f>Model!O959-Model!O966</f>
        <v>-731</v>
      </c>
      <c r="P18" s="108">
        <f>Model!P959-Model!P966</f>
        <v>-77</v>
      </c>
      <c r="Q18" s="203">
        <f>Model!Q959-Model!Q966</f>
        <v>584</v>
      </c>
      <c r="R18" s="203">
        <f>Model!R959-Model!R966</f>
        <v>636</v>
      </c>
      <c r="S18" s="203">
        <f>Model!S959-Model!S966</f>
        <v>229</v>
      </c>
      <c r="T18" s="203">
        <f>Model!T959-Model!T966</f>
        <v>-787</v>
      </c>
      <c r="U18" s="108">
        <f>Model!U959-Model!U966</f>
        <v>662</v>
      </c>
      <c r="V18" s="203">
        <f>Model!V959-Model!V966</f>
        <v>483</v>
      </c>
      <c r="W18" s="203">
        <f>Model!W959-Model!W966</f>
        <v>345</v>
      </c>
      <c r="X18" s="203">
        <f>Model!X959-Model!X966</f>
        <v>-288</v>
      </c>
      <c r="Y18" s="203">
        <f>Model!Y959-Model!Y966</f>
        <v>-497</v>
      </c>
      <c r="Z18" s="108">
        <f>Model!Z959-Model!Z966</f>
        <v>43</v>
      </c>
      <c r="AA18" s="203">
        <f>Model!AA959-Model!AA966</f>
        <v>643</v>
      </c>
      <c r="AB18" s="203">
        <f>Model!AB959-Model!AB966</f>
        <v>-64</v>
      </c>
      <c r="AC18" s="203">
        <f>Model!AC959-Model!AC966</f>
        <v>180</v>
      </c>
      <c r="AD18" s="203">
        <f>Model!AD959-Model!AD966</f>
        <v>-1374</v>
      </c>
      <c r="AE18" s="108">
        <f>Model!AE959-Model!AE966</f>
        <v>-615</v>
      </c>
      <c r="AF18" s="203">
        <f>Model!AF959-Model!AF966</f>
        <v>747</v>
      </c>
      <c r="AG18" s="203">
        <f>Model!AG959-Model!AG966</f>
        <v>61</v>
      </c>
      <c r="AH18" s="203">
        <f>Model!AH959-Model!AH966</f>
        <v>-200</v>
      </c>
      <c r="AI18" s="203">
        <f>Model!AI959-Model!AI966</f>
        <v>-456</v>
      </c>
      <c r="AJ18" s="108">
        <f>Model!AJ959-Model!AJ966</f>
        <v>152</v>
      </c>
      <c r="AK18" s="203">
        <f>Model!AK959-Model!AK966</f>
        <v>312</v>
      </c>
      <c r="AL18" s="203">
        <f>Model!AL959-Model!AL966</f>
        <v>106</v>
      </c>
      <c r="AM18" s="203">
        <f>Model!AM959-Model!AM966</f>
        <v>-102</v>
      </c>
      <c r="AN18" s="203">
        <f>Model!AN959-Model!AN966</f>
        <v>-1008</v>
      </c>
      <c r="AO18" s="108">
        <f>Model!AO959-Model!AO966</f>
        <v>-692</v>
      </c>
      <c r="AP18" s="203">
        <f>Model!AP959-Model!AP966</f>
        <v>727</v>
      </c>
      <c r="AQ18" s="203">
        <f>Model!AQ959-Model!AQ966</f>
        <v>-388</v>
      </c>
      <c r="AR18" s="203">
        <f>Model!AR959-Model!AR966</f>
        <v>-583</v>
      </c>
      <c r="AS18" s="203">
        <f>Model!AS959-Model!AS966</f>
        <v>-612</v>
      </c>
      <c r="AT18" s="108">
        <f>Model!AT959-Model!AT966</f>
        <v>-856</v>
      </c>
      <c r="AU18" s="790">
        <f>Model!AU959-Model!AU966</f>
        <v>546</v>
      </c>
      <c r="AV18" s="203">
        <f>Model!AV959-Model!AV966</f>
        <v>562.3433293400949</v>
      </c>
      <c r="AW18" s="203">
        <f>Model!AW959-Model!AW966</f>
        <v>-321.62069601517078</v>
      </c>
      <c r="AX18" s="203">
        <f>Model!AX959-Model!AX966</f>
        <v>-41.508645884456655</v>
      </c>
      <c r="AY18" s="108">
        <f>Model!AY959-Model!AY966</f>
        <v>745.21398744046746</v>
      </c>
      <c r="AZ18" s="203">
        <f>Model!AZ959-Model!AZ966</f>
        <v>216.77798798429058</v>
      </c>
      <c r="BA18" s="203">
        <f>Model!BA959-Model!BA966</f>
        <v>587.98031193138081</v>
      </c>
      <c r="BB18" s="203">
        <f>Model!BB959-Model!BB966</f>
        <v>-308.62326010572815</v>
      </c>
      <c r="BC18" s="203">
        <f>Model!BC959-Model!BC966</f>
        <v>-11.195064046803964</v>
      </c>
      <c r="BD18" s="108">
        <f>Model!BD959-Model!BD966</f>
        <v>484.93997576313996</v>
      </c>
      <c r="BE18" s="108">
        <f>Model!BE959-Model!BE966</f>
        <v>503.66974802534423</v>
      </c>
      <c r="BF18" s="108">
        <f>Model!BF959-Model!BF966</f>
        <v>537.49662999117754</v>
      </c>
      <c r="BG18" s="108">
        <f>Model!BG959-Model!BG966</f>
        <v>573.6765016402951</v>
      </c>
      <c r="BH18" s="349"/>
    </row>
    <row r="19" spans="1:60" hidden="1" outlineLevel="1" x14ac:dyDescent="0.35">
      <c r="A19" s="318" t="s">
        <v>1079</v>
      </c>
      <c r="B19" s="319"/>
      <c r="C19" s="110">
        <f t="shared" ref="C19:AH19" si="0">C14+C15+C16+C17+C18</f>
        <v>3475</v>
      </c>
      <c r="D19" s="110">
        <f t="shared" si="0"/>
        <v>4219</v>
      </c>
      <c r="E19" s="110">
        <f t="shared" si="0"/>
        <v>5020</v>
      </c>
      <c r="F19" s="110">
        <f t="shared" si="0"/>
        <v>4644</v>
      </c>
      <c r="G19" s="109">
        <f t="shared" si="0"/>
        <v>1877</v>
      </c>
      <c r="H19" s="109">
        <f t="shared" si="0"/>
        <v>1094</v>
      </c>
      <c r="I19" s="109">
        <f t="shared" si="0"/>
        <v>1508</v>
      </c>
      <c r="J19" s="109">
        <f t="shared" si="0"/>
        <v>379</v>
      </c>
      <c r="K19" s="110">
        <f t="shared" si="0"/>
        <v>4858</v>
      </c>
      <c r="L19" s="109">
        <f t="shared" si="0"/>
        <v>1837</v>
      </c>
      <c r="M19" s="109">
        <f t="shared" si="0"/>
        <v>1453</v>
      </c>
      <c r="N19" s="109">
        <f t="shared" si="0"/>
        <v>1323</v>
      </c>
      <c r="O19" s="109">
        <f t="shared" si="0"/>
        <v>332</v>
      </c>
      <c r="P19" s="110">
        <f t="shared" si="0"/>
        <v>4945</v>
      </c>
      <c r="Q19" s="109">
        <f t="shared" si="0"/>
        <v>1860</v>
      </c>
      <c r="R19" s="109">
        <f t="shared" si="0"/>
        <v>1941</v>
      </c>
      <c r="S19" s="109">
        <f t="shared" si="0"/>
        <v>1559</v>
      </c>
      <c r="T19" s="109">
        <f t="shared" si="0"/>
        <v>240</v>
      </c>
      <c r="U19" s="110">
        <f t="shared" si="0"/>
        <v>5600</v>
      </c>
      <c r="V19" s="109">
        <f t="shared" si="0"/>
        <v>1845</v>
      </c>
      <c r="W19" s="109">
        <f t="shared" si="0"/>
        <v>1712</v>
      </c>
      <c r="X19" s="109">
        <f t="shared" si="0"/>
        <v>1106</v>
      </c>
      <c r="Y19" s="109">
        <f t="shared" si="0"/>
        <v>662</v>
      </c>
      <c r="Z19" s="110">
        <f t="shared" si="0"/>
        <v>5325</v>
      </c>
      <c r="AA19" s="109">
        <f t="shared" si="0"/>
        <v>2125</v>
      </c>
      <c r="AB19" s="109">
        <f t="shared" si="0"/>
        <v>1610</v>
      </c>
      <c r="AC19" s="109">
        <f t="shared" si="0"/>
        <v>1676</v>
      </c>
      <c r="AD19" s="109">
        <f t="shared" si="0"/>
        <v>-842</v>
      </c>
      <c r="AE19" s="110">
        <f t="shared" si="0"/>
        <v>4569</v>
      </c>
      <c r="AF19" s="109">
        <f t="shared" si="0"/>
        <v>2370</v>
      </c>
      <c r="AG19" s="109">
        <f t="shared" si="0"/>
        <v>1989</v>
      </c>
      <c r="AH19" s="109">
        <f t="shared" si="0"/>
        <v>1375</v>
      </c>
      <c r="AI19" s="109">
        <f t="shared" ref="AI19:BN19" si="1">AI14+AI15+AI16+AI17+AI18</f>
        <v>796</v>
      </c>
      <c r="AJ19" s="110">
        <f t="shared" si="1"/>
        <v>6530</v>
      </c>
      <c r="AK19" s="109">
        <f t="shared" si="1"/>
        <v>1777</v>
      </c>
      <c r="AL19" s="109">
        <f t="shared" si="1"/>
        <v>1448</v>
      </c>
      <c r="AM19" s="109">
        <f t="shared" si="1"/>
        <v>1455</v>
      </c>
      <c r="AN19" s="109">
        <f t="shared" si="1"/>
        <v>214</v>
      </c>
      <c r="AO19" s="110">
        <f t="shared" si="1"/>
        <v>4894</v>
      </c>
      <c r="AP19" s="109">
        <f t="shared" si="1"/>
        <v>2240</v>
      </c>
      <c r="AQ19" s="109">
        <f t="shared" si="1"/>
        <v>791</v>
      </c>
      <c r="AR19" s="109">
        <f t="shared" si="1"/>
        <v>1052</v>
      </c>
      <c r="AS19" s="109">
        <f t="shared" si="1"/>
        <v>997</v>
      </c>
      <c r="AT19" s="110">
        <f t="shared" si="1"/>
        <v>5080</v>
      </c>
      <c r="AU19" s="796">
        <f t="shared" si="1"/>
        <v>2371</v>
      </c>
      <c r="AV19" s="109">
        <f t="shared" si="1"/>
        <v>1878.1632169211362</v>
      </c>
      <c r="AW19" s="109">
        <f t="shared" si="1"/>
        <v>1264.646077827208</v>
      </c>
      <c r="AX19" s="109">
        <f t="shared" si="1"/>
        <v>1625.4691199166891</v>
      </c>
      <c r="AY19" s="110">
        <f t="shared" si="1"/>
        <v>7139.2784146650338</v>
      </c>
      <c r="AZ19" s="109">
        <f t="shared" si="1"/>
        <v>1976.8397149203697</v>
      </c>
      <c r="BA19" s="109">
        <f t="shared" si="1"/>
        <v>2124.5624511143405</v>
      </c>
      <c r="BB19" s="109">
        <f t="shared" si="1"/>
        <v>1340.0439568907527</v>
      </c>
      <c r="BC19" s="109">
        <f t="shared" si="1"/>
        <v>1813.8166845841788</v>
      </c>
      <c r="BD19" s="110">
        <f t="shared" si="1"/>
        <v>7255.2628075096436</v>
      </c>
      <c r="BE19" s="110">
        <f t="shared" si="1"/>
        <v>7908.2019517208882</v>
      </c>
      <c r="BF19" s="110">
        <f t="shared" si="1"/>
        <v>8629.0628107191278</v>
      </c>
      <c r="BG19" s="110">
        <f t="shared" si="1"/>
        <v>9409.7618870795523</v>
      </c>
      <c r="BH19" s="349"/>
    </row>
    <row r="20" spans="1:60" x14ac:dyDescent="0.35">
      <c r="A20" s="932"/>
      <c r="B20" s="427"/>
      <c r="C20" s="112"/>
      <c r="D20" s="112"/>
      <c r="E20" s="112"/>
      <c r="F20" s="112"/>
      <c r="G20" s="111"/>
      <c r="H20" s="111"/>
      <c r="I20" s="111"/>
      <c r="J20" s="111"/>
      <c r="K20" s="112"/>
      <c r="L20" s="111"/>
      <c r="M20" s="111"/>
      <c r="N20" s="111"/>
      <c r="O20" s="111"/>
      <c r="P20" s="112"/>
      <c r="Q20" s="111"/>
      <c r="R20" s="111"/>
      <c r="S20" s="111"/>
      <c r="T20" s="111"/>
      <c r="U20" s="112"/>
      <c r="V20" s="111"/>
      <c r="W20" s="111"/>
      <c r="X20" s="111"/>
      <c r="Y20" s="111"/>
      <c r="Z20" s="112"/>
      <c r="AA20" s="111"/>
      <c r="AB20" s="111"/>
      <c r="AC20" s="111"/>
      <c r="AD20" s="111"/>
      <c r="AE20" s="112"/>
      <c r="AF20" s="111"/>
      <c r="AG20" s="111"/>
      <c r="AH20" s="111"/>
      <c r="AI20" s="111"/>
      <c r="AJ20" s="112"/>
      <c r="AK20" s="111"/>
      <c r="AL20" s="111"/>
      <c r="AM20" s="111"/>
      <c r="AN20" s="111"/>
      <c r="AO20" s="112"/>
      <c r="AP20" s="111"/>
      <c r="AQ20" s="111"/>
      <c r="AR20" s="111"/>
      <c r="AS20" s="111"/>
      <c r="AT20" s="112"/>
      <c r="AU20" s="792"/>
      <c r="AV20" s="111"/>
      <c r="AW20" s="111"/>
      <c r="AX20" s="111"/>
      <c r="AY20" s="112"/>
      <c r="AZ20" s="111"/>
      <c r="BA20" s="111"/>
      <c r="BB20" s="111"/>
      <c r="BC20" s="111"/>
      <c r="BD20" s="112"/>
      <c r="BE20" s="112"/>
      <c r="BF20" s="112"/>
      <c r="BG20" s="112"/>
      <c r="BH20" s="349"/>
    </row>
    <row r="21" spans="1:60" x14ac:dyDescent="0.35">
      <c r="A21" s="913" t="s">
        <v>1080</v>
      </c>
      <c r="B21" s="913"/>
      <c r="C21" s="913"/>
      <c r="D21" s="913"/>
      <c r="E21" s="913"/>
      <c r="F21" s="913"/>
      <c r="G21" s="913"/>
      <c r="H21" s="913"/>
      <c r="I21" s="913"/>
      <c r="J21" s="913"/>
      <c r="K21" s="913"/>
      <c r="L21" s="913"/>
      <c r="M21" s="913"/>
      <c r="N21" s="913"/>
      <c r="O21" s="913"/>
      <c r="P21" s="913"/>
      <c r="Q21" s="913"/>
      <c r="R21" s="913"/>
      <c r="S21" s="913"/>
      <c r="T21" s="913"/>
      <c r="U21" s="913"/>
      <c r="V21" s="913"/>
      <c r="W21" s="913"/>
      <c r="X21" s="913"/>
      <c r="Y21" s="913"/>
      <c r="Z21" s="913"/>
      <c r="AA21" s="913"/>
      <c r="AB21" s="913"/>
      <c r="AC21" s="913"/>
      <c r="AD21" s="913"/>
      <c r="AE21" s="913"/>
      <c r="AF21" s="913"/>
      <c r="AG21" s="913"/>
      <c r="AH21" s="913"/>
      <c r="AI21" s="913"/>
      <c r="AJ21" s="913"/>
      <c r="AK21" s="913"/>
      <c r="AL21" s="913"/>
      <c r="AM21" s="913"/>
      <c r="AN21" s="913"/>
      <c r="AO21" s="913"/>
      <c r="AP21" s="913"/>
      <c r="AQ21" s="913"/>
      <c r="AR21" s="913"/>
      <c r="AS21" s="913"/>
      <c r="AT21" s="913"/>
      <c r="AU21" s="967"/>
      <c r="AV21" s="913"/>
      <c r="AW21" s="913"/>
      <c r="AX21" s="913"/>
      <c r="AY21" s="913"/>
      <c r="AZ21" s="913"/>
      <c r="BA21" s="913"/>
      <c r="BB21" s="913"/>
      <c r="BC21" s="913"/>
      <c r="BD21" s="913"/>
      <c r="BE21" s="913"/>
      <c r="BF21" s="913"/>
      <c r="BG21" s="913"/>
      <c r="BH21" s="349"/>
    </row>
    <row r="22" spans="1:60" hidden="1" outlineLevel="1" x14ac:dyDescent="0.35">
      <c r="A22" s="933" t="str">
        <f>Model!A1137</f>
        <v>Consensus Estimates - Gross Margin, %</v>
      </c>
      <c r="B22" s="934"/>
      <c r="C22" s="973"/>
      <c r="D22" s="973"/>
      <c r="E22" s="973"/>
      <c r="F22" s="973"/>
      <c r="G22" s="935"/>
      <c r="H22" s="936"/>
      <c r="I22" s="936"/>
      <c r="J22" s="936"/>
      <c r="K22" s="976"/>
      <c r="L22" s="936"/>
      <c r="M22" s="936"/>
      <c r="N22" s="936"/>
      <c r="O22" s="936"/>
      <c r="P22" s="977"/>
      <c r="Q22" s="934"/>
      <c r="R22" s="934"/>
      <c r="S22" s="934"/>
      <c r="T22" s="934"/>
      <c r="U22" s="977"/>
      <c r="V22" s="934"/>
      <c r="W22" s="934"/>
      <c r="X22" s="934"/>
      <c r="Y22" s="934"/>
      <c r="Z22" s="977"/>
      <c r="AA22" s="934"/>
      <c r="AB22" s="934"/>
      <c r="AC22" s="934"/>
      <c r="AD22" s="934"/>
      <c r="AE22" s="977"/>
      <c r="AF22" s="934"/>
      <c r="AG22" s="934"/>
      <c r="AH22" s="936"/>
      <c r="AI22" s="934"/>
      <c r="AJ22" s="977"/>
      <c r="AK22" s="934"/>
      <c r="AL22" s="934"/>
      <c r="AM22" s="936"/>
      <c r="AN22" s="934"/>
      <c r="AO22" s="977"/>
      <c r="AP22" s="934"/>
      <c r="AQ22" s="934"/>
      <c r="AR22" s="936"/>
      <c r="AS22" s="934"/>
      <c r="AT22" s="977"/>
      <c r="AU22" s="971"/>
      <c r="AV22" s="936" t="str">
        <f ca="1">Model!AV1137</f>
        <v>N/A</v>
      </c>
      <c r="AW22" s="936" t="str">
        <f ca="1">Model!AW1137</f>
        <v>N/A</v>
      </c>
      <c r="AX22" s="936" t="str">
        <f ca="1">Model!AX1137</f>
        <v>N/A</v>
      </c>
      <c r="AY22" s="976" t="str">
        <f ca="1">Model!AY1137</f>
        <v>N/A</v>
      </c>
      <c r="AZ22" s="936" t="str">
        <f ca="1">Model!AZ1137</f>
        <v>N/A</v>
      </c>
      <c r="BA22" s="936" t="str">
        <f ca="1">Model!BA1137</f>
        <v>N/A</v>
      </c>
      <c r="BB22" s="936" t="str">
        <f ca="1">Model!BB1137</f>
        <v>N/A</v>
      </c>
      <c r="BC22" s="936" t="str">
        <f ca="1">Model!BC1137</f>
        <v>N/A</v>
      </c>
      <c r="BD22" s="976" t="str">
        <f ca="1">Model!BD1137</f>
        <v>N/A</v>
      </c>
      <c r="BE22" s="976" t="str">
        <f ca="1">Model!BE1137</f>
        <v>N/A</v>
      </c>
      <c r="BF22" s="976" t="str">
        <f ca="1">Model!BF1137</f>
        <v>N/A</v>
      </c>
      <c r="BG22" s="976" t="str">
        <f ca="1">Model!BG1137</f>
        <v>N/A</v>
      </c>
      <c r="BH22" s="349"/>
    </row>
    <row r="23" spans="1:60" hidden="1" outlineLevel="1" x14ac:dyDescent="0.35">
      <c r="A23" s="933" t="str">
        <f>Model!A1138</f>
        <v>Consensus Estimates - Net Revenue</v>
      </c>
      <c r="B23" s="934"/>
      <c r="C23" s="974"/>
      <c r="D23" s="974"/>
      <c r="E23" s="974"/>
      <c r="F23" s="974"/>
      <c r="G23" s="937"/>
      <c r="H23" s="934"/>
      <c r="I23" s="934"/>
      <c r="J23" s="934"/>
      <c r="K23" s="977"/>
      <c r="L23" s="934"/>
      <c r="M23" s="934"/>
      <c r="N23" s="934"/>
      <c r="O23" s="934"/>
      <c r="P23" s="977"/>
      <c r="Q23" s="934"/>
      <c r="R23" s="934"/>
      <c r="S23" s="934"/>
      <c r="T23" s="934"/>
      <c r="U23" s="977"/>
      <c r="V23" s="934"/>
      <c r="W23" s="934"/>
      <c r="X23" s="934"/>
      <c r="Y23" s="934"/>
      <c r="Z23" s="977"/>
      <c r="AA23" s="934"/>
      <c r="AB23" s="934"/>
      <c r="AC23" s="934"/>
      <c r="AD23" s="934"/>
      <c r="AE23" s="977"/>
      <c r="AF23" s="934"/>
      <c r="AG23" s="934"/>
      <c r="AH23" s="934"/>
      <c r="AI23" s="934"/>
      <c r="AJ23" s="977"/>
      <c r="AK23" s="934"/>
      <c r="AL23" s="934"/>
      <c r="AM23" s="934"/>
      <c r="AN23" s="934"/>
      <c r="AO23" s="977"/>
      <c r="AP23" s="934"/>
      <c r="AQ23" s="934"/>
      <c r="AR23" s="934"/>
      <c r="AS23" s="934"/>
      <c r="AT23" s="977"/>
      <c r="AU23" s="971"/>
      <c r="AV23" s="934" t="str">
        <f ca="1">Model!AV1138</f>
        <v>N/A</v>
      </c>
      <c r="AW23" s="934" t="str">
        <f ca="1">Model!AW1138</f>
        <v>N/A</v>
      </c>
      <c r="AX23" s="934" t="str">
        <f ca="1">Model!AX1138</f>
        <v>N/A</v>
      </c>
      <c r="AY23" s="977" t="str">
        <f ca="1">Model!AY1138</f>
        <v>N/A</v>
      </c>
      <c r="AZ23" s="934" t="str">
        <f ca="1">Model!AZ1138</f>
        <v>N/A</v>
      </c>
      <c r="BA23" s="934" t="str">
        <f ca="1">Model!BA1138</f>
        <v>N/A</v>
      </c>
      <c r="BB23" s="934" t="str">
        <f ca="1">Model!BB1138</f>
        <v>N/A</v>
      </c>
      <c r="BC23" s="934" t="str">
        <f ca="1">Model!BC1138</f>
        <v>N/A</v>
      </c>
      <c r="BD23" s="977" t="str">
        <f ca="1">Model!BD1138</f>
        <v>N/A</v>
      </c>
      <c r="BE23" s="977" t="str">
        <f ca="1">Model!BE1138</f>
        <v>N/A</v>
      </c>
      <c r="BF23" s="977" t="str">
        <f ca="1">Model!BF1138</f>
        <v>N/A</v>
      </c>
      <c r="BG23" s="977" t="str">
        <f ca="1">Model!BG1138</f>
        <v>N/A</v>
      </c>
      <c r="BH23" s="349"/>
    </row>
    <row r="24" spans="1:60" hidden="1" outlineLevel="1" x14ac:dyDescent="0.35">
      <c r="A24" s="933" t="str">
        <f>Model!A1139</f>
        <v>Consensus Estimates - Adjusted EBITDA</v>
      </c>
      <c r="B24" s="934"/>
      <c r="C24" s="974"/>
      <c r="D24" s="974"/>
      <c r="E24" s="974"/>
      <c r="F24" s="974"/>
      <c r="G24" s="937"/>
      <c r="H24" s="934"/>
      <c r="I24" s="934"/>
      <c r="J24" s="934"/>
      <c r="K24" s="977"/>
      <c r="L24" s="934"/>
      <c r="M24" s="934"/>
      <c r="N24" s="934"/>
      <c r="O24" s="934"/>
      <c r="P24" s="977"/>
      <c r="Q24" s="934"/>
      <c r="R24" s="934"/>
      <c r="S24" s="934"/>
      <c r="T24" s="934"/>
      <c r="U24" s="977"/>
      <c r="V24" s="934"/>
      <c r="W24" s="934"/>
      <c r="X24" s="934"/>
      <c r="Y24" s="934"/>
      <c r="Z24" s="977"/>
      <c r="AA24" s="934"/>
      <c r="AB24" s="934"/>
      <c r="AC24" s="934"/>
      <c r="AD24" s="934"/>
      <c r="AE24" s="977"/>
      <c r="AF24" s="934"/>
      <c r="AG24" s="934"/>
      <c r="AH24" s="934"/>
      <c r="AI24" s="934"/>
      <c r="AJ24" s="977"/>
      <c r="AK24" s="934"/>
      <c r="AL24" s="934"/>
      <c r="AM24" s="934"/>
      <c r="AN24" s="934"/>
      <c r="AO24" s="977"/>
      <c r="AP24" s="934"/>
      <c r="AQ24" s="934"/>
      <c r="AR24" s="934"/>
      <c r="AS24" s="934"/>
      <c r="AT24" s="977"/>
      <c r="AU24" s="971"/>
      <c r="AV24" s="934" t="str">
        <f ca="1">Model!AV1139</f>
        <v>N/A</v>
      </c>
      <c r="AW24" s="934" t="str">
        <f ca="1">Model!AW1139</f>
        <v>N/A</v>
      </c>
      <c r="AX24" s="934" t="str">
        <f ca="1">Model!AX1139</f>
        <v>N/A</v>
      </c>
      <c r="AY24" s="977" t="str">
        <f ca="1">Model!AY1139</f>
        <v>N/A</v>
      </c>
      <c r="AZ24" s="934" t="str">
        <f ca="1">Model!AZ1139</f>
        <v>N/A</v>
      </c>
      <c r="BA24" s="934" t="str">
        <f ca="1">Model!BA1139</f>
        <v>N/A</v>
      </c>
      <c r="BB24" s="934" t="str">
        <f ca="1">Model!BB1139</f>
        <v>N/A</v>
      </c>
      <c r="BC24" s="934" t="str">
        <f ca="1">Model!BC1139</f>
        <v>N/A</v>
      </c>
      <c r="BD24" s="977" t="str">
        <f ca="1">Model!BD1139</f>
        <v>N/A</v>
      </c>
      <c r="BE24" s="977" t="str">
        <f ca="1">Model!BE1139</f>
        <v>N/A</v>
      </c>
      <c r="BF24" s="977" t="str">
        <f ca="1">Model!BF1139</f>
        <v>N/A</v>
      </c>
      <c r="BG24" s="977" t="str">
        <f ca="1">Model!BG1139</f>
        <v>N/A</v>
      </c>
      <c r="BH24" s="349"/>
    </row>
    <row r="25" spans="1:60" hidden="1" outlineLevel="1" x14ac:dyDescent="0.35">
      <c r="A25" s="933" t="str">
        <f>Model!A1140</f>
        <v>Consensus Estimates - Adjusted EBIT</v>
      </c>
      <c r="B25" s="934"/>
      <c r="C25" s="974"/>
      <c r="D25" s="974"/>
      <c r="E25" s="974"/>
      <c r="F25" s="974"/>
      <c r="G25" s="937"/>
      <c r="H25" s="934"/>
      <c r="I25" s="934"/>
      <c r="J25" s="934"/>
      <c r="K25" s="977"/>
      <c r="L25" s="934"/>
      <c r="M25" s="934"/>
      <c r="N25" s="934"/>
      <c r="O25" s="934"/>
      <c r="P25" s="977"/>
      <c r="Q25" s="934"/>
      <c r="R25" s="934"/>
      <c r="S25" s="934"/>
      <c r="T25" s="934"/>
      <c r="U25" s="977"/>
      <c r="V25" s="934"/>
      <c r="W25" s="934"/>
      <c r="X25" s="934"/>
      <c r="Y25" s="934"/>
      <c r="Z25" s="977"/>
      <c r="AA25" s="934"/>
      <c r="AB25" s="934"/>
      <c r="AC25" s="934"/>
      <c r="AD25" s="934"/>
      <c r="AE25" s="977"/>
      <c r="AF25" s="934"/>
      <c r="AG25" s="934"/>
      <c r="AH25" s="934"/>
      <c r="AI25" s="934"/>
      <c r="AJ25" s="977"/>
      <c r="AK25" s="934"/>
      <c r="AL25" s="934"/>
      <c r="AM25" s="934"/>
      <c r="AN25" s="934"/>
      <c r="AO25" s="977"/>
      <c r="AP25" s="934"/>
      <c r="AQ25" s="934"/>
      <c r="AR25" s="934"/>
      <c r="AS25" s="934"/>
      <c r="AT25" s="977"/>
      <c r="AU25" s="971"/>
      <c r="AV25" s="934" t="str">
        <f ca="1">Model!AV1140</f>
        <v>N/A</v>
      </c>
      <c r="AW25" s="934" t="str">
        <f ca="1">Model!AW1140</f>
        <v>N/A</v>
      </c>
      <c r="AX25" s="934" t="str">
        <f ca="1">Model!AX1140</f>
        <v>N/A</v>
      </c>
      <c r="AY25" s="977" t="str">
        <f ca="1">Model!AY1140</f>
        <v>N/A</v>
      </c>
      <c r="AZ25" s="934" t="str">
        <f ca="1">Model!AZ1140</f>
        <v>N/A</v>
      </c>
      <c r="BA25" s="934" t="str">
        <f ca="1">Model!BA1140</f>
        <v>N/A</v>
      </c>
      <c r="BB25" s="934" t="str">
        <f ca="1">Model!BB1140</f>
        <v>N/A</v>
      </c>
      <c r="BC25" s="934" t="str">
        <f ca="1">Model!BC1140</f>
        <v>N/A</v>
      </c>
      <c r="BD25" s="977" t="str">
        <f ca="1">Model!BD1140</f>
        <v>N/A</v>
      </c>
      <c r="BE25" s="977" t="str">
        <f ca="1">Model!BE1140</f>
        <v>N/A</v>
      </c>
      <c r="BF25" s="977" t="str">
        <f ca="1">Model!BF1140</f>
        <v>N/A</v>
      </c>
      <c r="BG25" s="977" t="str">
        <f ca="1">Model!BG1140</f>
        <v>N/A</v>
      </c>
      <c r="BH25" s="349"/>
    </row>
    <row r="26" spans="1:60" hidden="1" outlineLevel="1" x14ac:dyDescent="0.35">
      <c r="A26" s="938" t="str">
        <f>Model!A1141</f>
        <v>Consensus Estimates - Adjusted Earnings Per Share - WAD</v>
      </c>
      <c r="B26" s="939"/>
      <c r="C26" s="975"/>
      <c r="D26" s="975"/>
      <c r="E26" s="975"/>
      <c r="F26" s="975"/>
      <c r="G26" s="940"/>
      <c r="H26" s="939"/>
      <c r="I26" s="939"/>
      <c r="J26" s="939"/>
      <c r="K26" s="978"/>
      <c r="L26" s="939"/>
      <c r="M26" s="939"/>
      <c r="N26" s="939"/>
      <c r="O26" s="939"/>
      <c r="P26" s="978"/>
      <c r="Q26" s="939"/>
      <c r="R26" s="939"/>
      <c r="S26" s="939"/>
      <c r="T26" s="939"/>
      <c r="U26" s="978"/>
      <c r="V26" s="939"/>
      <c r="W26" s="939"/>
      <c r="X26" s="939"/>
      <c r="Y26" s="939"/>
      <c r="Z26" s="978"/>
      <c r="AA26" s="939"/>
      <c r="AB26" s="939"/>
      <c r="AC26" s="939"/>
      <c r="AD26" s="939"/>
      <c r="AE26" s="978"/>
      <c r="AF26" s="939"/>
      <c r="AG26" s="939"/>
      <c r="AH26" s="939"/>
      <c r="AI26" s="939"/>
      <c r="AJ26" s="978"/>
      <c r="AK26" s="939"/>
      <c r="AL26" s="939"/>
      <c r="AM26" s="939"/>
      <c r="AN26" s="939"/>
      <c r="AO26" s="978"/>
      <c r="AP26" s="939"/>
      <c r="AQ26" s="939"/>
      <c r="AR26" s="939"/>
      <c r="AS26" s="939"/>
      <c r="AT26" s="978"/>
      <c r="AU26" s="972"/>
      <c r="AV26" s="939" t="str">
        <f ca="1">Model!AV1141</f>
        <v>N/A</v>
      </c>
      <c r="AW26" s="939" t="str">
        <f ca="1">Model!AW1141</f>
        <v>N/A</v>
      </c>
      <c r="AX26" s="939" t="str">
        <f ca="1">Model!AX1141</f>
        <v>N/A</v>
      </c>
      <c r="AY26" s="978" t="str">
        <f ca="1">Model!AY1141</f>
        <v>N/A</v>
      </c>
      <c r="AZ26" s="939" t="str">
        <f ca="1">Model!AZ1141</f>
        <v>N/A</v>
      </c>
      <c r="BA26" s="939" t="str">
        <f ca="1">Model!BA1141</f>
        <v>N/A</v>
      </c>
      <c r="BB26" s="939" t="str">
        <f ca="1">Model!BB1141</f>
        <v>N/A</v>
      </c>
      <c r="BC26" s="939" t="str">
        <f ca="1">Model!BC1141</f>
        <v>N/A</v>
      </c>
      <c r="BD26" s="978" t="str">
        <f ca="1">Model!BD1141</f>
        <v>N/A</v>
      </c>
      <c r="BE26" s="978" t="str">
        <f ca="1">Model!BE1141</f>
        <v>N/A</v>
      </c>
      <c r="BF26" s="978" t="str">
        <f ca="1">Model!BF1141</f>
        <v>N/A</v>
      </c>
      <c r="BG26" s="978" t="str">
        <f ca="1">Model!BG1141</f>
        <v>N/A</v>
      </c>
      <c r="BH26" s="349"/>
    </row>
    <row r="27" spans="1:60" hidden="1" outlineLevel="1" x14ac:dyDescent="0.35">
      <c r="A27" s="938" t="str">
        <f>Model!A1142</f>
        <v>Consensus Estimates - Cash Flow Per Diluted Share</v>
      </c>
      <c r="B27" s="939"/>
      <c r="C27" s="975"/>
      <c r="D27" s="975"/>
      <c r="E27" s="975"/>
      <c r="F27" s="975"/>
      <c r="G27" s="940"/>
      <c r="H27" s="939"/>
      <c r="I27" s="939"/>
      <c r="J27" s="939"/>
      <c r="K27" s="978"/>
      <c r="L27" s="939"/>
      <c r="M27" s="939"/>
      <c r="N27" s="939"/>
      <c r="O27" s="939"/>
      <c r="P27" s="978"/>
      <c r="Q27" s="939"/>
      <c r="R27" s="939"/>
      <c r="S27" s="939"/>
      <c r="T27" s="939"/>
      <c r="U27" s="978"/>
      <c r="V27" s="939"/>
      <c r="W27" s="939"/>
      <c r="X27" s="939"/>
      <c r="Y27" s="939"/>
      <c r="Z27" s="978"/>
      <c r="AA27" s="939"/>
      <c r="AB27" s="939"/>
      <c r="AC27" s="939"/>
      <c r="AD27" s="939"/>
      <c r="AE27" s="978"/>
      <c r="AF27" s="939"/>
      <c r="AG27" s="939"/>
      <c r="AH27" s="939"/>
      <c r="AI27" s="939"/>
      <c r="AJ27" s="978"/>
      <c r="AK27" s="939"/>
      <c r="AL27" s="939"/>
      <c r="AM27" s="939"/>
      <c r="AN27" s="939"/>
      <c r="AO27" s="978"/>
      <c r="AP27" s="939"/>
      <c r="AQ27" s="939"/>
      <c r="AR27" s="939"/>
      <c r="AS27" s="939"/>
      <c r="AT27" s="978"/>
      <c r="AU27" s="972"/>
      <c r="AV27" s="939" t="str">
        <f ca="1">Model!AV1142</f>
        <v>N/A</v>
      </c>
      <c r="AW27" s="939" t="str">
        <f ca="1">Model!AW1142</f>
        <v>N/A</v>
      </c>
      <c r="AX27" s="939" t="str">
        <f ca="1">Model!AX1142</f>
        <v>N/A</v>
      </c>
      <c r="AY27" s="978" t="str">
        <f ca="1">Model!AY1142</f>
        <v>N/A</v>
      </c>
      <c r="AZ27" s="939" t="str">
        <f ca="1">Model!AZ1142</f>
        <v>N/A</v>
      </c>
      <c r="BA27" s="939" t="str">
        <f ca="1">Model!BA1142</f>
        <v>N/A</v>
      </c>
      <c r="BB27" s="939" t="str">
        <f ca="1">Model!BB1142</f>
        <v>N/A</v>
      </c>
      <c r="BC27" s="939" t="str">
        <f ca="1">Model!BC1142</f>
        <v>N/A</v>
      </c>
      <c r="BD27" s="978" t="str">
        <f ca="1">Model!BD1142</f>
        <v>N/A</v>
      </c>
      <c r="BE27" s="978" t="str">
        <f ca="1">Model!BE1142</f>
        <v>N/A</v>
      </c>
      <c r="BF27" s="978" t="str">
        <f ca="1">Model!BF1142</f>
        <v>N/A</v>
      </c>
      <c r="BG27" s="978" t="str">
        <f ca="1">Model!BG1142</f>
        <v>N/A</v>
      </c>
      <c r="BH27" s="349"/>
    </row>
    <row r="28" spans="1:60" hidden="1" outlineLevel="1" x14ac:dyDescent="0.35">
      <c r="A28" s="933" t="str">
        <f>Model!A1143</f>
        <v>Consensus Estimates - Capex</v>
      </c>
      <c r="B28" s="934"/>
      <c r="C28" s="974"/>
      <c r="D28" s="974"/>
      <c r="E28" s="974"/>
      <c r="F28" s="974"/>
      <c r="G28" s="937"/>
      <c r="H28" s="934"/>
      <c r="I28" s="934"/>
      <c r="J28" s="934"/>
      <c r="K28" s="977"/>
      <c r="L28" s="934"/>
      <c r="M28" s="934"/>
      <c r="N28" s="934"/>
      <c r="O28" s="934"/>
      <c r="P28" s="977"/>
      <c r="Q28" s="934"/>
      <c r="R28" s="934"/>
      <c r="S28" s="934"/>
      <c r="T28" s="934"/>
      <c r="U28" s="977"/>
      <c r="V28" s="934"/>
      <c r="W28" s="934"/>
      <c r="X28" s="934"/>
      <c r="Y28" s="934"/>
      <c r="Z28" s="977"/>
      <c r="AA28" s="934"/>
      <c r="AB28" s="934"/>
      <c r="AC28" s="934"/>
      <c r="AD28" s="934"/>
      <c r="AE28" s="977"/>
      <c r="AF28" s="934"/>
      <c r="AG28" s="934"/>
      <c r="AH28" s="934"/>
      <c r="AI28" s="934"/>
      <c r="AJ28" s="977"/>
      <c r="AK28" s="934"/>
      <c r="AL28" s="934"/>
      <c r="AM28" s="934"/>
      <c r="AN28" s="934"/>
      <c r="AO28" s="977"/>
      <c r="AP28" s="934"/>
      <c r="AQ28" s="934"/>
      <c r="AR28" s="934"/>
      <c r="AS28" s="934"/>
      <c r="AT28" s="977"/>
      <c r="AU28" s="971"/>
      <c r="AV28" s="934" t="str">
        <f ca="1">Model!AV1143</f>
        <v>N/A</v>
      </c>
      <c r="AW28" s="934" t="str">
        <f ca="1">Model!AW1143</f>
        <v>N/A</v>
      </c>
      <c r="AX28" s="934" t="str">
        <f ca="1">Model!AX1143</f>
        <v>N/A</v>
      </c>
      <c r="AY28" s="977" t="str">
        <f ca="1">Model!AY1143</f>
        <v>N/A</v>
      </c>
      <c r="AZ28" s="934" t="str">
        <f ca="1">Model!AZ1143</f>
        <v>N/A</v>
      </c>
      <c r="BA28" s="934" t="str">
        <f ca="1">Model!BA1143</f>
        <v>N/A</v>
      </c>
      <c r="BB28" s="934" t="str">
        <f ca="1">Model!BB1143</f>
        <v>N/A</v>
      </c>
      <c r="BC28" s="934" t="str">
        <f ca="1">Model!BC1143</f>
        <v>N/A</v>
      </c>
      <c r="BD28" s="977" t="str">
        <f ca="1">Model!BD1143</f>
        <v>N/A</v>
      </c>
      <c r="BE28" s="977" t="str">
        <f ca="1">Model!BE1143</f>
        <v>N/A</v>
      </c>
      <c r="BF28" s="977" t="str">
        <f ca="1">Model!BF1143</f>
        <v>N/A</v>
      </c>
      <c r="BG28" s="977" t="str">
        <f ca="1">Model!BG1143</f>
        <v>N/A</v>
      </c>
      <c r="BH28" s="349"/>
    </row>
    <row r="29" spans="1:60" x14ac:dyDescent="0.35">
      <c r="A29" s="933"/>
      <c r="B29" s="934"/>
      <c r="C29" s="974"/>
      <c r="D29" s="974"/>
      <c r="E29" s="974"/>
      <c r="F29" s="974"/>
      <c r="G29" s="937"/>
      <c r="H29" s="934"/>
      <c r="I29" s="934"/>
      <c r="J29" s="934"/>
      <c r="K29" s="977"/>
      <c r="L29" s="934"/>
      <c r="M29" s="934"/>
      <c r="N29" s="934"/>
      <c r="O29" s="934"/>
      <c r="P29" s="977"/>
      <c r="Q29" s="934"/>
      <c r="R29" s="934"/>
      <c r="S29" s="934"/>
      <c r="T29" s="934"/>
      <c r="U29" s="977"/>
      <c r="V29" s="934"/>
      <c r="W29" s="934"/>
      <c r="X29" s="934"/>
      <c r="Y29" s="934"/>
      <c r="Z29" s="977"/>
      <c r="AA29" s="934"/>
      <c r="AB29" s="934"/>
      <c r="AC29" s="934"/>
      <c r="AD29" s="934"/>
      <c r="AE29" s="977"/>
      <c r="AF29" s="934"/>
      <c r="AG29" s="934"/>
      <c r="AH29" s="934"/>
      <c r="AI29" s="934"/>
      <c r="AJ29" s="977"/>
      <c r="AK29" s="934"/>
      <c r="AL29" s="934"/>
      <c r="AM29" s="934"/>
      <c r="AN29" s="934"/>
      <c r="AO29" s="977"/>
      <c r="AP29" s="934"/>
      <c r="AQ29" s="934"/>
      <c r="AR29" s="934"/>
      <c r="AS29" s="934"/>
      <c r="AT29" s="977"/>
      <c r="AU29" s="971"/>
      <c r="AV29" s="934"/>
      <c r="AW29" s="934"/>
      <c r="AX29" s="934"/>
      <c r="AY29" s="977"/>
      <c r="AZ29" s="934"/>
      <c r="BA29" s="934"/>
      <c r="BB29" s="934"/>
      <c r="BC29" s="934"/>
      <c r="BD29" s="977"/>
      <c r="BE29" s="977"/>
      <c r="BF29" s="977"/>
      <c r="BG29" s="977"/>
      <c r="BH29" s="349"/>
    </row>
    <row r="30" spans="1:60" x14ac:dyDescent="0.35">
      <c r="A30" s="874" t="str">
        <f>Model!A22</f>
        <v>Segmented Results - Revenue Breakdown (10-Q/K, PR)</v>
      </c>
      <c r="B30" s="874"/>
      <c r="C30" s="874"/>
      <c r="D30" s="874"/>
      <c r="E30" s="874"/>
      <c r="F30" s="874"/>
      <c r="G30" s="874"/>
      <c r="H30" s="874"/>
      <c r="I30" s="874"/>
      <c r="J30" s="874"/>
      <c r="K30" s="874"/>
      <c r="L30" s="874"/>
      <c r="M30" s="874"/>
      <c r="N30" s="874"/>
      <c r="O30" s="874"/>
      <c r="P30" s="874"/>
      <c r="Q30" s="874"/>
      <c r="R30" s="874"/>
      <c r="S30" s="874"/>
      <c r="T30" s="874"/>
      <c r="U30" s="874"/>
      <c r="V30" s="874"/>
      <c r="W30" s="874"/>
      <c r="X30" s="874"/>
      <c r="Y30" s="874"/>
      <c r="Z30" s="874"/>
      <c r="AA30" s="874"/>
      <c r="AB30" s="874"/>
      <c r="AC30" s="874"/>
      <c r="AD30" s="874"/>
      <c r="AE30" s="874"/>
      <c r="AF30" s="874"/>
      <c r="AG30" s="874"/>
      <c r="AH30" s="874"/>
      <c r="AI30" s="874"/>
      <c r="AJ30" s="874"/>
      <c r="AK30" s="874"/>
      <c r="AL30" s="874"/>
      <c r="AM30" s="874"/>
      <c r="AN30" s="874"/>
      <c r="AO30" s="874"/>
      <c r="AP30" s="874"/>
      <c r="AQ30" s="874"/>
      <c r="AR30" s="874"/>
      <c r="AS30" s="874"/>
      <c r="AT30" s="874"/>
      <c r="AU30" s="875"/>
      <c r="AV30" s="874"/>
      <c r="AW30" s="874"/>
      <c r="AX30" s="874"/>
      <c r="AY30" s="874"/>
      <c r="AZ30" s="874"/>
      <c r="BA30" s="874"/>
      <c r="BB30" s="874"/>
      <c r="BC30" s="874"/>
      <c r="BD30" s="874"/>
      <c r="BE30" s="874"/>
      <c r="BF30" s="874"/>
      <c r="BG30" s="874"/>
      <c r="BH30" s="349"/>
    </row>
    <row r="31" spans="1:60" x14ac:dyDescent="0.35">
      <c r="A31" s="316" t="str">
        <f>Model!A34</f>
        <v>Corporate and Unallocated and Elimination of dual Credit Translation Sales Growth, mm</v>
      </c>
      <c r="B31" s="444"/>
      <c r="C31" s="445"/>
      <c r="D31" s="445"/>
      <c r="E31" s="445"/>
      <c r="F31" s="445"/>
      <c r="G31" s="446"/>
      <c r="H31" s="446"/>
      <c r="I31" s="446"/>
      <c r="J31" s="446"/>
      <c r="K31" s="445"/>
      <c r="L31" s="446"/>
      <c r="M31" s="446"/>
      <c r="N31" s="446"/>
      <c r="O31" s="446"/>
      <c r="P31" s="445"/>
      <c r="Q31" s="446"/>
      <c r="R31" s="446"/>
      <c r="S31" s="446"/>
      <c r="T31" s="446"/>
      <c r="U31" s="445"/>
      <c r="V31" s="446"/>
      <c r="W31" s="446"/>
      <c r="X31" s="446"/>
      <c r="Y31" s="446"/>
      <c r="Z31" s="445"/>
      <c r="AA31" s="446">
        <f>Model!AA34</f>
        <v>0.99599999999999778</v>
      </c>
      <c r="AB31" s="446">
        <f>Model!AB34</f>
        <v>1.2979999999999992</v>
      </c>
      <c r="AC31" s="446">
        <f>Model!AC34</f>
        <v>2.7030000000000012</v>
      </c>
      <c r="AD31" s="446">
        <f>Model!AD34</f>
        <v>-2.3719999999999892</v>
      </c>
      <c r="AE31" s="445">
        <f>Model!AE34</f>
        <v>2.6250000000000142</v>
      </c>
      <c r="AF31" s="446">
        <f>Model!AF34</f>
        <v>-25.656999999999961</v>
      </c>
      <c r="AG31" s="446">
        <f>Model!AG34</f>
        <v>-6.0329999999999941</v>
      </c>
      <c r="AH31" s="446">
        <f>Model!AH34</f>
        <v>7.1979999999999968</v>
      </c>
      <c r="AI31" s="446">
        <f>Model!AI34</f>
        <v>11.174000000000003</v>
      </c>
      <c r="AJ31" s="445">
        <f>Model!AJ34</f>
        <v>-13.317999999999948</v>
      </c>
      <c r="AK31" s="446">
        <f>Model!AK34</f>
        <v>15.48299999999999</v>
      </c>
      <c r="AL31" s="446">
        <f>Model!AL34</f>
        <v>12.290000000000029</v>
      </c>
      <c r="AM31" s="446">
        <f>Model!AM34</f>
        <v>8.1990000000000016</v>
      </c>
      <c r="AN31" s="446">
        <f>Model!AN34</f>
        <v>2.6209999999999991</v>
      </c>
      <c r="AO31" s="445">
        <f>Model!AO34</f>
        <v>38.593000000000082</v>
      </c>
      <c r="AP31" s="446">
        <f>Model!AP34</f>
        <v>3.5509999999999948</v>
      </c>
      <c r="AQ31" s="446">
        <f>Model!AQ34</f>
        <v>9.2349999999999888</v>
      </c>
      <c r="AR31" s="446">
        <f>Model!AR34</f>
        <v>-6.1430000000000025</v>
      </c>
      <c r="AS31" s="446">
        <f>Model!AS34</f>
        <v>-16.221999999999991</v>
      </c>
      <c r="AT31" s="445">
        <f>Model!AT34</f>
        <v>-9.5790000000000042</v>
      </c>
      <c r="AU31" s="767">
        <f>Model!AU34</f>
        <v>-21.379000000000005</v>
      </c>
      <c r="AV31" s="446"/>
      <c r="AW31" s="446"/>
      <c r="AX31" s="446"/>
      <c r="AY31" s="445"/>
      <c r="AZ31" s="563">
        <v>0</v>
      </c>
      <c r="BA31" s="563">
        <v>0</v>
      </c>
      <c r="BB31" s="563">
        <v>0</v>
      </c>
      <c r="BC31" s="563">
        <v>0</v>
      </c>
      <c r="BD31" s="445">
        <f>Model!BD34</f>
        <v>0</v>
      </c>
      <c r="BE31" s="564">
        <v>0</v>
      </c>
      <c r="BF31" s="564">
        <v>0</v>
      </c>
      <c r="BG31" s="564">
        <v>0</v>
      </c>
      <c r="BH31" s="349"/>
    </row>
    <row r="32" spans="1:60" x14ac:dyDescent="0.35">
      <c r="A32" s="316"/>
      <c r="B32" s="444"/>
      <c r="C32" s="445"/>
      <c r="D32" s="445"/>
      <c r="E32" s="445"/>
      <c r="F32" s="445"/>
      <c r="G32" s="446"/>
      <c r="H32" s="446"/>
      <c r="I32" s="446"/>
      <c r="J32" s="446"/>
      <c r="K32" s="445"/>
      <c r="L32" s="446"/>
      <c r="M32" s="446"/>
      <c r="N32" s="446"/>
      <c r="O32" s="446"/>
      <c r="P32" s="445"/>
      <c r="Q32" s="446"/>
      <c r="R32" s="446"/>
      <c r="S32" s="446"/>
      <c r="T32" s="446"/>
      <c r="U32" s="445"/>
      <c r="V32" s="446"/>
      <c r="W32" s="446"/>
      <c r="X32" s="446"/>
      <c r="Y32" s="446"/>
      <c r="Z32" s="445"/>
      <c r="AA32" s="446"/>
      <c r="AB32" s="446"/>
      <c r="AC32" s="446"/>
      <c r="AD32" s="446"/>
      <c r="AE32" s="445"/>
      <c r="AF32" s="446"/>
      <c r="AG32" s="446"/>
      <c r="AH32" s="446"/>
      <c r="AI32" s="446"/>
      <c r="AJ32" s="445"/>
      <c r="AK32" s="446"/>
      <c r="AL32" s="446"/>
      <c r="AM32" s="446"/>
      <c r="AN32" s="446"/>
      <c r="AO32" s="445"/>
      <c r="AP32" s="446"/>
      <c r="AQ32" s="446"/>
      <c r="AR32" s="446"/>
      <c r="AS32" s="446"/>
      <c r="AT32" s="445"/>
      <c r="AU32" s="767"/>
      <c r="AV32" s="446"/>
      <c r="AW32" s="446"/>
      <c r="AX32" s="446"/>
      <c r="AY32" s="445"/>
      <c r="AZ32" s="446"/>
      <c r="BA32" s="446"/>
      <c r="BB32" s="446"/>
      <c r="BC32" s="446"/>
      <c r="BD32" s="445"/>
      <c r="BE32" s="445"/>
      <c r="BF32" s="445"/>
      <c r="BG32" s="445"/>
      <c r="BH32" s="349"/>
    </row>
    <row r="33" spans="1:60" x14ac:dyDescent="0.35">
      <c r="A33" s="874" t="str">
        <f>Model!A101</f>
        <v>Segmented Results - Safety and Industrial (PR, 10-Q/K, IP)</v>
      </c>
      <c r="B33" s="874"/>
      <c r="C33" s="874"/>
      <c r="D33" s="874"/>
      <c r="E33" s="874"/>
      <c r="F33" s="874"/>
      <c r="G33" s="874"/>
      <c r="H33" s="874"/>
      <c r="I33" s="874"/>
      <c r="J33" s="874"/>
      <c r="K33" s="874"/>
      <c r="L33" s="874"/>
      <c r="M33" s="874"/>
      <c r="N33" s="874"/>
      <c r="O33" s="874"/>
      <c r="P33" s="874"/>
      <c r="Q33" s="874"/>
      <c r="R33" s="874"/>
      <c r="S33" s="874"/>
      <c r="T33" s="874"/>
      <c r="U33" s="874"/>
      <c r="V33" s="874"/>
      <c r="W33" s="874"/>
      <c r="X33" s="874"/>
      <c r="Y33" s="874"/>
      <c r="Z33" s="874"/>
      <c r="AA33" s="874"/>
      <c r="AB33" s="874"/>
      <c r="AC33" s="874"/>
      <c r="AD33" s="874"/>
      <c r="AE33" s="874"/>
      <c r="AF33" s="874"/>
      <c r="AG33" s="874"/>
      <c r="AH33" s="874"/>
      <c r="AI33" s="874"/>
      <c r="AJ33" s="874"/>
      <c r="AK33" s="874"/>
      <c r="AL33" s="874"/>
      <c r="AM33" s="874"/>
      <c r="AN33" s="874"/>
      <c r="AO33" s="874"/>
      <c r="AP33" s="874"/>
      <c r="AQ33" s="874"/>
      <c r="AR33" s="874"/>
      <c r="AS33" s="874"/>
      <c r="AT33" s="874"/>
      <c r="AU33" s="875"/>
      <c r="AV33" s="874"/>
      <c r="AW33" s="874"/>
      <c r="AX33" s="874"/>
      <c r="AY33" s="874"/>
      <c r="AZ33" s="874"/>
      <c r="BA33" s="874"/>
      <c r="BB33" s="874"/>
      <c r="BC33" s="874"/>
      <c r="BD33" s="874"/>
      <c r="BE33" s="874"/>
      <c r="BF33" s="874"/>
      <c r="BG33" s="874"/>
      <c r="BH33" s="349"/>
    </row>
    <row r="34" spans="1:60" x14ac:dyDescent="0.35">
      <c r="A34" s="311" t="str">
        <f>Model!A119</f>
        <v>Safety and Industrial Organic Local-Currency Sales Growth, %</v>
      </c>
      <c r="B34" s="312"/>
      <c r="C34" s="105"/>
      <c r="D34" s="105"/>
      <c r="E34" s="105"/>
      <c r="F34" s="105"/>
      <c r="G34" s="200"/>
      <c r="H34" s="200"/>
      <c r="I34" s="200"/>
      <c r="J34" s="200"/>
      <c r="K34" s="105"/>
      <c r="L34" s="200"/>
      <c r="M34" s="200"/>
      <c r="N34" s="200"/>
      <c r="O34" s="200"/>
      <c r="P34" s="105"/>
      <c r="Q34" s="200"/>
      <c r="R34" s="200"/>
      <c r="S34" s="200"/>
      <c r="T34" s="200"/>
      <c r="U34" s="105"/>
      <c r="V34" s="200"/>
      <c r="W34" s="200"/>
      <c r="X34" s="200"/>
      <c r="Y34" s="200"/>
      <c r="Z34" s="105"/>
      <c r="AA34" s="200">
        <f>Model!AA119</f>
        <v>4.5999999999999999E-2</v>
      </c>
      <c r="AB34" s="200">
        <f>Model!AB119</f>
        <v>2.9000000000000001E-2</v>
      </c>
      <c r="AC34" s="200">
        <f>Model!AC119</f>
        <v>6.8000000000000005E-2</v>
      </c>
      <c r="AD34" s="200">
        <f>Model!AD119</f>
        <v>8.2000000000000003E-2</v>
      </c>
      <c r="AE34" s="105">
        <f>Model!AE119</f>
        <v>5.5751694008559192E-2</v>
      </c>
      <c r="AF34" s="200">
        <f>Model!AF119</f>
        <v>2.9000000000000001E-2</v>
      </c>
      <c r="AG34" s="200">
        <f>Model!AG119</f>
        <v>6.2E-2</v>
      </c>
      <c r="AH34" s="200">
        <f>Model!AH119</f>
        <v>7.0000000000000001E-3</v>
      </c>
      <c r="AI34" s="200">
        <f>Model!AI119</f>
        <v>1.6E-2</v>
      </c>
      <c r="AJ34" s="105">
        <f>Model!AJ119</f>
        <v>2.8155533232881301E-2</v>
      </c>
      <c r="AK34" s="200">
        <f>Model!AK119</f>
        <v>-2.1000000000000001E-2</v>
      </c>
      <c r="AL34" s="200">
        <f>Model!AL119</f>
        <v>-0.05</v>
      </c>
      <c r="AM34" s="200">
        <f>Model!AM119</f>
        <v>-3.3000000000000002E-2</v>
      </c>
      <c r="AN34" s="200">
        <f>Model!AN119</f>
        <v>-2.8000000000000001E-2</v>
      </c>
      <c r="AO34" s="105">
        <f>Model!AO119</f>
        <v>-3.310605090443413E-2</v>
      </c>
      <c r="AP34" s="200">
        <f>Model!AP119</f>
        <v>2.1999999999999999E-2</v>
      </c>
      <c r="AQ34" s="200">
        <f>Model!AQ119</f>
        <v>-6.0999999999999999E-2</v>
      </c>
      <c r="AR34" s="200">
        <f>Model!AR119</f>
        <v>6.9000000000000006E-2</v>
      </c>
      <c r="AS34" s="200">
        <f>Model!AS119</f>
        <v>0.114</v>
      </c>
      <c r="AT34" s="105">
        <f>Model!AT119</f>
        <v>3.4629147125238839E-2</v>
      </c>
      <c r="AU34" s="761">
        <f>Model!AU119</f>
        <v>0.10299999999999999</v>
      </c>
      <c r="AV34" s="200"/>
      <c r="AW34" s="200"/>
      <c r="AX34" s="200"/>
      <c r="AY34" s="105"/>
      <c r="AZ34" s="241">
        <v>0.05</v>
      </c>
      <c r="BA34" s="241">
        <v>0.05</v>
      </c>
      <c r="BB34" s="241">
        <v>0.05</v>
      </c>
      <c r="BC34" s="241">
        <v>0.05</v>
      </c>
      <c r="BD34" s="105">
        <f>Model!BD119</f>
        <v>0.05</v>
      </c>
      <c r="BE34" s="20">
        <v>0.05</v>
      </c>
      <c r="BF34" s="20">
        <v>0.05</v>
      </c>
      <c r="BG34" s="20">
        <v>0.05</v>
      </c>
      <c r="BH34" s="349"/>
    </row>
    <row r="35" spans="1:60" x14ac:dyDescent="0.35">
      <c r="A35" s="311" t="str">
        <f>Model!A120</f>
        <v>Safety and Industrial Acquisition Sales Growth, %</v>
      </c>
      <c r="B35" s="312"/>
      <c r="C35" s="105"/>
      <c r="D35" s="105"/>
      <c r="E35" s="105"/>
      <c r="F35" s="105"/>
      <c r="G35" s="200"/>
      <c r="H35" s="200"/>
      <c r="I35" s="200"/>
      <c r="J35" s="200"/>
      <c r="K35" s="105"/>
      <c r="L35" s="200"/>
      <c r="M35" s="200"/>
      <c r="N35" s="200"/>
      <c r="O35" s="200"/>
      <c r="P35" s="105"/>
      <c r="Q35" s="200"/>
      <c r="R35" s="200"/>
      <c r="S35" s="200"/>
      <c r="T35" s="200"/>
      <c r="U35" s="105"/>
      <c r="V35" s="200"/>
      <c r="W35" s="200"/>
      <c r="X35" s="200"/>
      <c r="Y35" s="200"/>
      <c r="Z35" s="105"/>
      <c r="AA35" s="200"/>
      <c r="AB35" s="200"/>
      <c r="AC35" s="200"/>
      <c r="AD35" s="200">
        <f>Model!AD120</f>
        <v>4.8000000000000001E-2</v>
      </c>
      <c r="AE35" s="105">
        <f>Model!AE120</f>
        <v>1.1422253922967189E-2</v>
      </c>
      <c r="AF35" s="200">
        <f>Model!AF120</f>
        <v>4.9000000000000002E-2</v>
      </c>
      <c r="AG35" s="200">
        <f>Model!AG120</f>
        <v>5.3999999999999999E-2</v>
      </c>
      <c r="AH35" s="200">
        <f>Model!AH120</f>
        <v>4.5999999999999999E-2</v>
      </c>
      <c r="AI35" s="200"/>
      <c r="AJ35" s="105">
        <f>Model!AJ120</f>
        <v>3.6807132094424912E-2</v>
      </c>
      <c r="AK35" s="200"/>
      <c r="AL35" s="200"/>
      <c r="AM35" s="200"/>
      <c r="AN35" s="200"/>
      <c r="AO35" s="105">
        <f>Model!AO120</f>
        <v>0</v>
      </c>
      <c r="AP35" s="200"/>
      <c r="AQ35" s="200"/>
      <c r="AR35" s="200"/>
      <c r="AS35" s="200"/>
      <c r="AT35" s="105">
        <f>Model!AT120</f>
        <v>0</v>
      </c>
      <c r="AU35" s="761"/>
      <c r="AV35" s="200"/>
      <c r="AW35" s="200"/>
      <c r="AX35" s="200"/>
      <c r="AY35" s="105"/>
      <c r="AZ35" s="241">
        <v>0</v>
      </c>
      <c r="BA35" s="241">
        <v>0</v>
      </c>
      <c r="BB35" s="241">
        <v>0</v>
      </c>
      <c r="BC35" s="241">
        <v>0</v>
      </c>
      <c r="BD35" s="105">
        <f>Model!BD120</f>
        <v>0</v>
      </c>
      <c r="BE35" s="20">
        <v>0</v>
      </c>
      <c r="BF35" s="20">
        <v>0</v>
      </c>
      <c r="BG35" s="20">
        <v>0</v>
      </c>
      <c r="BH35" s="349"/>
    </row>
    <row r="36" spans="1:60" x14ac:dyDescent="0.35">
      <c r="A36" s="311" t="str">
        <f>Model!A121</f>
        <v>Safety and Industrial Divestiture Sales Growth, %</v>
      </c>
      <c r="B36" s="312"/>
      <c r="C36" s="105"/>
      <c r="D36" s="105"/>
      <c r="E36" s="105"/>
      <c r="F36" s="105"/>
      <c r="G36" s="200"/>
      <c r="H36" s="200"/>
      <c r="I36" s="200"/>
      <c r="J36" s="200"/>
      <c r="K36" s="105"/>
      <c r="L36" s="200"/>
      <c r="M36" s="200"/>
      <c r="N36" s="200"/>
      <c r="O36" s="200"/>
      <c r="P36" s="105"/>
      <c r="Q36" s="200"/>
      <c r="R36" s="200"/>
      <c r="S36" s="200"/>
      <c r="T36" s="200"/>
      <c r="U36" s="105"/>
      <c r="V36" s="200"/>
      <c r="W36" s="200"/>
      <c r="X36" s="200"/>
      <c r="Y36" s="200"/>
      <c r="Z36" s="105"/>
      <c r="AA36" s="200">
        <f>Model!AA121</f>
        <v>-1.0999999999999999E-2</v>
      </c>
      <c r="AB36" s="200">
        <f>Model!AB121</f>
        <v>-0.01</v>
      </c>
      <c r="AC36" s="200">
        <f>Model!AC121</f>
        <v>-0.01</v>
      </c>
      <c r="AD36" s="200">
        <f>Model!AD121</f>
        <v>-5.0000000000000001E-3</v>
      </c>
      <c r="AE36" s="105">
        <f>Model!AE121</f>
        <v>-9.0620542082738946E-3</v>
      </c>
      <c r="AF36" s="200">
        <f>Model!AF121</f>
        <v>-2E-3</v>
      </c>
      <c r="AG36" s="200">
        <f>Model!AG121</f>
        <v>-1.4E-2</v>
      </c>
      <c r="AH36" s="200">
        <f>Model!AH121</f>
        <v>-3.3000000000000002E-2</v>
      </c>
      <c r="AI36" s="200">
        <f>Model!AI121</f>
        <v>-3.2000000000000001E-2</v>
      </c>
      <c r="AJ36" s="105">
        <f>Model!AJ121</f>
        <v>-2.0536413862380712E-2</v>
      </c>
      <c r="AK36" s="200">
        <f>Model!AK121</f>
        <v>-2.7E-2</v>
      </c>
      <c r="AL36" s="200">
        <f>Model!AL121</f>
        <v>-1.9E-2</v>
      </c>
      <c r="AM36" s="200">
        <f>Model!AM121</f>
        <v>-8.0000000000000002E-3</v>
      </c>
      <c r="AN36" s="200">
        <f>Model!AN121</f>
        <v>-1.4E-2</v>
      </c>
      <c r="AO36" s="105">
        <f>Model!AO121</f>
        <v>-1.7251400672322715E-2</v>
      </c>
      <c r="AP36" s="200">
        <f>Model!AP121</f>
        <v>-0.01</v>
      </c>
      <c r="AQ36" s="200">
        <f>Model!AQ121</f>
        <v>-8.9999999999999993E-3</v>
      </c>
      <c r="AR36" s="200">
        <f>Model!AR121</f>
        <v>-4.0000000000000001E-3</v>
      </c>
      <c r="AS36" s="200">
        <f>Model!AS121</f>
        <v>0</v>
      </c>
      <c r="AT36" s="105">
        <f>Model!AT121</f>
        <v>-5.8519194024665615E-3</v>
      </c>
      <c r="AU36" s="761"/>
      <c r="AV36" s="200"/>
      <c r="AW36" s="200"/>
      <c r="AX36" s="200"/>
      <c r="AY36" s="105"/>
      <c r="AZ36" s="241">
        <v>0</v>
      </c>
      <c r="BA36" s="241">
        <v>0</v>
      </c>
      <c r="BB36" s="241">
        <v>0</v>
      </c>
      <c r="BC36" s="241">
        <v>0</v>
      </c>
      <c r="BD36" s="105">
        <f>Model!BD121</f>
        <v>0</v>
      </c>
      <c r="BE36" s="20">
        <v>0</v>
      </c>
      <c r="BF36" s="20">
        <v>0</v>
      </c>
      <c r="BG36" s="20">
        <v>0</v>
      </c>
      <c r="BH36" s="349"/>
    </row>
    <row r="37" spans="1:60" x14ac:dyDescent="0.35">
      <c r="A37" s="311" t="str">
        <f>Model!A122</f>
        <v>Safety and Industrial Translation Sales Growth, %</v>
      </c>
      <c r="B37" s="312"/>
      <c r="C37" s="105"/>
      <c r="D37" s="105"/>
      <c r="E37" s="105"/>
      <c r="F37" s="105"/>
      <c r="G37" s="200"/>
      <c r="H37" s="200"/>
      <c r="I37" s="200"/>
      <c r="J37" s="200"/>
      <c r="K37" s="105"/>
      <c r="L37" s="200"/>
      <c r="M37" s="200"/>
      <c r="N37" s="200"/>
      <c r="O37" s="200"/>
      <c r="P37" s="105"/>
      <c r="Q37" s="200"/>
      <c r="R37" s="200"/>
      <c r="S37" s="200"/>
      <c r="T37" s="200"/>
      <c r="U37" s="105"/>
      <c r="V37" s="200"/>
      <c r="W37" s="200"/>
      <c r="X37" s="200"/>
      <c r="Y37" s="200"/>
      <c r="Z37" s="105"/>
      <c r="AA37" s="200">
        <f>Model!AA122</f>
        <v>-5.0000000000000001E-3</v>
      </c>
      <c r="AB37" s="200">
        <f>Model!AB122</f>
        <v>-6.0000000000000001E-3</v>
      </c>
      <c r="AC37" s="200">
        <f>Model!AC122</f>
        <v>8.9999999999999993E-3</v>
      </c>
      <c r="AD37" s="200">
        <f>Model!AD122</f>
        <v>3.1E-2</v>
      </c>
      <c r="AE37" s="105">
        <f>Model!AE122</f>
        <v>6.8479850213980032E-3</v>
      </c>
      <c r="AF37" s="200">
        <f>Model!AF122</f>
        <v>4.7E-2</v>
      </c>
      <c r="AG37" s="200">
        <f>Model!AG122</f>
        <v>0.01</v>
      </c>
      <c r="AH37" s="200">
        <f>Model!AH122</f>
        <v>-2.1000000000000001E-2</v>
      </c>
      <c r="AI37" s="200">
        <f>Model!AI122</f>
        <v>-2.7E-2</v>
      </c>
      <c r="AJ37" s="105">
        <f>Model!AJ122</f>
        <v>1.6075673865729109E-3</v>
      </c>
      <c r="AK37" s="200">
        <f>Model!AK122</f>
        <v>-3.7999999999999999E-2</v>
      </c>
      <c r="AL37" s="200">
        <f>Model!AL122</f>
        <v>-2.1000000000000001E-2</v>
      </c>
      <c r="AM37" s="200">
        <f>Model!AM122</f>
        <v>-1.6E-2</v>
      </c>
      <c r="AN37" s="200">
        <f>Model!AN122</f>
        <v>-6.0000000000000001E-3</v>
      </c>
      <c r="AO37" s="105">
        <f>Model!AO122</f>
        <v>-2.0693532895789981E-2</v>
      </c>
      <c r="AP37" s="200">
        <f>Model!AP122</f>
        <v>-2.1999999999999999E-2</v>
      </c>
      <c r="AQ37" s="200">
        <f>Model!AQ122</f>
        <v>-2.1999999999999999E-2</v>
      </c>
      <c r="AR37" s="200">
        <f>Model!AR122</f>
        <v>4.0000000000000001E-3</v>
      </c>
      <c r="AS37" s="200">
        <f>Model!AS122</f>
        <v>1.2999999999999999E-2</v>
      </c>
      <c r="AT37" s="105">
        <f>Model!AT122</f>
        <v>-7.1459961785652233E-3</v>
      </c>
      <c r="AU37" s="761">
        <f>Model!AU122</f>
        <v>3.4000000000000002E-2</v>
      </c>
      <c r="AV37" s="200"/>
      <c r="AW37" s="200"/>
      <c r="AX37" s="200"/>
      <c r="AY37" s="105"/>
      <c r="AZ37" s="241">
        <v>0.02</v>
      </c>
      <c r="BA37" s="241">
        <v>0.02</v>
      </c>
      <c r="BB37" s="241">
        <v>0.02</v>
      </c>
      <c r="BC37" s="241">
        <v>0.02</v>
      </c>
      <c r="BD37" s="105">
        <f>Model!BD122</f>
        <v>1.9999999999999997E-2</v>
      </c>
      <c r="BE37" s="20">
        <v>1.9999999999999997E-2</v>
      </c>
      <c r="BF37" s="20">
        <v>1.9999999999999997E-2</v>
      </c>
      <c r="BG37" s="20">
        <v>1.9999999999999997E-2</v>
      </c>
      <c r="BH37" s="349"/>
    </row>
    <row r="38" spans="1:60" x14ac:dyDescent="0.35">
      <c r="A38" s="311" t="str">
        <f>Model!A123</f>
        <v>Safety and Industrial Rounding Sales Growth, %</v>
      </c>
      <c r="B38" s="312"/>
      <c r="C38" s="105"/>
      <c r="D38" s="105"/>
      <c r="E38" s="105"/>
      <c r="F38" s="105"/>
      <c r="G38" s="200"/>
      <c r="H38" s="200"/>
      <c r="I38" s="200"/>
      <c r="J38" s="200"/>
      <c r="K38" s="105"/>
      <c r="L38" s="200"/>
      <c r="M38" s="200"/>
      <c r="N38" s="200"/>
      <c r="O38" s="200"/>
      <c r="P38" s="105"/>
      <c r="Q38" s="200"/>
      <c r="R38" s="200"/>
      <c r="S38" s="200"/>
      <c r="T38" s="200"/>
      <c r="U38" s="105"/>
      <c r="V38" s="200"/>
      <c r="W38" s="200"/>
      <c r="X38" s="200"/>
      <c r="Y38" s="200"/>
      <c r="Z38" s="105"/>
      <c r="AA38" s="200">
        <f>Model!AA123</f>
        <v>8.8495575221194528E-5</v>
      </c>
      <c r="AB38" s="200">
        <f>Model!AB123</f>
        <v>5.0883269830282775E-4</v>
      </c>
      <c r="AC38" s="200">
        <f>Model!AC123</f>
        <v>-3.3333333333335213E-4</v>
      </c>
      <c r="AD38" s="200">
        <f>Model!AD123</f>
        <v>2.382914949418391E-4</v>
      </c>
      <c r="AE38" s="105">
        <f>Model!AE123</f>
        <v>1.2571326676168171E-4</v>
      </c>
      <c r="AF38" s="200">
        <f>Model!AF123</f>
        <v>2.4054982817878212E-5</v>
      </c>
      <c r="AG38" s="200">
        <f>Model!AG123</f>
        <v>-2.4333561175671203E-4</v>
      </c>
      <c r="AH38" s="200">
        <f>Model!AH123</f>
        <v>7.9365079365158187E-6</v>
      </c>
      <c r="AI38" s="200">
        <f>Model!AI123</f>
        <v>-4.2190537913160131E-4</v>
      </c>
      <c r="AJ38" s="105">
        <f>Model!AJ123</f>
        <v>-1.6072325464592391E-4</v>
      </c>
      <c r="AK38" s="200"/>
      <c r="AL38" s="200"/>
      <c r="AM38" s="200"/>
      <c r="AN38" s="200"/>
      <c r="AO38" s="105"/>
      <c r="AP38" s="200">
        <f>Model!AP123</f>
        <v>5.501181235234489E-4</v>
      </c>
      <c r="AQ38" s="200">
        <f>Model!AQ123</f>
        <v>4.0994211780723266E-4</v>
      </c>
      <c r="AR38" s="200">
        <f>Model!AR123</f>
        <v>-7.1049840933146147E-5</v>
      </c>
      <c r="AS38" s="200">
        <f>Model!AS123</f>
        <v>4.6858168761221286E-4</v>
      </c>
      <c r="AT38" s="105">
        <f>Model!AT123</f>
        <v>3.4201841236751462E-4</v>
      </c>
      <c r="AU38" s="761">
        <f>Model!AU123</f>
        <v>-3.4130509053631464E-4</v>
      </c>
      <c r="AV38" s="200"/>
      <c r="AW38" s="200"/>
      <c r="AX38" s="200"/>
      <c r="AY38" s="105"/>
      <c r="AZ38" s="241">
        <v>0</v>
      </c>
      <c r="BA38" s="241">
        <v>0</v>
      </c>
      <c r="BB38" s="241">
        <v>0</v>
      </c>
      <c r="BC38" s="241">
        <v>0</v>
      </c>
      <c r="BD38" s="105">
        <f>Model!BD123</f>
        <v>0</v>
      </c>
      <c r="BE38" s="20">
        <v>0</v>
      </c>
      <c r="BF38" s="20">
        <v>0</v>
      </c>
      <c r="BG38" s="20">
        <v>0</v>
      </c>
      <c r="BH38" s="349"/>
    </row>
    <row r="39" spans="1:60" x14ac:dyDescent="0.35">
      <c r="A39" s="931" t="str">
        <f>Model!A132</f>
        <v>Safety and Industrial Revenue, mm</v>
      </c>
      <c r="B39" s="518"/>
      <c r="C39" s="519"/>
      <c r="D39" s="519"/>
      <c r="E39" s="519"/>
      <c r="F39" s="519"/>
      <c r="G39" s="520"/>
      <c r="H39" s="520"/>
      <c r="I39" s="520"/>
      <c r="J39" s="520"/>
      <c r="K39" s="519"/>
      <c r="L39" s="520"/>
      <c r="M39" s="520"/>
      <c r="N39" s="520"/>
      <c r="O39" s="520"/>
      <c r="P39" s="519"/>
      <c r="Q39" s="520"/>
      <c r="R39" s="520"/>
      <c r="S39" s="520"/>
      <c r="T39" s="520"/>
      <c r="U39" s="519"/>
      <c r="V39" s="441">
        <f>Model!V132</f>
        <v>2825</v>
      </c>
      <c r="W39" s="441">
        <f>Model!W132</f>
        <v>2887</v>
      </c>
      <c r="X39" s="441">
        <f>Model!X132</f>
        <v>2835</v>
      </c>
      <c r="Y39" s="441">
        <f>Model!Y132</f>
        <v>2669</v>
      </c>
      <c r="Z39" s="440">
        <f>Model!Z132</f>
        <v>11216</v>
      </c>
      <c r="AA39" s="441">
        <f>Model!AA132</f>
        <v>2910</v>
      </c>
      <c r="AB39" s="441">
        <f>Model!AB132</f>
        <v>2926</v>
      </c>
      <c r="AC39" s="441">
        <f>Model!AC132</f>
        <v>3024</v>
      </c>
      <c r="AD39" s="441">
        <f>Model!AD132</f>
        <v>3086</v>
      </c>
      <c r="AE39" s="440">
        <f>Model!AE132</f>
        <v>11946</v>
      </c>
      <c r="AF39" s="441">
        <f>Model!AF132</f>
        <v>3268</v>
      </c>
      <c r="AG39" s="441">
        <f>Model!AG132</f>
        <v>3253</v>
      </c>
      <c r="AH39" s="441">
        <f>Model!AH132</f>
        <v>3021</v>
      </c>
      <c r="AI39" s="441">
        <f>Model!AI132</f>
        <v>2952</v>
      </c>
      <c r="AJ39" s="440">
        <f>Model!AJ132</f>
        <v>12494</v>
      </c>
      <c r="AK39" s="441">
        <f>Model!AK132</f>
        <v>2963</v>
      </c>
      <c r="AL39" s="441">
        <f>Model!AL132</f>
        <v>2937</v>
      </c>
      <c r="AM39" s="441">
        <f>Model!AM132</f>
        <v>2829</v>
      </c>
      <c r="AN39" s="441">
        <f>Model!AN132</f>
        <v>2785</v>
      </c>
      <c r="AO39" s="440">
        <f>Model!AO132</f>
        <v>11514</v>
      </c>
      <c r="AP39" s="441">
        <f>Model!AP132</f>
        <v>2935</v>
      </c>
      <c r="AQ39" s="441">
        <f>Model!AQ132</f>
        <v>2668</v>
      </c>
      <c r="AR39" s="441">
        <f>Model!AR132</f>
        <v>3024</v>
      </c>
      <c r="AS39" s="441">
        <f>Model!AS132</f>
        <v>3140</v>
      </c>
      <c r="AT39" s="440">
        <f>Model!AT132</f>
        <v>11767</v>
      </c>
      <c r="AU39" s="762">
        <f>Model!AU132</f>
        <v>3327</v>
      </c>
      <c r="AV39" s="943">
        <v>2854.76</v>
      </c>
      <c r="AW39" s="943">
        <v>3235.68</v>
      </c>
      <c r="AX39" s="943">
        <v>3359.8</v>
      </c>
      <c r="AY39" s="440">
        <f>Model!AY132</f>
        <v>12777.240000000002</v>
      </c>
      <c r="AZ39" s="441">
        <f>Model!AZ132</f>
        <v>3559.89</v>
      </c>
      <c r="BA39" s="441">
        <f>Model!BA132</f>
        <v>3054.5932000000003</v>
      </c>
      <c r="BB39" s="441">
        <f>Model!BB132</f>
        <v>3462.1776</v>
      </c>
      <c r="BC39" s="441">
        <f>Model!BC132</f>
        <v>3594.9859999999999</v>
      </c>
      <c r="BD39" s="440">
        <f>Model!BD132</f>
        <v>13671.646800000002</v>
      </c>
      <c r="BE39" s="440">
        <f>Model!BE132</f>
        <v>14628.662076000002</v>
      </c>
      <c r="BF39" s="440">
        <f>Model!BF132</f>
        <v>15652.668421320002</v>
      </c>
      <c r="BG39" s="440">
        <f>Model!BG132</f>
        <v>16748.355210812402</v>
      </c>
      <c r="BH39" s="349"/>
    </row>
    <row r="40" spans="1:60" x14ac:dyDescent="0.35">
      <c r="A40" s="316" t="str">
        <f>Model!A145</f>
        <v>Safety and Industrial D&amp;A, mm</v>
      </c>
      <c r="B40" s="444"/>
      <c r="C40" s="445"/>
      <c r="D40" s="445"/>
      <c r="E40" s="445"/>
      <c r="F40" s="445"/>
      <c r="G40" s="446"/>
      <c r="H40" s="446"/>
      <c r="I40" s="446"/>
      <c r="J40" s="446"/>
      <c r="K40" s="445"/>
      <c r="L40" s="446"/>
      <c r="M40" s="446"/>
      <c r="N40" s="446"/>
      <c r="O40" s="446"/>
      <c r="P40" s="445"/>
      <c r="Q40" s="446"/>
      <c r="R40" s="446"/>
      <c r="S40" s="446"/>
      <c r="T40" s="446"/>
      <c r="U40" s="445"/>
      <c r="V40" s="446"/>
      <c r="W40" s="446"/>
      <c r="X40" s="446"/>
      <c r="Y40" s="446"/>
      <c r="Z40" s="445"/>
      <c r="AA40" s="446"/>
      <c r="AB40" s="446"/>
      <c r="AC40" s="446"/>
      <c r="AD40" s="446"/>
      <c r="AE40" s="445"/>
      <c r="AF40" s="446"/>
      <c r="AG40" s="446"/>
      <c r="AH40" s="446"/>
      <c r="AI40" s="446"/>
      <c r="AJ40" s="445"/>
      <c r="AK40" s="446">
        <f>Model!AK145</f>
        <v>100</v>
      </c>
      <c r="AL40" s="446">
        <f>Model!AL145</f>
        <v>106</v>
      </c>
      <c r="AM40" s="446">
        <f>Model!AM145</f>
        <v>106</v>
      </c>
      <c r="AN40" s="446">
        <f>Model!AN145</f>
        <v>135</v>
      </c>
      <c r="AO40" s="445">
        <f>Model!AO145</f>
        <v>509</v>
      </c>
      <c r="AP40" s="446">
        <f>Model!AP145</f>
        <v>99</v>
      </c>
      <c r="AQ40" s="446">
        <f>Model!AQ145</f>
        <v>125</v>
      </c>
      <c r="AR40" s="446">
        <f>Model!AR145</f>
        <v>133</v>
      </c>
      <c r="AS40" s="446">
        <f>Model!AS145</f>
        <v>145</v>
      </c>
      <c r="AT40" s="445">
        <f>Model!AT145</f>
        <v>562</v>
      </c>
      <c r="AU40" s="767">
        <f>Model!AU145</f>
        <v>141</v>
      </c>
      <c r="AV40" s="563">
        <v>130</v>
      </c>
      <c r="AW40" s="563">
        <v>130</v>
      </c>
      <c r="AX40" s="563">
        <v>130</v>
      </c>
      <c r="AY40" s="445">
        <f>Model!AY145</f>
        <v>531</v>
      </c>
      <c r="AZ40" s="563">
        <v>130</v>
      </c>
      <c r="BA40" s="563">
        <v>130</v>
      </c>
      <c r="BB40" s="563">
        <v>130</v>
      </c>
      <c r="BC40" s="563">
        <v>130</v>
      </c>
      <c r="BD40" s="445">
        <f>Model!BD145</f>
        <v>520</v>
      </c>
      <c r="BE40" s="564">
        <v>520</v>
      </c>
      <c r="BF40" s="564">
        <v>520</v>
      </c>
      <c r="BG40" s="564">
        <v>520</v>
      </c>
      <c r="BH40" s="349"/>
    </row>
    <row r="41" spans="1:60" x14ac:dyDescent="0.35">
      <c r="A41" s="234" t="str">
        <f>Model!A150</f>
        <v>Safety and Industrial operating Income margin, %</v>
      </c>
      <c r="B41" s="607"/>
      <c r="C41" s="522"/>
      <c r="D41" s="522"/>
      <c r="E41" s="522"/>
      <c r="F41" s="522"/>
      <c r="G41" s="234"/>
      <c r="H41" s="234"/>
      <c r="I41" s="234"/>
      <c r="J41" s="234"/>
      <c r="K41" s="522"/>
      <c r="L41" s="234"/>
      <c r="M41" s="234"/>
      <c r="N41" s="234"/>
      <c r="O41" s="234"/>
      <c r="P41" s="522"/>
      <c r="Q41" s="234"/>
      <c r="R41" s="234"/>
      <c r="S41" s="234"/>
      <c r="T41" s="234"/>
      <c r="U41" s="522"/>
      <c r="V41" s="234">
        <f>Model!V150</f>
        <v>0.22761061946902655</v>
      </c>
      <c r="W41" s="234">
        <f>Model!W150</f>
        <v>0.24835469345341185</v>
      </c>
      <c r="X41" s="234">
        <f>Model!X150</f>
        <v>0.23033509700176366</v>
      </c>
      <c r="Y41" s="234">
        <f>Model!Y150</f>
        <v>0.21656050955414013</v>
      </c>
      <c r="Z41" s="522">
        <f>Model!Z150</f>
        <v>0.23100927246790298</v>
      </c>
      <c r="AA41" s="234">
        <f>Model!AA150</f>
        <v>0.2281786941580756</v>
      </c>
      <c r="AB41" s="234">
        <f>Model!AB150</f>
        <v>0.21155160628844841</v>
      </c>
      <c r="AC41" s="234">
        <f>Model!AC150</f>
        <v>0.24074074074074073</v>
      </c>
      <c r="AD41" s="234">
        <f>Model!AD150</f>
        <v>0.19183408943616331</v>
      </c>
      <c r="AE41" s="522">
        <f>Model!AE150</f>
        <v>0.2178972040850494</v>
      </c>
      <c r="AF41" s="234">
        <f>Model!AF150</f>
        <v>0.23592411260709914</v>
      </c>
      <c r="AG41" s="234">
        <f>Model!AG150</f>
        <v>0.39501998155548723</v>
      </c>
      <c r="AH41" s="234">
        <f>Model!AH150</f>
        <v>0.23071830519695466</v>
      </c>
      <c r="AI41" s="234">
        <f>Model!AI150</f>
        <v>0.22696476964769649</v>
      </c>
      <c r="AJ41" s="522">
        <f>Model!AJ150</f>
        <v>0.27397150632303507</v>
      </c>
      <c r="AK41" s="234">
        <f>Model!AK150</f>
        <v>0.21498481268984138</v>
      </c>
      <c r="AL41" s="234">
        <f>Model!AL150</f>
        <v>0.22029281579843377</v>
      </c>
      <c r="AM41" s="234">
        <f>Model!AM150</f>
        <v>0.22870272180982679</v>
      </c>
      <c r="AN41" s="234">
        <f>Model!AN150</f>
        <v>0.20789946140035906</v>
      </c>
      <c r="AO41" s="522">
        <f>Model!AO150</f>
        <v>0.21799548375890221</v>
      </c>
      <c r="AP41" s="234">
        <f>Model!AP150</f>
        <v>0.24735945485519592</v>
      </c>
      <c r="AQ41" s="234">
        <f>Model!AQ150</f>
        <v>0.23838080959520239</v>
      </c>
      <c r="AR41" s="234">
        <f>Model!AR150</f>
        <v>0.27215608465608465</v>
      </c>
      <c r="AS41" s="234">
        <f>Model!AS150</f>
        <v>0.27675159235668789</v>
      </c>
      <c r="AT41" s="522">
        <f>Model!AT150</f>
        <v>0.25953938981898528</v>
      </c>
      <c r="AU41" s="781">
        <f>Model!AU150</f>
        <v>0.24376314998497145</v>
      </c>
      <c r="AV41" s="661">
        <v>0.25838080959520238</v>
      </c>
      <c r="AW41" s="661">
        <v>0.25715608465608464</v>
      </c>
      <c r="AX41" s="661">
        <v>0.2867515923566879</v>
      </c>
      <c r="AY41" s="522">
        <f>Model!AY150</f>
        <v>0.26172459780046387</v>
      </c>
      <c r="AZ41" s="234">
        <f>Model!AZ150</f>
        <v>0.25376314998497146</v>
      </c>
      <c r="BA41" s="234">
        <f>Model!BA150</f>
        <v>0.27838080959520239</v>
      </c>
      <c r="BB41" s="234">
        <f>Model!BB150</f>
        <v>0.24215608465608462</v>
      </c>
      <c r="BC41" s="234">
        <f>Model!BC150</f>
        <v>0.29675159235668791</v>
      </c>
      <c r="BD41" s="522">
        <f>Model!BD150</f>
        <v>0.2676279071223519</v>
      </c>
      <c r="BE41" s="522">
        <f>Model!BE150</f>
        <v>0.27262790712235191</v>
      </c>
      <c r="BF41" s="522">
        <f>Model!BF150</f>
        <v>0.27762790712235191</v>
      </c>
      <c r="BG41" s="522">
        <f>Model!BG150</f>
        <v>0.28262790712235192</v>
      </c>
      <c r="BH41" s="349"/>
    </row>
    <row r="42" spans="1:60" x14ac:dyDescent="0.35">
      <c r="A42" s="947" t="str">
        <f>Model!A151</f>
        <v>Safety and Industrial Y/Y operating income margin change, bps</v>
      </c>
      <c r="B42" s="239"/>
      <c r="C42" s="163"/>
      <c r="D42" s="163"/>
      <c r="E42" s="163"/>
      <c r="F42" s="163"/>
      <c r="G42" s="164"/>
      <c r="H42" s="164"/>
      <c r="I42" s="164"/>
      <c r="J42" s="164"/>
      <c r="K42" s="163"/>
      <c r="L42" s="164"/>
      <c r="M42" s="164"/>
      <c r="N42" s="164"/>
      <c r="O42" s="164"/>
      <c r="P42" s="163"/>
      <c r="Q42" s="164"/>
      <c r="R42" s="164"/>
      <c r="S42" s="164"/>
      <c r="T42" s="164"/>
      <c r="U42" s="163"/>
      <c r="V42" s="164"/>
      <c r="W42" s="164"/>
      <c r="X42" s="164"/>
      <c r="Y42" s="164"/>
      <c r="Z42" s="163"/>
      <c r="AA42" s="164">
        <f>Model!AA151</f>
        <v>5.6807468904904184</v>
      </c>
      <c r="AB42" s="164">
        <f>Model!AB151</f>
        <v>-368.03087164963443</v>
      </c>
      <c r="AC42" s="164">
        <f>Model!AC151</f>
        <v>104.05643738977066</v>
      </c>
      <c r="AD42" s="164">
        <f>Model!AD151</f>
        <v>-247.26420117976821</v>
      </c>
      <c r="AE42" s="163">
        <f>Model!AE151</f>
        <v>-131.12068382853587</v>
      </c>
      <c r="AF42" s="164">
        <f>Model!AF151</f>
        <v>77.454184490235448</v>
      </c>
      <c r="AG42" s="164">
        <f>Model!AG151</f>
        <v>1834.6837526703882</v>
      </c>
      <c r="AH42" s="164">
        <f>Model!AH151</f>
        <v>-100.22435543786068</v>
      </c>
      <c r="AI42" s="164">
        <f>Model!AI151</f>
        <v>351.30680211533178</v>
      </c>
      <c r="AJ42" s="163">
        <f>Model!AJ151</f>
        <v>560.74302237985682</v>
      </c>
      <c r="AK42" s="164">
        <f>Model!AK151</f>
        <v>-209.39299917257765</v>
      </c>
      <c r="AL42" s="164">
        <f>Model!AL151</f>
        <v>-1747.2716575705347</v>
      </c>
      <c r="AM42" s="164">
        <f>Model!AM151</f>
        <v>-20.155833871278727</v>
      </c>
      <c r="AN42" s="164">
        <f>Model!AN151</f>
        <v>-190.65308247337433</v>
      </c>
      <c r="AO42" s="163">
        <f>Model!AO151</f>
        <v>-559.7602256413287</v>
      </c>
      <c r="AP42" s="164">
        <f>Model!AP151</f>
        <v>323.74642165354544</v>
      </c>
      <c r="AQ42" s="164">
        <f>Model!AQ151</f>
        <v>180.8799379676862</v>
      </c>
      <c r="AR42" s="164">
        <f>Model!AR151</f>
        <v>434.53362846257863</v>
      </c>
      <c r="AS42" s="164">
        <f>Model!AS151</f>
        <v>688.52130956328836</v>
      </c>
      <c r="AT42" s="163">
        <f>Model!AT151</f>
        <v>415.43906060083071</v>
      </c>
      <c r="AU42" s="782">
        <f>Model!AU151</f>
        <v>-35.963048702244706</v>
      </c>
      <c r="AV42" s="164"/>
      <c r="AW42" s="164"/>
      <c r="AX42" s="164"/>
      <c r="AY42" s="163"/>
      <c r="AZ42" s="948">
        <v>100</v>
      </c>
      <c r="BA42" s="948">
        <v>200</v>
      </c>
      <c r="BB42" s="948">
        <v>-150</v>
      </c>
      <c r="BC42" s="948">
        <v>100</v>
      </c>
      <c r="BD42" s="163">
        <f>Model!BD151</f>
        <v>59.033093218880396</v>
      </c>
      <c r="BE42" s="949">
        <v>50</v>
      </c>
      <c r="BF42" s="949">
        <v>50</v>
      </c>
      <c r="BG42" s="949">
        <v>50</v>
      </c>
      <c r="BH42" s="349"/>
    </row>
    <row r="43" spans="1:60" x14ac:dyDescent="0.35">
      <c r="A43" s="947"/>
      <c r="B43" s="239"/>
      <c r="C43" s="163"/>
      <c r="D43" s="163"/>
      <c r="E43" s="163"/>
      <c r="F43" s="163"/>
      <c r="G43" s="164"/>
      <c r="H43" s="164"/>
      <c r="I43" s="164"/>
      <c r="J43" s="164"/>
      <c r="K43" s="163"/>
      <c r="L43" s="164"/>
      <c r="M43" s="164"/>
      <c r="N43" s="164"/>
      <c r="O43" s="164"/>
      <c r="P43" s="163"/>
      <c r="Q43" s="164"/>
      <c r="R43" s="164"/>
      <c r="S43" s="164"/>
      <c r="T43" s="164"/>
      <c r="U43" s="163"/>
      <c r="V43" s="164"/>
      <c r="W43" s="164"/>
      <c r="X43" s="164"/>
      <c r="Y43" s="164"/>
      <c r="Z43" s="163"/>
      <c r="AA43" s="164"/>
      <c r="AB43" s="164"/>
      <c r="AC43" s="164"/>
      <c r="AD43" s="164"/>
      <c r="AE43" s="163"/>
      <c r="AF43" s="164"/>
      <c r="AG43" s="164"/>
      <c r="AH43" s="164"/>
      <c r="AI43" s="164"/>
      <c r="AJ43" s="163"/>
      <c r="AK43" s="164"/>
      <c r="AL43" s="164"/>
      <c r="AM43" s="164"/>
      <c r="AN43" s="164"/>
      <c r="AO43" s="163"/>
      <c r="AP43" s="164"/>
      <c r="AQ43" s="164"/>
      <c r="AR43" s="164"/>
      <c r="AS43" s="164"/>
      <c r="AT43" s="163"/>
      <c r="AU43" s="782"/>
      <c r="AV43" s="164"/>
      <c r="AW43" s="164"/>
      <c r="AX43" s="164"/>
      <c r="AY43" s="163"/>
      <c r="AZ43" s="164"/>
      <c r="BA43" s="164"/>
      <c r="BB43" s="164"/>
      <c r="BC43" s="164"/>
      <c r="BD43" s="163"/>
      <c r="BE43" s="163"/>
      <c r="BF43" s="163"/>
      <c r="BG43" s="163"/>
      <c r="BH43" s="349"/>
    </row>
    <row r="44" spans="1:60" x14ac:dyDescent="0.35">
      <c r="A44" s="874" t="str">
        <f>Model!A181</f>
        <v>Segmented Results - Transportation and Electronics (PR, 10-Q/K, IP)</v>
      </c>
      <c r="B44" s="874"/>
      <c r="C44" s="874"/>
      <c r="D44" s="874"/>
      <c r="E44" s="874"/>
      <c r="F44" s="874"/>
      <c r="G44" s="874"/>
      <c r="H44" s="874"/>
      <c r="I44" s="874"/>
      <c r="J44" s="874"/>
      <c r="K44" s="874"/>
      <c r="L44" s="874"/>
      <c r="M44" s="874"/>
      <c r="N44" s="874"/>
      <c r="O44" s="874"/>
      <c r="P44" s="874"/>
      <c r="Q44" s="874"/>
      <c r="R44" s="874"/>
      <c r="S44" s="874"/>
      <c r="T44" s="874"/>
      <c r="U44" s="874"/>
      <c r="V44" s="874"/>
      <c r="W44" s="874"/>
      <c r="X44" s="874"/>
      <c r="Y44" s="874"/>
      <c r="Z44" s="874"/>
      <c r="AA44" s="874"/>
      <c r="AB44" s="874"/>
      <c r="AC44" s="874"/>
      <c r="AD44" s="874"/>
      <c r="AE44" s="874"/>
      <c r="AF44" s="874"/>
      <c r="AG44" s="874"/>
      <c r="AH44" s="874"/>
      <c r="AI44" s="874"/>
      <c r="AJ44" s="874"/>
      <c r="AK44" s="874"/>
      <c r="AL44" s="874"/>
      <c r="AM44" s="874"/>
      <c r="AN44" s="874"/>
      <c r="AO44" s="874"/>
      <c r="AP44" s="874"/>
      <c r="AQ44" s="874"/>
      <c r="AR44" s="874"/>
      <c r="AS44" s="874"/>
      <c r="AT44" s="874"/>
      <c r="AU44" s="875"/>
      <c r="AV44" s="874"/>
      <c r="AW44" s="874"/>
      <c r="AX44" s="874"/>
      <c r="AY44" s="874"/>
      <c r="AZ44" s="874"/>
      <c r="BA44" s="874"/>
      <c r="BB44" s="874"/>
      <c r="BC44" s="874"/>
      <c r="BD44" s="874"/>
      <c r="BE44" s="874"/>
      <c r="BF44" s="874"/>
      <c r="BG44" s="874"/>
      <c r="BH44" s="349"/>
    </row>
    <row r="45" spans="1:60" x14ac:dyDescent="0.35">
      <c r="A45" s="311" t="str">
        <f>Model!A199</f>
        <v>Transportation and Electronics Organic Local-Currency Sales Growth, %</v>
      </c>
      <c r="B45" s="312"/>
      <c r="C45" s="105"/>
      <c r="D45" s="105"/>
      <c r="E45" s="105"/>
      <c r="F45" s="105"/>
      <c r="G45" s="200"/>
      <c r="H45" s="200"/>
      <c r="I45" s="200"/>
      <c r="J45" s="200"/>
      <c r="K45" s="105"/>
      <c r="L45" s="200"/>
      <c r="M45" s="200"/>
      <c r="N45" s="200"/>
      <c r="O45" s="200"/>
      <c r="P45" s="105"/>
      <c r="Q45" s="200"/>
      <c r="R45" s="200"/>
      <c r="S45" s="200"/>
      <c r="T45" s="200"/>
      <c r="U45" s="105"/>
      <c r="V45" s="200"/>
      <c r="W45" s="200"/>
      <c r="X45" s="200"/>
      <c r="Y45" s="200"/>
      <c r="Z45" s="105"/>
      <c r="AA45" s="200">
        <f>Model!AA199</f>
        <v>9.0999999999999998E-2</v>
      </c>
      <c r="AB45" s="200">
        <f>Model!AB199</f>
        <v>7.8E-2</v>
      </c>
      <c r="AC45" s="200">
        <f>Model!AC199</f>
        <v>0.10100000000000001</v>
      </c>
      <c r="AD45" s="200">
        <f>Model!AD199</f>
        <v>7.0000000000000007E-2</v>
      </c>
      <c r="AE45" s="105">
        <f>Model!AE199</f>
        <v>8.51778353296644E-2</v>
      </c>
      <c r="AF45" s="200">
        <f>Model!AF199</f>
        <v>0.03</v>
      </c>
      <c r="AG45" s="200">
        <f>Model!AG199</f>
        <v>5.3999999999999999E-2</v>
      </c>
      <c r="AH45" s="200">
        <f>Model!AH199</f>
        <v>0.03</v>
      </c>
      <c r="AI45" s="200">
        <f>Model!AI199</f>
        <v>3.3000000000000002E-2</v>
      </c>
      <c r="AJ45" s="105">
        <f>Model!AJ199</f>
        <v>3.6618192881046542E-2</v>
      </c>
      <c r="AK45" s="200">
        <f>Model!AK199</f>
        <v>-3.5000000000000003E-2</v>
      </c>
      <c r="AL45" s="200">
        <f>Model!AL199</f>
        <v>-1.2E-2</v>
      </c>
      <c r="AM45" s="200">
        <f>Model!AM199</f>
        <v>-3.4000000000000002E-2</v>
      </c>
      <c r="AN45" s="200">
        <f>Model!AN199</f>
        <v>-5.8999999999999997E-2</v>
      </c>
      <c r="AO45" s="105">
        <f>Model!AO199</f>
        <v>-3.47866613892737E-2</v>
      </c>
      <c r="AP45" s="200">
        <f>Model!AP199</f>
        <v>-0.03</v>
      </c>
      <c r="AQ45" s="200">
        <f>Model!AQ199</f>
        <v>-0.189</v>
      </c>
      <c r="AR45" s="200">
        <f>Model!AR199</f>
        <v>-7.0999999999999994E-2</v>
      </c>
      <c r="AS45" s="200">
        <f>Model!AS199</f>
        <v>1.4E-2</v>
      </c>
      <c r="AT45" s="105">
        <f>Model!AT199</f>
        <v>-7.0815973308309882E-2</v>
      </c>
      <c r="AU45" s="761">
        <f>Model!AU199</f>
        <v>9.8000000000000004E-2</v>
      </c>
      <c r="AV45" s="200"/>
      <c r="AW45" s="200"/>
      <c r="AX45" s="200"/>
      <c r="AY45" s="105"/>
      <c r="AZ45" s="241">
        <v>5.5E-2</v>
      </c>
      <c r="BA45" s="241">
        <v>5.5E-2</v>
      </c>
      <c r="BB45" s="241">
        <v>5.5E-2</v>
      </c>
      <c r="BC45" s="241">
        <v>5.5E-2</v>
      </c>
      <c r="BD45" s="105">
        <f>Model!BD199</f>
        <v>5.5E-2</v>
      </c>
      <c r="BE45" s="20">
        <v>5.5E-2</v>
      </c>
      <c r="BF45" s="20">
        <v>5.5E-2</v>
      </c>
      <c r="BG45" s="20">
        <v>5.5E-2</v>
      </c>
      <c r="BH45" s="349"/>
    </row>
    <row r="46" spans="1:60" x14ac:dyDescent="0.35">
      <c r="A46" s="311" t="str">
        <f>Model!A200</f>
        <v>Transportation and Electronics Acquisition Sales Growth, %</v>
      </c>
      <c r="B46" s="312"/>
      <c r="C46" s="105"/>
      <c r="D46" s="105"/>
      <c r="E46" s="105"/>
      <c r="F46" s="105"/>
      <c r="G46" s="200"/>
      <c r="H46" s="200"/>
      <c r="I46" s="200"/>
      <c r="J46" s="200"/>
      <c r="K46" s="105"/>
      <c r="L46" s="200"/>
      <c r="M46" s="200"/>
      <c r="N46" s="200"/>
      <c r="O46" s="200"/>
      <c r="P46" s="105"/>
      <c r="Q46" s="200"/>
      <c r="R46" s="200"/>
      <c r="S46" s="200"/>
      <c r="T46" s="200"/>
      <c r="U46" s="105"/>
      <c r="V46" s="200"/>
      <c r="W46" s="200"/>
      <c r="X46" s="200"/>
      <c r="Y46" s="200"/>
      <c r="Z46" s="105"/>
      <c r="AA46" s="200"/>
      <c r="AB46" s="200"/>
      <c r="AC46" s="200"/>
      <c r="AD46" s="200"/>
      <c r="AE46" s="105">
        <f>Model!AE200</f>
        <v>0</v>
      </c>
      <c r="AF46" s="200"/>
      <c r="AG46" s="200"/>
      <c r="AH46" s="200"/>
      <c r="AI46" s="200"/>
      <c r="AJ46" s="105">
        <f>Model!AJ200</f>
        <v>0</v>
      </c>
      <c r="AK46" s="200"/>
      <c r="AL46" s="200"/>
      <c r="AM46" s="200"/>
      <c r="AN46" s="200"/>
      <c r="AO46" s="105">
        <f>Model!AO200</f>
        <v>0</v>
      </c>
      <c r="AP46" s="200"/>
      <c r="AQ46" s="200"/>
      <c r="AR46" s="200"/>
      <c r="AS46" s="200"/>
      <c r="AT46" s="105">
        <f>Model!AT200</f>
        <v>0</v>
      </c>
      <c r="AU46" s="761"/>
      <c r="AV46" s="200"/>
      <c r="AW46" s="200"/>
      <c r="AX46" s="200"/>
      <c r="AY46" s="105"/>
      <c r="AZ46" s="241">
        <v>0</v>
      </c>
      <c r="BA46" s="241">
        <v>0</v>
      </c>
      <c r="BB46" s="241">
        <v>0</v>
      </c>
      <c r="BC46" s="241">
        <v>0</v>
      </c>
      <c r="BD46" s="105">
        <f>Model!BD200</f>
        <v>0</v>
      </c>
      <c r="BE46" s="20">
        <v>0</v>
      </c>
      <c r="BF46" s="20">
        <v>0</v>
      </c>
      <c r="BG46" s="20">
        <v>0</v>
      </c>
      <c r="BH46" s="349"/>
    </row>
    <row r="47" spans="1:60" x14ac:dyDescent="0.35">
      <c r="A47" s="311" t="str">
        <f>Model!A201</f>
        <v>Transportation and Electronics Divestiture Sales Growth, %</v>
      </c>
      <c r="B47" s="312"/>
      <c r="C47" s="105"/>
      <c r="D47" s="105"/>
      <c r="E47" s="105"/>
      <c r="F47" s="105"/>
      <c r="G47" s="200"/>
      <c r="H47" s="200"/>
      <c r="I47" s="200"/>
      <c r="J47" s="200"/>
      <c r="K47" s="105"/>
      <c r="L47" s="200"/>
      <c r="M47" s="200"/>
      <c r="N47" s="200"/>
      <c r="O47" s="200"/>
      <c r="P47" s="105"/>
      <c r="Q47" s="200"/>
      <c r="R47" s="200"/>
      <c r="S47" s="200"/>
      <c r="T47" s="200"/>
      <c r="U47" s="105"/>
      <c r="V47" s="200"/>
      <c r="W47" s="200"/>
      <c r="X47" s="200"/>
      <c r="Y47" s="200"/>
      <c r="Z47" s="105"/>
      <c r="AA47" s="200">
        <f>Model!AA201</f>
        <v>-1E-3</v>
      </c>
      <c r="AB47" s="200">
        <f>Model!AB201</f>
        <v>-2.1000000000000001E-2</v>
      </c>
      <c r="AC47" s="200">
        <f>Model!AC201</f>
        <v>-2.7E-2</v>
      </c>
      <c r="AD47" s="200">
        <f>Model!AD201</f>
        <v>-4.2999999999999997E-2</v>
      </c>
      <c r="AE47" s="105">
        <f>Model!AE201</f>
        <v>-2.3181288442861766E-2</v>
      </c>
      <c r="AF47" s="200">
        <f>Model!AF201</f>
        <v>-3.6999999999999998E-2</v>
      </c>
      <c r="AG47" s="200">
        <f>Model!AG201</f>
        <v>-2.1999999999999999E-2</v>
      </c>
      <c r="AH47" s="200">
        <f>Model!AH201</f>
        <v>-8.9999999999999993E-3</v>
      </c>
      <c r="AI47" s="200"/>
      <c r="AJ47" s="105">
        <f>Model!AJ201</f>
        <v>-1.6890883277558055E-2</v>
      </c>
      <c r="AK47" s="200"/>
      <c r="AL47" s="200"/>
      <c r="AM47" s="200"/>
      <c r="AN47" s="200"/>
      <c r="AO47" s="105">
        <f>Model!AO201</f>
        <v>0</v>
      </c>
      <c r="AP47" s="200">
        <f>Model!AP201</f>
        <v>-7.0000000000000001E-3</v>
      </c>
      <c r="AQ47" s="200">
        <f>Model!AQ201</f>
        <v>-1.0999999999999999E-2</v>
      </c>
      <c r="AR47" s="200">
        <f>Model!AR201</f>
        <v>-1.2E-2</v>
      </c>
      <c r="AS47" s="200">
        <f>Model!AS201</f>
        <v>-1.2999999999999999E-2</v>
      </c>
      <c r="AT47" s="105">
        <f>Model!AT201</f>
        <v>-1.0755187154624127E-2</v>
      </c>
      <c r="AU47" s="761"/>
      <c r="AV47" s="200"/>
      <c r="AW47" s="200"/>
      <c r="AX47" s="200"/>
      <c r="AY47" s="105"/>
      <c r="AZ47" s="241">
        <v>0</v>
      </c>
      <c r="BA47" s="241">
        <v>0</v>
      </c>
      <c r="BB47" s="241">
        <v>0</v>
      </c>
      <c r="BC47" s="241">
        <v>0</v>
      </c>
      <c r="BD47" s="105">
        <f>Model!BD201</f>
        <v>0</v>
      </c>
      <c r="BE47" s="20">
        <v>0</v>
      </c>
      <c r="BF47" s="20">
        <v>0</v>
      </c>
      <c r="BG47" s="20">
        <v>0</v>
      </c>
      <c r="BH47" s="349"/>
    </row>
    <row r="48" spans="1:60" x14ac:dyDescent="0.35">
      <c r="A48" s="311" t="str">
        <f>Model!A202</f>
        <v>Transportation and Electronics Translation Sales Growth, %</v>
      </c>
      <c r="B48" s="312"/>
      <c r="C48" s="105"/>
      <c r="D48" s="105"/>
      <c r="E48" s="105"/>
      <c r="F48" s="105"/>
      <c r="G48" s="200"/>
      <c r="H48" s="200"/>
      <c r="I48" s="200"/>
      <c r="J48" s="200"/>
      <c r="K48" s="105"/>
      <c r="L48" s="200"/>
      <c r="M48" s="200"/>
      <c r="N48" s="200"/>
      <c r="O48" s="200"/>
      <c r="P48" s="105"/>
      <c r="Q48" s="200"/>
      <c r="R48" s="200"/>
      <c r="S48" s="200"/>
      <c r="T48" s="200"/>
      <c r="U48" s="105"/>
      <c r="V48" s="200"/>
      <c r="W48" s="200"/>
      <c r="X48" s="200"/>
      <c r="Y48" s="200"/>
      <c r="Z48" s="105"/>
      <c r="AA48" s="200">
        <f>Model!AA202</f>
        <v>-7.0000000000000001E-3</v>
      </c>
      <c r="AB48" s="200">
        <f>Model!AB202</f>
        <v>-7.0000000000000001E-3</v>
      </c>
      <c r="AC48" s="200"/>
      <c r="AD48" s="200">
        <f>Model!AD202</f>
        <v>2.1999999999999999E-2</v>
      </c>
      <c r="AE48" s="105">
        <f>Model!AE202</f>
        <v>2.0215819574835431E-3</v>
      </c>
      <c r="AF48" s="200">
        <f>Model!AF202</f>
        <v>4.2999999999999997E-2</v>
      </c>
      <c r="AG48" s="200">
        <f>Model!AG202</f>
        <v>1.2999999999999999E-2</v>
      </c>
      <c r="AH48" s="200">
        <f>Model!AH202</f>
        <v>-1.4E-2</v>
      </c>
      <c r="AI48" s="200">
        <f>Model!AI202</f>
        <v>-0.02</v>
      </c>
      <c r="AJ48" s="105">
        <f>Model!AJ202</f>
        <v>5.2062671128688762E-3</v>
      </c>
      <c r="AK48" s="200">
        <f>Model!AK202</f>
        <v>-0.03</v>
      </c>
      <c r="AL48" s="200">
        <f>Model!AL202</f>
        <v>-1.7000000000000001E-2</v>
      </c>
      <c r="AM48" s="200">
        <f>Model!AM202</f>
        <v>-0.01</v>
      </c>
      <c r="AN48" s="200">
        <f>Model!AN202</f>
        <v>-3.0000000000000001E-3</v>
      </c>
      <c r="AO48" s="105">
        <f>Model!AO202</f>
        <v>-1.5044725905402732E-2</v>
      </c>
      <c r="AP48" s="200">
        <f>Model!AP202</f>
        <v>-1.2999999999999999E-2</v>
      </c>
      <c r="AQ48" s="200">
        <f>Model!AQ202</f>
        <v>-8.9999999999999993E-3</v>
      </c>
      <c r="AR48" s="200">
        <f>Model!AR202</f>
        <v>8.9999999999999993E-3</v>
      </c>
      <c r="AS48" s="200">
        <f>Model!AS202</f>
        <v>2.1999999999999999E-2</v>
      </c>
      <c r="AT48" s="105">
        <f>Model!AT202</f>
        <v>2.0985298717547704E-3</v>
      </c>
      <c r="AU48" s="761">
        <f>Model!AU202</f>
        <v>3.3000000000000002E-2</v>
      </c>
      <c r="AV48" s="200"/>
      <c r="AW48" s="200"/>
      <c r="AX48" s="200"/>
      <c r="AY48" s="105"/>
      <c r="AZ48" s="241">
        <v>2.5000000000000001E-2</v>
      </c>
      <c r="BA48" s="241">
        <v>2.5000000000000001E-2</v>
      </c>
      <c r="BB48" s="241">
        <v>2.5000000000000001E-2</v>
      </c>
      <c r="BC48" s="241">
        <v>2.5000000000000001E-2</v>
      </c>
      <c r="BD48" s="105">
        <f>Model!BD202</f>
        <v>2.5000000000000005E-2</v>
      </c>
      <c r="BE48" s="20">
        <v>2.5000000000000001E-2</v>
      </c>
      <c r="BF48" s="20">
        <v>2.5000000000000001E-2</v>
      </c>
      <c r="BG48" s="20">
        <v>2.5000000000000001E-2</v>
      </c>
      <c r="BH48" s="349"/>
    </row>
    <row r="49" spans="1:60" x14ac:dyDescent="0.35">
      <c r="A49" s="311" t="str">
        <f>Model!A203</f>
        <v>Transportation and Electronics Rounding Sales Growth, %</v>
      </c>
      <c r="B49" s="312"/>
      <c r="C49" s="105"/>
      <c r="D49" s="105"/>
      <c r="E49" s="105"/>
      <c r="F49" s="105"/>
      <c r="G49" s="200"/>
      <c r="H49" s="200"/>
      <c r="I49" s="200"/>
      <c r="J49" s="200"/>
      <c r="K49" s="105"/>
      <c r="L49" s="200"/>
      <c r="M49" s="200"/>
      <c r="N49" s="200"/>
      <c r="O49" s="200"/>
      <c r="P49" s="105"/>
      <c r="Q49" s="200"/>
      <c r="R49" s="200"/>
      <c r="S49" s="200"/>
      <c r="T49" s="200"/>
      <c r="U49" s="105"/>
      <c r="V49" s="200"/>
      <c r="W49" s="200"/>
      <c r="X49" s="200"/>
      <c r="Y49" s="200"/>
      <c r="Z49" s="105"/>
      <c r="AA49" s="200">
        <f>Model!AA203</f>
        <v>3.3333333333326887E-4</v>
      </c>
      <c r="AB49" s="200">
        <f>Model!AB203</f>
        <v>3.9096437880097729E-4</v>
      </c>
      <c r="AC49" s="200">
        <f>Model!AC203</f>
        <v>-1.246388774246987E-4</v>
      </c>
      <c r="AD49" s="200">
        <f>Model!AD203</f>
        <v>-2.619669277633338E-4</v>
      </c>
      <c r="AE49" s="105">
        <f>Model!AE203</f>
        <v>8.0284881838726951E-5</v>
      </c>
      <c r="AF49" s="200">
        <f>Model!AF203</f>
        <v>1.9909502262453055E-4</v>
      </c>
      <c r="AG49" s="200">
        <f>Model!AG203</f>
        <v>7.8577336641780238E-5</v>
      </c>
      <c r="AH49" s="200">
        <f>Model!AH203</f>
        <v>-4.6656418139888987E-4</v>
      </c>
      <c r="AI49" s="200">
        <f>Model!AI203</f>
        <v>-1.369294605809597E-4</v>
      </c>
      <c r="AJ49" s="105">
        <f>Model!AJ203</f>
        <v>-8.822634621223624E-5</v>
      </c>
      <c r="AK49" s="200"/>
      <c r="AL49" s="200"/>
      <c r="AM49" s="200"/>
      <c r="AN49" s="200"/>
      <c r="AO49" s="105"/>
      <c r="AP49" s="200">
        <f>Model!AP203</f>
        <v>3.184713375796247E-4</v>
      </c>
      <c r="AQ49" s="200">
        <f>Model!AQ203</f>
        <v>-3.8775510204075436E-4</v>
      </c>
      <c r="AR49" s="200">
        <f>Model!AR203</f>
        <v>-4.0000000000002534E-4</v>
      </c>
      <c r="AS49" s="200">
        <f>Model!AS203</f>
        <v>-2.5284339457574273E-4</v>
      </c>
      <c r="AT49" s="105">
        <f>Model!AT203</f>
        <v>-1.8538212907938389E-4</v>
      </c>
      <c r="AU49" s="761">
        <f>Model!AU203</f>
        <v>-5.8463599821356738E-4</v>
      </c>
      <c r="AV49" s="200"/>
      <c r="AW49" s="200"/>
      <c r="AX49" s="200"/>
      <c r="AY49" s="105"/>
      <c r="AZ49" s="241">
        <v>0</v>
      </c>
      <c r="BA49" s="241">
        <v>0</v>
      </c>
      <c r="BB49" s="241">
        <v>0</v>
      </c>
      <c r="BC49" s="241">
        <v>0</v>
      </c>
      <c r="BD49" s="105">
        <f>Model!BD203</f>
        <v>0</v>
      </c>
      <c r="BE49" s="20">
        <v>0</v>
      </c>
      <c r="BF49" s="20">
        <v>0</v>
      </c>
      <c r="BG49" s="20">
        <v>0</v>
      </c>
      <c r="BH49" s="349"/>
    </row>
    <row r="50" spans="1:60" x14ac:dyDescent="0.35">
      <c r="A50" s="931" t="str">
        <f>Model!A212</f>
        <v>Transportation and Electronics Revenue, mm</v>
      </c>
      <c r="B50" s="518"/>
      <c r="C50" s="519"/>
      <c r="D50" s="519"/>
      <c r="E50" s="519"/>
      <c r="F50" s="519"/>
      <c r="G50" s="520"/>
      <c r="H50" s="520"/>
      <c r="I50" s="520"/>
      <c r="J50" s="520"/>
      <c r="K50" s="519"/>
      <c r="L50" s="520"/>
      <c r="M50" s="520"/>
      <c r="N50" s="520"/>
      <c r="O50" s="520"/>
      <c r="P50" s="519"/>
      <c r="Q50" s="520"/>
      <c r="R50" s="520"/>
      <c r="S50" s="520"/>
      <c r="T50" s="520"/>
      <c r="U50" s="519"/>
      <c r="V50" s="441">
        <f>Model!V212</f>
        <v>2244</v>
      </c>
      <c r="W50" s="441">
        <f>Model!W212</f>
        <v>2302</v>
      </c>
      <c r="X50" s="441">
        <f>Model!X212</f>
        <v>2423</v>
      </c>
      <c r="Y50" s="441">
        <f>Model!Y212</f>
        <v>2298</v>
      </c>
      <c r="Z50" s="440">
        <f>Model!Z212</f>
        <v>9267</v>
      </c>
      <c r="AA50" s="441">
        <f>Model!AA212</f>
        <v>2431</v>
      </c>
      <c r="AB50" s="441">
        <f>Model!AB212</f>
        <v>2418</v>
      </c>
      <c r="AC50" s="441">
        <f>Model!AC212</f>
        <v>2602</v>
      </c>
      <c r="AD50" s="441">
        <f>Model!AD212</f>
        <v>2410</v>
      </c>
      <c r="AE50" s="440">
        <f>Model!AE212</f>
        <v>9861</v>
      </c>
      <c r="AF50" s="441">
        <f>Model!AF212</f>
        <v>2519</v>
      </c>
      <c r="AG50" s="441">
        <f>Model!AG212</f>
        <v>2527</v>
      </c>
      <c r="AH50" s="441">
        <f>Model!AH212</f>
        <v>2619</v>
      </c>
      <c r="AI50" s="441">
        <f>Model!AI212</f>
        <v>2441</v>
      </c>
      <c r="AJ50" s="440">
        <f>Model!AJ212</f>
        <v>10106</v>
      </c>
      <c r="AK50" s="441">
        <f>Model!AK212</f>
        <v>2355</v>
      </c>
      <c r="AL50" s="441">
        <f>Model!AL212</f>
        <v>2450</v>
      </c>
      <c r="AM50" s="441">
        <f>Model!AM212</f>
        <v>2500</v>
      </c>
      <c r="AN50" s="441">
        <f>Model!AN212</f>
        <v>2286</v>
      </c>
      <c r="AO50" s="440">
        <f>Model!AO212</f>
        <v>9591</v>
      </c>
      <c r="AP50" s="441">
        <f>Model!AP212</f>
        <v>2238</v>
      </c>
      <c r="AQ50" s="441">
        <f>Model!AQ212</f>
        <v>1937</v>
      </c>
      <c r="AR50" s="441">
        <f>Model!AR212</f>
        <v>2314</v>
      </c>
      <c r="AS50" s="441">
        <f>Model!AS212</f>
        <v>2338</v>
      </c>
      <c r="AT50" s="440">
        <f>Model!AT212</f>
        <v>8827</v>
      </c>
      <c r="AU50" s="762">
        <f>Model!AU212</f>
        <v>2531</v>
      </c>
      <c r="AV50" s="943">
        <v>2091.96</v>
      </c>
      <c r="AW50" s="943">
        <v>2499.12</v>
      </c>
      <c r="AX50" s="943">
        <v>2525.04</v>
      </c>
      <c r="AY50" s="440">
        <f>Model!AY212</f>
        <v>9647.119999999999</v>
      </c>
      <c r="AZ50" s="441">
        <f>Model!AZ212</f>
        <v>2733.48</v>
      </c>
      <c r="BA50" s="441">
        <f>Model!BA212</f>
        <v>2259.3168000000001</v>
      </c>
      <c r="BB50" s="441">
        <f>Model!BB212</f>
        <v>2699.0495999999998</v>
      </c>
      <c r="BC50" s="441">
        <f>Model!BC212</f>
        <v>2727.0432000000001</v>
      </c>
      <c r="BD50" s="440">
        <f>Model!BD212</f>
        <v>10418.889599999999</v>
      </c>
      <c r="BE50" s="440">
        <f>Model!BE212</f>
        <v>11252.400767999998</v>
      </c>
      <c r="BF50" s="440">
        <f>Model!BF212</f>
        <v>12152.592829439998</v>
      </c>
      <c r="BG50" s="440">
        <f>Model!BG212</f>
        <v>13124.800255795197</v>
      </c>
      <c r="BH50" s="349"/>
    </row>
    <row r="51" spans="1:60" x14ac:dyDescent="0.35">
      <c r="A51" s="316" t="str">
        <f>Model!A225</f>
        <v>Transportation and Electronics D&amp;A, mm</v>
      </c>
      <c r="B51" s="444"/>
      <c r="C51" s="445"/>
      <c r="D51" s="445"/>
      <c r="E51" s="445"/>
      <c r="F51" s="445"/>
      <c r="G51" s="446"/>
      <c r="H51" s="446"/>
      <c r="I51" s="446"/>
      <c r="J51" s="446"/>
      <c r="K51" s="445"/>
      <c r="L51" s="446"/>
      <c r="M51" s="446"/>
      <c r="N51" s="446"/>
      <c r="O51" s="446"/>
      <c r="P51" s="445"/>
      <c r="Q51" s="446"/>
      <c r="R51" s="446"/>
      <c r="S51" s="446"/>
      <c r="T51" s="446"/>
      <c r="U51" s="445"/>
      <c r="V51" s="446"/>
      <c r="W51" s="446"/>
      <c r="X51" s="446"/>
      <c r="Y51" s="446"/>
      <c r="Z51" s="445"/>
      <c r="AA51" s="446"/>
      <c r="AB51" s="446"/>
      <c r="AC51" s="446"/>
      <c r="AD51" s="446"/>
      <c r="AE51" s="445"/>
      <c r="AF51" s="446"/>
      <c r="AG51" s="446"/>
      <c r="AH51" s="446"/>
      <c r="AI51" s="446"/>
      <c r="AJ51" s="445"/>
      <c r="AK51" s="446">
        <f>Model!AK225</f>
        <v>77</v>
      </c>
      <c r="AL51" s="446">
        <f>Model!AL225</f>
        <v>79</v>
      </c>
      <c r="AM51" s="446">
        <f>Model!AM225</f>
        <v>79</v>
      </c>
      <c r="AN51" s="446">
        <f>Model!AN225</f>
        <v>102</v>
      </c>
      <c r="AO51" s="445">
        <f>Model!AO225</f>
        <v>401</v>
      </c>
      <c r="AP51" s="446">
        <f>Model!AP225</f>
        <v>77</v>
      </c>
      <c r="AQ51" s="446">
        <f>Model!AQ225</f>
        <v>89</v>
      </c>
      <c r="AR51" s="446">
        <f>Model!AR225</f>
        <v>91</v>
      </c>
      <c r="AS51" s="446">
        <f>Model!AS225</f>
        <v>113</v>
      </c>
      <c r="AT51" s="445">
        <f>Model!AT225</f>
        <v>429</v>
      </c>
      <c r="AU51" s="767">
        <f>Model!AU225</f>
        <v>99</v>
      </c>
      <c r="AV51" s="563">
        <v>90</v>
      </c>
      <c r="AW51" s="563">
        <v>90</v>
      </c>
      <c r="AX51" s="563">
        <v>90</v>
      </c>
      <c r="AY51" s="445">
        <f>Model!AY225</f>
        <v>369</v>
      </c>
      <c r="AZ51" s="563">
        <v>90</v>
      </c>
      <c r="BA51" s="563">
        <v>90</v>
      </c>
      <c r="BB51" s="563">
        <v>90</v>
      </c>
      <c r="BC51" s="563">
        <v>90</v>
      </c>
      <c r="BD51" s="445">
        <f>Model!BD225</f>
        <v>360</v>
      </c>
      <c r="BE51" s="564">
        <v>360</v>
      </c>
      <c r="BF51" s="564">
        <v>360</v>
      </c>
      <c r="BG51" s="564">
        <v>360</v>
      </c>
      <c r="BH51" s="349"/>
    </row>
    <row r="52" spans="1:60" x14ac:dyDescent="0.35">
      <c r="A52" s="234" t="str">
        <f>Model!A230</f>
        <v>Transportation and Electronics operating Income margin, %</v>
      </c>
      <c r="B52" s="607"/>
      <c r="C52" s="522"/>
      <c r="D52" s="522"/>
      <c r="E52" s="522"/>
      <c r="F52" s="522"/>
      <c r="G52" s="234"/>
      <c r="H52" s="234"/>
      <c r="I52" s="234"/>
      <c r="J52" s="234"/>
      <c r="K52" s="522"/>
      <c r="L52" s="234"/>
      <c r="M52" s="234"/>
      <c r="N52" s="234"/>
      <c r="O52" s="234"/>
      <c r="P52" s="522"/>
      <c r="Q52" s="234"/>
      <c r="R52" s="234"/>
      <c r="S52" s="234"/>
      <c r="T52" s="234"/>
      <c r="U52" s="522"/>
      <c r="V52" s="234">
        <f>Model!V230</f>
        <v>0.22415329768270945</v>
      </c>
      <c r="W52" s="234">
        <f>Model!W230</f>
        <v>0.22371850564726325</v>
      </c>
      <c r="X52" s="234">
        <f>Model!X230</f>
        <v>0.24680148576145275</v>
      </c>
      <c r="Y52" s="234">
        <f>Model!Y230</f>
        <v>0.24020887728459531</v>
      </c>
      <c r="Z52" s="522">
        <f>Model!Z230</f>
        <v>0.23394841912161432</v>
      </c>
      <c r="AA52" s="234">
        <f>Model!AA230</f>
        <v>0.23406005758946935</v>
      </c>
      <c r="AB52" s="234">
        <f>Model!AB230</f>
        <v>0.43010752688172044</v>
      </c>
      <c r="AC52" s="234">
        <f>Model!AC230</f>
        <v>0.26710222905457343</v>
      </c>
      <c r="AD52" s="234">
        <f>Model!AD230</f>
        <v>0.28298755186721991</v>
      </c>
      <c r="AE52" s="522">
        <f>Model!AE230</f>
        <v>0.30280904573572659</v>
      </c>
      <c r="AF52" s="234">
        <f>Model!AF230</f>
        <v>0.26042080190551808</v>
      </c>
      <c r="AG52" s="234">
        <f>Model!AG230</f>
        <v>0.26474079936683814</v>
      </c>
      <c r="AH52" s="234">
        <f>Model!AH230</f>
        <v>0.27720504009163804</v>
      </c>
      <c r="AI52" s="234">
        <f>Model!AI230</f>
        <v>0.24498156493240475</v>
      </c>
      <c r="AJ52" s="522">
        <f>Model!AJ230</f>
        <v>0.26212151197308531</v>
      </c>
      <c r="AK52" s="234">
        <f>Model!AK230</f>
        <v>0.22165605095541402</v>
      </c>
      <c r="AL52" s="234">
        <f>Model!AL230</f>
        <v>0.24122448979591837</v>
      </c>
      <c r="AM52" s="234">
        <f>Model!AM230</f>
        <v>0.25480000000000003</v>
      </c>
      <c r="AN52" s="234">
        <f>Model!AN230</f>
        <v>0.20734908136482941</v>
      </c>
      <c r="AO52" s="522">
        <f>Model!AO230</f>
        <v>0.23157126472734857</v>
      </c>
      <c r="AP52" s="234">
        <f>Model!AP230</f>
        <v>0.2162645218945487</v>
      </c>
      <c r="AQ52" s="234">
        <f>Model!AQ230</f>
        <v>0.197212183789365</v>
      </c>
      <c r="AR52" s="234">
        <f>Model!AR230</f>
        <v>0.23854796888504753</v>
      </c>
      <c r="AS52" s="234">
        <f>Model!AS230</f>
        <v>0.21856287425149701</v>
      </c>
      <c r="AT52" s="522">
        <f>Model!AT230</f>
        <v>0.21830746573014614</v>
      </c>
      <c r="AU52" s="781">
        <f>Model!AU230</f>
        <v>0.23350454365863296</v>
      </c>
      <c r="AV52" s="661">
        <v>0.20721218378936501</v>
      </c>
      <c r="AW52" s="661">
        <v>0.24854796888504754</v>
      </c>
      <c r="AX52" s="661">
        <v>0.22856287425149702</v>
      </c>
      <c r="AY52" s="522">
        <f>Model!AY230</f>
        <v>0.23040671205499674</v>
      </c>
      <c r="AZ52" s="234">
        <f>Model!AZ230</f>
        <v>0.24350454365863297</v>
      </c>
      <c r="BA52" s="234">
        <f>Model!BA230</f>
        <v>0.21721218378936502</v>
      </c>
      <c r="BB52" s="234">
        <f>Model!BB230</f>
        <v>0.25854796888504755</v>
      </c>
      <c r="BC52" s="234">
        <f>Model!BC230</f>
        <v>0.23856287425149703</v>
      </c>
      <c r="BD52" s="522">
        <f>Model!BD230</f>
        <v>0.24040671205499672</v>
      </c>
      <c r="BE52" s="522">
        <f>Model!BE230</f>
        <v>0.24540671205499673</v>
      </c>
      <c r="BF52" s="522">
        <f>Model!BF230</f>
        <v>0.25040671205499671</v>
      </c>
      <c r="BG52" s="522">
        <f>Model!BG230</f>
        <v>0.25540671205499671</v>
      </c>
      <c r="BH52" s="349"/>
    </row>
    <row r="53" spans="1:60" x14ac:dyDescent="0.35">
      <c r="A53" s="947" t="str">
        <f>Model!A231</f>
        <v>Transportation and Electronics Y/Y operating income margin change, bps</v>
      </c>
      <c r="B53" s="239"/>
      <c r="C53" s="163"/>
      <c r="D53" s="163"/>
      <c r="E53" s="163"/>
      <c r="F53" s="163"/>
      <c r="G53" s="164"/>
      <c r="H53" s="164"/>
      <c r="I53" s="164"/>
      <c r="J53" s="164"/>
      <c r="K53" s="163"/>
      <c r="L53" s="164"/>
      <c r="M53" s="164"/>
      <c r="N53" s="164"/>
      <c r="O53" s="164"/>
      <c r="P53" s="163"/>
      <c r="Q53" s="164"/>
      <c r="R53" s="164"/>
      <c r="S53" s="164"/>
      <c r="T53" s="164"/>
      <c r="U53" s="163"/>
      <c r="V53" s="164"/>
      <c r="W53" s="164"/>
      <c r="X53" s="164"/>
      <c r="Y53" s="164"/>
      <c r="Z53" s="163"/>
      <c r="AA53" s="164">
        <f>Model!AA231</f>
        <v>99.067599067599048</v>
      </c>
      <c r="AB53" s="164">
        <f>Model!AB231</f>
        <v>2063.8902123445719</v>
      </c>
      <c r="AC53" s="164">
        <f>Model!AC231</f>
        <v>203.00743293120678</v>
      </c>
      <c r="AD53" s="164">
        <f>Model!AD231</f>
        <v>427.78674582624603</v>
      </c>
      <c r="AE53" s="163">
        <f>Model!AE231</f>
        <v>688.60626614112266</v>
      </c>
      <c r="AF53" s="164">
        <f>Model!AF231</f>
        <v>263.60744316048732</v>
      </c>
      <c r="AG53" s="164">
        <f>Model!AG231</f>
        <v>-1653.6672751488229</v>
      </c>
      <c r="AH53" s="164">
        <f>Model!AH231</f>
        <v>101.02811037064619</v>
      </c>
      <c r="AI53" s="164">
        <f>Model!AI231</f>
        <v>-380.05986934815161</v>
      </c>
      <c r="AJ53" s="163">
        <f>Model!AJ231</f>
        <v>-406.87533762641283</v>
      </c>
      <c r="AK53" s="164">
        <f>Model!AK231</f>
        <v>-387.64750950104064</v>
      </c>
      <c r="AL53" s="164">
        <f>Model!AL231</f>
        <v>-235.16309570919768</v>
      </c>
      <c r="AM53" s="164">
        <f>Model!AM231</f>
        <v>-224.05040091638017</v>
      </c>
      <c r="AN53" s="164">
        <f>Model!AN231</f>
        <v>-376.32483567575343</v>
      </c>
      <c r="AO53" s="163">
        <f>Model!AO231</f>
        <v>-305.50247245736739</v>
      </c>
      <c r="AP53" s="164">
        <f>Model!AP231</f>
        <v>-53.915290608653187</v>
      </c>
      <c r="AQ53" s="164">
        <f>Model!AQ231</f>
        <v>-440.12306006553371</v>
      </c>
      <c r="AR53" s="164">
        <f>Model!AR231</f>
        <v>-162.52031114952493</v>
      </c>
      <c r="AS53" s="164">
        <f>Model!AS231</f>
        <v>112.13792886667601</v>
      </c>
      <c r="AT53" s="163">
        <f>Model!AT231</f>
        <v>-132.63798997202426</v>
      </c>
      <c r="AU53" s="782">
        <f>Model!AU231</f>
        <v>172.40021764084261</v>
      </c>
      <c r="AV53" s="164"/>
      <c r="AW53" s="164"/>
      <c r="AX53" s="164"/>
      <c r="AY53" s="163"/>
      <c r="AZ53" s="948">
        <v>100</v>
      </c>
      <c r="BA53" s="948">
        <v>100</v>
      </c>
      <c r="BB53" s="948">
        <v>100</v>
      </c>
      <c r="BC53" s="948">
        <v>100</v>
      </c>
      <c r="BD53" s="163">
        <f>Model!BD231</f>
        <v>99.999999999999815</v>
      </c>
      <c r="BE53" s="949">
        <v>50</v>
      </c>
      <c r="BF53" s="949">
        <v>50</v>
      </c>
      <c r="BG53" s="949">
        <v>50</v>
      </c>
      <c r="BH53" s="349"/>
    </row>
    <row r="54" spans="1:60" x14ac:dyDescent="0.35">
      <c r="A54" s="947"/>
      <c r="B54" s="239"/>
      <c r="C54" s="163"/>
      <c r="D54" s="163"/>
      <c r="E54" s="163"/>
      <c r="F54" s="163"/>
      <c r="G54" s="164"/>
      <c r="H54" s="164"/>
      <c r="I54" s="164"/>
      <c r="J54" s="164"/>
      <c r="K54" s="163"/>
      <c r="L54" s="164"/>
      <c r="M54" s="164"/>
      <c r="N54" s="164"/>
      <c r="O54" s="164"/>
      <c r="P54" s="163"/>
      <c r="Q54" s="164"/>
      <c r="R54" s="164"/>
      <c r="S54" s="164"/>
      <c r="T54" s="164"/>
      <c r="U54" s="163"/>
      <c r="V54" s="164"/>
      <c r="W54" s="164"/>
      <c r="X54" s="164"/>
      <c r="Y54" s="164"/>
      <c r="Z54" s="163"/>
      <c r="AA54" s="164"/>
      <c r="AB54" s="164"/>
      <c r="AC54" s="164"/>
      <c r="AD54" s="164"/>
      <c r="AE54" s="163"/>
      <c r="AF54" s="164"/>
      <c r="AG54" s="164"/>
      <c r="AH54" s="164"/>
      <c r="AI54" s="164"/>
      <c r="AJ54" s="163"/>
      <c r="AK54" s="164"/>
      <c r="AL54" s="164"/>
      <c r="AM54" s="164"/>
      <c r="AN54" s="164"/>
      <c r="AO54" s="163"/>
      <c r="AP54" s="164"/>
      <c r="AQ54" s="164"/>
      <c r="AR54" s="164"/>
      <c r="AS54" s="164"/>
      <c r="AT54" s="163"/>
      <c r="AU54" s="782"/>
      <c r="AV54" s="164"/>
      <c r="AW54" s="164"/>
      <c r="AX54" s="164"/>
      <c r="AY54" s="163"/>
      <c r="AZ54" s="164"/>
      <c r="BA54" s="164"/>
      <c r="BB54" s="164"/>
      <c r="BC54" s="164"/>
      <c r="BD54" s="163"/>
      <c r="BE54" s="163"/>
      <c r="BF54" s="163"/>
      <c r="BG54" s="163"/>
      <c r="BH54" s="349"/>
    </row>
    <row r="55" spans="1:60" x14ac:dyDescent="0.35">
      <c r="A55" s="874" t="str">
        <f>Model!A258</f>
        <v>Segmented Results - Health Care (PR, 10-Q/K, IP)</v>
      </c>
      <c r="B55" s="874"/>
      <c r="C55" s="874"/>
      <c r="D55" s="874"/>
      <c r="E55" s="874"/>
      <c r="F55" s="874"/>
      <c r="G55" s="874"/>
      <c r="H55" s="874"/>
      <c r="I55" s="874"/>
      <c r="J55" s="874"/>
      <c r="K55" s="874"/>
      <c r="L55" s="874"/>
      <c r="M55" s="874"/>
      <c r="N55" s="874"/>
      <c r="O55" s="874"/>
      <c r="P55" s="874"/>
      <c r="Q55" s="874"/>
      <c r="R55" s="874"/>
      <c r="S55" s="874"/>
      <c r="T55" s="874"/>
      <c r="U55" s="874"/>
      <c r="V55" s="874"/>
      <c r="W55" s="874"/>
      <c r="X55" s="874"/>
      <c r="Y55" s="874"/>
      <c r="Z55" s="874"/>
      <c r="AA55" s="874"/>
      <c r="AB55" s="874"/>
      <c r="AC55" s="874"/>
      <c r="AD55" s="874"/>
      <c r="AE55" s="874"/>
      <c r="AF55" s="874"/>
      <c r="AG55" s="874"/>
      <c r="AH55" s="874"/>
      <c r="AI55" s="874"/>
      <c r="AJ55" s="874"/>
      <c r="AK55" s="874"/>
      <c r="AL55" s="874"/>
      <c r="AM55" s="874"/>
      <c r="AN55" s="874"/>
      <c r="AO55" s="874"/>
      <c r="AP55" s="874"/>
      <c r="AQ55" s="874"/>
      <c r="AR55" s="874"/>
      <c r="AS55" s="874"/>
      <c r="AT55" s="874"/>
      <c r="AU55" s="875"/>
      <c r="AV55" s="874"/>
      <c r="AW55" s="874"/>
      <c r="AX55" s="874"/>
      <c r="AY55" s="874"/>
      <c r="AZ55" s="874"/>
      <c r="BA55" s="874"/>
      <c r="BB55" s="874"/>
      <c r="BC55" s="874"/>
      <c r="BD55" s="874"/>
      <c r="BE55" s="874"/>
      <c r="BF55" s="874"/>
      <c r="BG55" s="874"/>
      <c r="BH55" s="349"/>
    </row>
    <row r="56" spans="1:60" x14ac:dyDescent="0.35">
      <c r="A56" s="311" t="str">
        <f>Model!A276</f>
        <v>Health Care Organic Local-Currency Sales Growth, %</v>
      </c>
      <c r="B56" s="312"/>
      <c r="C56" s="105"/>
      <c r="D56" s="105"/>
      <c r="E56" s="105"/>
      <c r="F56" s="105"/>
      <c r="G56" s="200"/>
      <c r="H56" s="200"/>
      <c r="I56" s="200"/>
      <c r="J56" s="200"/>
      <c r="K56" s="105"/>
      <c r="L56" s="200"/>
      <c r="M56" s="200"/>
      <c r="N56" s="200"/>
      <c r="O56" s="200"/>
      <c r="P56" s="105"/>
      <c r="Q56" s="200"/>
      <c r="R56" s="200"/>
      <c r="S56" s="200"/>
      <c r="T56" s="200"/>
      <c r="U56" s="105"/>
      <c r="V56" s="200"/>
      <c r="W56" s="200"/>
      <c r="X56" s="200"/>
      <c r="Y56" s="200"/>
      <c r="Z56" s="105"/>
      <c r="AA56" s="200">
        <f>Model!AA276</f>
        <v>2.9000000000000001E-2</v>
      </c>
      <c r="AB56" s="200">
        <f>Model!AB276</f>
        <v>1.7999999999999999E-2</v>
      </c>
      <c r="AC56" s="200">
        <f>Model!AC276</f>
        <v>6.4000000000000001E-2</v>
      </c>
      <c r="AD56" s="200">
        <f>Model!AD276</f>
        <v>2.8000000000000001E-2</v>
      </c>
      <c r="AE56" s="105">
        <f>Model!AE276</f>
        <v>3.457817155402227E-2</v>
      </c>
      <c r="AF56" s="200">
        <f>Model!AF276</f>
        <v>2.5000000000000001E-2</v>
      </c>
      <c r="AG56" s="200">
        <f>Model!AG276</f>
        <v>4.3999999999999997E-2</v>
      </c>
      <c r="AH56" s="200">
        <f>Model!AH276</f>
        <v>-7.0000000000000001E-3</v>
      </c>
      <c r="AI56" s="200">
        <f>Model!AI276</f>
        <v>4.4999999999999998E-2</v>
      </c>
      <c r="AJ56" s="105">
        <f>Model!AJ276</f>
        <v>2.6617784476262243E-2</v>
      </c>
      <c r="AK56" s="200">
        <f>Model!AK276</f>
        <v>7.0000000000000001E-3</v>
      </c>
      <c r="AL56" s="200">
        <f>Model!AL276</f>
        <v>3.5000000000000003E-2</v>
      </c>
      <c r="AM56" s="200">
        <f>Model!AM276</f>
        <v>0.02</v>
      </c>
      <c r="AN56" s="200">
        <f>Model!AN276</f>
        <v>-2E-3</v>
      </c>
      <c r="AO56" s="105">
        <f>Model!AO276</f>
        <v>1.4973483738646353E-2</v>
      </c>
      <c r="AP56" s="200">
        <f>Model!AP276</f>
        <v>1.2E-2</v>
      </c>
      <c r="AQ56" s="200">
        <f>Model!AQ276</f>
        <v>-0.124</v>
      </c>
      <c r="AR56" s="200">
        <f>Model!AR276</f>
        <v>8.1000000000000003E-2</v>
      </c>
      <c r="AS56" s="200">
        <f>Model!AS276</f>
        <v>6.6000000000000003E-2</v>
      </c>
      <c r="AT56" s="105">
        <f>Model!AT276</f>
        <v>1.0028125420535595E-2</v>
      </c>
      <c r="AU56" s="761">
        <f>Model!AU276</f>
        <v>9.2999999999999999E-2</v>
      </c>
      <c r="AV56" s="200"/>
      <c r="AW56" s="200"/>
      <c r="AX56" s="200"/>
      <c r="AY56" s="105"/>
      <c r="AZ56" s="241">
        <v>3.5000000000000003E-2</v>
      </c>
      <c r="BA56" s="241">
        <v>3.5000000000000003E-2</v>
      </c>
      <c r="BB56" s="241">
        <v>3.5000000000000003E-2</v>
      </c>
      <c r="BC56" s="241">
        <v>3.5000000000000003E-2</v>
      </c>
      <c r="BD56" s="105">
        <f>Model!BD276</f>
        <v>3.5000000000000003E-2</v>
      </c>
      <c r="BE56" s="20">
        <v>3.5000000000000003E-2</v>
      </c>
      <c r="BF56" s="20">
        <v>3.5000000000000003E-2</v>
      </c>
      <c r="BG56" s="20">
        <v>3.5000000000000003E-2</v>
      </c>
      <c r="BH56" s="349"/>
    </row>
    <row r="57" spans="1:60" x14ac:dyDescent="0.35">
      <c r="A57" s="311" t="str">
        <f>Model!A277</f>
        <v>Health Care Acquisition Sales Growth, %</v>
      </c>
      <c r="B57" s="312"/>
      <c r="C57" s="105"/>
      <c r="D57" s="105"/>
      <c r="E57" s="105"/>
      <c r="F57" s="105"/>
      <c r="G57" s="200"/>
      <c r="H57" s="200"/>
      <c r="I57" s="200"/>
      <c r="J57" s="200"/>
      <c r="K57" s="105"/>
      <c r="L57" s="200"/>
      <c r="M57" s="200"/>
      <c r="N57" s="200"/>
      <c r="O57" s="200"/>
      <c r="P57" s="105"/>
      <c r="Q57" s="200"/>
      <c r="R57" s="200"/>
      <c r="S57" s="200"/>
      <c r="T57" s="200"/>
      <c r="U57" s="105"/>
      <c r="V57" s="200"/>
      <c r="W57" s="200"/>
      <c r="X57" s="200"/>
      <c r="Y57" s="200"/>
      <c r="Z57" s="105"/>
      <c r="AA57" s="200"/>
      <c r="AB57" s="200"/>
      <c r="AC57" s="200"/>
      <c r="AD57" s="200">
        <f>Model!AD277</f>
        <v>1E-3</v>
      </c>
      <c r="AE57" s="105">
        <f>Model!AE277</f>
        <v>2.4839266112592132E-4</v>
      </c>
      <c r="AF57" s="200">
        <f>Model!AF277</f>
        <v>1E-3</v>
      </c>
      <c r="AG57" s="200">
        <f>Model!AG277</f>
        <v>1E-3</v>
      </c>
      <c r="AH57" s="200"/>
      <c r="AI57" s="200"/>
      <c r="AJ57" s="105">
        <f>Model!AJ277</f>
        <v>4.9314242652599856E-4</v>
      </c>
      <c r="AK57" s="200">
        <f>Model!AK277</f>
        <v>2.8000000000000001E-2</v>
      </c>
      <c r="AL57" s="200">
        <f>Model!AL277</f>
        <v>4.3999999999999997E-2</v>
      </c>
      <c r="AM57" s="200">
        <f>Model!AM277</f>
        <v>4.3999999999999997E-2</v>
      </c>
      <c r="AN57" s="200">
        <f>Model!AN277</f>
        <v>0.26</v>
      </c>
      <c r="AO57" s="105">
        <f>Model!AO277</f>
        <v>9.3957222384998554E-2</v>
      </c>
      <c r="AP57" s="200">
        <f>Model!AP277</f>
        <v>0.216</v>
      </c>
      <c r="AQ57" s="200">
        <f>Model!AQ277</f>
        <v>0.17899999999999999</v>
      </c>
      <c r="AR57" s="200">
        <f>Model!AR277</f>
        <v>0.23400000000000001</v>
      </c>
      <c r="AS57" s="200">
        <f>Model!AS277</f>
        <v>2.1000000000000001E-2</v>
      </c>
      <c r="AT57" s="105">
        <f>Model!AT277</f>
        <v>0.15486906203741083</v>
      </c>
      <c r="AU57" s="761"/>
      <c r="AV57" s="200"/>
      <c r="AW57" s="200"/>
      <c r="AX57" s="200"/>
      <c r="AY57" s="105"/>
      <c r="AZ57" s="241">
        <v>0</v>
      </c>
      <c r="BA57" s="241">
        <v>0</v>
      </c>
      <c r="BB57" s="241">
        <v>0</v>
      </c>
      <c r="BC57" s="241">
        <v>0</v>
      </c>
      <c r="BD57" s="105">
        <f>Model!BD277</f>
        <v>0</v>
      </c>
      <c r="BE57" s="20">
        <v>0</v>
      </c>
      <c r="BF57" s="20">
        <v>0</v>
      </c>
      <c r="BG57" s="20">
        <v>0</v>
      </c>
      <c r="BH57" s="349"/>
    </row>
    <row r="58" spans="1:60" x14ac:dyDescent="0.35">
      <c r="A58" s="311" t="str">
        <f>Model!A278</f>
        <v>Health Care Divestiture Sales Growth, %</v>
      </c>
      <c r="B58" s="312"/>
      <c r="C58" s="105"/>
      <c r="D58" s="105"/>
      <c r="E58" s="105"/>
      <c r="F58" s="105"/>
      <c r="G58" s="200"/>
      <c r="H58" s="200"/>
      <c r="I58" s="200"/>
      <c r="J58" s="200"/>
      <c r="K58" s="105"/>
      <c r="L58" s="200"/>
      <c r="M58" s="200"/>
      <c r="N58" s="200"/>
      <c r="O58" s="200"/>
      <c r="P58" s="105"/>
      <c r="Q58" s="200"/>
      <c r="R58" s="200"/>
      <c r="S58" s="200"/>
      <c r="T58" s="200"/>
      <c r="U58" s="105"/>
      <c r="V58" s="200"/>
      <c r="W58" s="200"/>
      <c r="X58" s="200"/>
      <c r="Y58" s="200"/>
      <c r="Z58" s="105"/>
      <c r="AA58" s="200"/>
      <c r="AB58" s="200"/>
      <c r="AC58" s="200"/>
      <c r="AD58" s="200"/>
      <c r="AE58" s="105">
        <f>Model!AE278</f>
        <v>0</v>
      </c>
      <c r="AF58" s="200">
        <f>Model!AF278</f>
        <v>-1E-3</v>
      </c>
      <c r="AG58" s="200">
        <f>Model!AG278</f>
        <v>-3.0000000000000001E-3</v>
      </c>
      <c r="AH58" s="200">
        <f>Model!AH278</f>
        <v>-2E-3</v>
      </c>
      <c r="AI58" s="200">
        <f>Model!AI278</f>
        <v>-1E-3</v>
      </c>
      <c r="AJ58" s="105">
        <f>Model!AJ278</f>
        <v>-1.7492087415222305E-3</v>
      </c>
      <c r="AK58" s="200">
        <f>Model!AK278</f>
        <v>-2E-3</v>
      </c>
      <c r="AL58" s="200"/>
      <c r="AM58" s="200"/>
      <c r="AN58" s="200"/>
      <c r="AO58" s="105">
        <f>Model!AO278</f>
        <v>-5.1128039847641378E-4</v>
      </c>
      <c r="AP58" s="200"/>
      <c r="AQ58" s="200">
        <f>Model!AQ278</f>
        <v>-4.2999999999999997E-2</v>
      </c>
      <c r="AR58" s="200">
        <f>Model!AR278</f>
        <v>-7.0999999999999994E-2</v>
      </c>
      <c r="AS58" s="200">
        <f>Model!AS278</f>
        <v>-4.9000000000000002E-2</v>
      </c>
      <c r="AT58" s="105">
        <f>Model!AT278</f>
        <v>-4.1156371955322298E-2</v>
      </c>
      <c r="AU58" s="761">
        <f>Model!AU278</f>
        <v>-5.6000000000000001E-2</v>
      </c>
      <c r="AV58" s="200"/>
      <c r="AW58" s="200"/>
      <c r="AX58" s="200"/>
      <c r="AY58" s="105"/>
      <c r="AZ58" s="241">
        <v>0</v>
      </c>
      <c r="BA58" s="241">
        <v>0</v>
      </c>
      <c r="BB58" s="241">
        <v>0</v>
      </c>
      <c r="BC58" s="241">
        <v>0</v>
      </c>
      <c r="BD58" s="105">
        <f>Model!BD278</f>
        <v>0</v>
      </c>
      <c r="BE58" s="20">
        <v>0</v>
      </c>
      <c r="BF58" s="20">
        <v>0</v>
      </c>
      <c r="BG58" s="20">
        <v>0</v>
      </c>
      <c r="BH58" s="349"/>
    </row>
    <row r="59" spans="1:60" x14ac:dyDescent="0.35">
      <c r="A59" s="311" t="str">
        <f>Model!A279</f>
        <v>Health Care Translation Sales Growth, %</v>
      </c>
      <c r="B59" s="312"/>
      <c r="C59" s="105"/>
      <c r="D59" s="105"/>
      <c r="E59" s="105"/>
      <c r="F59" s="105"/>
      <c r="G59" s="200"/>
      <c r="H59" s="200"/>
      <c r="I59" s="200"/>
      <c r="J59" s="200"/>
      <c r="K59" s="105"/>
      <c r="L59" s="200"/>
      <c r="M59" s="200"/>
      <c r="N59" s="200"/>
      <c r="O59" s="200"/>
      <c r="P59" s="105"/>
      <c r="Q59" s="200"/>
      <c r="R59" s="200"/>
      <c r="S59" s="200"/>
      <c r="T59" s="200"/>
      <c r="U59" s="105"/>
      <c r="V59" s="200"/>
      <c r="W59" s="200"/>
      <c r="X59" s="200"/>
      <c r="Y59" s="200"/>
      <c r="Z59" s="105"/>
      <c r="AA59" s="200">
        <f>Model!AA279</f>
        <v>-8.0000000000000002E-3</v>
      </c>
      <c r="AB59" s="200">
        <f>Model!AB279</f>
        <v>-7.0000000000000001E-3</v>
      </c>
      <c r="AC59" s="200">
        <f>Model!AC279</f>
        <v>8.9999999999999993E-3</v>
      </c>
      <c r="AD59" s="200">
        <f>Model!AD279</f>
        <v>2.9000000000000001E-2</v>
      </c>
      <c r="AE59" s="105">
        <f>Model!AE279</f>
        <v>5.6358789399404106E-3</v>
      </c>
      <c r="AF59" s="200">
        <f>Model!AF279</f>
        <v>4.5999999999999999E-2</v>
      </c>
      <c r="AG59" s="200">
        <f>Model!AG279</f>
        <v>1.2E-2</v>
      </c>
      <c r="AH59" s="200">
        <f>Model!AH279</f>
        <v>-1.7000000000000001E-2</v>
      </c>
      <c r="AI59" s="200">
        <f>Model!AI279</f>
        <v>-2.5000000000000001E-2</v>
      </c>
      <c r="AJ59" s="105">
        <f>Model!AJ279</f>
        <v>3.6330067822155222E-3</v>
      </c>
      <c r="AK59" s="200">
        <f>Model!AK279</f>
        <v>-3.6999999999999998E-2</v>
      </c>
      <c r="AL59" s="200">
        <f>Model!AL279</f>
        <v>-2.1000000000000001E-2</v>
      </c>
      <c r="AM59" s="200">
        <f>Model!AM279</f>
        <v>-1.7000000000000001E-2</v>
      </c>
      <c r="AN59" s="200">
        <f>Model!AN279</f>
        <v>-4.0000000000000001E-3</v>
      </c>
      <c r="AO59" s="105">
        <f>Model!AO279</f>
        <v>-1.9873718136536773E-2</v>
      </c>
      <c r="AP59" s="200">
        <f>Model!AP279</f>
        <v>-1.7999999999999999E-2</v>
      </c>
      <c r="AQ59" s="200">
        <f>Model!AQ279</f>
        <v>-1.6E-2</v>
      </c>
      <c r="AR59" s="200">
        <f>Model!AR279</f>
        <v>1.0999999999999999E-2</v>
      </c>
      <c r="AS59" s="200">
        <f>Model!AS279</f>
        <v>1.6E-2</v>
      </c>
      <c r="AT59" s="105">
        <f>Model!AT279</f>
        <v>-9.948862871753466E-4</v>
      </c>
      <c r="AU59" s="761">
        <f>Model!AU279</f>
        <v>3.1E-2</v>
      </c>
      <c r="AV59" s="200"/>
      <c r="AW59" s="200"/>
      <c r="AX59" s="200"/>
      <c r="AY59" s="105"/>
      <c r="AZ59" s="241">
        <v>1.4999999999999999E-2</v>
      </c>
      <c r="BA59" s="241">
        <v>1.4999999999999999E-2</v>
      </c>
      <c r="BB59" s="241">
        <v>1.4999999999999999E-2</v>
      </c>
      <c r="BC59" s="241">
        <v>1.4999999999999999E-2</v>
      </c>
      <c r="BD59" s="105">
        <f>Model!BD279</f>
        <v>1.4999999999999999E-2</v>
      </c>
      <c r="BE59" s="20">
        <v>1.5000000000000003E-2</v>
      </c>
      <c r="BF59" s="20">
        <v>1.5000000000000003E-2</v>
      </c>
      <c r="BG59" s="20">
        <v>1.5000000000000003E-2</v>
      </c>
      <c r="BH59" s="349"/>
    </row>
    <row r="60" spans="1:60" x14ac:dyDescent="0.35">
      <c r="A60" s="311" t="str">
        <f>Model!A280</f>
        <v>Health Care Rounding Sales Growth, %</v>
      </c>
      <c r="B60" s="312"/>
      <c r="C60" s="105"/>
      <c r="D60" s="105"/>
      <c r="E60" s="105"/>
      <c r="F60" s="105"/>
      <c r="G60" s="200"/>
      <c r="H60" s="200"/>
      <c r="I60" s="200"/>
      <c r="J60" s="200"/>
      <c r="K60" s="105"/>
      <c r="L60" s="200"/>
      <c r="M60" s="200"/>
      <c r="N60" s="200"/>
      <c r="O60" s="200"/>
      <c r="P60" s="105"/>
      <c r="Q60" s="200"/>
      <c r="R60" s="200"/>
      <c r="S60" s="200"/>
      <c r="T60" s="200"/>
      <c r="U60" s="105"/>
      <c r="V60" s="200"/>
      <c r="W60" s="200"/>
      <c r="X60" s="200"/>
      <c r="Y60" s="200"/>
      <c r="Z60" s="105"/>
      <c r="AA60" s="200">
        <f>Model!AA280</f>
        <v>-3.3625547902325567E-4</v>
      </c>
      <c r="AB60" s="200">
        <f>Model!AB280</f>
        <v>8.3743842364546878E-5</v>
      </c>
      <c r="AC60" s="200">
        <f>Model!AC280</f>
        <v>1.5521628498733897E-4</v>
      </c>
      <c r="AD60" s="200">
        <f>Model!AD280</f>
        <v>8.080808080817431E-5</v>
      </c>
      <c r="AE60" s="105">
        <f>Model!AE280</f>
        <v>-4.5475929119909164E-6</v>
      </c>
      <c r="AF60" s="200">
        <f>Model!AF280</f>
        <v>-4.4785276073616709E-4</v>
      </c>
      <c r="AG60" s="200">
        <f>Model!AG280</f>
        <v>-4.0682095006089325E-4</v>
      </c>
      <c r="AH60" s="200">
        <f>Model!AH280</f>
        <v>-8.1802015411990003E-5</v>
      </c>
      <c r="AI60" s="200">
        <f>Model!AI280</f>
        <v>9.3078758949836915E-5</v>
      </c>
      <c r="AJ60" s="105">
        <f>Model!AJ280</f>
        <v>-2.0798794272801693E-4</v>
      </c>
      <c r="AK60" s="200"/>
      <c r="AL60" s="200"/>
      <c r="AM60" s="200"/>
      <c r="AN60" s="200"/>
      <c r="AO60" s="105"/>
      <c r="AP60" s="200">
        <f>Model!AP280</f>
        <v>1.1507479861838643E-5</v>
      </c>
      <c r="AQ60" s="200">
        <f>Model!AQ280</f>
        <v>7.2310212998361045E-4</v>
      </c>
      <c r="AR60" s="200">
        <f>Model!AR280</f>
        <v>8.4253341080864352E-5</v>
      </c>
      <c r="AS60" s="200">
        <f>Model!AS280</f>
        <v>1.8028958430642283E-4</v>
      </c>
      <c r="AT60" s="105">
        <f>Model!AT280</f>
        <v>2.5232135647969278E-4</v>
      </c>
      <c r="AU60" s="761">
        <f>Model!AU280</f>
        <v>4.4106463878318403E-4</v>
      </c>
      <c r="AV60" s="200"/>
      <c r="AW60" s="200"/>
      <c r="AX60" s="200"/>
      <c r="AY60" s="105"/>
      <c r="AZ60" s="241">
        <v>0</v>
      </c>
      <c r="BA60" s="241">
        <v>0</v>
      </c>
      <c r="BB60" s="241">
        <v>0</v>
      </c>
      <c r="BC60" s="241">
        <v>0</v>
      </c>
      <c r="BD60" s="105">
        <f>Model!BD280</f>
        <v>0</v>
      </c>
      <c r="BE60" s="20">
        <v>0</v>
      </c>
      <c r="BF60" s="20">
        <v>0</v>
      </c>
      <c r="BG60" s="20">
        <v>0</v>
      </c>
      <c r="BH60" s="349"/>
    </row>
    <row r="61" spans="1:60" x14ac:dyDescent="0.35">
      <c r="A61" s="931" t="str">
        <f>Model!A289</f>
        <v>Health Care Revenue, mm</v>
      </c>
      <c r="B61" s="518"/>
      <c r="C61" s="519"/>
      <c r="D61" s="519"/>
      <c r="E61" s="519"/>
      <c r="F61" s="519"/>
      <c r="G61" s="520"/>
      <c r="H61" s="520"/>
      <c r="I61" s="520"/>
      <c r="J61" s="520"/>
      <c r="K61" s="519"/>
      <c r="L61" s="520"/>
      <c r="M61" s="520"/>
      <c r="N61" s="520"/>
      <c r="O61" s="520"/>
      <c r="P61" s="519"/>
      <c r="Q61" s="520"/>
      <c r="R61" s="520"/>
      <c r="S61" s="520"/>
      <c r="T61" s="520"/>
      <c r="U61" s="519"/>
      <c r="V61" s="441">
        <f>Model!V289</f>
        <v>1597</v>
      </c>
      <c r="W61" s="441">
        <f>Model!W289</f>
        <v>1624</v>
      </c>
      <c r="X61" s="441">
        <f>Model!X289</f>
        <v>1572</v>
      </c>
      <c r="Y61" s="441">
        <f>Model!Y289</f>
        <v>1584</v>
      </c>
      <c r="Z61" s="440">
        <f>Model!Z289</f>
        <v>6377</v>
      </c>
      <c r="AA61" s="441">
        <f>Model!AA289</f>
        <v>1630</v>
      </c>
      <c r="AB61" s="441">
        <f>Model!AB289</f>
        <v>1642</v>
      </c>
      <c r="AC61" s="441">
        <f>Model!AC289</f>
        <v>1687</v>
      </c>
      <c r="AD61" s="441">
        <f>Model!AD289</f>
        <v>1676</v>
      </c>
      <c r="AE61" s="440">
        <f>Model!AE289</f>
        <v>6635</v>
      </c>
      <c r="AF61" s="441">
        <f>Model!AF289</f>
        <v>1745</v>
      </c>
      <c r="AG61" s="441">
        <f>Model!AG289</f>
        <v>1730</v>
      </c>
      <c r="AH61" s="441">
        <f>Model!AH289</f>
        <v>1643</v>
      </c>
      <c r="AI61" s="441">
        <f>Model!AI289</f>
        <v>1708</v>
      </c>
      <c r="AJ61" s="440">
        <f>Model!AJ289</f>
        <v>6826</v>
      </c>
      <c r="AK61" s="441">
        <f>Model!AK289</f>
        <v>1738</v>
      </c>
      <c r="AL61" s="441">
        <f>Model!AL289</f>
        <v>1831</v>
      </c>
      <c r="AM61" s="441">
        <f>Model!AM289</f>
        <v>1721</v>
      </c>
      <c r="AN61" s="441">
        <f>Model!AN289</f>
        <v>2141</v>
      </c>
      <c r="AO61" s="440">
        <f>Model!AO289</f>
        <v>7431</v>
      </c>
      <c r="AP61" s="441">
        <f>Model!AP289</f>
        <v>2103</v>
      </c>
      <c r="AQ61" s="441">
        <f>Model!AQ289</f>
        <v>1825</v>
      </c>
      <c r="AR61" s="441">
        <f>Model!AR289</f>
        <v>2160</v>
      </c>
      <c r="AS61" s="441">
        <f>Model!AS289</f>
        <v>2257</v>
      </c>
      <c r="AT61" s="440">
        <f>Model!AT289</f>
        <v>8345</v>
      </c>
      <c r="AU61" s="762">
        <f>Model!AU289</f>
        <v>2248</v>
      </c>
      <c r="AV61" s="943">
        <v>1916.25</v>
      </c>
      <c r="AW61" s="943">
        <v>2268</v>
      </c>
      <c r="AX61" s="943">
        <v>2369.85</v>
      </c>
      <c r="AY61" s="440">
        <f>Model!AY289</f>
        <v>8802.1</v>
      </c>
      <c r="AZ61" s="441">
        <f>Model!AZ289</f>
        <v>2360.3999999999996</v>
      </c>
      <c r="BA61" s="441">
        <f>Model!BA289</f>
        <v>2012.0625</v>
      </c>
      <c r="BB61" s="441">
        <f>Model!BB289</f>
        <v>2381.4</v>
      </c>
      <c r="BC61" s="441">
        <f>Model!BC289</f>
        <v>2488.3425000000002</v>
      </c>
      <c r="BD61" s="440">
        <f>Model!BD289</f>
        <v>9242.2049999999999</v>
      </c>
      <c r="BE61" s="440">
        <f>Model!BE289</f>
        <v>9704.3152499999997</v>
      </c>
      <c r="BF61" s="440">
        <f>Model!BF289</f>
        <v>10189.5310125</v>
      </c>
      <c r="BG61" s="440">
        <f>Model!BG289</f>
        <v>10699.007563124998</v>
      </c>
      <c r="BH61" s="349"/>
    </row>
    <row r="62" spans="1:60" x14ac:dyDescent="0.35">
      <c r="A62" s="316" t="str">
        <f>Model!A302</f>
        <v>Health Care D&amp;A, mm</v>
      </c>
      <c r="B62" s="444"/>
      <c r="C62" s="445"/>
      <c r="D62" s="445"/>
      <c r="E62" s="445"/>
      <c r="F62" s="445"/>
      <c r="G62" s="446"/>
      <c r="H62" s="446"/>
      <c r="I62" s="446"/>
      <c r="J62" s="446"/>
      <c r="K62" s="445"/>
      <c r="L62" s="446"/>
      <c r="M62" s="446"/>
      <c r="N62" s="446"/>
      <c r="O62" s="446"/>
      <c r="P62" s="445"/>
      <c r="Q62" s="446"/>
      <c r="R62" s="446"/>
      <c r="S62" s="446"/>
      <c r="T62" s="446"/>
      <c r="U62" s="445"/>
      <c r="V62" s="446"/>
      <c r="W62" s="446"/>
      <c r="X62" s="446"/>
      <c r="Y62" s="446"/>
      <c r="Z62" s="445"/>
      <c r="AA62" s="446"/>
      <c r="AB62" s="446"/>
      <c r="AC62" s="446"/>
      <c r="AD62" s="446"/>
      <c r="AE62" s="445"/>
      <c r="AF62" s="446"/>
      <c r="AG62" s="446"/>
      <c r="AH62" s="446"/>
      <c r="AI62" s="446"/>
      <c r="AJ62" s="445"/>
      <c r="AK62" s="446">
        <f>Model!AK302</f>
        <v>54</v>
      </c>
      <c r="AL62" s="446">
        <f>Model!AL302</f>
        <v>56</v>
      </c>
      <c r="AM62" s="446">
        <f>Model!AM302</f>
        <v>53</v>
      </c>
      <c r="AN62" s="446">
        <f>Model!AN302</f>
        <v>158</v>
      </c>
      <c r="AO62" s="445">
        <f>Model!AO302</f>
        <v>392</v>
      </c>
      <c r="AP62" s="446">
        <f>Model!AP302</f>
        <v>128</v>
      </c>
      <c r="AQ62" s="446">
        <f>Model!AQ302</f>
        <v>133</v>
      </c>
      <c r="AR62" s="446">
        <f>Model!AR302</f>
        <v>136</v>
      </c>
      <c r="AS62" s="446">
        <f>Model!AS302</f>
        <v>158</v>
      </c>
      <c r="AT62" s="445">
        <f>Model!AT302</f>
        <v>626</v>
      </c>
      <c r="AU62" s="767">
        <f>Model!AU302</f>
        <v>158</v>
      </c>
      <c r="AV62" s="563">
        <v>135</v>
      </c>
      <c r="AW62" s="563">
        <v>135</v>
      </c>
      <c r="AX62" s="563">
        <v>135</v>
      </c>
      <c r="AY62" s="445">
        <f>Model!AY302</f>
        <v>563</v>
      </c>
      <c r="AZ62" s="563">
        <v>135</v>
      </c>
      <c r="BA62" s="563">
        <v>135</v>
      </c>
      <c r="BB62" s="563">
        <v>135</v>
      </c>
      <c r="BC62" s="563">
        <v>135</v>
      </c>
      <c r="BD62" s="445">
        <f>Model!BD302</f>
        <v>540</v>
      </c>
      <c r="BE62" s="564">
        <v>540</v>
      </c>
      <c r="BF62" s="564">
        <v>540</v>
      </c>
      <c r="BG62" s="564">
        <v>540</v>
      </c>
      <c r="BH62" s="349"/>
    </row>
    <row r="63" spans="1:60" x14ac:dyDescent="0.35">
      <c r="A63" s="234" t="str">
        <f>Model!A307</f>
        <v>Health Care operating Income margin, %</v>
      </c>
      <c r="B63" s="607"/>
      <c r="C63" s="522"/>
      <c r="D63" s="522"/>
      <c r="E63" s="522"/>
      <c r="F63" s="522"/>
      <c r="G63" s="234"/>
      <c r="H63" s="234"/>
      <c r="I63" s="234"/>
      <c r="J63" s="234"/>
      <c r="K63" s="522"/>
      <c r="L63" s="234"/>
      <c r="M63" s="234"/>
      <c r="N63" s="234"/>
      <c r="O63" s="234"/>
      <c r="P63" s="522"/>
      <c r="Q63" s="234"/>
      <c r="R63" s="234"/>
      <c r="S63" s="234"/>
      <c r="T63" s="234"/>
      <c r="U63" s="522"/>
      <c r="V63" s="234">
        <f>Model!V307</f>
        <v>0.30369442705072008</v>
      </c>
      <c r="W63" s="234">
        <f>Model!W307</f>
        <v>0.30110837438423643</v>
      </c>
      <c r="X63" s="234">
        <f>Model!X307</f>
        <v>0.28689567430025448</v>
      </c>
      <c r="Y63" s="234">
        <f>Model!Y307</f>
        <v>0.26957070707070707</v>
      </c>
      <c r="Z63" s="522">
        <f>Model!Z307</f>
        <v>0.29041869217500393</v>
      </c>
      <c r="AA63" s="234">
        <f>Model!AA307</f>
        <v>0.28404907975460125</v>
      </c>
      <c r="AB63" s="234">
        <f>Model!AB307</f>
        <v>0.26370280146163216</v>
      </c>
      <c r="AC63" s="234">
        <f>Model!AC307</f>
        <v>0.29638411381149971</v>
      </c>
      <c r="AD63" s="234">
        <f>Model!AD307</f>
        <v>0.28699284009546538</v>
      </c>
      <c r="AE63" s="522">
        <f>Model!AE307</f>
        <v>0.28289374529012812</v>
      </c>
      <c r="AF63" s="234">
        <f>Model!AF307</f>
        <v>0.28538681948424066</v>
      </c>
      <c r="AG63" s="234">
        <f>Model!AG307</f>
        <v>0.27167630057803466</v>
      </c>
      <c r="AH63" s="234">
        <f>Model!AH307</f>
        <v>0.28910529519172246</v>
      </c>
      <c r="AI63" s="234">
        <f>Model!AI307</f>
        <v>0.27985948477751754</v>
      </c>
      <c r="AJ63" s="522">
        <f>Model!AJ307</f>
        <v>0.28142396718429535</v>
      </c>
      <c r="AK63" s="234">
        <f>Model!AK307</f>
        <v>0.26697353279631758</v>
      </c>
      <c r="AL63" s="234">
        <f>Model!AL307</f>
        <v>0.26379027853631898</v>
      </c>
      <c r="AM63" s="234">
        <f>Model!AM307</f>
        <v>0.26670540383497965</v>
      </c>
      <c r="AN63" s="234">
        <f>Model!AN307</f>
        <v>0.21345165810368985</v>
      </c>
      <c r="AO63" s="522">
        <f>Model!AO307</f>
        <v>0.2500336428475306</v>
      </c>
      <c r="AP63" s="234">
        <f>Model!AP307</f>
        <v>0.21683309557774608</v>
      </c>
      <c r="AQ63" s="234">
        <f>Model!AQ307</f>
        <v>0.16767123287671232</v>
      </c>
      <c r="AR63" s="234">
        <f>Model!AR307</f>
        <v>0.23518518518518519</v>
      </c>
      <c r="AS63" s="234">
        <f>Model!AS307</f>
        <v>0.24723083739477181</v>
      </c>
      <c r="AT63" s="522">
        <f>Model!AT307</f>
        <v>0.21905332534451769</v>
      </c>
      <c r="AU63" s="781">
        <f>Model!AU307</f>
        <v>0.22642348754448399</v>
      </c>
      <c r="AV63" s="661">
        <v>0.22</v>
      </c>
      <c r="AW63" s="661">
        <v>0.222</v>
      </c>
      <c r="AX63" s="661">
        <v>0.221</v>
      </c>
      <c r="AY63" s="522">
        <f>Model!AY307</f>
        <v>0.22242508605900863</v>
      </c>
      <c r="AZ63" s="234">
        <f>Model!AZ307</f>
        <v>0.24642348754448398</v>
      </c>
      <c r="BA63" s="234">
        <f>Model!BA307</f>
        <v>0.27</v>
      </c>
      <c r="BB63" s="234">
        <f>Model!BB307</f>
        <v>0.22700000000000001</v>
      </c>
      <c r="BC63" s="234">
        <f>Model!BC307</f>
        <v>0.23100000000000001</v>
      </c>
      <c r="BD63" s="522">
        <f>Model!BD307</f>
        <v>0.24239884232171868</v>
      </c>
      <c r="BE63" s="522">
        <f>Model!BE307</f>
        <v>0.25239884232171866</v>
      </c>
      <c r="BF63" s="522">
        <f>Model!BF307</f>
        <v>0.26239884232171867</v>
      </c>
      <c r="BG63" s="522">
        <f>Model!BG307</f>
        <v>0.27239884232171868</v>
      </c>
      <c r="BH63" s="349"/>
    </row>
    <row r="64" spans="1:60" x14ac:dyDescent="0.35">
      <c r="A64" s="947" t="str">
        <f>Model!A308</f>
        <v>Health Care Y/Y operating income margin change, bps</v>
      </c>
      <c r="B64" s="239"/>
      <c r="C64" s="163"/>
      <c r="D64" s="163"/>
      <c r="E64" s="163"/>
      <c r="F64" s="163"/>
      <c r="G64" s="164"/>
      <c r="H64" s="164"/>
      <c r="I64" s="164"/>
      <c r="J64" s="164"/>
      <c r="K64" s="163"/>
      <c r="L64" s="164"/>
      <c r="M64" s="164"/>
      <c r="N64" s="164"/>
      <c r="O64" s="164"/>
      <c r="P64" s="163"/>
      <c r="Q64" s="164"/>
      <c r="R64" s="164"/>
      <c r="S64" s="164"/>
      <c r="T64" s="164"/>
      <c r="U64" s="163"/>
      <c r="V64" s="164"/>
      <c r="W64" s="164"/>
      <c r="X64" s="164"/>
      <c r="Y64" s="164"/>
      <c r="Z64" s="163"/>
      <c r="AA64" s="164">
        <f>Model!AA308</f>
        <v>-196.45347296118831</v>
      </c>
      <c r="AB64" s="164">
        <f>Model!AB308</f>
        <v>-374.05572922604267</v>
      </c>
      <c r="AC64" s="164">
        <f>Model!AC308</f>
        <v>94.884395112452282</v>
      </c>
      <c r="AD64" s="164">
        <f>Model!AD308</f>
        <v>174.22133024758313</v>
      </c>
      <c r="AE64" s="163">
        <f>Model!AE308</f>
        <v>-75.249468848758156</v>
      </c>
      <c r="AF64" s="164">
        <f>Model!AF308</f>
        <v>13.37739729639409</v>
      </c>
      <c r="AG64" s="164">
        <f>Model!AG308</f>
        <v>79.734991164024933</v>
      </c>
      <c r="AH64" s="164">
        <f>Model!AH308</f>
        <v>-72.788186197772504</v>
      </c>
      <c r="AI64" s="164">
        <f>Model!AI308</f>
        <v>-71.333553179478429</v>
      </c>
      <c r="AJ64" s="163">
        <f>Model!AJ308</f>
        <v>-14.697781058327642</v>
      </c>
      <c r="AK64" s="164">
        <f>Model!AK308</f>
        <v>-184.13286687923082</v>
      </c>
      <c r="AL64" s="164">
        <f>Model!AL308</f>
        <v>-78.860220417156796</v>
      </c>
      <c r="AM64" s="164">
        <f>Model!AM308</f>
        <v>-223.99891356742808</v>
      </c>
      <c r="AN64" s="164">
        <f>Model!AN308</f>
        <v>-664.07826673827697</v>
      </c>
      <c r="AO64" s="163">
        <f>Model!AO308</f>
        <v>-313.90324336764752</v>
      </c>
      <c r="AP64" s="164">
        <f>Model!AP308</f>
        <v>-501.40437218571503</v>
      </c>
      <c r="AQ64" s="164">
        <f>Model!AQ308</f>
        <v>-961.19045659606661</v>
      </c>
      <c r="AR64" s="164">
        <f>Model!AR308</f>
        <v>-315.20218649794458</v>
      </c>
      <c r="AS64" s="164">
        <f>Model!AS308</f>
        <v>337.79179291081954</v>
      </c>
      <c r="AT64" s="163">
        <f>Model!AT308</f>
        <v>-309.80317503012918</v>
      </c>
      <c r="AU64" s="782">
        <f>Model!AU308</f>
        <v>95.903919667379157</v>
      </c>
      <c r="AV64" s="164"/>
      <c r="AW64" s="164"/>
      <c r="AX64" s="164"/>
      <c r="AY64" s="163"/>
      <c r="AZ64" s="948">
        <v>200</v>
      </c>
      <c r="BA64" s="948">
        <v>500</v>
      </c>
      <c r="BB64" s="948">
        <v>50</v>
      </c>
      <c r="BC64" s="948">
        <v>100</v>
      </c>
      <c r="BD64" s="163">
        <f>Model!BD308</f>
        <v>199.73756262710057</v>
      </c>
      <c r="BE64" s="949">
        <v>100</v>
      </c>
      <c r="BF64" s="949">
        <v>100</v>
      </c>
      <c r="BG64" s="949">
        <v>100</v>
      </c>
      <c r="BH64" s="349"/>
    </row>
    <row r="65" spans="1:60" x14ac:dyDescent="0.35">
      <c r="A65" s="947"/>
      <c r="B65" s="239"/>
      <c r="C65" s="163"/>
      <c r="D65" s="163"/>
      <c r="E65" s="163"/>
      <c r="F65" s="163"/>
      <c r="G65" s="164"/>
      <c r="H65" s="164"/>
      <c r="I65" s="164"/>
      <c r="J65" s="164"/>
      <c r="K65" s="163"/>
      <c r="L65" s="164"/>
      <c r="M65" s="164"/>
      <c r="N65" s="164"/>
      <c r="O65" s="164"/>
      <c r="P65" s="163"/>
      <c r="Q65" s="164"/>
      <c r="R65" s="164"/>
      <c r="S65" s="164"/>
      <c r="T65" s="164"/>
      <c r="U65" s="163"/>
      <c r="V65" s="164"/>
      <c r="W65" s="164"/>
      <c r="X65" s="164"/>
      <c r="Y65" s="164"/>
      <c r="Z65" s="163"/>
      <c r="AA65" s="164"/>
      <c r="AB65" s="164"/>
      <c r="AC65" s="164"/>
      <c r="AD65" s="164"/>
      <c r="AE65" s="163"/>
      <c r="AF65" s="164"/>
      <c r="AG65" s="164"/>
      <c r="AH65" s="164"/>
      <c r="AI65" s="164"/>
      <c r="AJ65" s="163"/>
      <c r="AK65" s="164"/>
      <c r="AL65" s="164"/>
      <c r="AM65" s="164"/>
      <c r="AN65" s="164"/>
      <c r="AO65" s="163"/>
      <c r="AP65" s="164"/>
      <c r="AQ65" s="164"/>
      <c r="AR65" s="164"/>
      <c r="AS65" s="164"/>
      <c r="AT65" s="163"/>
      <c r="AU65" s="782"/>
      <c r="AV65" s="164"/>
      <c r="AW65" s="164"/>
      <c r="AX65" s="164"/>
      <c r="AY65" s="163"/>
      <c r="AZ65" s="164"/>
      <c r="BA65" s="164"/>
      <c r="BB65" s="164"/>
      <c r="BC65" s="164"/>
      <c r="BD65" s="163"/>
      <c r="BE65" s="163"/>
      <c r="BF65" s="163"/>
      <c r="BG65" s="163"/>
      <c r="BH65" s="349"/>
    </row>
    <row r="66" spans="1:60" x14ac:dyDescent="0.35">
      <c r="A66" s="874" t="str">
        <f>Model!A336</f>
        <v>Segmented Results - Consumer (PR, 10-Q/K, IP)</v>
      </c>
      <c r="B66" s="874"/>
      <c r="C66" s="874"/>
      <c r="D66" s="874"/>
      <c r="E66" s="874"/>
      <c r="F66" s="874"/>
      <c r="G66" s="874"/>
      <c r="H66" s="874"/>
      <c r="I66" s="874"/>
      <c r="J66" s="874"/>
      <c r="K66" s="874"/>
      <c r="L66" s="874"/>
      <c r="M66" s="874"/>
      <c r="N66" s="874"/>
      <c r="O66" s="874"/>
      <c r="P66" s="874"/>
      <c r="Q66" s="874"/>
      <c r="R66" s="874"/>
      <c r="S66" s="874"/>
      <c r="T66" s="874"/>
      <c r="U66" s="874"/>
      <c r="V66" s="874"/>
      <c r="W66" s="874"/>
      <c r="X66" s="874"/>
      <c r="Y66" s="874"/>
      <c r="Z66" s="874"/>
      <c r="AA66" s="874"/>
      <c r="AB66" s="874"/>
      <c r="AC66" s="874"/>
      <c r="AD66" s="874"/>
      <c r="AE66" s="874"/>
      <c r="AF66" s="874"/>
      <c r="AG66" s="874"/>
      <c r="AH66" s="874"/>
      <c r="AI66" s="874"/>
      <c r="AJ66" s="874"/>
      <c r="AK66" s="874"/>
      <c r="AL66" s="874"/>
      <c r="AM66" s="874"/>
      <c r="AN66" s="874"/>
      <c r="AO66" s="874"/>
      <c r="AP66" s="874"/>
      <c r="AQ66" s="874"/>
      <c r="AR66" s="874"/>
      <c r="AS66" s="874"/>
      <c r="AT66" s="874"/>
      <c r="AU66" s="875"/>
      <c r="AV66" s="874"/>
      <c r="AW66" s="874"/>
      <c r="AX66" s="874"/>
      <c r="AY66" s="874"/>
      <c r="AZ66" s="874"/>
      <c r="BA66" s="874"/>
      <c r="BB66" s="874"/>
      <c r="BC66" s="874"/>
      <c r="BD66" s="874"/>
      <c r="BE66" s="874"/>
      <c r="BF66" s="874"/>
      <c r="BG66" s="874"/>
      <c r="BH66" s="349"/>
    </row>
    <row r="67" spans="1:60" x14ac:dyDescent="0.35">
      <c r="A67" s="311" t="str">
        <f>Model!A354</f>
        <v>Consumer Organic Local-Currency Sales Growth, %</v>
      </c>
      <c r="B67" s="312"/>
      <c r="C67" s="105"/>
      <c r="D67" s="105"/>
      <c r="E67" s="105"/>
      <c r="F67" s="105"/>
      <c r="G67" s="200"/>
      <c r="H67" s="200"/>
      <c r="I67" s="200"/>
      <c r="J67" s="200"/>
      <c r="K67" s="105"/>
      <c r="L67" s="200"/>
      <c r="M67" s="200"/>
      <c r="N67" s="200"/>
      <c r="O67" s="200"/>
      <c r="P67" s="105"/>
      <c r="Q67" s="200"/>
      <c r="R67" s="200"/>
      <c r="S67" s="200"/>
      <c r="T67" s="200"/>
      <c r="U67" s="105"/>
      <c r="V67" s="200"/>
      <c r="W67" s="200"/>
      <c r="X67" s="200"/>
      <c r="Y67" s="200"/>
      <c r="Z67" s="105"/>
      <c r="AA67" s="200">
        <f>Model!AA354</f>
        <v>1E-3</v>
      </c>
      <c r="AB67" s="200">
        <f>Model!AB354</f>
        <v>1.2E-2</v>
      </c>
      <c r="AC67" s="200">
        <f>Model!AC354</f>
        <v>3.5999999999999997E-2</v>
      </c>
      <c r="AD67" s="200">
        <f>Model!AD354</f>
        <v>6.5000000000000002E-2</v>
      </c>
      <c r="AE67" s="105">
        <f>Model!AE354</f>
        <v>2.8624509196114901E-2</v>
      </c>
      <c r="AF67" s="200">
        <f>Model!AF354</f>
        <v>2.1000000000000001E-2</v>
      </c>
      <c r="AG67" s="200">
        <f>Model!AG354</f>
        <v>4.5999999999999999E-2</v>
      </c>
      <c r="AH67" s="200">
        <f>Model!AH354</f>
        <v>-2.1999999999999999E-2</v>
      </c>
      <c r="AI67" s="200">
        <f>Model!AI354</f>
        <v>1.9E-2</v>
      </c>
      <c r="AJ67" s="105">
        <f>Model!AJ354</f>
        <v>1.5141430283659609E-2</v>
      </c>
      <c r="AK67" s="200">
        <f>Model!AK354</f>
        <v>1.6E-2</v>
      </c>
      <c r="AL67" s="200">
        <f>Model!AL354</f>
        <v>7.0000000000000001E-3</v>
      </c>
      <c r="AM67" s="200">
        <f>Model!AM354</f>
        <v>2.5999999999999999E-2</v>
      </c>
      <c r="AN67" s="200">
        <f>Model!AN354</f>
        <v>2E-3</v>
      </c>
      <c r="AO67" s="105">
        <f>Model!AO354</f>
        <v>1.2755996854109318E-2</v>
      </c>
      <c r="AP67" s="200">
        <f>Model!AP354</f>
        <v>6.0999999999999999E-2</v>
      </c>
      <c r="AQ67" s="200">
        <f>Model!AQ354</f>
        <v>-0.05</v>
      </c>
      <c r="AR67" s="200">
        <f>Model!AR354</f>
        <v>5.5E-2</v>
      </c>
      <c r="AS67" s="200">
        <f>Model!AS354</f>
        <v>9.9000000000000005E-2</v>
      </c>
      <c r="AT67" s="105">
        <f>Model!AT354</f>
        <v>4.0501067753834212E-2</v>
      </c>
      <c r="AU67" s="761">
        <f>Model!AU354</f>
        <v>7.8E-2</v>
      </c>
      <c r="AV67" s="200"/>
      <c r="AW67" s="200"/>
      <c r="AX67" s="200"/>
      <c r="AY67" s="105"/>
      <c r="AZ67" s="241">
        <v>3.5000000000000003E-2</v>
      </c>
      <c r="BA67" s="241">
        <v>3.5000000000000003E-2</v>
      </c>
      <c r="BB67" s="241">
        <v>3.5000000000000003E-2</v>
      </c>
      <c r="BC67" s="241">
        <v>3.5000000000000003E-2</v>
      </c>
      <c r="BD67" s="105">
        <f>Model!BD354</f>
        <v>3.5000000000000003E-2</v>
      </c>
      <c r="BE67" s="20">
        <v>3.5000000000000003E-2</v>
      </c>
      <c r="BF67" s="20">
        <v>3.5000000000000003E-2</v>
      </c>
      <c r="BG67" s="20">
        <v>3.5000000000000003E-2</v>
      </c>
      <c r="BH67" s="349"/>
    </row>
    <row r="68" spans="1:60" x14ac:dyDescent="0.35">
      <c r="A68" s="311" t="str">
        <f>Model!A355</f>
        <v>Consumer Acquisition Sales Growth, %</v>
      </c>
      <c r="B68" s="312"/>
      <c r="C68" s="105"/>
      <c r="D68" s="105"/>
      <c r="E68" s="105"/>
      <c r="F68" s="105"/>
      <c r="G68" s="200"/>
      <c r="H68" s="200"/>
      <c r="I68" s="200"/>
      <c r="J68" s="200"/>
      <c r="K68" s="105"/>
      <c r="L68" s="200"/>
      <c r="M68" s="200"/>
      <c r="N68" s="200"/>
      <c r="O68" s="200"/>
      <c r="P68" s="105"/>
      <c r="Q68" s="200"/>
      <c r="R68" s="200"/>
      <c r="S68" s="200"/>
      <c r="T68" s="200"/>
      <c r="U68" s="105"/>
      <c r="V68" s="200"/>
      <c r="W68" s="200"/>
      <c r="X68" s="200"/>
      <c r="Y68" s="200"/>
      <c r="Z68" s="105"/>
      <c r="AA68" s="200"/>
      <c r="AB68" s="200"/>
      <c r="AC68" s="200"/>
      <c r="AD68" s="200"/>
      <c r="AE68" s="105">
        <f>Model!AE355</f>
        <v>0</v>
      </c>
      <c r="AF68" s="200">
        <f>Model!AF355</f>
        <v>3.0000000000000001E-3</v>
      </c>
      <c r="AG68" s="200">
        <f>Model!AG355</f>
        <v>2E-3</v>
      </c>
      <c r="AH68" s="200">
        <f>Model!AH355</f>
        <v>2E-3</v>
      </c>
      <c r="AI68" s="200"/>
      <c r="AJ68" s="105">
        <f>Model!AJ355</f>
        <v>1.7235317618857372E-3</v>
      </c>
      <c r="AK68" s="200"/>
      <c r="AL68" s="200"/>
      <c r="AM68" s="200"/>
      <c r="AN68" s="200"/>
      <c r="AO68" s="105">
        <f>Model!AO355</f>
        <v>0</v>
      </c>
      <c r="AP68" s="200"/>
      <c r="AQ68" s="200"/>
      <c r="AR68" s="200"/>
      <c r="AS68" s="200"/>
      <c r="AT68" s="105">
        <f>Model!AT355</f>
        <v>0</v>
      </c>
      <c r="AU68" s="761"/>
      <c r="AV68" s="200"/>
      <c r="AW68" s="200"/>
      <c r="AX68" s="200"/>
      <c r="AY68" s="105"/>
      <c r="AZ68" s="241">
        <v>0</v>
      </c>
      <c r="BA68" s="241">
        <v>0</v>
      </c>
      <c r="BB68" s="241">
        <v>0</v>
      </c>
      <c r="BC68" s="241">
        <v>0</v>
      </c>
      <c r="BD68" s="105">
        <f>Model!BD355</f>
        <v>0</v>
      </c>
      <c r="BE68" s="20">
        <v>0</v>
      </c>
      <c r="BF68" s="20">
        <v>0</v>
      </c>
      <c r="BG68" s="20">
        <v>0</v>
      </c>
      <c r="BH68" s="349"/>
    </row>
    <row r="69" spans="1:60" x14ac:dyDescent="0.35">
      <c r="A69" s="311" t="str">
        <f>Model!A356</f>
        <v>Consumer Divestiture Sales Growth, %</v>
      </c>
      <c r="B69" s="312"/>
      <c r="C69" s="105"/>
      <c r="D69" s="105"/>
      <c r="E69" s="105"/>
      <c r="F69" s="105"/>
      <c r="G69" s="200"/>
      <c r="H69" s="200"/>
      <c r="I69" s="200"/>
      <c r="J69" s="200"/>
      <c r="K69" s="105"/>
      <c r="L69" s="200"/>
      <c r="M69" s="200"/>
      <c r="N69" s="200"/>
      <c r="O69" s="200"/>
      <c r="P69" s="105"/>
      <c r="Q69" s="200"/>
      <c r="R69" s="200"/>
      <c r="S69" s="200"/>
      <c r="T69" s="200"/>
      <c r="U69" s="105"/>
      <c r="V69" s="200"/>
      <c r="W69" s="200"/>
      <c r="X69" s="200"/>
      <c r="Y69" s="200"/>
      <c r="Z69" s="105"/>
      <c r="AA69" s="200"/>
      <c r="AB69" s="200"/>
      <c r="AC69" s="200"/>
      <c r="AD69" s="200"/>
      <c r="AE69" s="105">
        <f>Model!AE356</f>
        <v>0</v>
      </c>
      <c r="AF69" s="200"/>
      <c r="AG69" s="200"/>
      <c r="AH69" s="200"/>
      <c r="AI69" s="200"/>
      <c r="AJ69" s="105">
        <f>Model!AJ356</f>
        <v>0</v>
      </c>
      <c r="AK69" s="200"/>
      <c r="AL69" s="200"/>
      <c r="AM69" s="200"/>
      <c r="AN69" s="200"/>
      <c r="AO69" s="105">
        <f>Model!AO356</f>
        <v>0</v>
      </c>
      <c r="AP69" s="200"/>
      <c r="AQ69" s="200"/>
      <c r="AR69" s="200"/>
      <c r="AS69" s="200"/>
      <c r="AT69" s="105">
        <f>Model!AT356</f>
        <v>0</v>
      </c>
      <c r="AU69" s="761"/>
      <c r="AV69" s="200"/>
      <c r="AW69" s="200"/>
      <c r="AX69" s="200"/>
      <c r="AY69" s="105"/>
      <c r="AZ69" s="241">
        <v>0</v>
      </c>
      <c r="BA69" s="241">
        <v>0</v>
      </c>
      <c r="BB69" s="241">
        <v>0</v>
      </c>
      <c r="BC69" s="241">
        <v>0</v>
      </c>
      <c r="BD69" s="105">
        <f>Model!BD356</f>
        <v>0</v>
      </c>
      <c r="BE69" s="20">
        <v>0</v>
      </c>
      <c r="BF69" s="20">
        <v>0</v>
      </c>
      <c r="BG69" s="20">
        <v>0</v>
      </c>
      <c r="BH69" s="349"/>
    </row>
    <row r="70" spans="1:60" x14ac:dyDescent="0.35">
      <c r="A70" s="311" t="str">
        <f>Model!A357</f>
        <v>Consumer Translation Sales Growth, %</v>
      </c>
      <c r="B70" s="312"/>
      <c r="C70" s="105"/>
      <c r="D70" s="105"/>
      <c r="E70" s="105"/>
      <c r="F70" s="105"/>
      <c r="G70" s="200"/>
      <c r="H70" s="200"/>
      <c r="I70" s="200"/>
      <c r="J70" s="200"/>
      <c r="K70" s="105"/>
      <c r="L70" s="200"/>
      <c r="M70" s="200"/>
      <c r="N70" s="200"/>
      <c r="O70" s="200"/>
      <c r="P70" s="105"/>
      <c r="Q70" s="200"/>
      <c r="R70" s="200"/>
      <c r="S70" s="200"/>
      <c r="T70" s="200"/>
      <c r="U70" s="105"/>
      <c r="V70" s="200"/>
      <c r="W70" s="200"/>
      <c r="X70" s="200"/>
      <c r="Y70" s="200"/>
      <c r="Z70" s="105"/>
      <c r="AA70" s="200">
        <f>Model!AA357</f>
        <v>4.0000000000000001E-3</v>
      </c>
      <c r="AB70" s="200">
        <f>Model!AB357</f>
        <v>-2E-3</v>
      </c>
      <c r="AC70" s="200">
        <f>Model!AC357</f>
        <v>3.0000000000000001E-3</v>
      </c>
      <c r="AD70" s="200">
        <f>Model!AD357</f>
        <v>1.7999999999999999E-2</v>
      </c>
      <c r="AE70" s="105">
        <f>Model!AE357</f>
        <v>5.5825583798305425E-3</v>
      </c>
      <c r="AF70" s="200">
        <f>Model!AF357</f>
        <v>2.8000000000000001E-2</v>
      </c>
      <c r="AG70" s="200">
        <f>Model!AG357</f>
        <v>3.0000000000000001E-3</v>
      </c>
      <c r="AH70" s="200">
        <f>Model!AH357</f>
        <v>-1.2999999999999999E-2</v>
      </c>
      <c r="AI70" s="200">
        <f>Model!AI357</f>
        <v>-1.7000000000000001E-2</v>
      </c>
      <c r="AJ70" s="105">
        <f>Model!AJ357</f>
        <v>-6.3004394726328479E-4</v>
      </c>
      <c r="AK70" s="200">
        <f>Model!AK357</f>
        <v>-2.7E-2</v>
      </c>
      <c r="AL70" s="200">
        <f>Model!AL357</f>
        <v>-1.2E-2</v>
      </c>
      <c r="AM70" s="200">
        <f>Model!AM357</f>
        <v>-8.9999999999999993E-3</v>
      </c>
      <c r="AN70" s="200">
        <f>Model!AN357</f>
        <v>-2E-3</v>
      </c>
      <c r="AO70" s="105">
        <f>Model!AO357</f>
        <v>-1.230357845064884E-2</v>
      </c>
      <c r="AP70" s="200">
        <f>Model!AP357</f>
        <v>-1.4999999999999999E-2</v>
      </c>
      <c r="AQ70" s="200">
        <f>Model!AQ357</f>
        <v>-1.2E-2</v>
      </c>
      <c r="AR70" s="200">
        <f>Model!AR357</f>
        <v>1E-3</v>
      </c>
      <c r="AS70" s="200">
        <f>Model!AS357</f>
        <v>7.0000000000000001E-3</v>
      </c>
      <c r="AT70" s="105">
        <f>Model!AT357</f>
        <v>-4.5573675014560291E-3</v>
      </c>
      <c r="AU70" s="761">
        <f>Model!AU357</f>
        <v>0.02</v>
      </c>
      <c r="AV70" s="200"/>
      <c r="AW70" s="200"/>
      <c r="AX70" s="200"/>
      <c r="AY70" s="105"/>
      <c r="AZ70" s="241">
        <v>0.01</v>
      </c>
      <c r="BA70" s="241">
        <v>0.01</v>
      </c>
      <c r="BB70" s="241">
        <v>0.01</v>
      </c>
      <c r="BC70" s="241">
        <v>0.01</v>
      </c>
      <c r="BD70" s="105">
        <f>Model!BD357</f>
        <v>0.01</v>
      </c>
      <c r="BE70" s="20">
        <v>0.01</v>
      </c>
      <c r="BF70" s="20">
        <v>0.01</v>
      </c>
      <c r="BG70" s="20">
        <v>0.01</v>
      </c>
      <c r="BH70" s="349"/>
    </row>
    <row r="71" spans="1:60" x14ac:dyDescent="0.35">
      <c r="A71" s="311" t="str">
        <f>Model!A358</f>
        <v>Consumer Rounding Sales Growth, %</v>
      </c>
      <c r="B71" s="312"/>
      <c r="C71" s="105"/>
      <c r="D71" s="105"/>
      <c r="E71" s="105"/>
      <c r="F71" s="105"/>
      <c r="G71" s="200"/>
      <c r="H71" s="200"/>
      <c r="I71" s="200"/>
      <c r="J71" s="200"/>
      <c r="K71" s="105"/>
      <c r="L71" s="200"/>
      <c r="M71" s="200"/>
      <c r="N71" s="200"/>
      <c r="O71" s="200"/>
      <c r="P71" s="105"/>
      <c r="Q71" s="200"/>
      <c r="R71" s="200"/>
      <c r="S71" s="200"/>
      <c r="T71" s="200"/>
      <c r="U71" s="105"/>
      <c r="V71" s="200"/>
      <c r="W71" s="200"/>
      <c r="X71" s="200"/>
      <c r="Y71" s="200"/>
      <c r="Z71" s="105"/>
      <c r="AA71" s="200">
        <f>Model!AA358</f>
        <v>2.5394045534155463E-4</v>
      </c>
      <c r="AB71" s="200">
        <f>Model!AB358</f>
        <v>-2.6763990267641112E-4</v>
      </c>
      <c r="AC71" s="200">
        <f>Model!AC358</f>
        <v>3.5185185185186013E-4</v>
      </c>
      <c r="AD71" s="200">
        <f>Model!AD358</f>
        <v>9.0410958904114935E-4</v>
      </c>
      <c r="AE71" s="105">
        <f>Model!AE358</f>
        <v>3.041950816284264E-4</v>
      </c>
      <c r="AF71" s="200">
        <f>Model!AF358</f>
        <v>2.6480836236934813E-4</v>
      </c>
      <c r="AG71" s="200">
        <f>Model!AG358</f>
        <v>4.0562248995994199E-4</v>
      </c>
      <c r="AH71" s="200">
        <f>Model!AH358</f>
        <v>-4.0757238307346372E-4</v>
      </c>
      <c r="AI71" s="200">
        <f>Model!AI358</f>
        <v>-1.2101105845181391E-3</v>
      </c>
      <c r="AJ71" s="105">
        <f>Model!AJ358</f>
        <v>-2.540950858968237E-4</v>
      </c>
      <c r="AK71" s="200"/>
      <c r="AL71" s="200"/>
      <c r="AM71" s="200"/>
      <c r="AN71" s="200"/>
      <c r="AO71" s="105"/>
      <c r="AP71" s="200">
        <f>Model!AP358</f>
        <v>6.6666666666663488E-4</v>
      </c>
      <c r="AQ71" s="200">
        <f>Model!AQ358</f>
        <v>-1.2121212121213309E-4</v>
      </c>
      <c r="AR71" s="200">
        <f>Model!AR358</f>
        <v>-1.1326378539484178E-4</v>
      </c>
      <c r="AS71" s="200">
        <f>Model!AS358</f>
        <v>-4.9185415050426173E-4</v>
      </c>
      <c r="AT71" s="105">
        <f>Model!AT358</f>
        <v>-2.8344010871747538E-5</v>
      </c>
      <c r="AU71" s="761">
        <f>Model!AU358</f>
        <v>4.0000000000003921E-4</v>
      </c>
      <c r="AV71" s="200"/>
      <c r="AW71" s="200"/>
      <c r="AX71" s="200"/>
      <c r="AY71" s="105"/>
      <c r="AZ71" s="241">
        <v>0</v>
      </c>
      <c r="BA71" s="241">
        <v>0</v>
      </c>
      <c r="BB71" s="241">
        <v>0</v>
      </c>
      <c r="BC71" s="241">
        <v>0</v>
      </c>
      <c r="BD71" s="105">
        <f>Model!BD358</f>
        <v>0</v>
      </c>
      <c r="BE71" s="20">
        <v>0</v>
      </c>
      <c r="BF71" s="20">
        <v>0</v>
      </c>
      <c r="BG71" s="20">
        <v>0</v>
      </c>
      <c r="BH71" s="349"/>
    </row>
    <row r="72" spans="1:60" x14ac:dyDescent="0.35">
      <c r="A72" s="931" t="str">
        <f>Model!A367</f>
        <v>Consumer Revenue, mm</v>
      </c>
      <c r="B72" s="518"/>
      <c r="C72" s="519"/>
      <c r="D72" s="519"/>
      <c r="E72" s="519"/>
      <c r="F72" s="519"/>
      <c r="G72" s="520"/>
      <c r="H72" s="520"/>
      <c r="I72" s="520"/>
      <c r="J72" s="520"/>
      <c r="K72" s="519"/>
      <c r="L72" s="520"/>
      <c r="M72" s="520"/>
      <c r="N72" s="520"/>
      <c r="O72" s="520"/>
      <c r="P72" s="519"/>
      <c r="Q72" s="520"/>
      <c r="R72" s="520"/>
      <c r="S72" s="520"/>
      <c r="T72" s="520"/>
      <c r="U72" s="519"/>
      <c r="V72" s="441">
        <f>Model!V367</f>
        <v>1142</v>
      </c>
      <c r="W72" s="441">
        <f>Model!W367</f>
        <v>1233</v>
      </c>
      <c r="X72" s="441">
        <f>Model!X367</f>
        <v>1296</v>
      </c>
      <c r="Y72" s="441">
        <f>Model!Y367</f>
        <v>1168</v>
      </c>
      <c r="Z72" s="440">
        <f>Model!Z367</f>
        <v>4839</v>
      </c>
      <c r="AA72" s="441">
        <f>Model!AA367</f>
        <v>1148</v>
      </c>
      <c r="AB72" s="441">
        <f>Model!AB367</f>
        <v>1245</v>
      </c>
      <c r="AC72" s="441">
        <f>Model!AC367</f>
        <v>1347</v>
      </c>
      <c r="AD72" s="441">
        <f>Model!AD367</f>
        <v>1266</v>
      </c>
      <c r="AE72" s="440">
        <f>Model!AE367</f>
        <v>5006</v>
      </c>
      <c r="AF72" s="441">
        <f>Model!AF367</f>
        <v>1208</v>
      </c>
      <c r="AG72" s="441">
        <f>Model!AG367</f>
        <v>1309</v>
      </c>
      <c r="AH72" s="441">
        <f>Model!AH367</f>
        <v>1302</v>
      </c>
      <c r="AI72" s="441">
        <f>Model!AI367</f>
        <v>1267</v>
      </c>
      <c r="AJ72" s="440">
        <f>Model!AJ367</f>
        <v>5086</v>
      </c>
      <c r="AK72" s="441">
        <f>Model!AK367</f>
        <v>1200</v>
      </c>
      <c r="AL72" s="441">
        <f>Model!AL367</f>
        <v>1320</v>
      </c>
      <c r="AM72" s="441">
        <f>Model!AM367</f>
        <v>1342</v>
      </c>
      <c r="AN72" s="441">
        <f>Model!AN367</f>
        <v>1289</v>
      </c>
      <c r="AO72" s="440">
        <f>Model!AO367</f>
        <v>5151</v>
      </c>
      <c r="AP72" s="441">
        <f>Model!AP367</f>
        <v>1256</v>
      </c>
      <c r="AQ72" s="441">
        <f>Model!AQ367</f>
        <v>1238</v>
      </c>
      <c r="AR72" s="441">
        <f>Model!AR367</f>
        <v>1417</v>
      </c>
      <c r="AS72" s="441">
        <f>Model!AS367</f>
        <v>1425</v>
      </c>
      <c r="AT72" s="440">
        <f>Model!AT367</f>
        <v>5336</v>
      </c>
      <c r="AU72" s="762">
        <f>Model!AU367</f>
        <v>1373</v>
      </c>
      <c r="AV72" s="943">
        <v>1293.71</v>
      </c>
      <c r="AW72" s="943">
        <v>1300</v>
      </c>
      <c r="AX72" s="943">
        <v>1300</v>
      </c>
      <c r="AY72" s="440">
        <f>Model!AY367</f>
        <v>5266.71</v>
      </c>
      <c r="AZ72" s="441">
        <f>Model!AZ367</f>
        <v>1434.7850000000001</v>
      </c>
      <c r="BA72" s="441">
        <f>Model!BA367</f>
        <v>1351.92695</v>
      </c>
      <c r="BB72" s="441">
        <f>Model!BB367</f>
        <v>1358.5</v>
      </c>
      <c r="BC72" s="441">
        <f>Model!BC367</f>
        <v>1358.5</v>
      </c>
      <c r="BD72" s="440">
        <f>Model!BD367</f>
        <v>5503.7119499999999</v>
      </c>
      <c r="BE72" s="440">
        <f>Model!BE367</f>
        <v>5751.3789877499994</v>
      </c>
      <c r="BF72" s="440">
        <f>Model!BF367</f>
        <v>6010.1910421987495</v>
      </c>
      <c r="BG72" s="440">
        <f>Model!BG367</f>
        <v>6280.6496390976936</v>
      </c>
      <c r="BH72" s="349"/>
    </row>
    <row r="73" spans="1:60" x14ac:dyDescent="0.35">
      <c r="A73" s="316" t="str">
        <f>Model!A380</f>
        <v>Consumer D&amp;A, mm</v>
      </c>
      <c r="B73" s="444"/>
      <c r="C73" s="445"/>
      <c r="D73" s="445"/>
      <c r="E73" s="445"/>
      <c r="F73" s="445"/>
      <c r="G73" s="446"/>
      <c r="H73" s="446"/>
      <c r="I73" s="446"/>
      <c r="J73" s="446"/>
      <c r="K73" s="445"/>
      <c r="L73" s="446"/>
      <c r="M73" s="446"/>
      <c r="N73" s="446"/>
      <c r="O73" s="446"/>
      <c r="P73" s="445"/>
      <c r="Q73" s="446"/>
      <c r="R73" s="446"/>
      <c r="S73" s="446"/>
      <c r="T73" s="446"/>
      <c r="U73" s="445"/>
      <c r="V73" s="446"/>
      <c r="W73" s="446"/>
      <c r="X73" s="446"/>
      <c r="Y73" s="446"/>
      <c r="Z73" s="445"/>
      <c r="AA73" s="446"/>
      <c r="AB73" s="446"/>
      <c r="AC73" s="446"/>
      <c r="AD73" s="446"/>
      <c r="AE73" s="445"/>
      <c r="AF73" s="446"/>
      <c r="AG73" s="446"/>
      <c r="AH73" s="446"/>
      <c r="AI73" s="446"/>
      <c r="AJ73" s="445"/>
      <c r="AK73" s="446">
        <f>Model!AK380</f>
        <v>23</v>
      </c>
      <c r="AL73" s="446">
        <f>Model!AL380</f>
        <v>24</v>
      </c>
      <c r="AM73" s="446">
        <f>Model!AM380</f>
        <v>24</v>
      </c>
      <c r="AN73" s="446">
        <f>Model!AN380</f>
        <v>35</v>
      </c>
      <c r="AO73" s="445">
        <f>Model!AO380</f>
        <v>134</v>
      </c>
      <c r="AP73" s="446">
        <f>Model!AP380</f>
        <v>16</v>
      </c>
      <c r="AQ73" s="446">
        <f>Model!AQ380</f>
        <v>26</v>
      </c>
      <c r="AR73" s="446">
        <f>Model!AR380</f>
        <v>25</v>
      </c>
      <c r="AS73" s="446">
        <f>Model!AS380</f>
        <v>36</v>
      </c>
      <c r="AT73" s="445">
        <f>Model!AT380</f>
        <v>140</v>
      </c>
      <c r="AU73" s="767">
        <f>Model!AU380</f>
        <v>34</v>
      </c>
      <c r="AV73" s="563">
        <v>25</v>
      </c>
      <c r="AW73" s="563">
        <v>25</v>
      </c>
      <c r="AX73" s="563">
        <v>25</v>
      </c>
      <c r="AY73" s="445">
        <f>Model!AY380</f>
        <v>109</v>
      </c>
      <c r="AZ73" s="563">
        <v>25</v>
      </c>
      <c r="BA73" s="563">
        <v>25</v>
      </c>
      <c r="BB73" s="563">
        <v>25</v>
      </c>
      <c r="BC73" s="563">
        <v>25</v>
      </c>
      <c r="BD73" s="445">
        <f>Model!BD380</f>
        <v>100</v>
      </c>
      <c r="BE73" s="564">
        <v>100</v>
      </c>
      <c r="BF73" s="564">
        <v>100</v>
      </c>
      <c r="BG73" s="564">
        <v>100</v>
      </c>
      <c r="BH73" s="349"/>
    </row>
    <row r="74" spans="1:60" x14ac:dyDescent="0.35">
      <c r="A74" s="234" t="str">
        <f>Model!A385</f>
        <v>Consumer operating Income margin, %</v>
      </c>
      <c r="B74" s="607"/>
      <c r="C74" s="522"/>
      <c r="D74" s="522"/>
      <c r="E74" s="522"/>
      <c r="F74" s="522"/>
      <c r="G74" s="234"/>
      <c r="H74" s="234"/>
      <c r="I74" s="234"/>
      <c r="J74" s="234"/>
      <c r="K74" s="522"/>
      <c r="L74" s="234"/>
      <c r="M74" s="234"/>
      <c r="N74" s="234"/>
      <c r="O74" s="234"/>
      <c r="P74" s="522"/>
      <c r="Q74" s="234"/>
      <c r="R74" s="234"/>
      <c r="S74" s="234"/>
      <c r="T74" s="234"/>
      <c r="U74" s="522"/>
      <c r="V74" s="234">
        <f>Model!V385</f>
        <v>0.2180385288966725</v>
      </c>
      <c r="W74" s="234">
        <f>Model!W385</f>
        <v>0.23763179237631793</v>
      </c>
      <c r="X74" s="234">
        <f>Model!X385</f>
        <v>0.25077160493827161</v>
      </c>
      <c r="Y74" s="234">
        <f>Model!Y385</f>
        <v>0.19606164383561644</v>
      </c>
      <c r="Z74" s="522">
        <f>Model!Z385</f>
        <v>0.22649307708204175</v>
      </c>
      <c r="AA74" s="234">
        <f>Model!AA385</f>
        <v>0.20644599303135888</v>
      </c>
      <c r="AB74" s="234">
        <f>Model!AB385</f>
        <v>0.17188755020080321</v>
      </c>
      <c r="AC74" s="234">
        <f>Model!AC385</f>
        <v>0.23979213066072755</v>
      </c>
      <c r="AD74" s="234">
        <f>Model!AD385</f>
        <v>0.21879936808846762</v>
      </c>
      <c r="AE74" s="522">
        <f>Model!AE385</f>
        <v>0.20994806232520974</v>
      </c>
      <c r="AF74" s="234">
        <f>Model!AF385</f>
        <v>0.19205298013245034</v>
      </c>
      <c r="AG74" s="234">
        <f>Model!AG385</f>
        <v>0.2131398013750955</v>
      </c>
      <c r="AH74" s="234">
        <f>Model!AH385</f>
        <v>0.2304147465437788</v>
      </c>
      <c r="AI74" s="234">
        <f>Model!AI385</f>
        <v>0.20520915548539859</v>
      </c>
      <c r="AJ74" s="522">
        <f>Model!AJ385</f>
        <v>0.2105780574125049</v>
      </c>
      <c r="AK74" s="234">
        <f>Model!AK385</f>
        <v>0.19583333333333333</v>
      </c>
      <c r="AL74" s="234">
        <f>Model!AL385</f>
        <v>0.20681818181818182</v>
      </c>
      <c r="AM74" s="234">
        <f>Model!AM385</f>
        <v>0.23323397913561847</v>
      </c>
      <c r="AN74" s="234">
        <f>Model!AN385</f>
        <v>0.23506594259115593</v>
      </c>
      <c r="AO74" s="522">
        <f>Model!AO385</f>
        <v>0.21821005629974763</v>
      </c>
      <c r="AP74" s="234">
        <f>Model!AP385</f>
        <v>0.214171974522293</v>
      </c>
      <c r="AQ74" s="234">
        <f>Model!AQ385</f>
        <v>0.23182552504038773</v>
      </c>
      <c r="AR74" s="234">
        <f>Model!AR385</f>
        <v>0.25264643613267468</v>
      </c>
      <c r="AS74" s="234">
        <f>Model!AS385</f>
        <v>0.23508771929824562</v>
      </c>
      <c r="AT74" s="522">
        <f>Model!AT385</f>
        <v>0.2340704647676162</v>
      </c>
      <c r="AU74" s="781">
        <f>Model!AU385</f>
        <v>0.21048798252002912</v>
      </c>
      <c r="AV74" s="661">
        <v>0.21</v>
      </c>
      <c r="AW74" s="661">
        <v>0.21</v>
      </c>
      <c r="AX74" s="661">
        <v>0.21</v>
      </c>
      <c r="AY74" s="522">
        <f>Model!AY385</f>
        <v>0.21012721414317478</v>
      </c>
      <c r="AZ74" s="234">
        <f>Model!AZ385</f>
        <v>0.22048798252002913</v>
      </c>
      <c r="BA74" s="234">
        <f>Model!BA385</f>
        <v>0.19999999999999998</v>
      </c>
      <c r="BB74" s="234">
        <f>Model!BB385</f>
        <v>0.18</v>
      </c>
      <c r="BC74" s="234">
        <f>Model!BC385</f>
        <v>0.19</v>
      </c>
      <c r="BD74" s="522">
        <f>Model!BD385</f>
        <v>0.19793609293088094</v>
      </c>
      <c r="BE74" s="522">
        <f>Model!BE385</f>
        <v>0.19993609293088094</v>
      </c>
      <c r="BF74" s="522">
        <f>Model!BF385</f>
        <v>0.20193609293088094</v>
      </c>
      <c r="BG74" s="522">
        <f>Model!BG385</f>
        <v>0.20393609293088094</v>
      </c>
      <c r="BH74" s="349"/>
    </row>
    <row r="75" spans="1:60" x14ac:dyDescent="0.35">
      <c r="A75" s="947" t="str">
        <f>Model!A386</f>
        <v>Consumer Y/Y operating income margin change, bps</v>
      </c>
      <c r="B75" s="239"/>
      <c r="C75" s="163"/>
      <c r="D75" s="163"/>
      <c r="E75" s="163"/>
      <c r="F75" s="163"/>
      <c r="G75" s="164"/>
      <c r="H75" s="164"/>
      <c r="I75" s="164"/>
      <c r="J75" s="164"/>
      <c r="K75" s="163"/>
      <c r="L75" s="164"/>
      <c r="M75" s="164"/>
      <c r="N75" s="164"/>
      <c r="O75" s="164"/>
      <c r="P75" s="163"/>
      <c r="Q75" s="164"/>
      <c r="R75" s="164"/>
      <c r="S75" s="164"/>
      <c r="T75" s="164"/>
      <c r="U75" s="163"/>
      <c r="V75" s="164"/>
      <c r="W75" s="164"/>
      <c r="X75" s="164"/>
      <c r="Y75" s="164"/>
      <c r="Z75" s="163"/>
      <c r="AA75" s="164">
        <f>Model!AA386</f>
        <v>-115.92535865313613</v>
      </c>
      <c r="AB75" s="164">
        <f>Model!AB386</f>
        <v>-657.44242175514717</v>
      </c>
      <c r="AC75" s="164">
        <f>Model!AC386</f>
        <v>-109.7947427754406</v>
      </c>
      <c r="AD75" s="164">
        <f>Model!AD386</f>
        <v>227.37724252851172</v>
      </c>
      <c r="AE75" s="163">
        <f>Model!AE386</f>
        <v>-165.45014756832012</v>
      </c>
      <c r="AF75" s="164">
        <f>Model!AF386</f>
        <v>-143.9301289890854</v>
      </c>
      <c r="AG75" s="164">
        <f>Model!AG386</f>
        <v>412.52251174292292</v>
      </c>
      <c r="AH75" s="164">
        <f>Model!AH386</f>
        <v>-93.773841169487454</v>
      </c>
      <c r="AI75" s="164">
        <f>Model!AI386</f>
        <v>-135.90212603069028</v>
      </c>
      <c r="AJ75" s="163">
        <f>Model!AJ386</f>
        <v>6.299950872951654</v>
      </c>
      <c r="AK75" s="164">
        <f>Model!AK386</f>
        <v>37.803532008829912</v>
      </c>
      <c r="AL75" s="164">
        <f>Model!AL386</f>
        <v>-63.216195569136822</v>
      </c>
      <c r="AM75" s="164">
        <f>Model!AM386</f>
        <v>28.192325918396655</v>
      </c>
      <c r="AN75" s="164">
        <f>Model!AN386</f>
        <v>298.56787105757343</v>
      </c>
      <c r="AO75" s="163">
        <f>Model!AO386</f>
        <v>76.319988872427245</v>
      </c>
      <c r="AP75" s="164">
        <f>Model!AP386</f>
        <v>183.3864118895967</v>
      </c>
      <c r="AQ75" s="164">
        <f>Model!AQ386</f>
        <v>250.07343222205907</v>
      </c>
      <c r="AR75" s="164">
        <f>Model!AR386</f>
        <v>194.12456997056211</v>
      </c>
      <c r="AS75" s="164">
        <f>Model!AS386</f>
        <v>0.21776707089693481</v>
      </c>
      <c r="AT75" s="163">
        <f>Model!AT386</f>
        <v>158.60408467868569</v>
      </c>
      <c r="AU75" s="782">
        <f>Model!AU386</f>
        <v>-36.839920022638807</v>
      </c>
      <c r="AV75" s="164"/>
      <c r="AW75" s="164"/>
      <c r="AX75" s="164"/>
      <c r="AY75" s="163"/>
      <c r="AZ75" s="948">
        <v>100</v>
      </c>
      <c r="BA75" s="948">
        <v>-100</v>
      </c>
      <c r="BB75" s="948">
        <v>-300</v>
      </c>
      <c r="BC75" s="948">
        <v>-200</v>
      </c>
      <c r="BD75" s="163">
        <f>Model!BD386</f>
        <v>-121.91121212293848</v>
      </c>
      <c r="BE75" s="949">
        <v>20</v>
      </c>
      <c r="BF75" s="949">
        <v>20</v>
      </c>
      <c r="BG75" s="949">
        <v>20</v>
      </c>
      <c r="BH75" s="349"/>
    </row>
    <row r="76" spans="1:60" x14ac:dyDescent="0.35">
      <c r="A76" s="947"/>
      <c r="B76" s="239"/>
      <c r="C76" s="163"/>
      <c r="D76" s="163"/>
      <c r="E76" s="163"/>
      <c r="F76" s="163"/>
      <c r="G76" s="164"/>
      <c r="H76" s="164"/>
      <c r="I76" s="164"/>
      <c r="J76" s="164"/>
      <c r="K76" s="163"/>
      <c r="L76" s="164"/>
      <c r="M76" s="164"/>
      <c r="N76" s="164"/>
      <c r="O76" s="164"/>
      <c r="P76" s="163"/>
      <c r="Q76" s="164"/>
      <c r="R76" s="164"/>
      <c r="S76" s="164"/>
      <c r="T76" s="164"/>
      <c r="U76" s="163"/>
      <c r="V76" s="164"/>
      <c r="W76" s="164"/>
      <c r="X76" s="164"/>
      <c r="Y76" s="164"/>
      <c r="Z76" s="163"/>
      <c r="AA76" s="164"/>
      <c r="AB76" s="164"/>
      <c r="AC76" s="164"/>
      <c r="AD76" s="164"/>
      <c r="AE76" s="163"/>
      <c r="AF76" s="164"/>
      <c r="AG76" s="164"/>
      <c r="AH76" s="164"/>
      <c r="AI76" s="164"/>
      <c r="AJ76" s="163"/>
      <c r="AK76" s="164"/>
      <c r="AL76" s="164"/>
      <c r="AM76" s="164"/>
      <c r="AN76" s="164"/>
      <c r="AO76" s="163"/>
      <c r="AP76" s="164"/>
      <c r="AQ76" s="164"/>
      <c r="AR76" s="164"/>
      <c r="AS76" s="164"/>
      <c r="AT76" s="163"/>
      <c r="AU76" s="782"/>
      <c r="AV76" s="164"/>
      <c r="AW76" s="164"/>
      <c r="AX76" s="164"/>
      <c r="AY76" s="163"/>
      <c r="AZ76" s="164"/>
      <c r="BA76" s="164"/>
      <c r="BB76" s="164"/>
      <c r="BC76" s="164"/>
      <c r="BD76" s="163"/>
      <c r="BE76" s="163"/>
      <c r="BF76" s="163"/>
      <c r="BG76" s="163"/>
      <c r="BH76" s="349"/>
    </row>
    <row r="77" spans="1:60" x14ac:dyDescent="0.35">
      <c r="A77" s="874" t="str">
        <f>Model!A412</f>
        <v>Segmented Results - Corporate and Unallocated (10-Q/K)</v>
      </c>
      <c r="B77" s="874"/>
      <c r="C77" s="874"/>
      <c r="D77" s="874"/>
      <c r="E77" s="874"/>
      <c r="F77" s="874"/>
      <c r="G77" s="874"/>
      <c r="H77" s="874"/>
      <c r="I77" s="874"/>
      <c r="J77" s="874"/>
      <c r="K77" s="874"/>
      <c r="L77" s="874"/>
      <c r="M77" s="874"/>
      <c r="N77" s="874"/>
      <c r="O77" s="874"/>
      <c r="P77" s="874"/>
      <c r="Q77" s="874"/>
      <c r="R77" s="874"/>
      <c r="S77" s="874"/>
      <c r="T77" s="874"/>
      <c r="U77" s="874"/>
      <c r="V77" s="874"/>
      <c r="W77" s="874"/>
      <c r="X77" s="874"/>
      <c r="Y77" s="874"/>
      <c r="Z77" s="874"/>
      <c r="AA77" s="874"/>
      <c r="AB77" s="874"/>
      <c r="AC77" s="874"/>
      <c r="AD77" s="874"/>
      <c r="AE77" s="874"/>
      <c r="AF77" s="874"/>
      <c r="AG77" s="874"/>
      <c r="AH77" s="874"/>
      <c r="AI77" s="874"/>
      <c r="AJ77" s="874"/>
      <c r="AK77" s="874"/>
      <c r="AL77" s="874"/>
      <c r="AM77" s="874"/>
      <c r="AN77" s="874"/>
      <c r="AO77" s="874"/>
      <c r="AP77" s="874"/>
      <c r="AQ77" s="874"/>
      <c r="AR77" s="874"/>
      <c r="AS77" s="874"/>
      <c r="AT77" s="874"/>
      <c r="AU77" s="875"/>
      <c r="AV77" s="874"/>
      <c r="AW77" s="874"/>
      <c r="AX77" s="874"/>
      <c r="AY77" s="874"/>
      <c r="AZ77" s="874"/>
      <c r="BA77" s="874"/>
      <c r="BB77" s="874"/>
      <c r="BC77" s="874"/>
      <c r="BD77" s="874"/>
      <c r="BE77" s="874"/>
      <c r="BF77" s="874"/>
      <c r="BG77" s="874"/>
      <c r="BH77" s="349"/>
    </row>
    <row r="78" spans="1:60" x14ac:dyDescent="0.35">
      <c r="A78" s="932" t="str">
        <f>Model!A419</f>
        <v>Corporate and Unallocated Revenue, mm</v>
      </c>
      <c r="B78" s="518"/>
      <c r="C78" s="519"/>
      <c r="D78" s="519"/>
      <c r="E78" s="519"/>
      <c r="F78" s="519"/>
      <c r="G78" s="520"/>
      <c r="H78" s="520"/>
      <c r="I78" s="520"/>
      <c r="J78" s="520"/>
      <c r="K78" s="519"/>
      <c r="L78" s="520"/>
      <c r="M78" s="520"/>
      <c r="N78" s="520"/>
      <c r="O78" s="520"/>
      <c r="P78" s="519"/>
      <c r="Q78" s="520"/>
      <c r="R78" s="520"/>
      <c r="S78" s="520"/>
      <c r="T78" s="520"/>
      <c r="U78" s="519"/>
      <c r="V78" s="520">
        <f>Model!V419</f>
        <v>0</v>
      </c>
      <c r="W78" s="520">
        <f>Model!W419</f>
        <v>4</v>
      </c>
      <c r="X78" s="520">
        <f>Model!X419</f>
        <v>0</v>
      </c>
      <c r="Y78" s="520">
        <f>Model!Y419</f>
        <v>2</v>
      </c>
      <c r="Z78" s="519">
        <f>Model!Z419</f>
        <v>6</v>
      </c>
      <c r="AA78" s="520">
        <f>Model!AA419</f>
        <v>2</v>
      </c>
      <c r="AB78" s="520">
        <f>Model!AB419</f>
        <v>3</v>
      </c>
      <c r="AC78" s="520">
        <f>Model!AC419</f>
        <v>0</v>
      </c>
      <c r="AD78" s="520">
        <f>Model!AD419</f>
        <v>-3</v>
      </c>
      <c r="AE78" s="519">
        <f>Model!AE419</f>
        <v>2</v>
      </c>
      <c r="AF78" s="520">
        <f>Model!AF419</f>
        <v>0</v>
      </c>
      <c r="AG78" s="520">
        <f>Model!AG419</f>
        <v>12</v>
      </c>
      <c r="AH78" s="520">
        <f>Model!AH419</f>
        <v>35</v>
      </c>
      <c r="AI78" s="520">
        <f>Model!AI419</f>
        <v>3</v>
      </c>
      <c r="AJ78" s="519">
        <f>Model!AJ419</f>
        <v>50</v>
      </c>
      <c r="AK78" s="520">
        <f>Model!AK419</f>
        <v>22</v>
      </c>
      <c r="AL78" s="520">
        <f>Model!AL419</f>
        <v>48</v>
      </c>
      <c r="AM78" s="520">
        <f>Model!AM419</f>
        <v>28</v>
      </c>
      <c r="AN78" s="520">
        <f>Model!AN419</f>
        <v>12</v>
      </c>
      <c r="AO78" s="519">
        <f>Model!AO419</f>
        <v>110</v>
      </c>
      <c r="AP78" s="520">
        <f>Model!AP419</f>
        <v>1</v>
      </c>
      <c r="AQ78" s="520">
        <f>Model!AQ419</f>
        <v>-2</v>
      </c>
      <c r="AR78" s="520">
        <f>Model!AR419</f>
        <v>0</v>
      </c>
      <c r="AS78" s="520">
        <f>Model!AS419</f>
        <v>0</v>
      </c>
      <c r="AT78" s="519">
        <f>Model!AT419</f>
        <v>-1</v>
      </c>
      <c r="AU78" s="766">
        <f>Model!AU419</f>
        <v>-2</v>
      </c>
      <c r="AV78" s="943">
        <v>1</v>
      </c>
      <c r="AW78" s="943">
        <v>1</v>
      </c>
      <c r="AX78" s="943">
        <v>1</v>
      </c>
      <c r="AY78" s="519">
        <f>Model!AY419</f>
        <v>1</v>
      </c>
      <c r="AZ78" s="943">
        <v>1</v>
      </c>
      <c r="BA78" s="943">
        <v>1</v>
      </c>
      <c r="BB78" s="943">
        <v>1</v>
      </c>
      <c r="BC78" s="943">
        <v>1</v>
      </c>
      <c r="BD78" s="519">
        <f>Model!BD419</f>
        <v>4</v>
      </c>
      <c r="BE78" s="951">
        <v>4</v>
      </c>
      <c r="BF78" s="951">
        <v>4</v>
      </c>
      <c r="BG78" s="951">
        <v>4</v>
      </c>
      <c r="BH78" s="349"/>
    </row>
    <row r="79" spans="1:60" x14ac:dyDescent="0.35">
      <c r="A79" s="316" t="str">
        <f>Model!A424</f>
        <v>Corporate and unallocated D&amp;A, mm</v>
      </c>
      <c r="B79" s="444"/>
      <c r="C79" s="445"/>
      <c r="D79" s="445"/>
      <c r="E79" s="445"/>
      <c r="F79" s="445"/>
      <c r="G79" s="446"/>
      <c r="H79" s="446"/>
      <c r="I79" s="446"/>
      <c r="J79" s="446"/>
      <c r="K79" s="445"/>
      <c r="L79" s="446"/>
      <c r="M79" s="446"/>
      <c r="N79" s="446"/>
      <c r="O79" s="446"/>
      <c r="P79" s="445"/>
      <c r="Q79" s="446"/>
      <c r="R79" s="446"/>
      <c r="S79" s="446"/>
      <c r="T79" s="446"/>
      <c r="U79" s="445"/>
      <c r="V79" s="446"/>
      <c r="W79" s="446"/>
      <c r="X79" s="446"/>
      <c r="Y79" s="446"/>
      <c r="Z79" s="445"/>
      <c r="AA79" s="446"/>
      <c r="AB79" s="446"/>
      <c r="AC79" s="446"/>
      <c r="AD79" s="446"/>
      <c r="AE79" s="445"/>
      <c r="AF79" s="446"/>
      <c r="AG79" s="446"/>
      <c r="AH79" s="446"/>
      <c r="AI79" s="446"/>
      <c r="AJ79" s="445"/>
      <c r="AK79" s="446">
        <f>Model!AK424</f>
        <v>121</v>
      </c>
      <c r="AL79" s="446">
        <f>Model!AL424</f>
        <v>111</v>
      </c>
      <c r="AM79" s="446">
        <f>Model!AM424</f>
        <v>117</v>
      </c>
      <c r="AN79" s="446">
        <f>Model!AN424</f>
        <v>33</v>
      </c>
      <c r="AO79" s="445">
        <f>Model!AO424</f>
        <v>157</v>
      </c>
      <c r="AP79" s="446">
        <f>Model!AP424</f>
        <v>120</v>
      </c>
      <c r="AQ79" s="446">
        <f>Model!AQ424</f>
        <v>119</v>
      </c>
      <c r="AR79" s="446">
        <f>Model!AR424</f>
        <v>96</v>
      </c>
      <c r="AS79" s="446">
        <f>Model!AS424</f>
        <v>46</v>
      </c>
      <c r="AT79" s="445">
        <f>Model!AT424</f>
        <v>154</v>
      </c>
      <c r="AU79" s="767">
        <f>Model!AU424</f>
        <v>28</v>
      </c>
      <c r="AV79" s="563">
        <v>45</v>
      </c>
      <c r="AW79" s="563">
        <v>45</v>
      </c>
      <c r="AX79" s="563">
        <v>45</v>
      </c>
      <c r="AY79" s="445">
        <f>Model!AY424</f>
        <v>163</v>
      </c>
      <c r="AZ79" s="563">
        <v>45</v>
      </c>
      <c r="BA79" s="563">
        <v>45</v>
      </c>
      <c r="BB79" s="563">
        <v>45</v>
      </c>
      <c r="BC79" s="563">
        <v>45</v>
      </c>
      <c r="BD79" s="445">
        <f>Model!BD424</f>
        <v>180</v>
      </c>
      <c r="BE79" s="564">
        <v>180</v>
      </c>
      <c r="BF79" s="564">
        <v>180</v>
      </c>
      <c r="BG79" s="564">
        <v>180</v>
      </c>
      <c r="BH79" s="349"/>
    </row>
    <row r="80" spans="1:60" x14ac:dyDescent="0.35">
      <c r="A80" s="243" t="str">
        <f>Model!A426</f>
        <v>Corporate and Unallocated Operating Income as % of total revenue, %</v>
      </c>
      <c r="B80" s="447"/>
      <c r="C80" s="448"/>
      <c r="D80" s="448"/>
      <c r="E80" s="448"/>
      <c r="F80" s="448"/>
      <c r="G80" s="449"/>
      <c r="H80" s="449"/>
      <c r="I80" s="449"/>
      <c r="J80" s="449"/>
      <c r="K80" s="448"/>
      <c r="L80" s="449"/>
      <c r="M80" s="449"/>
      <c r="N80" s="449"/>
      <c r="O80" s="449"/>
      <c r="P80" s="448"/>
      <c r="Q80" s="449"/>
      <c r="R80" s="449"/>
      <c r="S80" s="449"/>
      <c r="T80" s="449"/>
      <c r="U80" s="448"/>
      <c r="V80" s="449">
        <f>Model!V426</f>
        <v>5.803752193278445E-3</v>
      </c>
      <c r="W80" s="449">
        <f>Model!W426</f>
        <v>1.357347950926651E-2</v>
      </c>
      <c r="X80" s="449">
        <f>Model!X426</f>
        <v>8.5614217148787131E-3</v>
      </c>
      <c r="Y80" s="449">
        <f>Model!Y426</f>
        <v>9.8239869013507976E-3</v>
      </c>
      <c r="Z80" s="448">
        <f>Model!Z426</f>
        <v>9.4656082898801029E-3</v>
      </c>
      <c r="AA80" s="449">
        <f>Model!AA426</f>
        <v>1.0930383864671439E-2</v>
      </c>
      <c r="AB80" s="449">
        <f>Model!AB426</f>
        <v>6.0179257362355954E-3</v>
      </c>
      <c r="AC80" s="449">
        <f>Model!AC426</f>
        <v>1.3215859030837005E-2</v>
      </c>
      <c r="AD80" s="449">
        <f>Model!AD426</f>
        <v>1.602002503128911E-2</v>
      </c>
      <c r="AE80" s="448">
        <f>Model!AE426</f>
        <v>1.1593012603847491E-2</v>
      </c>
      <c r="AF80" s="449">
        <f>Model!AF426</f>
        <v>0.12515100265764678</v>
      </c>
      <c r="AG80" s="449">
        <f>Model!AG426</f>
        <v>2.3837902264600714E-2</v>
      </c>
      <c r="AH80" s="449">
        <f>Model!AH426</f>
        <v>6.9921491658488715E-3</v>
      </c>
      <c r="AI80" s="449">
        <f>Model!AI426</f>
        <v>1.4600377595972309E-2</v>
      </c>
      <c r="AJ80" s="448">
        <f>Model!AJ426</f>
        <v>4.3003204639096598E-2</v>
      </c>
      <c r="AK80" s="449">
        <f>Model!AK426</f>
        <v>7.9486201195472464E-2</v>
      </c>
      <c r="AL80" s="449">
        <f>Model!AL426</f>
        <v>2.349773589523926E-2</v>
      </c>
      <c r="AM80" s="449">
        <f>Model!AM426</f>
        <v>-8.259291703166062E-3</v>
      </c>
      <c r="AN80" s="449">
        <f>Model!AN426</f>
        <v>4.7712982369621501E-2</v>
      </c>
      <c r="AO80" s="448">
        <f>Model!AO426</f>
        <v>3.5163057007717199E-2</v>
      </c>
      <c r="AP80" s="449">
        <f>Model!AP426</f>
        <v>1.9318885448916408E-2</v>
      </c>
      <c r="AQ80" s="449">
        <f>Model!AQ426</f>
        <v>-3.5117056856187288E-2</v>
      </c>
      <c r="AR80" s="449">
        <f>Model!AR426</f>
        <v>2.2395209580838325E-2</v>
      </c>
      <c r="AS80" s="449">
        <f>Model!AS426</f>
        <v>3.1923569847372713E-2</v>
      </c>
      <c r="AT80" s="448">
        <f>Model!AT426</f>
        <v>1.1278896346010439E-2</v>
      </c>
      <c r="AU80" s="784">
        <f>Model!AU426</f>
        <v>5.3101344480849626E-3</v>
      </c>
      <c r="AV80" s="450">
        <v>6.0000000000000001E-3</v>
      </c>
      <c r="AW80" s="450">
        <v>6.0000000000000001E-3</v>
      </c>
      <c r="AX80" s="450">
        <v>6.0000000000000001E-3</v>
      </c>
      <c r="AY80" s="448">
        <f>Model!AY426</f>
        <v>5.8217077386415799E-3</v>
      </c>
      <c r="AZ80" s="450">
        <v>6.0000000000000001E-3</v>
      </c>
      <c r="BA80" s="450">
        <v>6.0000000000000001E-3</v>
      </c>
      <c r="BB80" s="450">
        <v>6.0000000000000001E-3</v>
      </c>
      <c r="BC80" s="450">
        <v>6.0000000000000001E-3</v>
      </c>
      <c r="BD80" s="448">
        <f>Model!BD426</f>
        <v>5.9999999999999993E-3</v>
      </c>
      <c r="BE80" s="451">
        <v>5.9999999999999984E-3</v>
      </c>
      <c r="BF80" s="451">
        <v>5.9999999999999984E-3</v>
      </c>
      <c r="BG80" s="451">
        <v>5.9999999999999984E-3</v>
      </c>
      <c r="BH80" s="349"/>
    </row>
    <row r="81" spans="1:60" x14ac:dyDescent="0.35">
      <c r="A81" s="243"/>
      <c r="B81" s="447"/>
      <c r="C81" s="448"/>
      <c r="D81" s="448"/>
      <c r="E81" s="448"/>
      <c r="F81" s="448"/>
      <c r="G81" s="449"/>
      <c r="H81" s="449"/>
      <c r="I81" s="449"/>
      <c r="J81" s="449"/>
      <c r="K81" s="448"/>
      <c r="L81" s="449"/>
      <c r="M81" s="449"/>
      <c r="N81" s="449"/>
      <c r="O81" s="449"/>
      <c r="P81" s="448"/>
      <c r="Q81" s="449"/>
      <c r="R81" s="449"/>
      <c r="S81" s="449"/>
      <c r="T81" s="449"/>
      <c r="U81" s="448"/>
      <c r="V81" s="449"/>
      <c r="W81" s="449"/>
      <c r="X81" s="449"/>
      <c r="Y81" s="449"/>
      <c r="Z81" s="448"/>
      <c r="AA81" s="449"/>
      <c r="AB81" s="449"/>
      <c r="AC81" s="449"/>
      <c r="AD81" s="449"/>
      <c r="AE81" s="448"/>
      <c r="AF81" s="449"/>
      <c r="AG81" s="449"/>
      <c r="AH81" s="449"/>
      <c r="AI81" s="449"/>
      <c r="AJ81" s="448"/>
      <c r="AK81" s="449"/>
      <c r="AL81" s="449"/>
      <c r="AM81" s="449"/>
      <c r="AN81" s="449"/>
      <c r="AO81" s="448"/>
      <c r="AP81" s="449"/>
      <c r="AQ81" s="449"/>
      <c r="AR81" s="449"/>
      <c r="AS81" s="449"/>
      <c r="AT81" s="448"/>
      <c r="AU81" s="784"/>
      <c r="AV81" s="449"/>
      <c r="AW81" s="449"/>
      <c r="AX81" s="449"/>
      <c r="AY81" s="448"/>
      <c r="AZ81" s="449"/>
      <c r="BA81" s="449"/>
      <c r="BB81" s="449"/>
      <c r="BC81" s="449"/>
      <c r="BD81" s="448"/>
      <c r="BE81" s="448"/>
      <c r="BF81" s="448"/>
      <c r="BG81" s="448"/>
      <c r="BH81" s="349"/>
    </row>
    <row r="82" spans="1:60" x14ac:dyDescent="0.35">
      <c r="A82" s="874" t="str">
        <f>Model!A432</f>
        <v>Segmented Results - Eliminations of Dual Credit (10-Q/K)</v>
      </c>
      <c r="B82" s="874"/>
      <c r="C82" s="874"/>
      <c r="D82" s="874"/>
      <c r="E82" s="874"/>
      <c r="F82" s="874"/>
      <c r="G82" s="874"/>
      <c r="H82" s="874"/>
      <c r="I82" s="874"/>
      <c r="J82" s="874"/>
      <c r="K82" s="874"/>
      <c r="L82" s="874"/>
      <c r="M82" s="874"/>
      <c r="N82" s="874"/>
      <c r="O82" s="874"/>
      <c r="P82" s="874"/>
      <c r="Q82" s="874"/>
      <c r="R82" s="874"/>
      <c r="S82" s="874"/>
      <c r="T82" s="874"/>
      <c r="U82" s="874"/>
      <c r="V82" s="874"/>
      <c r="W82" s="874"/>
      <c r="X82" s="874"/>
      <c r="Y82" s="874"/>
      <c r="Z82" s="874"/>
      <c r="AA82" s="874"/>
      <c r="AB82" s="874"/>
      <c r="AC82" s="874"/>
      <c r="AD82" s="874"/>
      <c r="AE82" s="874"/>
      <c r="AF82" s="874"/>
      <c r="AG82" s="874"/>
      <c r="AH82" s="874"/>
      <c r="AI82" s="874"/>
      <c r="AJ82" s="874"/>
      <c r="AK82" s="874"/>
      <c r="AL82" s="874"/>
      <c r="AM82" s="874"/>
      <c r="AN82" s="874"/>
      <c r="AO82" s="874"/>
      <c r="AP82" s="874"/>
      <c r="AQ82" s="874"/>
      <c r="AR82" s="874"/>
      <c r="AS82" s="874"/>
      <c r="AT82" s="874"/>
      <c r="AU82" s="875"/>
      <c r="AV82" s="874"/>
      <c r="AW82" s="874"/>
      <c r="AX82" s="874"/>
      <c r="AY82" s="874"/>
      <c r="AZ82" s="874"/>
      <c r="BA82" s="874"/>
      <c r="BB82" s="874"/>
      <c r="BC82" s="874"/>
      <c r="BD82" s="874"/>
      <c r="BE82" s="874"/>
      <c r="BF82" s="874"/>
      <c r="BG82" s="874"/>
      <c r="BH82" s="349"/>
    </row>
    <row r="83" spans="1:60" x14ac:dyDescent="0.35">
      <c r="A83" s="243" t="str">
        <f>Model!A440</f>
        <v>Elimination of Dual Credit Revenue as % of total revenue, %</v>
      </c>
      <c r="B83" s="447"/>
      <c r="C83" s="448"/>
      <c r="D83" s="448"/>
      <c r="E83" s="448"/>
      <c r="F83" s="448"/>
      <c r="G83" s="449"/>
      <c r="H83" s="449"/>
      <c r="I83" s="449"/>
      <c r="J83" s="449"/>
      <c r="K83" s="448"/>
      <c r="L83" s="449"/>
      <c r="M83" s="449"/>
      <c r="N83" s="449"/>
      <c r="O83" s="449"/>
      <c r="P83" s="448"/>
      <c r="Q83" s="449"/>
      <c r="R83" s="449"/>
      <c r="S83" s="449"/>
      <c r="T83" s="449"/>
      <c r="U83" s="448"/>
      <c r="V83" s="449">
        <f>Model!V440</f>
        <v>5.1101434426229511E-2</v>
      </c>
      <c r="W83" s="449">
        <f>Model!W440</f>
        <v>4.8198757763975156E-2</v>
      </c>
      <c r="X83" s="449">
        <f>Model!X440</f>
        <v>5.1316761014029044E-2</v>
      </c>
      <c r="Y83" s="449">
        <f>Model!Y440</f>
        <v>5.0770625566636446E-2</v>
      </c>
      <c r="Z83" s="448">
        <f>Model!Z440</f>
        <v>5.033906323923671E-2</v>
      </c>
      <c r="AA83" s="449">
        <f>Model!AA440</f>
        <v>5.3687969461888932E-2</v>
      </c>
      <c r="AB83" s="449">
        <f>Model!AB440</f>
        <v>5.1493806169540926E-2</v>
      </c>
      <c r="AC83" s="449">
        <f>Model!AC440</f>
        <v>5.635103926096998E-2</v>
      </c>
      <c r="AD83" s="449">
        <f>Model!AD440</f>
        <v>5.2756372258446947E-2</v>
      </c>
      <c r="AE83" s="448">
        <f>Model!AE440</f>
        <v>5.3602391629297461E-2</v>
      </c>
      <c r="AF83" s="449">
        <f>Model!AF440</f>
        <v>5.2860411899313502E-2</v>
      </c>
      <c r="AG83" s="449">
        <f>Model!AG440</f>
        <v>4.993771939757672E-2</v>
      </c>
      <c r="AH83" s="449">
        <f>Model!AH440</f>
        <v>5.4292343387471E-2</v>
      </c>
      <c r="AI83" s="449">
        <f>Model!AI440</f>
        <v>5.0889977302592281E-2</v>
      </c>
      <c r="AJ83" s="448">
        <f>Model!AJ440</f>
        <v>5.1993518893582551E-2</v>
      </c>
      <c r="AK83" s="449">
        <f>Model!AK440</f>
        <v>5.0018078823671208E-2</v>
      </c>
      <c r="AL83" s="449">
        <f>Model!AL440</f>
        <v>4.8283885980221056E-2</v>
      </c>
      <c r="AM83" s="449">
        <f>Model!AM440</f>
        <v>5.091988130563798E-2</v>
      </c>
      <c r="AN83" s="449">
        <f>Model!AN440</f>
        <v>4.7172025346162876E-2</v>
      </c>
      <c r="AO83" s="448">
        <f>Model!AO440</f>
        <v>4.9085374863323386E-2</v>
      </c>
      <c r="AP83" s="449">
        <f>Model!AP440</f>
        <v>5.3673971639517169E-2</v>
      </c>
      <c r="AQ83" s="449">
        <f>Model!AQ440</f>
        <v>6.3918601617531962E-2</v>
      </c>
      <c r="AR83" s="449">
        <f>Model!AR440</f>
        <v>6.3376332024677504E-2</v>
      </c>
      <c r="AS83" s="449">
        <f>Model!AS440</f>
        <v>6.2991266375545849E-2</v>
      </c>
      <c r="AT83" s="448">
        <f>Model!AT440</f>
        <v>6.0979167882359804E-2</v>
      </c>
      <c r="AU83" s="784">
        <f>Model!AU440</f>
        <v>6.6054658647251241E-2</v>
      </c>
      <c r="AV83" s="450">
        <v>0.06</v>
      </c>
      <c r="AW83" s="450">
        <v>0.06</v>
      </c>
      <c r="AX83" s="450">
        <v>0.06</v>
      </c>
      <c r="AY83" s="448">
        <f>Model!AY440</f>
        <v>6.1572305932701035E-2</v>
      </c>
      <c r="AZ83" s="450">
        <v>0.06</v>
      </c>
      <c r="BA83" s="450">
        <v>0.06</v>
      </c>
      <c r="BB83" s="450">
        <v>0.06</v>
      </c>
      <c r="BC83" s="450">
        <v>0.06</v>
      </c>
      <c r="BD83" s="448">
        <f>Model!BD440</f>
        <v>5.9999999999999984E-2</v>
      </c>
      <c r="BE83" s="451">
        <v>6.0000000000000012E-2</v>
      </c>
      <c r="BF83" s="451">
        <v>6.0000000000000012E-2</v>
      </c>
      <c r="BG83" s="451">
        <v>6.0000000000000012E-2</v>
      </c>
      <c r="BH83" s="349"/>
    </row>
    <row r="84" spans="1:60" x14ac:dyDescent="0.35">
      <c r="A84" s="243" t="str">
        <f>Model!A443</f>
        <v>Elimination of Dual Credit Operating Income margin, %</v>
      </c>
      <c r="B84" s="447"/>
      <c r="C84" s="448"/>
      <c r="D84" s="448"/>
      <c r="E84" s="448"/>
      <c r="F84" s="448"/>
      <c r="G84" s="449"/>
      <c r="H84" s="449"/>
      <c r="I84" s="449"/>
      <c r="J84" s="449"/>
      <c r="K84" s="448"/>
      <c r="L84" s="449"/>
      <c r="M84" s="449"/>
      <c r="N84" s="449"/>
      <c r="O84" s="449"/>
      <c r="P84" s="448"/>
      <c r="Q84" s="449"/>
      <c r="R84" s="449"/>
      <c r="S84" s="449"/>
      <c r="T84" s="449"/>
      <c r="U84" s="448"/>
      <c r="V84" s="449">
        <f>Model!V443</f>
        <v>0.24561403508771928</v>
      </c>
      <c r="W84" s="449">
        <f>Model!W443</f>
        <v>0.23969072164948454</v>
      </c>
      <c r="X84" s="449">
        <f>Model!X443</f>
        <v>0.25419664268585129</v>
      </c>
      <c r="Y84" s="449">
        <f>Model!Y443</f>
        <v>0.25</v>
      </c>
      <c r="Z84" s="448">
        <f>Model!Z443</f>
        <v>0.2474937343358396</v>
      </c>
      <c r="AA84" s="449">
        <f>Model!AA443</f>
        <v>0.24541284403669725</v>
      </c>
      <c r="AB84" s="449">
        <f>Model!AB443</f>
        <v>0.25</v>
      </c>
      <c r="AC84" s="449">
        <f>Model!AC443</f>
        <v>0.26639344262295084</v>
      </c>
      <c r="AD84" s="449">
        <f>Model!AD443</f>
        <v>0.25842696629213485</v>
      </c>
      <c r="AE84" s="448">
        <f>Model!AE443</f>
        <v>0.25543781372002233</v>
      </c>
      <c r="AF84" s="449">
        <f>Model!AF443</f>
        <v>0.24675324675324675</v>
      </c>
      <c r="AG84" s="449">
        <f>Model!AG443</f>
        <v>0.23129251700680273</v>
      </c>
      <c r="AH84" s="449">
        <f>Model!AH443</f>
        <v>0.26709401709401709</v>
      </c>
      <c r="AI84" s="449">
        <f>Model!AI443</f>
        <v>0.25117370892018781</v>
      </c>
      <c r="AJ84" s="448">
        <f>Model!AJ443</f>
        <v>0.24930439621591541</v>
      </c>
      <c r="AK84" s="449">
        <f>Model!AK443</f>
        <v>0.23373493975903614</v>
      </c>
      <c r="AL84" s="449">
        <f>Model!AL443</f>
        <v>0.24096385542168675</v>
      </c>
      <c r="AM84" s="449">
        <f>Model!AM443</f>
        <v>0.25874125874125875</v>
      </c>
      <c r="AN84" s="449">
        <f>Model!AN443</f>
        <v>0.25124378109452739</v>
      </c>
      <c r="AO84" s="448">
        <f>Model!AO443</f>
        <v>0.24623720650210718</v>
      </c>
      <c r="AP84" s="449">
        <f>Model!AP443</f>
        <v>0.25327510917030566</v>
      </c>
      <c r="AQ84" s="449">
        <f>Model!AQ443</f>
        <v>0.25102040816326532</v>
      </c>
      <c r="AR84" s="449">
        <f>Model!AR443</f>
        <v>0.25663716814159293</v>
      </c>
      <c r="AS84" s="449">
        <f>Model!AS443</f>
        <v>0.25996533795493937</v>
      </c>
      <c r="AT84" s="448">
        <f>Model!AT443</f>
        <v>0.25550239234449762</v>
      </c>
      <c r="AU84" s="784">
        <f>Model!AU443</f>
        <v>0.2539936102236422</v>
      </c>
      <c r="AV84" s="450">
        <v>0.25</v>
      </c>
      <c r="AW84" s="450">
        <v>0.25</v>
      </c>
      <c r="AX84" s="450">
        <v>0.25</v>
      </c>
      <c r="AY84" s="448">
        <f>Model!AY443</f>
        <v>0.25111257961730998</v>
      </c>
      <c r="AZ84" s="450">
        <v>0.25</v>
      </c>
      <c r="BA84" s="450">
        <v>0.25</v>
      </c>
      <c r="BB84" s="450">
        <v>0.25</v>
      </c>
      <c r="BC84" s="450">
        <v>0.25</v>
      </c>
      <c r="BD84" s="448">
        <f>Model!BD443</f>
        <v>0.25</v>
      </c>
      <c r="BE84" s="451">
        <v>0.25</v>
      </c>
      <c r="BF84" s="451">
        <v>0.25</v>
      </c>
      <c r="BG84" s="451">
        <v>0.25</v>
      </c>
      <c r="BH84" s="349"/>
    </row>
    <row r="85" spans="1:60" x14ac:dyDescent="0.35">
      <c r="A85" s="243"/>
      <c r="B85" s="447"/>
      <c r="C85" s="448"/>
      <c r="D85" s="448"/>
      <c r="E85" s="448"/>
      <c r="F85" s="448"/>
      <c r="G85" s="449"/>
      <c r="H85" s="449"/>
      <c r="I85" s="449"/>
      <c r="J85" s="449"/>
      <c r="K85" s="448"/>
      <c r="L85" s="449"/>
      <c r="M85" s="449"/>
      <c r="N85" s="449"/>
      <c r="O85" s="449"/>
      <c r="P85" s="448"/>
      <c r="Q85" s="449"/>
      <c r="R85" s="449"/>
      <c r="S85" s="449"/>
      <c r="T85" s="449"/>
      <c r="U85" s="448"/>
      <c r="V85" s="449"/>
      <c r="W85" s="449"/>
      <c r="X85" s="449"/>
      <c r="Y85" s="449"/>
      <c r="Z85" s="448"/>
      <c r="AA85" s="449"/>
      <c r="AB85" s="449"/>
      <c r="AC85" s="449"/>
      <c r="AD85" s="449"/>
      <c r="AE85" s="448"/>
      <c r="AF85" s="449"/>
      <c r="AG85" s="449"/>
      <c r="AH85" s="449"/>
      <c r="AI85" s="449"/>
      <c r="AJ85" s="448"/>
      <c r="AK85" s="449"/>
      <c r="AL85" s="449"/>
      <c r="AM85" s="449"/>
      <c r="AN85" s="449"/>
      <c r="AO85" s="448"/>
      <c r="AP85" s="449"/>
      <c r="AQ85" s="449"/>
      <c r="AR85" s="449"/>
      <c r="AS85" s="449"/>
      <c r="AT85" s="448"/>
      <c r="AU85" s="784"/>
      <c r="AV85" s="449"/>
      <c r="AW85" s="449"/>
      <c r="AX85" s="449"/>
      <c r="AY85" s="448"/>
      <c r="AZ85" s="449"/>
      <c r="BA85" s="449"/>
      <c r="BB85" s="449"/>
      <c r="BC85" s="449"/>
      <c r="BD85" s="448"/>
      <c r="BE85" s="448"/>
      <c r="BF85" s="448"/>
      <c r="BG85" s="448"/>
      <c r="BH85" s="349"/>
    </row>
    <row r="86" spans="1:60" x14ac:dyDescent="0.35">
      <c r="A86" s="103" t="str">
        <f>Model!A704</f>
        <v>Margin Analysis</v>
      </c>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758"/>
      <c r="AV86" s="103"/>
      <c r="AW86" s="103"/>
      <c r="AX86" s="103"/>
      <c r="AY86" s="103"/>
      <c r="AZ86" s="103"/>
      <c r="BA86" s="103"/>
      <c r="BB86" s="103"/>
      <c r="BC86" s="103"/>
      <c r="BD86" s="103"/>
      <c r="BE86" s="103"/>
      <c r="BF86" s="103"/>
      <c r="BG86" s="103"/>
      <c r="BH86" s="349"/>
    </row>
    <row r="87" spans="1:60" x14ac:dyDescent="0.35">
      <c r="A87" s="235" t="str">
        <f>Model!A711</f>
        <v>R&amp;D Margin (adj. for SBC), %</v>
      </c>
      <c r="B87" s="176"/>
      <c r="C87" s="223">
        <f>Model!C711</f>
        <v>5.440470527180729E-2</v>
      </c>
      <c r="D87" s="223">
        <f>Model!D711</f>
        <v>5.2509189108093914E-2</v>
      </c>
      <c r="E87" s="223">
        <f>Model!E711</f>
        <v>5.1940157373948873E-2</v>
      </c>
      <c r="F87" s="223">
        <f>Model!F711</f>
        <v>5.3671749598715894E-2</v>
      </c>
      <c r="G87" s="226">
        <f>Model!G711</f>
        <v>5.4493057374901753E-2</v>
      </c>
      <c r="H87" s="226">
        <f>Model!H711</f>
        <v>5.4437564499484004E-2</v>
      </c>
      <c r="I87" s="226">
        <f>Model!I711</f>
        <v>5.2299140980293077E-2</v>
      </c>
      <c r="J87" s="226">
        <f>Model!J711</f>
        <v>5.7207028669573258E-2</v>
      </c>
      <c r="K87" s="223">
        <f>Model!K711</f>
        <v>5.4581970133782513E-2</v>
      </c>
      <c r="L87" s="226">
        <f>Model!L711</f>
        <v>5.4782275571446812E-2</v>
      </c>
      <c r="M87" s="226">
        <f>Model!M711</f>
        <v>5.4339808212441602E-2</v>
      </c>
      <c r="N87" s="226">
        <f>Model!N711</f>
        <v>5.2476342632419813E-2</v>
      </c>
      <c r="O87" s="226">
        <f>Model!O711</f>
        <v>5.5836248218681175E-2</v>
      </c>
      <c r="P87" s="223">
        <f>Model!P711</f>
        <v>5.4335187454825427E-2</v>
      </c>
      <c r="Q87" s="226">
        <f>Model!Q711</f>
        <v>5.75349696489839E-2</v>
      </c>
      <c r="R87" s="226">
        <f>Model!R711</f>
        <v>5.6206088992974239E-2</v>
      </c>
      <c r="S87" s="226">
        <f>Model!S711</f>
        <v>5.4719917012448133E-2</v>
      </c>
      <c r="T87" s="226">
        <f>Model!T711</f>
        <v>5.8646204439572483E-2</v>
      </c>
      <c r="U87" s="223">
        <f>Model!U711</f>
        <v>5.6748364933606396E-2</v>
      </c>
      <c r="V87" s="226">
        <f>Model!V711</f>
        <v>5.7362667026589285E-2</v>
      </c>
      <c r="W87" s="226">
        <f>Model!W711</f>
        <v>5.6121117201774991E-2</v>
      </c>
      <c r="X87" s="226">
        <f>Model!X711</f>
        <v>5.4481774549228174E-2</v>
      </c>
      <c r="Y87" s="226">
        <f>Model!Y711</f>
        <v>5.6624368945285851E-2</v>
      </c>
      <c r="Z87" s="223">
        <f>Model!Z711</f>
        <v>5.6129396525955694E-2</v>
      </c>
      <c r="AA87" s="226">
        <f>Model!AA711</f>
        <v>5.8555627846454128E-2</v>
      </c>
      <c r="AB87" s="226">
        <f>Model!AB711</f>
        <v>6.0307298335467351E-2</v>
      </c>
      <c r="AC87" s="226">
        <f>Model!AC711</f>
        <v>5.6534508076358299E-2</v>
      </c>
      <c r="AD87" s="226">
        <f>Model!AD711</f>
        <v>5.519399249061327E-2</v>
      </c>
      <c r="AE87" s="223">
        <f>Model!AE711</f>
        <v>5.761758852702404E-2</v>
      </c>
      <c r="AF87" s="226">
        <f>Model!AF711</f>
        <v>5.5448175887895627E-2</v>
      </c>
      <c r="AG87" s="226">
        <f>Model!AG711</f>
        <v>5.4946364719904647E-2</v>
      </c>
      <c r="AH87" s="226">
        <f>Model!AH711</f>
        <v>5.1889106967615312E-2</v>
      </c>
      <c r="AI87" s="226">
        <f>Model!AI711</f>
        <v>5.424795468848332E-2</v>
      </c>
      <c r="AJ87" s="223">
        <f>Model!AJ711</f>
        <v>5.4143140546314666E-2</v>
      </c>
      <c r="AK87" s="226">
        <f>Model!AK711</f>
        <v>5.7357242782652931E-2</v>
      </c>
      <c r="AL87" s="226">
        <f>Model!AL711</f>
        <v>5.6663811039040508E-2</v>
      </c>
      <c r="AM87" s="226">
        <f>Model!AM711</f>
        <v>5.4561381554248528E-2</v>
      </c>
      <c r="AN87" s="226">
        <f>Model!AN711</f>
        <v>6.3494020466033779E-2</v>
      </c>
      <c r="AO87" s="223">
        <f>Model!AO711</f>
        <v>5.8034602937515556E-2</v>
      </c>
      <c r="AP87" s="226">
        <f>Model!AP711</f>
        <v>6.3405572755417958E-2</v>
      </c>
      <c r="AQ87" s="226">
        <f>Model!AQ711</f>
        <v>5.8110367892976592E-2</v>
      </c>
      <c r="AR87" s="226">
        <f>Model!AR711</f>
        <v>5.4610778443113774E-2</v>
      </c>
      <c r="AS87" s="226">
        <f>Model!AS711</f>
        <v>5.2429220552254456E-2</v>
      </c>
      <c r="AT87" s="223">
        <f>Model!AT711</f>
        <v>5.7015908525975642E-2</v>
      </c>
      <c r="AU87" s="773">
        <f>Model!AU711</f>
        <v>5.6377810416902048E-2</v>
      </c>
      <c r="AV87" s="82">
        <v>6.0999999999999999E-2</v>
      </c>
      <c r="AW87" s="82">
        <v>6.0999999999999999E-2</v>
      </c>
      <c r="AX87" s="82">
        <v>6.0999999999999999E-2</v>
      </c>
      <c r="AY87" s="113">
        <f>Model!AY711</f>
        <v>5.9805418489283585E-2</v>
      </c>
      <c r="AZ87" s="82">
        <v>6.0999999999999999E-2</v>
      </c>
      <c r="BA87" s="82">
        <v>6.0999999999999999E-2</v>
      </c>
      <c r="BB87" s="82">
        <v>6.0999999999999999E-2</v>
      </c>
      <c r="BC87" s="82">
        <v>6.0999999999999999E-2</v>
      </c>
      <c r="BD87" s="113">
        <f>Model!BD711</f>
        <v>6.0999999999999999E-2</v>
      </c>
      <c r="BE87" s="224">
        <v>6.0999999999999999E-2</v>
      </c>
      <c r="BF87" s="224">
        <v>6.0999999999999999E-2</v>
      </c>
      <c r="BG87" s="224">
        <v>6.0999999999999999E-2</v>
      </c>
      <c r="BH87" s="349"/>
    </row>
    <row r="88" spans="1:60" x14ac:dyDescent="0.35">
      <c r="A88" s="235" t="str">
        <f>Model!A712</f>
        <v>SG&amp;A Margin (adj. for SBC), %</v>
      </c>
      <c r="B88" s="176"/>
      <c r="C88" s="223">
        <f>Model!C712</f>
        <v>0.20598538251956927</v>
      </c>
      <c r="D88" s="223">
        <f>Model!D712</f>
        <v>0.19765959042832495</v>
      </c>
      <c r="E88" s="223">
        <f>Model!E712</f>
        <v>0.20188443483840465</v>
      </c>
      <c r="F88" s="223">
        <f>Model!F712</f>
        <v>0.19846843231674693</v>
      </c>
      <c r="G88" s="226">
        <f>Model!G712</f>
        <v>0.19806130468954677</v>
      </c>
      <c r="H88" s="226">
        <f>Model!H712</f>
        <v>0.20304437564499483</v>
      </c>
      <c r="I88" s="226">
        <f>Model!I712</f>
        <v>0.19871147043961596</v>
      </c>
      <c r="J88" s="226">
        <f>Model!J712</f>
        <v>0.20372572334522393</v>
      </c>
      <c r="K88" s="223">
        <f>Model!K712</f>
        <v>0.20086812866444237</v>
      </c>
      <c r="L88" s="226">
        <f>Model!L712</f>
        <v>0.19856978674498788</v>
      </c>
      <c r="M88" s="226">
        <f>Model!M712</f>
        <v>0.19805753626751907</v>
      </c>
      <c r="N88" s="226">
        <f>Model!N712</f>
        <v>0.19245422145753963</v>
      </c>
      <c r="O88" s="226">
        <f>Model!O712</f>
        <v>0.20015546055188496</v>
      </c>
      <c r="P88" s="223">
        <f>Model!P712</f>
        <v>0.19725967128625752</v>
      </c>
      <c r="Q88" s="226">
        <f>Model!Q712</f>
        <v>0.19477434679334918</v>
      </c>
      <c r="R88" s="226">
        <f>Model!R712</f>
        <v>0.19711163153786104</v>
      </c>
      <c r="S88" s="226">
        <f>Model!S712</f>
        <v>0.19437240663900415</v>
      </c>
      <c r="T88" s="226">
        <f>Model!T712</f>
        <v>0.20649493011784051</v>
      </c>
      <c r="U88" s="223">
        <f>Model!U712</f>
        <v>0.19809077095857833</v>
      </c>
      <c r="V88" s="226">
        <f>Model!V712</f>
        <v>0.18855446079092994</v>
      </c>
      <c r="W88" s="226">
        <f>Model!W712</f>
        <v>0.1991647089532759</v>
      </c>
      <c r="X88" s="226">
        <f>Model!X712</f>
        <v>0.19392917369308602</v>
      </c>
      <c r="Y88" s="226">
        <f>Model!Y712</f>
        <v>0.20289261836539774</v>
      </c>
      <c r="Z88" s="223">
        <f>Model!Z712</f>
        <v>0.19612076123418248</v>
      </c>
      <c r="AA88" s="226">
        <f>Model!AA712</f>
        <v>0.19726740403383214</v>
      </c>
      <c r="AB88" s="226">
        <f>Model!AB712</f>
        <v>0.20192061459667093</v>
      </c>
      <c r="AC88" s="226">
        <f>Model!AC712</f>
        <v>0.19481155163974548</v>
      </c>
      <c r="AD88" s="226">
        <f>Model!AD712</f>
        <v>0.21426783479349187</v>
      </c>
      <c r="AE88" s="223">
        <f>Model!AE712</f>
        <v>0.20207221151719998</v>
      </c>
      <c r="AF88" s="226">
        <f>Model!AF712</f>
        <v>0.29765643875332204</v>
      </c>
      <c r="AG88" s="226">
        <f>Model!AG712</f>
        <v>0.21060786650774732</v>
      </c>
      <c r="AH88" s="226">
        <f>Model!AH712</f>
        <v>0.18547595682041218</v>
      </c>
      <c r="AI88" s="226">
        <f>Model!AI712</f>
        <v>0.20792951541850221</v>
      </c>
      <c r="AJ88" s="223">
        <f>Model!AJ712</f>
        <v>0.22569815351747291</v>
      </c>
      <c r="AK88" s="226">
        <f>Model!AK712</f>
        <v>0.2373140022892026</v>
      </c>
      <c r="AL88" s="226">
        <f>Model!AL712</f>
        <v>0.20193366784971239</v>
      </c>
      <c r="AM88" s="226">
        <f>Model!AM712</f>
        <v>0.17795019396821424</v>
      </c>
      <c r="AN88" s="226">
        <f>Model!AN712</f>
        <v>0.23498952040438911</v>
      </c>
      <c r="AO88" s="223">
        <f>Model!AO712</f>
        <v>0.21296987801842171</v>
      </c>
      <c r="AP88" s="226">
        <f>Model!AP712</f>
        <v>0.20990712074303405</v>
      </c>
      <c r="AQ88" s="226">
        <f>Model!AQ712</f>
        <v>0.21725195094760313</v>
      </c>
      <c r="AR88" s="226">
        <f>Model!AR712</f>
        <v>0.19724550898203594</v>
      </c>
      <c r="AS88" s="226">
        <f>Model!AS712</f>
        <v>0.21659093557031342</v>
      </c>
      <c r="AT88" s="223">
        <f>Model!AT712</f>
        <v>0.21004225702212279</v>
      </c>
      <c r="AU88" s="773">
        <f>Model!AU712</f>
        <v>0.19478025081911648</v>
      </c>
      <c r="AV88" s="82">
        <v>0.19</v>
      </c>
      <c r="AW88" s="82">
        <v>0.19</v>
      </c>
      <c r="AX88" s="82">
        <v>0.19</v>
      </c>
      <c r="AY88" s="113">
        <f>Model!AY712</f>
        <v>0.19123543163741807</v>
      </c>
      <c r="AZ88" s="82">
        <v>0.19</v>
      </c>
      <c r="BA88" s="82">
        <v>0.19</v>
      </c>
      <c r="BB88" s="82">
        <v>0.19</v>
      </c>
      <c r="BC88" s="82">
        <v>0.19</v>
      </c>
      <c r="BD88" s="113">
        <f>Model!BD712</f>
        <v>0.19000000000000003</v>
      </c>
      <c r="BE88" s="224">
        <v>0.19</v>
      </c>
      <c r="BF88" s="224">
        <v>0.19</v>
      </c>
      <c r="BG88" s="224">
        <v>0.19</v>
      </c>
      <c r="BH88" s="349"/>
    </row>
    <row r="89" spans="1:60" x14ac:dyDescent="0.35">
      <c r="A89" s="234"/>
      <c r="B89" s="176"/>
      <c r="C89" s="113"/>
      <c r="D89" s="113"/>
      <c r="E89" s="113"/>
      <c r="F89" s="113"/>
      <c r="G89" s="177"/>
      <c r="H89" s="177"/>
      <c r="I89" s="177"/>
      <c r="J89" s="177"/>
      <c r="K89" s="113"/>
      <c r="L89" s="177"/>
      <c r="M89" s="177"/>
      <c r="N89" s="177"/>
      <c r="O89" s="177"/>
      <c r="P89" s="113"/>
      <c r="Q89" s="177"/>
      <c r="R89" s="177"/>
      <c r="S89" s="177"/>
      <c r="T89" s="177"/>
      <c r="U89" s="113"/>
      <c r="V89" s="177"/>
      <c r="W89" s="177"/>
      <c r="X89" s="177"/>
      <c r="Y89" s="177"/>
      <c r="Z89" s="113"/>
      <c r="AA89" s="177"/>
      <c r="AB89" s="177"/>
      <c r="AC89" s="177"/>
      <c r="AD89" s="177"/>
      <c r="AE89" s="113"/>
      <c r="AF89" s="177"/>
      <c r="AG89" s="177"/>
      <c r="AH89" s="177"/>
      <c r="AI89" s="177"/>
      <c r="AJ89" s="113"/>
      <c r="AK89" s="177"/>
      <c r="AL89" s="177"/>
      <c r="AM89" s="177"/>
      <c r="AN89" s="177"/>
      <c r="AO89" s="113"/>
      <c r="AP89" s="177"/>
      <c r="AQ89" s="177"/>
      <c r="AR89" s="177"/>
      <c r="AS89" s="177"/>
      <c r="AT89" s="113"/>
      <c r="AU89" s="780"/>
      <c r="AV89" s="177"/>
      <c r="AW89" s="177"/>
      <c r="AX89" s="177"/>
      <c r="AY89" s="113"/>
      <c r="AZ89" s="177"/>
      <c r="BA89" s="177"/>
      <c r="BB89" s="177"/>
      <c r="BC89" s="177"/>
      <c r="BD89" s="113"/>
      <c r="BE89" s="113"/>
      <c r="BF89" s="113"/>
      <c r="BG89" s="113"/>
      <c r="BH89" s="349"/>
    </row>
    <row r="90" spans="1:60" x14ac:dyDescent="0.35">
      <c r="A90" s="874" t="str">
        <f>Model!A747</f>
        <v>Adjusted Numbers - As Reported</v>
      </c>
      <c r="B90" s="874"/>
      <c r="C90" s="874"/>
      <c r="D90" s="874"/>
      <c r="E90" s="874"/>
      <c r="F90" s="874"/>
      <c r="G90" s="874"/>
      <c r="H90" s="874"/>
      <c r="I90" s="874"/>
      <c r="J90" s="874"/>
      <c r="K90" s="874"/>
      <c r="L90" s="874"/>
      <c r="M90" s="874"/>
      <c r="N90" s="874"/>
      <c r="O90" s="874"/>
      <c r="P90" s="874"/>
      <c r="Q90" s="874"/>
      <c r="R90" s="874"/>
      <c r="S90" s="874"/>
      <c r="T90" s="874"/>
      <c r="U90" s="874"/>
      <c r="V90" s="874"/>
      <c r="W90" s="874"/>
      <c r="X90" s="874"/>
      <c r="Y90" s="874"/>
      <c r="Z90" s="874"/>
      <c r="AA90" s="874"/>
      <c r="AB90" s="874"/>
      <c r="AC90" s="874"/>
      <c r="AD90" s="874"/>
      <c r="AE90" s="874"/>
      <c r="AF90" s="874"/>
      <c r="AG90" s="874"/>
      <c r="AH90" s="874"/>
      <c r="AI90" s="874"/>
      <c r="AJ90" s="874"/>
      <c r="AK90" s="874"/>
      <c r="AL90" s="874"/>
      <c r="AM90" s="874"/>
      <c r="AN90" s="874"/>
      <c r="AO90" s="874"/>
      <c r="AP90" s="874"/>
      <c r="AQ90" s="874"/>
      <c r="AR90" s="874"/>
      <c r="AS90" s="874"/>
      <c r="AT90" s="874"/>
      <c r="AU90" s="875"/>
      <c r="AV90" s="874"/>
      <c r="AW90" s="874"/>
      <c r="AX90" s="874"/>
      <c r="AY90" s="874"/>
      <c r="AZ90" s="874"/>
      <c r="BA90" s="874"/>
      <c r="BB90" s="874"/>
      <c r="BC90" s="874"/>
      <c r="BD90" s="874"/>
      <c r="BE90" s="874"/>
      <c r="BF90" s="874"/>
      <c r="BG90" s="874"/>
      <c r="BH90" s="349"/>
    </row>
    <row r="91" spans="1:60" x14ac:dyDescent="0.35">
      <c r="A91" s="316" t="str">
        <f>Model!A781</f>
        <v>SBC in COGS</v>
      </c>
      <c r="B91" s="317"/>
      <c r="C91" s="108">
        <f>Model!C781</f>
        <v>38</v>
      </c>
      <c r="D91" s="108">
        <f>Model!D781</f>
        <v>31</v>
      </c>
      <c r="E91" s="108">
        <f>Model!E781</f>
        <v>29</v>
      </c>
      <c r="F91" s="108">
        <f>Model!F781</f>
        <v>27</v>
      </c>
      <c r="G91" s="203">
        <f>Model!G781</f>
        <v>12</v>
      </c>
      <c r="H91" s="203">
        <f>Model!H781</f>
        <v>6</v>
      </c>
      <c r="I91" s="203">
        <f>Model!I781</f>
        <v>5</v>
      </c>
      <c r="J91" s="203">
        <f>Model!J781</f>
        <v>4</v>
      </c>
      <c r="K91" s="108">
        <f>Model!K781</f>
        <v>27</v>
      </c>
      <c r="L91" s="203">
        <f>Model!L781</f>
        <v>22</v>
      </c>
      <c r="M91" s="203">
        <f>Model!M781</f>
        <v>11</v>
      </c>
      <c r="N91" s="203">
        <f>Model!N781</f>
        <v>9</v>
      </c>
      <c r="O91" s="203">
        <f>Model!O781</f>
        <v>5</v>
      </c>
      <c r="P91" s="108">
        <f>Model!P781</f>
        <v>47</v>
      </c>
      <c r="Q91" s="203">
        <f>Model!Q781</f>
        <v>23</v>
      </c>
      <c r="R91" s="203">
        <f>Model!R781</f>
        <v>8</v>
      </c>
      <c r="S91" s="203">
        <f>Model!S781</f>
        <v>8</v>
      </c>
      <c r="T91" s="203">
        <f>Model!T781</f>
        <v>7</v>
      </c>
      <c r="U91" s="108">
        <f>Model!U781</f>
        <v>46</v>
      </c>
      <c r="V91" s="203">
        <f>Model!V781</f>
        <v>23</v>
      </c>
      <c r="W91" s="203">
        <f>Model!W781</f>
        <v>8</v>
      </c>
      <c r="X91" s="203">
        <f>Model!X781</f>
        <v>8</v>
      </c>
      <c r="Y91" s="203">
        <f>Model!Y781</f>
        <v>8</v>
      </c>
      <c r="Z91" s="108">
        <f>Model!Z781</f>
        <v>47</v>
      </c>
      <c r="AA91" s="203">
        <f>Model!AA781</f>
        <v>23</v>
      </c>
      <c r="AB91" s="203">
        <f>Model!AB781</f>
        <v>9</v>
      </c>
      <c r="AC91" s="203">
        <f>Model!AC781</f>
        <v>9</v>
      </c>
      <c r="AD91" s="203">
        <f>Model!AD781</f>
        <v>8</v>
      </c>
      <c r="AE91" s="108">
        <f>Model!AE781</f>
        <v>49</v>
      </c>
      <c r="AF91" s="203">
        <f>Model!AF781</f>
        <v>23</v>
      </c>
      <c r="AG91" s="203">
        <f>Model!AG781</f>
        <v>9</v>
      </c>
      <c r="AH91" s="203">
        <f>Model!AH781</f>
        <v>8</v>
      </c>
      <c r="AI91" s="203">
        <f>Model!AI781</f>
        <v>8</v>
      </c>
      <c r="AJ91" s="108">
        <f>Model!AJ781</f>
        <v>48</v>
      </c>
      <c r="AK91" s="203">
        <f>Model!AK781</f>
        <v>22</v>
      </c>
      <c r="AL91" s="203">
        <f>Model!AL781</f>
        <v>9</v>
      </c>
      <c r="AM91" s="203">
        <f>Model!AM781</f>
        <v>8</v>
      </c>
      <c r="AN91" s="203">
        <f>Model!AN781</f>
        <v>8</v>
      </c>
      <c r="AO91" s="108">
        <f>Model!AO781</f>
        <v>47</v>
      </c>
      <c r="AP91" s="203">
        <f>Model!AP781</f>
        <v>22</v>
      </c>
      <c r="AQ91" s="203">
        <f>Model!AQ781</f>
        <v>10</v>
      </c>
      <c r="AR91" s="203">
        <f>Model!AR781</f>
        <v>9</v>
      </c>
      <c r="AS91" s="203">
        <f>Model!AS781</f>
        <v>9</v>
      </c>
      <c r="AT91" s="108">
        <f>Model!AT781</f>
        <v>50</v>
      </c>
      <c r="AU91" s="790">
        <f>Model!AU781</f>
        <v>22</v>
      </c>
      <c r="AV91" s="242">
        <v>8</v>
      </c>
      <c r="AW91" s="242">
        <v>8</v>
      </c>
      <c r="AX91" s="242">
        <v>8</v>
      </c>
      <c r="AY91" s="108">
        <f>Model!AY781</f>
        <v>46</v>
      </c>
      <c r="AZ91" s="242">
        <v>25</v>
      </c>
      <c r="BA91" s="242">
        <v>8</v>
      </c>
      <c r="BB91" s="242">
        <v>8</v>
      </c>
      <c r="BC91" s="242">
        <v>8</v>
      </c>
      <c r="BD91" s="108">
        <f>Model!BD781</f>
        <v>49</v>
      </c>
      <c r="BE91" s="72">
        <v>50</v>
      </c>
      <c r="BF91" s="72">
        <v>50</v>
      </c>
      <c r="BG91" s="72">
        <v>50</v>
      </c>
      <c r="BH91" s="349"/>
    </row>
    <row r="92" spans="1:60" x14ac:dyDescent="0.35">
      <c r="A92" s="316" t="str">
        <f>Model!A782</f>
        <v>SBC in SG&amp;A</v>
      </c>
      <c r="B92" s="317"/>
      <c r="C92" s="108">
        <f>Model!C782</f>
        <v>144</v>
      </c>
      <c r="D92" s="108">
        <f>Model!D782</f>
        <v>209</v>
      </c>
      <c r="E92" s="108">
        <f>Model!E782</f>
        <v>192</v>
      </c>
      <c r="F92" s="108">
        <f>Model!F782</f>
        <v>167</v>
      </c>
      <c r="G92" s="203">
        <f>Model!G782</f>
        <v>77</v>
      </c>
      <c r="H92" s="203">
        <f>Model!H782</f>
        <v>36</v>
      </c>
      <c r="I92" s="203">
        <f>Model!I782</f>
        <v>36</v>
      </c>
      <c r="J92" s="203">
        <f>Model!J782</f>
        <v>34</v>
      </c>
      <c r="K92" s="108">
        <f>Model!K782</f>
        <v>183</v>
      </c>
      <c r="L92" s="203">
        <f>Model!L782</f>
        <v>77</v>
      </c>
      <c r="M92" s="203">
        <f>Model!M782</f>
        <v>35</v>
      </c>
      <c r="N92" s="203">
        <f>Model!N782</f>
        <v>31</v>
      </c>
      <c r="O92" s="203">
        <f>Model!O782</f>
        <v>49</v>
      </c>
      <c r="P92" s="108">
        <f>Model!P782</f>
        <v>192</v>
      </c>
      <c r="Q92" s="203">
        <f>Model!Q782</f>
        <v>88</v>
      </c>
      <c r="R92" s="203">
        <f>Model!R782</f>
        <v>35</v>
      </c>
      <c r="S92" s="203">
        <f>Model!S782</f>
        <v>31</v>
      </c>
      <c r="T92" s="203">
        <f>Model!T782</f>
        <v>31</v>
      </c>
      <c r="U92" s="108">
        <f>Model!U782</f>
        <v>185</v>
      </c>
      <c r="V92" s="203">
        <f>Model!V782</f>
        <v>96</v>
      </c>
      <c r="W92" s="203">
        <f>Model!W782</f>
        <v>34</v>
      </c>
      <c r="X92" s="203">
        <f>Model!X782</f>
        <v>36</v>
      </c>
      <c r="Y92" s="203">
        <f>Model!Y782</f>
        <v>40</v>
      </c>
      <c r="Z92" s="108">
        <f>Model!Z782</f>
        <v>206</v>
      </c>
      <c r="AA92" s="203">
        <f>Model!AA782</f>
        <v>98</v>
      </c>
      <c r="AB92" s="203">
        <f>Model!AB782</f>
        <v>43</v>
      </c>
      <c r="AC92" s="203">
        <f>Model!AC782</f>
        <v>45</v>
      </c>
      <c r="AD92" s="203">
        <f>Model!AD782</f>
        <v>43</v>
      </c>
      <c r="AE92" s="108">
        <f>Model!AE782</f>
        <v>229</v>
      </c>
      <c r="AF92" s="203">
        <f>Model!AF782</f>
        <v>109</v>
      </c>
      <c r="AG92" s="203">
        <f>Model!AG782</f>
        <v>33</v>
      </c>
      <c r="AH92" s="203">
        <f>Model!AH782</f>
        <v>35</v>
      </c>
      <c r="AI92" s="203">
        <f>Model!AI782</f>
        <v>30</v>
      </c>
      <c r="AJ92" s="108">
        <f>Model!AJ782</f>
        <v>207</v>
      </c>
      <c r="AK92" s="203">
        <f>Model!AK782</f>
        <v>82</v>
      </c>
      <c r="AL92" s="203">
        <f>Model!AL782</f>
        <v>36</v>
      </c>
      <c r="AM92" s="203">
        <f>Model!AM782</f>
        <v>33</v>
      </c>
      <c r="AN92" s="203">
        <f>Model!AN782</f>
        <v>34</v>
      </c>
      <c r="AO92" s="108">
        <f>Model!AO782</f>
        <v>185</v>
      </c>
      <c r="AP92" s="203">
        <f>Model!AP782</f>
        <v>73</v>
      </c>
      <c r="AQ92" s="203">
        <f>Model!AQ782</f>
        <v>35</v>
      </c>
      <c r="AR92" s="203">
        <f>Model!AR782</f>
        <v>30</v>
      </c>
      <c r="AS92" s="203">
        <f>Model!AS782</f>
        <v>31</v>
      </c>
      <c r="AT92" s="108">
        <f>Model!AT782</f>
        <v>169</v>
      </c>
      <c r="AU92" s="790">
        <f>Model!AU782</f>
        <v>84</v>
      </c>
      <c r="AV92" s="242">
        <v>35</v>
      </c>
      <c r="AW92" s="242">
        <v>35</v>
      </c>
      <c r="AX92" s="242">
        <v>35</v>
      </c>
      <c r="AY92" s="108">
        <f>Model!AY782</f>
        <v>189</v>
      </c>
      <c r="AZ92" s="242">
        <v>85</v>
      </c>
      <c r="BA92" s="242">
        <v>35</v>
      </c>
      <c r="BB92" s="242">
        <v>35</v>
      </c>
      <c r="BC92" s="242">
        <v>35</v>
      </c>
      <c r="BD92" s="108">
        <f>Model!BD782</f>
        <v>190</v>
      </c>
      <c r="BE92" s="72">
        <v>190</v>
      </c>
      <c r="BF92" s="72">
        <v>190</v>
      </c>
      <c r="BG92" s="72">
        <v>190</v>
      </c>
      <c r="BH92" s="349"/>
    </row>
    <row r="93" spans="1:60" x14ac:dyDescent="0.35">
      <c r="A93" s="316" t="str">
        <f>Model!A783</f>
        <v>SBC in R&amp;D</v>
      </c>
      <c r="B93" s="317"/>
      <c r="C93" s="108">
        <f>Model!C783</f>
        <v>35</v>
      </c>
      <c r="D93" s="108">
        <f>Model!D783</f>
        <v>34</v>
      </c>
      <c r="E93" s="108">
        <f>Model!E783</f>
        <v>32</v>
      </c>
      <c r="F93" s="108">
        <f>Model!F783</f>
        <v>29</v>
      </c>
      <c r="G93" s="203">
        <f>Model!G783</f>
        <v>14</v>
      </c>
      <c r="H93" s="203">
        <f>Model!H783</f>
        <v>5</v>
      </c>
      <c r="I93" s="203">
        <f>Model!I783</f>
        <v>6</v>
      </c>
      <c r="J93" s="203">
        <f>Model!J783</f>
        <v>5</v>
      </c>
      <c r="K93" s="108">
        <f>Model!K783</f>
        <v>30</v>
      </c>
      <c r="L93" s="203">
        <f>Model!L783</f>
        <v>23</v>
      </c>
      <c r="M93" s="203">
        <f>Model!M783</f>
        <v>6</v>
      </c>
      <c r="N93" s="203">
        <f>Model!N783</f>
        <v>7</v>
      </c>
      <c r="O93" s="203">
        <f>Model!O783</f>
        <v>5</v>
      </c>
      <c r="P93" s="108">
        <f>Model!P783</f>
        <v>41</v>
      </c>
      <c r="Q93" s="203">
        <f>Model!Q783</f>
        <v>27</v>
      </c>
      <c r="R93" s="203">
        <f>Model!R783</f>
        <v>6</v>
      </c>
      <c r="S93" s="203">
        <f>Model!S783</f>
        <v>7</v>
      </c>
      <c r="T93" s="203">
        <f>Model!T783</f>
        <v>5</v>
      </c>
      <c r="U93" s="108">
        <f>Model!U783</f>
        <v>45</v>
      </c>
      <c r="V93" s="203">
        <f>Model!V783</f>
        <v>25</v>
      </c>
      <c r="W93" s="203">
        <f>Model!W783</f>
        <v>7</v>
      </c>
      <c r="X93" s="203">
        <f>Model!X783</f>
        <v>7</v>
      </c>
      <c r="Y93" s="203">
        <f>Model!Y783</f>
        <v>6</v>
      </c>
      <c r="Z93" s="108">
        <f>Model!Z783</f>
        <v>45</v>
      </c>
      <c r="AA93" s="203">
        <f>Model!AA783</f>
        <v>26</v>
      </c>
      <c r="AB93" s="203">
        <f>Model!AB783</f>
        <v>7</v>
      </c>
      <c r="AC93" s="203">
        <f>Model!AC783</f>
        <v>6</v>
      </c>
      <c r="AD93" s="203">
        <f>Model!AD783</f>
        <v>7</v>
      </c>
      <c r="AE93" s="108">
        <f>Model!AE783</f>
        <v>46</v>
      </c>
      <c r="AF93" s="203">
        <f>Model!AF783</f>
        <v>27</v>
      </c>
      <c r="AG93" s="203">
        <f>Model!AG783</f>
        <v>7</v>
      </c>
      <c r="AH93" s="203">
        <f>Model!AH783</f>
        <v>7</v>
      </c>
      <c r="AI93" s="203">
        <f>Model!AI783</f>
        <v>6</v>
      </c>
      <c r="AJ93" s="108">
        <f>Model!AJ783</f>
        <v>47</v>
      </c>
      <c r="AK93" s="203">
        <f>Model!AK783</f>
        <v>26</v>
      </c>
      <c r="AL93" s="203">
        <f>Model!AL783</f>
        <v>7</v>
      </c>
      <c r="AM93" s="203">
        <f>Model!AM783</f>
        <v>7</v>
      </c>
      <c r="AN93" s="203">
        <f>Model!AN783</f>
        <v>6</v>
      </c>
      <c r="AO93" s="108">
        <f>Model!AO783</f>
        <v>46</v>
      </c>
      <c r="AP93" s="203">
        <f>Model!AP783</f>
        <v>25</v>
      </c>
      <c r="AQ93" s="203">
        <f>Model!AQ783</f>
        <v>7</v>
      </c>
      <c r="AR93" s="203">
        <f>Model!AR783</f>
        <v>5</v>
      </c>
      <c r="AS93" s="203">
        <f>Model!AS783</f>
        <v>6</v>
      </c>
      <c r="AT93" s="108">
        <f>Model!AT783</f>
        <v>43</v>
      </c>
      <c r="AU93" s="790">
        <f>Model!AU783</f>
        <v>25</v>
      </c>
      <c r="AV93" s="242">
        <v>7</v>
      </c>
      <c r="AW93" s="242">
        <v>7</v>
      </c>
      <c r="AX93" s="242">
        <v>7</v>
      </c>
      <c r="AY93" s="108">
        <f>Model!AY783</f>
        <v>46</v>
      </c>
      <c r="AZ93" s="242">
        <v>25</v>
      </c>
      <c r="BA93" s="242">
        <v>7</v>
      </c>
      <c r="BB93" s="242">
        <v>7</v>
      </c>
      <c r="BC93" s="242">
        <v>7</v>
      </c>
      <c r="BD93" s="108">
        <f>Model!BD783</f>
        <v>46</v>
      </c>
      <c r="BE93" s="72">
        <v>45</v>
      </c>
      <c r="BF93" s="72">
        <v>45</v>
      </c>
      <c r="BG93" s="72">
        <v>45</v>
      </c>
      <c r="BH93" s="349"/>
    </row>
    <row r="94" spans="1:60" x14ac:dyDescent="0.35">
      <c r="A94" s="316"/>
      <c r="B94" s="317"/>
      <c r="C94" s="108"/>
      <c r="D94" s="108"/>
      <c r="E94" s="108"/>
      <c r="F94" s="108"/>
      <c r="G94" s="203"/>
      <c r="H94" s="203"/>
      <c r="I94" s="203"/>
      <c r="J94" s="203"/>
      <c r="K94" s="108"/>
      <c r="L94" s="203"/>
      <c r="M94" s="203"/>
      <c r="N94" s="203"/>
      <c r="O94" s="203"/>
      <c r="P94" s="108"/>
      <c r="Q94" s="203"/>
      <c r="R94" s="203"/>
      <c r="S94" s="203"/>
      <c r="T94" s="203"/>
      <c r="U94" s="108"/>
      <c r="V94" s="203"/>
      <c r="W94" s="203"/>
      <c r="X94" s="203"/>
      <c r="Y94" s="203"/>
      <c r="Z94" s="108"/>
      <c r="AA94" s="203"/>
      <c r="AB94" s="203"/>
      <c r="AC94" s="203"/>
      <c r="AD94" s="203"/>
      <c r="AE94" s="108"/>
      <c r="AF94" s="203"/>
      <c r="AG94" s="203"/>
      <c r="AH94" s="203"/>
      <c r="AI94" s="203"/>
      <c r="AJ94" s="108"/>
      <c r="AK94" s="203"/>
      <c r="AL94" s="203"/>
      <c r="AM94" s="203"/>
      <c r="AN94" s="203"/>
      <c r="AO94" s="108"/>
      <c r="AP94" s="203"/>
      <c r="AQ94" s="203"/>
      <c r="AR94" s="203"/>
      <c r="AS94" s="203"/>
      <c r="AT94" s="108"/>
      <c r="AU94" s="790"/>
      <c r="AV94" s="203"/>
      <c r="AW94" s="203"/>
      <c r="AX94" s="203"/>
      <c r="AY94" s="108"/>
      <c r="AZ94" s="203"/>
      <c r="BA94" s="203"/>
      <c r="BB94" s="203"/>
      <c r="BC94" s="203"/>
      <c r="BD94" s="108"/>
      <c r="BE94" s="108"/>
      <c r="BF94" s="108"/>
      <c r="BG94" s="108"/>
      <c r="BH94" s="349"/>
    </row>
    <row r="95" spans="1:60" x14ac:dyDescent="0.35">
      <c r="A95" s="874" t="str">
        <f>Model!A786</f>
        <v>Revised Income Statement</v>
      </c>
      <c r="B95" s="874"/>
      <c r="C95" s="874"/>
      <c r="D95" s="874"/>
      <c r="E95" s="874"/>
      <c r="F95" s="874"/>
      <c r="G95" s="874"/>
      <c r="H95" s="874"/>
      <c r="I95" s="874"/>
      <c r="J95" s="874"/>
      <c r="K95" s="874"/>
      <c r="L95" s="874"/>
      <c r="M95" s="874"/>
      <c r="N95" s="874"/>
      <c r="O95" s="874"/>
      <c r="P95" s="874"/>
      <c r="Q95" s="874"/>
      <c r="R95" s="874"/>
      <c r="S95" s="874"/>
      <c r="T95" s="874"/>
      <c r="U95" s="874"/>
      <c r="V95" s="874"/>
      <c r="W95" s="874"/>
      <c r="X95" s="874"/>
      <c r="Y95" s="874"/>
      <c r="Z95" s="874"/>
      <c r="AA95" s="874"/>
      <c r="AB95" s="874"/>
      <c r="AC95" s="874"/>
      <c r="AD95" s="874"/>
      <c r="AE95" s="874"/>
      <c r="AF95" s="874"/>
      <c r="AG95" s="874"/>
      <c r="AH95" s="874"/>
      <c r="AI95" s="874"/>
      <c r="AJ95" s="874"/>
      <c r="AK95" s="874"/>
      <c r="AL95" s="874"/>
      <c r="AM95" s="874"/>
      <c r="AN95" s="874"/>
      <c r="AO95" s="874"/>
      <c r="AP95" s="874"/>
      <c r="AQ95" s="874"/>
      <c r="AR95" s="874"/>
      <c r="AS95" s="874"/>
      <c r="AT95" s="874"/>
      <c r="AU95" s="875"/>
      <c r="AV95" s="874"/>
      <c r="AW95" s="874"/>
      <c r="AX95" s="874"/>
      <c r="AY95" s="874"/>
      <c r="AZ95" s="874"/>
      <c r="BA95" s="874"/>
      <c r="BB95" s="874"/>
      <c r="BC95" s="874"/>
      <c r="BD95" s="874"/>
      <c r="BE95" s="874"/>
      <c r="BF95" s="874"/>
      <c r="BG95" s="874"/>
      <c r="BH95" s="349"/>
    </row>
    <row r="96" spans="1:60" x14ac:dyDescent="0.35">
      <c r="A96" s="316" t="str">
        <f>Model!A802</f>
        <v>Other</v>
      </c>
      <c r="B96" s="317"/>
      <c r="C96" s="108">
        <f>Model!C802</f>
        <v>0</v>
      </c>
      <c r="D96" s="108">
        <f>Model!D802</f>
        <v>0</v>
      </c>
      <c r="E96" s="108">
        <f>Model!E802</f>
        <v>0</v>
      </c>
      <c r="F96" s="108">
        <f>Model!F802</f>
        <v>0</v>
      </c>
      <c r="G96" s="203">
        <f>Model!G802</f>
        <v>0</v>
      </c>
      <c r="H96" s="203">
        <f>Model!H802</f>
        <v>0</v>
      </c>
      <c r="I96" s="203">
        <f>Model!I802</f>
        <v>0</v>
      </c>
      <c r="J96" s="203">
        <f>Model!J802</f>
        <v>0</v>
      </c>
      <c r="K96" s="108">
        <f>Model!K802</f>
        <v>0</v>
      </c>
      <c r="L96" s="203">
        <f>Model!L802</f>
        <v>0</v>
      </c>
      <c r="M96" s="203">
        <f>Model!M802</f>
        <v>0</v>
      </c>
      <c r="N96" s="203">
        <f>Model!N802</f>
        <v>0</v>
      </c>
      <c r="O96" s="203">
        <f>Model!O802</f>
        <v>0</v>
      </c>
      <c r="P96" s="108">
        <f>Model!P802</f>
        <v>0</v>
      </c>
      <c r="Q96" s="203">
        <f>Model!Q802</f>
        <v>0</v>
      </c>
      <c r="R96" s="203">
        <f>Model!R802</f>
        <v>0</v>
      </c>
      <c r="S96" s="203">
        <f>Model!S802</f>
        <v>0</v>
      </c>
      <c r="T96" s="203">
        <f>Model!T802</f>
        <v>0</v>
      </c>
      <c r="U96" s="108">
        <f>Model!U802</f>
        <v>0</v>
      </c>
      <c r="V96" s="203">
        <f>Model!V802</f>
        <v>0</v>
      </c>
      <c r="W96" s="203">
        <f>Model!W802</f>
        <v>0</v>
      </c>
      <c r="X96" s="203">
        <f>Model!X802</f>
        <v>0</v>
      </c>
      <c r="Y96" s="203">
        <f>Model!Y802</f>
        <v>0</v>
      </c>
      <c r="Z96" s="108">
        <f>Model!Z802</f>
        <v>0</v>
      </c>
      <c r="AA96" s="203">
        <f>Model!AA802</f>
        <v>-29</v>
      </c>
      <c r="AB96" s="203">
        <f>Model!AB802</f>
        <v>-461</v>
      </c>
      <c r="AC96" s="203">
        <f>Model!AC802</f>
        <v>0</v>
      </c>
      <c r="AD96" s="203">
        <f>Model!AD802</f>
        <v>-96</v>
      </c>
      <c r="AE96" s="108">
        <f>Model!AE802</f>
        <v>-586</v>
      </c>
      <c r="AF96" s="203">
        <f>Model!AF802</f>
        <v>-24</v>
      </c>
      <c r="AG96" s="203">
        <f>Model!AG802</f>
        <v>-506</v>
      </c>
      <c r="AH96" s="203">
        <f>Model!AH802</f>
        <v>0</v>
      </c>
      <c r="AI96" s="203">
        <f>Model!AI802</f>
        <v>-17</v>
      </c>
      <c r="AJ96" s="108">
        <f>Model!AJ802</f>
        <v>-547</v>
      </c>
      <c r="AK96" s="203">
        <f>Model!AK802</f>
        <v>-8</v>
      </c>
      <c r="AL96" s="203">
        <f>Model!AL802</f>
        <v>0</v>
      </c>
      <c r="AM96" s="203">
        <f>Model!AM802</f>
        <v>-106</v>
      </c>
      <c r="AN96" s="203">
        <f>Model!AN802</f>
        <v>0</v>
      </c>
      <c r="AO96" s="108">
        <f>Model!AO802</f>
        <v>-114</v>
      </c>
      <c r="AP96" s="203">
        <f>Model!AP802</f>
        <v>-2</v>
      </c>
      <c r="AQ96" s="203">
        <f>Model!AQ802</f>
        <v>-387</v>
      </c>
      <c r="AR96" s="203">
        <f>Model!AR802</f>
        <v>0</v>
      </c>
      <c r="AS96" s="203">
        <f>Model!AS802</f>
        <v>0</v>
      </c>
      <c r="AT96" s="108">
        <f>Model!AT802</f>
        <v>-389</v>
      </c>
      <c r="AU96" s="790">
        <f>Model!AU802</f>
        <v>0</v>
      </c>
      <c r="AV96" s="242">
        <v>0</v>
      </c>
      <c r="AW96" s="242">
        <v>0</v>
      </c>
      <c r="AX96" s="242">
        <v>0</v>
      </c>
      <c r="AY96" s="108">
        <f>Model!AY802</f>
        <v>0</v>
      </c>
      <c r="AZ96" s="242">
        <v>0</v>
      </c>
      <c r="BA96" s="242">
        <v>0</v>
      </c>
      <c r="BB96" s="242">
        <v>0</v>
      </c>
      <c r="BC96" s="242">
        <v>0</v>
      </c>
      <c r="BD96" s="108">
        <f>Model!BD802</f>
        <v>0</v>
      </c>
      <c r="BE96" s="72">
        <v>0</v>
      </c>
      <c r="BF96" s="72">
        <v>0</v>
      </c>
      <c r="BG96" s="72">
        <v>0</v>
      </c>
      <c r="BH96" s="349"/>
    </row>
    <row r="97" spans="1:60" x14ac:dyDescent="0.35">
      <c r="A97" s="316" t="str">
        <f>Model!A809</f>
        <v>Other items</v>
      </c>
      <c r="B97" s="317"/>
      <c r="C97" s="108">
        <f>Model!C809</f>
        <v>0</v>
      </c>
      <c r="D97" s="108">
        <f>Model!D809</f>
        <v>0</v>
      </c>
      <c r="E97" s="108">
        <f>Model!E809</f>
        <v>0</v>
      </c>
      <c r="F97" s="108">
        <f>Model!F809</f>
        <v>0</v>
      </c>
      <c r="G97" s="203">
        <f>Model!G809</f>
        <v>0</v>
      </c>
      <c r="H97" s="203">
        <f>Model!H809</f>
        <v>0</v>
      </c>
      <c r="I97" s="203">
        <f>Model!I809</f>
        <v>0</v>
      </c>
      <c r="J97" s="203">
        <f>Model!J809</f>
        <v>0</v>
      </c>
      <c r="K97" s="108">
        <f>Model!K809</f>
        <v>0</v>
      </c>
      <c r="L97" s="203">
        <f>Model!L809</f>
        <v>0</v>
      </c>
      <c r="M97" s="203">
        <f>Model!M809</f>
        <v>0</v>
      </c>
      <c r="N97" s="203">
        <f>Model!N809</f>
        <v>0</v>
      </c>
      <c r="O97" s="203">
        <f>Model!O809</f>
        <v>0</v>
      </c>
      <c r="P97" s="108">
        <f>Model!P809</f>
        <v>0</v>
      </c>
      <c r="Q97" s="203">
        <f>Model!Q809</f>
        <v>0</v>
      </c>
      <c r="R97" s="203">
        <f>Model!R809</f>
        <v>0</v>
      </c>
      <c r="S97" s="203">
        <f>Model!S809</f>
        <v>0</v>
      </c>
      <c r="T97" s="203">
        <f>Model!T809</f>
        <v>0</v>
      </c>
      <c r="U97" s="108">
        <f>Model!U809</f>
        <v>0</v>
      </c>
      <c r="V97" s="203">
        <f>Model!V809</f>
        <v>0</v>
      </c>
      <c r="W97" s="203">
        <f>Model!W809</f>
        <v>0</v>
      </c>
      <c r="X97" s="203">
        <f>Model!X809</f>
        <v>0</v>
      </c>
      <c r="Y97" s="203">
        <f>Model!Y809</f>
        <v>0</v>
      </c>
      <c r="Z97" s="108">
        <f>Model!Z809</f>
        <v>0</v>
      </c>
      <c r="AA97" s="203">
        <f>Model!AA809</f>
        <v>-32</v>
      </c>
      <c r="AB97" s="203">
        <f>Model!AB809</f>
        <v>-31</v>
      </c>
      <c r="AC97" s="203">
        <f>Model!AC809</f>
        <v>-33</v>
      </c>
      <c r="AD97" s="203">
        <f>Model!AD809</f>
        <v>-32</v>
      </c>
      <c r="AE97" s="108">
        <f>Model!AE809</f>
        <v>-128</v>
      </c>
      <c r="AF97" s="203">
        <f>Model!AF809</f>
        <v>-19</v>
      </c>
      <c r="AG97" s="203">
        <f>Model!AG809</f>
        <v>-21</v>
      </c>
      <c r="AH97" s="203">
        <f>Model!AH809</f>
        <v>-19</v>
      </c>
      <c r="AI97" s="203">
        <f>Model!AI809</f>
        <v>-14</v>
      </c>
      <c r="AJ97" s="108">
        <f>Model!AJ809</f>
        <v>-73</v>
      </c>
      <c r="AK97" s="203">
        <f>Model!AK809</f>
        <v>-36</v>
      </c>
      <c r="AL97" s="203">
        <f>Model!AL809</f>
        <v>1</v>
      </c>
      <c r="AM97" s="203">
        <f>Model!AM809</f>
        <v>-38</v>
      </c>
      <c r="AN97" s="203">
        <f>Model!AN809</f>
        <v>5</v>
      </c>
      <c r="AO97" s="108">
        <f>Model!AO809</f>
        <v>-68</v>
      </c>
      <c r="AP97" s="351">
        <f>Model!AP809</f>
        <v>-17</v>
      </c>
      <c r="AQ97" s="203">
        <f>Model!AQ809</f>
        <v>-17</v>
      </c>
      <c r="AR97" s="203">
        <f>Model!AR809</f>
        <v>-19</v>
      </c>
      <c r="AS97" s="203">
        <f>Model!AS809</f>
        <v>3</v>
      </c>
      <c r="AT97" s="108">
        <f>Model!AT809</f>
        <v>-50</v>
      </c>
      <c r="AU97" s="805">
        <f>Model!AU809</f>
        <v>-79</v>
      </c>
      <c r="AV97" s="242">
        <v>0</v>
      </c>
      <c r="AW97" s="242">
        <v>0</v>
      </c>
      <c r="AX97" s="242">
        <v>0</v>
      </c>
      <c r="AY97" s="108">
        <f>Model!AY809</f>
        <v>-79</v>
      </c>
      <c r="AZ97" s="242">
        <v>0</v>
      </c>
      <c r="BA97" s="242">
        <v>0</v>
      </c>
      <c r="BB97" s="242">
        <v>0</v>
      </c>
      <c r="BC97" s="242">
        <v>0</v>
      </c>
      <c r="BD97" s="108">
        <f>Model!BD809</f>
        <v>0</v>
      </c>
      <c r="BE97" s="72">
        <v>0</v>
      </c>
      <c r="BF97" s="72">
        <v>0</v>
      </c>
      <c r="BG97" s="72">
        <v>0</v>
      </c>
      <c r="BH97" s="349"/>
    </row>
    <row r="98" spans="1:60" x14ac:dyDescent="0.35">
      <c r="A98" s="316" t="str">
        <f>Model!A810</f>
        <v>One-time item</v>
      </c>
      <c r="B98" s="317"/>
      <c r="C98" s="108">
        <f>Model!C810</f>
        <v>0</v>
      </c>
      <c r="D98" s="108">
        <f>Model!D810</f>
        <v>0</v>
      </c>
      <c r="E98" s="108">
        <f>Model!E810</f>
        <v>0</v>
      </c>
      <c r="F98" s="108">
        <f>Model!F810</f>
        <v>0</v>
      </c>
      <c r="G98" s="203">
        <f>Model!G810</f>
        <v>0</v>
      </c>
      <c r="H98" s="203">
        <f>Model!H810</f>
        <v>0</v>
      </c>
      <c r="I98" s="203">
        <f>Model!I810</f>
        <v>0</v>
      </c>
      <c r="J98" s="203">
        <f>Model!J810</f>
        <v>0</v>
      </c>
      <c r="K98" s="108">
        <f>Model!K810</f>
        <v>0</v>
      </c>
      <c r="L98" s="203">
        <f>Model!L810</f>
        <v>0</v>
      </c>
      <c r="M98" s="203">
        <f>Model!M810</f>
        <v>0</v>
      </c>
      <c r="N98" s="203">
        <f>Model!N810</f>
        <v>0</v>
      </c>
      <c r="O98" s="203">
        <f>Model!O810</f>
        <v>0</v>
      </c>
      <c r="P98" s="108">
        <f>Model!P810</f>
        <v>0</v>
      </c>
      <c r="Q98" s="203">
        <f>Model!Q810</f>
        <v>0</v>
      </c>
      <c r="R98" s="203">
        <f>Model!R810</f>
        <v>0</v>
      </c>
      <c r="S98" s="203">
        <f>Model!S810</f>
        <v>0</v>
      </c>
      <c r="T98" s="203">
        <f>Model!T810</f>
        <v>0</v>
      </c>
      <c r="U98" s="108">
        <f>Model!U810</f>
        <v>0</v>
      </c>
      <c r="V98" s="203">
        <f>Model!V810</f>
        <v>0</v>
      </c>
      <c r="W98" s="203">
        <f>Model!W810</f>
        <v>0</v>
      </c>
      <c r="X98" s="203">
        <f>Model!X810</f>
        <v>0</v>
      </c>
      <c r="Y98" s="203">
        <f>Model!Y810</f>
        <v>0</v>
      </c>
      <c r="Z98" s="108">
        <f>Model!Z810</f>
        <v>0</v>
      </c>
      <c r="AA98" s="203">
        <f>Model!AA810</f>
        <v>0</v>
      </c>
      <c r="AB98" s="203">
        <f>Model!AB810</f>
        <v>0</v>
      </c>
      <c r="AC98" s="203">
        <f>Model!AC810</f>
        <v>0</v>
      </c>
      <c r="AD98" s="203">
        <f>Model!AD810</f>
        <v>0</v>
      </c>
      <c r="AE98" s="108">
        <f>Model!AE810</f>
        <v>0</v>
      </c>
      <c r="AF98" s="203">
        <f>Model!AF810</f>
        <v>0</v>
      </c>
      <c r="AG98" s="203">
        <f>Model!AG810</f>
        <v>0</v>
      </c>
      <c r="AH98" s="203">
        <f>Model!AH810</f>
        <v>0</v>
      </c>
      <c r="AI98" s="203">
        <f>Model!AI810</f>
        <v>0</v>
      </c>
      <c r="AJ98" s="108">
        <f>Model!AJ810</f>
        <v>0</v>
      </c>
      <c r="AK98" s="203">
        <f>Model!AK810</f>
        <v>0</v>
      </c>
      <c r="AL98" s="203">
        <f>Model!AL810</f>
        <v>162</v>
      </c>
      <c r="AM98" s="203">
        <f>Model!AM810</f>
        <v>0</v>
      </c>
      <c r="AN98" s="203">
        <f>Model!AN810</f>
        <v>0</v>
      </c>
      <c r="AO98" s="108">
        <f>Model!AO810</f>
        <v>162</v>
      </c>
      <c r="AP98" s="351">
        <f>Model!AP810</f>
        <v>0</v>
      </c>
      <c r="AQ98" s="203">
        <f>Model!AQ810</f>
        <v>0</v>
      </c>
      <c r="AR98" s="203">
        <f>Model!AR810</f>
        <v>0</v>
      </c>
      <c r="AS98" s="203">
        <f>Model!AS810</f>
        <v>0</v>
      </c>
      <c r="AT98" s="108">
        <f>Model!AT810</f>
        <v>0</v>
      </c>
      <c r="AU98" s="805">
        <f>Model!AU810</f>
        <v>0</v>
      </c>
      <c r="AV98" s="242">
        <v>0</v>
      </c>
      <c r="AW98" s="242">
        <v>0</v>
      </c>
      <c r="AX98" s="242">
        <v>0</v>
      </c>
      <c r="AY98" s="108">
        <f>Model!AY810</f>
        <v>0</v>
      </c>
      <c r="AZ98" s="242">
        <v>0</v>
      </c>
      <c r="BA98" s="242">
        <v>0</v>
      </c>
      <c r="BB98" s="242">
        <v>0</v>
      </c>
      <c r="BC98" s="242">
        <v>0</v>
      </c>
      <c r="BD98" s="108">
        <f>Model!BD810</f>
        <v>0</v>
      </c>
      <c r="BE98" s="72">
        <v>0</v>
      </c>
      <c r="BF98" s="72">
        <v>0</v>
      </c>
      <c r="BG98" s="72">
        <v>0</v>
      </c>
      <c r="BH98" s="349"/>
    </row>
    <row r="99" spans="1:60" x14ac:dyDescent="0.35">
      <c r="A99" s="316" t="str">
        <f>Model!A816</f>
        <v>Discontinued Operations / Unconsolidated subsidiaries</v>
      </c>
      <c r="B99" s="317"/>
      <c r="C99" s="108">
        <f>Model!C816</f>
        <v>0</v>
      </c>
      <c r="D99" s="108">
        <f>Model!D816</f>
        <v>0</v>
      </c>
      <c r="E99" s="108">
        <f>Model!E816</f>
        <v>0</v>
      </c>
      <c r="F99" s="108">
        <f>Model!F816</f>
        <v>0</v>
      </c>
      <c r="G99" s="203">
        <f>Model!G816</f>
        <v>0</v>
      </c>
      <c r="H99" s="203">
        <f>Model!H816</f>
        <v>0</v>
      </c>
      <c r="I99" s="203">
        <f>Model!I816</f>
        <v>0</v>
      </c>
      <c r="J99" s="203">
        <f>Model!J816</f>
        <v>0</v>
      </c>
      <c r="K99" s="108">
        <f>Model!K816</f>
        <v>0</v>
      </c>
      <c r="L99" s="203">
        <f>Model!L816</f>
        <v>0</v>
      </c>
      <c r="M99" s="203">
        <f>Model!M816</f>
        <v>0</v>
      </c>
      <c r="N99" s="203">
        <f>Model!N816</f>
        <v>0</v>
      </c>
      <c r="O99" s="203">
        <f>Model!O816</f>
        <v>0</v>
      </c>
      <c r="P99" s="108">
        <f>Model!P816</f>
        <v>0</v>
      </c>
      <c r="Q99" s="203">
        <f>Model!Q816</f>
        <v>0</v>
      </c>
      <c r="R99" s="203">
        <f>Model!R816</f>
        <v>0</v>
      </c>
      <c r="S99" s="203">
        <f>Model!S816</f>
        <v>0</v>
      </c>
      <c r="T99" s="203">
        <f>Model!T816</f>
        <v>0</v>
      </c>
      <c r="U99" s="108">
        <f>Model!U816</f>
        <v>0</v>
      </c>
      <c r="V99" s="203">
        <f>Model!V816</f>
        <v>0</v>
      </c>
      <c r="W99" s="203">
        <f>Model!W816</f>
        <v>0</v>
      </c>
      <c r="X99" s="203">
        <f>Model!X816</f>
        <v>0</v>
      </c>
      <c r="Y99" s="203">
        <f>Model!Y816</f>
        <v>0</v>
      </c>
      <c r="Z99" s="108">
        <f>Model!Z816</f>
        <v>0</v>
      </c>
      <c r="AA99" s="203">
        <f>Model!AA816</f>
        <v>0</v>
      </c>
      <c r="AB99" s="203">
        <f>Model!AB816</f>
        <v>0</v>
      </c>
      <c r="AC99" s="203">
        <f>Model!AC816</f>
        <v>0</v>
      </c>
      <c r="AD99" s="203">
        <f>Model!AD816</f>
        <v>0</v>
      </c>
      <c r="AE99" s="108">
        <f>Model!AE816</f>
        <v>0</v>
      </c>
      <c r="AF99" s="203">
        <f>Model!AF816</f>
        <v>0</v>
      </c>
      <c r="AG99" s="203">
        <f>Model!AG816</f>
        <v>0</v>
      </c>
      <c r="AH99" s="203">
        <f>Model!AH816</f>
        <v>0</v>
      </c>
      <c r="AI99" s="203">
        <f>Model!AI816</f>
        <v>0</v>
      </c>
      <c r="AJ99" s="108">
        <f>Model!AJ816</f>
        <v>0</v>
      </c>
      <c r="AK99" s="203">
        <f>Model!AK816</f>
        <v>0</v>
      </c>
      <c r="AL99" s="203">
        <f>Model!AL816</f>
        <v>0</v>
      </c>
      <c r="AM99" s="203">
        <f>Model!AM816</f>
        <v>0</v>
      </c>
      <c r="AN99" s="203">
        <f>Model!AN816</f>
        <v>0</v>
      </c>
      <c r="AO99" s="108">
        <f>Model!AO816</f>
        <v>0</v>
      </c>
      <c r="AP99" s="351">
        <f>Model!AP816</f>
        <v>0</v>
      </c>
      <c r="AQ99" s="203">
        <f>Model!AQ816</f>
        <v>0</v>
      </c>
      <c r="AR99" s="203">
        <f>Model!AR816</f>
        <v>1</v>
      </c>
      <c r="AS99" s="203">
        <f>Model!AS816</f>
        <v>4</v>
      </c>
      <c r="AT99" s="108">
        <f>Model!AT816</f>
        <v>5</v>
      </c>
      <c r="AU99" s="805">
        <f>Model!AU816</f>
        <v>-1</v>
      </c>
      <c r="AV99" s="242">
        <v>0</v>
      </c>
      <c r="AW99" s="242">
        <v>0</v>
      </c>
      <c r="AX99" s="242">
        <v>0</v>
      </c>
      <c r="AY99" s="108">
        <f>Model!AY816</f>
        <v>-1</v>
      </c>
      <c r="AZ99" s="242">
        <v>0</v>
      </c>
      <c r="BA99" s="242">
        <v>0</v>
      </c>
      <c r="BB99" s="242">
        <v>0</v>
      </c>
      <c r="BC99" s="242">
        <v>0</v>
      </c>
      <c r="BD99" s="108">
        <f>Model!BD816</f>
        <v>0</v>
      </c>
      <c r="BE99" s="72">
        <v>0</v>
      </c>
      <c r="BF99" s="72">
        <v>0</v>
      </c>
      <c r="BG99" s="72">
        <v>0</v>
      </c>
      <c r="BH99" s="349"/>
    </row>
    <row r="100" spans="1:60" x14ac:dyDescent="0.35">
      <c r="A100" s="316" t="str">
        <f>Model!A817</f>
        <v>Net Income to NCI</v>
      </c>
      <c r="B100" s="317"/>
      <c r="C100" s="108">
        <f>Model!C817</f>
        <v>51</v>
      </c>
      <c r="D100" s="108">
        <f>Model!D817</f>
        <v>78</v>
      </c>
      <c r="E100" s="108">
        <f>Model!E817</f>
        <v>74</v>
      </c>
      <c r="F100" s="108">
        <f>Model!F817</f>
        <v>67</v>
      </c>
      <c r="G100" s="203">
        <f>Model!G817</f>
        <v>18</v>
      </c>
      <c r="H100" s="203">
        <f>Model!H817</f>
        <v>16</v>
      </c>
      <c r="I100" s="203">
        <f>Model!I817</f>
        <v>15</v>
      </c>
      <c r="J100" s="203">
        <f>Model!J817</f>
        <v>13</v>
      </c>
      <c r="K100" s="108">
        <f>Model!K817</f>
        <v>62</v>
      </c>
      <c r="L100" s="203">
        <f>Model!L817</f>
        <v>18</v>
      </c>
      <c r="M100" s="203">
        <f>Model!M817</f>
        <v>16</v>
      </c>
      <c r="N100" s="203">
        <f>Model!N817</f>
        <v>8</v>
      </c>
      <c r="O100" s="203">
        <f>Model!O817</f>
        <v>0</v>
      </c>
      <c r="P100" s="108">
        <f>Model!P817</f>
        <v>42</v>
      </c>
      <c r="Q100" s="203">
        <f>Model!Q817</f>
        <v>2</v>
      </c>
      <c r="R100" s="203">
        <f>Model!R817</f>
        <v>3</v>
      </c>
      <c r="S100" s="203">
        <f>Model!S817</f>
        <v>2</v>
      </c>
      <c r="T100" s="203">
        <f>Model!T817</f>
        <v>1</v>
      </c>
      <c r="U100" s="108">
        <f>Model!U817</f>
        <v>8</v>
      </c>
      <c r="V100" s="203">
        <f>Model!V817</f>
        <v>3</v>
      </c>
      <c r="W100" s="203">
        <f>Model!W817</f>
        <v>2</v>
      </c>
      <c r="X100" s="203">
        <f>Model!X817</f>
        <v>2</v>
      </c>
      <c r="Y100" s="203">
        <f>Model!Y817</f>
        <v>1</v>
      </c>
      <c r="Z100" s="108">
        <f>Model!Z817</f>
        <v>8</v>
      </c>
      <c r="AA100" s="203">
        <f>Model!AA817</f>
        <v>3</v>
      </c>
      <c r="AB100" s="203">
        <f>Model!AB817</f>
        <v>2</v>
      </c>
      <c r="AC100" s="203">
        <f>Model!AC817</f>
        <v>4</v>
      </c>
      <c r="AD100" s="203">
        <f>Model!AD817</f>
        <v>2</v>
      </c>
      <c r="AE100" s="108">
        <f>Model!AE817</f>
        <v>11</v>
      </c>
      <c r="AF100" s="203">
        <f>Model!AF817</f>
        <v>4</v>
      </c>
      <c r="AG100" s="203">
        <f>Model!AG817</f>
        <v>5</v>
      </c>
      <c r="AH100" s="203">
        <f>Model!AH817</f>
        <v>3</v>
      </c>
      <c r="AI100" s="203">
        <f>Model!AI817</f>
        <v>2</v>
      </c>
      <c r="AJ100" s="108">
        <f>Model!AJ817</f>
        <v>14</v>
      </c>
      <c r="AK100" s="203">
        <f>Model!AK817</f>
        <v>2</v>
      </c>
      <c r="AL100" s="203">
        <f>Model!AL817</f>
        <v>4</v>
      </c>
      <c r="AM100" s="203">
        <f>Model!AM817</f>
        <v>5</v>
      </c>
      <c r="AN100" s="203">
        <f>Model!AN817</f>
        <v>1</v>
      </c>
      <c r="AO100" s="108">
        <f>Model!AO817</f>
        <v>12</v>
      </c>
      <c r="AP100" s="351">
        <f>Model!AP817</f>
        <v>2</v>
      </c>
      <c r="AQ100" s="203">
        <f>Model!AQ817</f>
        <v>-3</v>
      </c>
      <c r="AR100" s="203">
        <f>Model!AR817</f>
        <v>4</v>
      </c>
      <c r="AS100" s="203">
        <f>Model!AS817</f>
        <v>1</v>
      </c>
      <c r="AT100" s="108">
        <f>Model!AT817</f>
        <v>4</v>
      </c>
      <c r="AU100" s="805">
        <f>Model!AU817</f>
        <v>3</v>
      </c>
      <c r="AV100" s="242">
        <v>0</v>
      </c>
      <c r="AW100" s="242">
        <v>0</v>
      </c>
      <c r="AX100" s="242">
        <v>0</v>
      </c>
      <c r="AY100" s="108">
        <f>Model!AY817</f>
        <v>3</v>
      </c>
      <c r="AZ100" s="242">
        <v>0</v>
      </c>
      <c r="BA100" s="242">
        <v>0</v>
      </c>
      <c r="BB100" s="242">
        <v>0</v>
      </c>
      <c r="BC100" s="242">
        <v>0</v>
      </c>
      <c r="BD100" s="108">
        <f>Model!BD817</f>
        <v>0</v>
      </c>
      <c r="BE100" s="72">
        <v>0</v>
      </c>
      <c r="BF100" s="72">
        <v>0</v>
      </c>
      <c r="BG100" s="72">
        <v>0</v>
      </c>
      <c r="BH100" s="349"/>
    </row>
    <row r="101" spans="1:60" x14ac:dyDescent="0.35">
      <c r="A101" s="316" t="str">
        <f>Model!A818</f>
        <v>Preferred stock dividends</v>
      </c>
      <c r="B101" s="317"/>
      <c r="C101" s="108"/>
      <c r="D101" s="108"/>
      <c r="E101" s="108"/>
      <c r="F101" s="108"/>
      <c r="G101" s="203"/>
      <c r="H101" s="203"/>
      <c r="I101" s="203"/>
      <c r="J101" s="203"/>
      <c r="K101" s="108"/>
      <c r="L101" s="203"/>
      <c r="M101" s="203"/>
      <c r="N101" s="203"/>
      <c r="O101" s="203"/>
      <c r="P101" s="108"/>
      <c r="Q101" s="203"/>
      <c r="R101" s="203"/>
      <c r="S101" s="203"/>
      <c r="T101" s="203"/>
      <c r="U101" s="108"/>
      <c r="V101" s="203"/>
      <c r="W101" s="203"/>
      <c r="X101" s="203"/>
      <c r="Y101" s="203"/>
      <c r="Z101" s="108"/>
      <c r="AA101" s="203"/>
      <c r="AB101" s="203"/>
      <c r="AC101" s="203"/>
      <c r="AD101" s="203"/>
      <c r="AE101" s="108"/>
      <c r="AF101" s="203"/>
      <c r="AG101" s="203"/>
      <c r="AH101" s="203"/>
      <c r="AI101" s="203"/>
      <c r="AJ101" s="108"/>
      <c r="AK101" s="203"/>
      <c r="AL101" s="203"/>
      <c r="AM101" s="203"/>
      <c r="AN101" s="203"/>
      <c r="AO101" s="108"/>
      <c r="AP101" s="203"/>
      <c r="AQ101" s="203"/>
      <c r="AR101" s="203"/>
      <c r="AS101" s="203"/>
      <c r="AT101" s="108"/>
      <c r="AU101" s="790"/>
      <c r="AV101" s="242">
        <v>0</v>
      </c>
      <c r="AW101" s="242">
        <v>0</v>
      </c>
      <c r="AX101" s="242">
        <v>0</v>
      </c>
      <c r="AY101" s="108">
        <f>Model!AY818</f>
        <v>0</v>
      </c>
      <c r="AZ101" s="242">
        <v>0</v>
      </c>
      <c r="BA101" s="242">
        <v>0</v>
      </c>
      <c r="BB101" s="242">
        <v>0</v>
      </c>
      <c r="BC101" s="242">
        <v>0</v>
      </c>
      <c r="BD101" s="108">
        <f>Model!BD818</f>
        <v>0</v>
      </c>
      <c r="BE101" s="72">
        <v>0</v>
      </c>
      <c r="BF101" s="72">
        <v>0</v>
      </c>
      <c r="BG101" s="72">
        <v>0</v>
      </c>
      <c r="BH101" s="349"/>
    </row>
    <row r="102" spans="1:60" x14ac:dyDescent="0.35">
      <c r="A102" s="316" t="str">
        <f>Model!A820</f>
        <v>Adjustments for Convertible Securities</v>
      </c>
      <c r="B102" s="317"/>
      <c r="C102" s="108"/>
      <c r="D102" s="108"/>
      <c r="E102" s="108"/>
      <c r="F102" s="108"/>
      <c r="G102" s="203"/>
      <c r="H102" s="203"/>
      <c r="I102" s="203"/>
      <c r="J102" s="203"/>
      <c r="K102" s="108"/>
      <c r="L102" s="203"/>
      <c r="M102" s="203"/>
      <c r="N102" s="203"/>
      <c r="O102" s="203"/>
      <c r="P102" s="108"/>
      <c r="Q102" s="203"/>
      <c r="R102" s="203"/>
      <c r="S102" s="203"/>
      <c r="T102" s="203"/>
      <c r="U102" s="108"/>
      <c r="V102" s="203"/>
      <c r="W102" s="203"/>
      <c r="X102" s="203"/>
      <c r="Y102" s="203"/>
      <c r="Z102" s="108"/>
      <c r="AA102" s="203"/>
      <c r="AB102" s="203"/>
      <c r="AC102" s="203"/>
      <c r="AD102" s="203"/>
      <c r="AE102" s="108"/>
      <c r="AF102" s="203"/>
      <c r="AG102" s="203"/>
      <c r="AH102" s="203"/>
      <c r="AI102" s="203"/>
      <c r="AJ102" s="108"/>
      <c r="AK102" s="203"/>
      <c r="AL102" s="203"/>
      <c r="AM102" s="203"/>
      <c r="AN102" s="203"/>
      <c r="AO102" s="108"/>
      <c r="AP102" s="203"/>
      <c r="AQ102" s="203"/>
      <c r="AR102" s="203"/>
      <c r="AS102" s="203"/>
      <c r="AT102" s="108"/>
      <c r="AU102" s="790"/>
      <c r="AV102" s="242">
        <v>0</v>
      </c>
      <c r="AW102" s="242">
        <v>0</v>
      </c>
      <c r="AX102" s="242">
        <v>0</v>
      </c>
      <c r="AY102" s="108">
        <f>Model!AY820</f>
        <v>0</v>
      </c>
      <c r="AZ102" s="242">
        <v>0</v>
      </c>
      <c r="BA102" s="242">
        <v>0</v>
      </c>
      <c r="BB102" s="242">
        <v>0</v>
      </c>
      <c r="BC102" s="242">
        <v>0</v>
      </c>
      <c r="BD102" s="108">
        <f>Model!BD820</f>
        <v>0</v>
      </c>
      <c r="BE102" s="72">
        <v>0</v>
      </c>
      <c r="BF102" s="72">
        <v>0</v>
      </c>
      <c r="BG102" s="72">
        <v>0</v>
      </c>
      <c r="BH102" s="349"/>
    </row>
    <row r="103" spans="1:60" x14ac:dyDescent="0.35">
      <c r="A103" s="316" t="str">
        <f>Model!A822</f>
        <v>Non-GAAP Adjustments</v>
      </c>
      <c r="B103" s="317"/>
      <c r="C103" s="108">
        <f>Model!C822</f>
        <v>0</v>
      </c>
      <c r="D103" s="108">
        <f>Model!D822</f>
        <v>0</v>
      </c>
      <c r="E103" s="108">
        <f>Model!E822</f>
        <v>0</v>
      </c>
      <c r="F103" s="108">
        <f>Model!F822</f>
        <v>0</v>
      </c>
      <c r="G103" s="203">
        <f>Model!G822</f>
        <v>0</v>
      </c>
      <c r="H103" s="203">
        <f>Model!H822</f>
        <v>0</v>
      </c>
      <c r="I103" s="203">
        <f>Model!I822</f>
        <v>0</v>
      </c>
      <c r="J103" s="203">
        <f>Model!J822</f>
        <v>0</v>
      </c>
      <c r="K103" s="108">
        <f>Model!K822</f>
        <v>0</v>
      </c>
      <c r="L103" s="203">
        <f>Model!L822</f>
        <v>0</v>
      </c>
      <c r="M103" s="203">
        <f>Model!M822</f>
        <v>0</v>
      </c>
      <c r="N103" s="203">
        <f>Model!N822</f>
        <v>0</v>
      </c>
      <c r="O103" s="203">
        <f>Model!O822</f>
        <v>0</v>
      </c>
      <c r="P103" s="108">
        <f>Model!P822</f>
        <v>0</v>
      </c>
      <c r="Q103" s="203">
        <f>Model!Q822</f>
        <v>0</v>
      </c>
      <c r="R103" s="203">
        <f>Model!R822</f>
        <v>0</v>
      </c>
      <c r="S103" s="203">
        <f>Model!S822</f>
        <v>0</v>
      </c>
      <c r="T103" s="203">
        <f>Model!T822</f>
        <v>0</v>
      </c>
      <c r="U103" s="108">
        <f>Model!U822</f>
        <v>0</v>
      </c>
      <c r="V103" s="203">
        <f>Model!V822</f>
        <v>0</v>
      </c>
      <c r="W103" s="203">
        <f>Model!W822</f>
        <v>0</v>
      </c>
      <c r="X103" s="203">
        <f>Model!X822</f>
        <v>0</v>
      </c>
      <c r="Y103" s="203">
        <f>Model!Y822</f>
        <v>0</v>
      </c>
      <c r="Z103" s="108">
        <f>Model!Z822</f>
        <v>0</v>
      </c>
      <c r="AA103" s="203">
        <f>Model!AA822</f>
        <v>0</v>
      </c>
      <c r="AB103" s="203">
        <f>Model!AB822</f>
        <v>0</v>
      </c>
      <c r="AC103" s="203">
        <f>Model!AC822</f>
        <v>0</v>
      </c>
      <c r="AD103" s="203">
        <f>Model!AD822</f>
        <v>-762</v>
      </c>
      <c r="AE103" s="108">
        <f>Model!AE822</f>
        <v>-762</v>
      </c>
      <c r="AF103" s="203">
        <f>Model!AF822</f>
        <v>-927</v>
      </c>
      <c r="AG103" s="203">
        <f>Model!AG822</f>
        <v>0</v>
      </c>
      <c r="AH103" s="203">
        <f>Model!AH822</f>
        <v>0</v>
      </c>
      <c r="AI103" s="203">
        <f>Model!AI822</f>
        <v>-19</v>
      </c>
      <c r="AJ103" s="108">
        <f>Model!AJ822</f>
        <v>-946</v>
      </c>
      <c r="AK103" s="203">
        <f>Model!AK822</f>
        <v>-417</v>
      </c>
      <c r="AL103" s="203">
        <f>Model!AL822</f>
        <v>-119</v>
      </c>
      <c r="AM103" s="203">
        <f>Model!AM822</f>
        <v>79</v>
      </c>
      <c r="AN103" s="203">
        <f>Model!AN822</f>
        <v>-166</v>
      </c>
      <c r="AO103" s="108">
        <f>Model!AO822</f>
        <v>-623</v>
      </c>
      <c r="AP103" s="351">
        <f>Model!AP822</f>
        <v>38</v>
      </c>
      <c r="AQ103" s="203">
        <f>Model!AQ822</f>
        <v>258</v>
      </c>
      <c r="AR103" s="203">
        <f>Model!AR822</f>
        <v>0</v>
      </c>
      <c r="AS103" s="203">
        <f>Model!AS822</f>
        <v>0</v>
      </c>
      <c r="AT103" s="108">
        <f>Model!AT822</f>
        <v>296</v>
      </c>
      <c r="AU103" s="805">
        <f>Model!AU822</f>
        <v>0</v>
      </c>
      <c r="AV103" s="242">
        <v>0</v>
      </c>
      <c r="AW103" s="242">
        <v>0</v>
      </c>
      <c r="AX103" s="242">
        <v>0</v>
      </c>
      <c r="AY103" s="108">
        <f>Model!AY822</f>
        <v>0</v>
      </c>
      <c r="AZ103" s="242">
        <v>0</v>
      </c>
      <c r="BA103" s="242">
        <v>0</v>
      </c>
      <c r="BB103" s="242">
        <v>0</v>
      </c>
      <c r="BC103" s="242">
        <v>0</v>
      </c>
      <c r="BD103" s="108">
        <f>Model!BD822</f>
        <v>0</v>
      </c>
      <c r="BE103" s="72">
        <v>0</v>
      </c>
      <c r="BF103" s="72">
        <v>0</v>
      </c>
      <c r="BG103" s="72">
        <v>0</v>
      </c>
      <c r="BH103" s="349"/>
    </row>
    <row r="104" spans="1:60" x14ac:dyDescent="0.35">
      <c r="A104" s="316" t="str">
        <f>Model!A823</f>
        <v>Non-GAAP Adjustments for Dilutive Securities</v>
      </c>
      <c r="B104" s="317"/>
      <c r="C104" s="108"/>
      <c r="D104" s="108"/>
      <c r="E104" s="108"/>
      <c r="F104" s="108"/>
      <c r="G104" s="203"/>
      <c r="H104" s="203"/>
      <c r="I104" s="203"/>
      <c r="J104" s="203"/>
      <c r="K104" s="108"/>
      <c r="L104" s="203"/>
      <c r="M104" s="203"/>
      <c r="N104" s="203"/>
      <c r="O104" s="203"/>
      <c r="P104" s="108"/>
      <c r="Q104" s="203"/>
      <c r="R104" s="203"/>
      <c r="S104" s="203"/>
      <c r="T104" s="203"/>
      <c r="U104" s="108"/>
      <c r="V104" s="203"/>
      <c r="W104" s="203"/>
      <c r="X104" s="203"/>
      <c r="Y104" s="203"/>
      <c r="Z104" s="108"/>
      <c r="AA104" s="203"/>
      <c r="AB104" s="203"/>
      <c r="AC104" s="203"/>
      <c r="AD104" s="203"/>
      <c r="AE104" s="108"/>
      <c r="AF104" s="203"/>
      <c r="AG104" s="203"/>
      <c r="AH104" s="203"/>
      <c r="AI104" s="203"/>
      <c r="AJ104" s="108"/>
      <c r="AK104" s="203"/>
      <c r="AL104" s="203"/>
      <c r="AM104" s="203"/>
      <c r="AN104" s="203"/>
      <c r="AO104" s="108"/>
      <c r="AP104" s="203"/>
      <c r="AQ104" s="203"/>
      <c r="AR104" s="203"/>
      <c r="AS104" s="203"/>
      <c r="AT104" s="108"/>
      <c r="AU104" s="790"/>
      <c r="AV104" s="242">
        <v>0</v>
      </c>
      <c r="AW104" s="242">
        <v>0</v>
      </c>
      <c r="AX104" s="242">
        <v>0</v>
      </c>
      <c r="AY104" s="108">
        <f>Model!AY823</f>
        <v>0</v>
      </c>
      <c r="AZ104" s="242">
        <v>0</v>
      </c>
      <c r="BA104" s="242">
        <v>0</v>
      </c>
      <c r="BB104" s="242">
        <v>0</v>
      </c>
      <c r="BC104" s="242">
        <v>0</v>
      </c>
      <c r="BD104" s="108">
        <f>Model!BD823</f>
        <v>0</v>
      </c>
      <c r="BE104" s="72">
        <v>0</v>
      </c>
      <c r="BF104" s="72">
        <v>0</v>
      </c>
      <c r="BG104" s="72">
        <v>0</v>
      </c>
      <c r="BH104" s="349"/>
    </row>
    <row r="105" spans="1:60" x14ac:dyDescent="0.35">
      <c r="A105" s="234" t="str">
        <f>Model!A826</f>
        <v>Current tax rate</v>
      </c>
      <c r="B105" s="435"/>
      <c r="C105" s="116">
        <f>Model!C826</f>
        <v>0.1483160621761658</v>
      </c>
      <c r="D105" s="116">
        <f>Model!D826</f>
        <v>0.30616854908774976</v>
      </c>
      <c r="E105" s="116">
        <f>Model!E826</f>
        <v>0.2482175426960703</v>
      </c>
      <c r="F105" s="116">
        <f>Model!F826</f>
        <v>0.28452212250039366</v>
      </c>
      <c r="G105" s="299">
        <f>Model!G826</f>
        <v>0.25293753865182439</v>
      </c>
      <c r="H105" s="299">
        <f>Model!H826</f>
        <v>0.28845002992220226</v>
      </c>
      <c r="I105" s="299">
        <f>Model!I826</f>
        <v>0.32750582750582752</v>
      </c>
      <c r="J105" s="299">
        <f>Model!J826</f>
        <v>0.35622593068035946</v>
      </c>
      <c r="K105" s="116">
        <f>Model!K826</f>
        <v>0.3060042669917708</v>
      </c>
      <c r="L105" s="299">
        <f>Model!L826</f>
        <v>0.32345971563981041</v>
      </c>
      <c r="M105" s="299">
        <f>Model!M826</f>
        <v>0.26923076923076922</v>
      </c>
      <c r="N105" s="299">
        <f>Model!N826</f>
        <v>0.31595744680851062</v>
      </c>
      <c r="O105" s="299">
        <f>Model!O826</f>
        <v>0.3321123321123321</v>
      </c>
      <c r="P105" s="116">
        <f>Model!P826</f>
        <v>0.30942214631369203</v>
      </c>
      <c r="Q105" s="299">
        <f>Model!Q826</f>
        <v>0.2689371697005285</v>
      </c>
      <c r="R105" s="299">
        <f>Model!R826</f>
        <v>0.14238410596026491</v>
      </c>
      <c r="S105" s="299">
        <f>Model!S826</f>
        <v>0.24336043360433604</v>
      </c>
      <c r="T105" s="299">
        <f>Model!T826</f>
        <v>0.28844839371155162</v>
      </c>
      <c r="U105" s="116">
        <f>Model!U826</f>
        <v>0.2325956324197567</v>
      </c>
      <c r="V105" s="299">
        <f>Model!V826</f>
        <v>0.28980526918671251</v>
      </c>
      <c r="W105" s="299">
        <f>Model!W826</f>
        <v>0.3476839237057221</v>
      </c>
      <c r="X105" s="299">
        <f>Model!X826</f>
        <v>0.26691729323308272</v>
      </c>
      <c r="Y105" s="299">
        <f>Model!Y826</f>
        <v>0.21552795031055902</v>
      </c>
      <c r="Z105" s="116">
        <f>Model!Z826</f>
        <v>0.28186587267829294</v>
      </c>
      <c r="AA105" s="299">
        <f>Model!AA826</f>
        <v>0.28497409326424872</v>
      </c>
      <c r="AB105" s="299">
        <f>Model!AB826</f>
        <v>0.27684407096171804</v>
      </c>
      <c r="AC105" s="299">
        <f>Model!AC826</f>
        <v>0.27491236855282924</v>
      </c>
      <c r="AD105" s="299">
        <f>Model!AD826</f>
        <v>0.55921052631578949</v>
      </c>
      <c r="AE105" s="116">
        <f>Model!AE826</f>
        <v>0.34075251722310546</v>
      </c>
      <c r="AF105" s="299">
        <f>Model!AF826</f>
        <v>0.47875647668393784</v>
      </c>
      <c r="AG105" s="299">
        <f>Model!AG826</f>
        <v>0.16425531914893618</v>
      </c>
      <c r="AH105" s="299">
        <f>Model!AH826</f>
        <v>0.24987277353689569</v>
      </c>
      <c r="AI105" s="299">
        <f>Model!AI826</f>
        <v>0.20639534883720931</v>
      </c>
      <c r="AJ105" s="116">
        <f>Model!AJ826</f>
        <v>0.24199999999999999</v>
      </c>
      <c r="AK105" s="299">
        <f>Model!AK826</f>
        <v>0.23069852941176472</v>
      </c>
      <c r="AL105" s="299">
        <f>Model!AL826</f>
        <v>0.23029045643153526</v>
      </c>
      <c r="AM105" s="299">
        <f>Model!AM826</f>
        <v>0.19938962360122076</v>
      </c>
      <c r="AN105" s="299">
        <f>Model!AN826</f>
        <v>0.35231023102310233</v>
      </c>
      <c r="AO105" s="116">
        <f>Model!AO826</f>
        <v>0.24562324929971988</v>
      </c>
      <c r="AP105" s="299">
        <f>Model!AP826</f>
        <v>0.1557115507338864</v>
      </c>
      <c r="AQ105" s="299">
        <f>Model!AQ826</f>
        <v>0.20257826887661143</v>
      </c>
      <c r="AR105" s="299">
        <f>Model!AR826</f>
        <v>0.26869806094182824</v>
      </c>
      <c r="AS105" s="299">
        <f>Model!AS826</f>
        <v>0.24795321637426901</v>
      </c>
      <c r="AT105" s="116">
        <f>Model!AT826</f>
        <v>0.22098047980926835</v>
      </c>
      <c r="AU105" s="794">
        <f>Model!AU826</f>
        <v>0.15578406169665809</v>
      </c>
      <c r="AV105" s="244">
        <v>0.19</v>
      </c>
      <c r="AW105" s="244">
        <v>0.19</v>
      </c>
      <c r="AX105" s="244">
        <v>0.19</v>
      </c>
      <c r="AY105" s="116">
        <f>Model!AY826</f>
        <v>0.18105921244923023</v>
      </c>
      <c r="AZ105" s="244">
        <v>0.19</v>
      </c>
      <c r="BA105" s="244">
        <v>0.19</v>
      </c>
      <c r="BB105" s="244">
        <v>0.19</v>
      </c>
      <c r="BC105" s="244">
        <v>0.19</v>
      </c>
      <c r="BD105" s="116">
        <f>Model!BD826</f>
        <v>0.19</v>
      </c>
      <c r="BE105" s="50">
        <v>0.19</v>
      </c>
      <c r="BF105" s="50">
        <v>0.19</v>
      </c>
      <c r="BG105" s="50">
        <v>0.19</v>
      </c>
      <c r="BH105" s="349"/>
    </row>
    <row r="106" spans="1:60" x14ac:dyDescent="0.35">
      <c r="A106" s="234" t="str">
        <f>Model!A827</f>
        <v>Deferred tax rate</v>
      </c>
      <c r="B106" s="435"/>
      <c r="C106" s="116">
        <f>Model!C827</f>
        <v>0.15133851468048359</v>
      </c>
      <c r="D106" s="116">
        <f>Model!D827</f>
        <v>-2.9539530842745437E-2</v>
      </c>
      <c r="E106" s="116">
        <f>Model!E827</f>
        <v>2.9348366771679655E-2</v>
      </c>
      <c r="F106" s="116">
        <f>Model!F827</f>
        <v>5.1960321209258385E-3</v>
      </c>
      <c r="G106" s="299">
        <f>Model!G827</f>
        <v>3.7724180581323437E-2</v>
      </c>
      <c r="H106" s="299">
        <f>Model!H827</f>
        <v>-1.4362657091561939E-2</v>
      </c>
      <c r="I106" s="299">
        <f>Model!I827</f>
        <v>-5.3030303030303032E-2</v>
      </c>
      <c r="J106" s="299">
        <f>Model!J827</f>
        <v>-7.2528883183568676E-2</v>
      </c>
      <c r="K106" s="116">
        <f>Model!K827</f>
        <v>-2.5449558061566596E-2</v>
      </c>
      <c r="L106" s="299">
        <f>Model!L827</f>
        <v>-4.9170616113744077E-2</v>
      </c>
      <c r="M106" s="299">
        <f>Model!M827</f>
        <v>2.5824175824175823E-2</v>
      </c>
      <c r="N106" s="299">
        <f>Model!N827</f>
        <v>-1.3297872340425532E-2</v>
      </c>
      <c r="O106" s="299">
        <f>Model!O827</f>
        <v>-5.1892551892551896E-2</v>
      </c>
      <c r="P106" s="116">
        <f>Model!P827</f>
        <v>-2.0779960148021633E-2</v>
      </c>
      <c r="Q106" s="299">
        <f>Model!Q827</f>
        <v>2.5836758661186142E-2</v>
      </c>
      <c r="R106" s="299">
        <f>Model!R827</f>
        <v>0.13852097130242827</v>
      </c>
      <c r="S106" s="299">
        <f>Model!S827</f>
        <v>5.3116531165311655E-2</v>
      </c>
      <c r="T106" s="299">
        <f>Model!T827</f>
        <v>1.3670539986329461E-3</v>
      </c>
      <c r="U106" s="116">
        <f>Model!U827</f>
        <v>5.7892422687967168E-2</v>
      </c>
      <c r="V106" s="299">
        <f>Model!V827</f>
        <v>-2.1764032073310423E-2</v>
      </c>
      <c r="W106" s="299">
        <f>Model!W827</f>
        <v>-5.2316076294277931E-2</v>
      </c>
      <c r="X106" s="299">
        <f>Model!X827</f>
        <v>1.8259935553168637E-2</v>
      </c>
      <c r="Y106" s="299">
        <f>Model!Y827</f>
        <v>6.6459627329192542E-2</v>
      </c>
      <c r="Z106" s="116">
        <f>Model!Z827</f>
        <v>9.924854671770878E-4</v>
      </c>
      <c r="AA106" s="299">
        <f>Model!AA827</f>
        <v>-4.8359240069084632E-2</v>
      </c>
      <c r="AB106" s="299">
        <f>Model!AB827</f>
        <v>-1.680672268907563E-2</v>
      </c>
      <c r="AC106" s="299">
        <f>Model!AC827</f>
        <v>7.5112669003505259E-3</v>
      </c>
      <c r="AD106" s="299">
        <f>Model!AD827</f>
        <v>0.12679425837320574</v>
      </c>
      <c r="AE106" s="116">
        <f>Model!AE827</f>
        <v>1.4175940646528882E-2</v>
      </c>
      <c r="AF106" s="299">
        <f>Model!AF827</f>
        <v>-0.10673575129533679</v>
      </c>
      <c r="AG106" s="299">
        <f>Model!AG827</f>
        <v>4.3404255319148939E-2</v>
      </c>
      <c r="AH106" s="299">
        <f>Model!AH827</f>
        <v>-3.6641221374045803E-2</v>
      </c>
      <c r="AI106" s="299">
        <f>Model!AI827</f>
        <v>9.3023255813953487E-3</v>
      </c>
      <c r="AJ106" s="116">
        <f>Model!AJ827</f>
        <v>-8.1428571428571427E-3</v>
      </c>
      <c r="AK106" s="299">
        <f>Model!AK827</f>
        <v>-5.1470588235294115E-2</v>
      </c>
      <c r="AL106" s="299">
        <f>Model!AL827</f>
        <v>-1.2448132780082987E-2</v>
      </c>
      <c r="AM106" s="299">
        <f>Model!AM827</f>
        <v>-7.1210579857578843E-3</v>
      </c>
      <c r="AN106" s="299">
        <f>Model!AN827</f>
        <v>-0.15264026402640263</v>
      </c>
      <c r="AO106" s="116">
        <f>Model!AO827</f>
        <v>-4.779411764705882E-2</v>
      </c>
      <c r="AP106" s="299">
        <f>Model!AP827</f>
        <v>1.8506700701978303E-2</v>
      </c>
      <c r="AQ106" s="299">
        <f>Model!AQ827</f>
        <v>7.3664825046040518E-3</v>
      </c>
      <c r="AR106" s="299">
        <f>Model!AR827</f>
        <v>-5.4293628808864264E-2</v>
      </c>
      <c r="AS106" s="299">
        <f>Model!AS827</f>
        <v>-6.3157894736842107E-2</v>
      </c>
      <c r="AT106" s="116">
        <f>Model!AT827</f>
        <v>-2.4586499776486366E-2</v>
      </c>
      <c r="AU106" s="794">
        <f>Model!AU827</f>
        <v>8.2262210796915161E-3</v>
      </c>
      <c r="AV106" s="244">
        <v>0.02</v>
      </c>
      <c r="AW106" s="244">
        <v>0.02</v>
      </c>
      <c r="AX106" s="244">
        <v>0.02</v>
      </c>
      <c r="AY106" s="116">
        <f>Model!AY827</f>
        <v>1.6923455523476669E-2</v>
      </c>
      <c r="AZ106" s="244">
        <v>0.02</v>
      </c>
      <c r="BA106" s="244">
        <v>0.02</v>
      </c>
      <c r="BB106" s="244">
        <v>0.02</v>
      </c>
      <c r="BC106" s="244">
        <v>0.02</v>
      </c>
      <c r="BD106" s="116">
        <f>Model!BD827</f>
        <v>1.9999999999999997E-2</v>
      </c>
      <c r="BE106" s="50">
        <v>1.9999999999999997E-2</v>
      </c>
      <c r="BF106" s="50">
        <v>1.9999999999999997E-2</v>
      </c>
      <c r="BG106" s="50">
        <v>1.9999999999999997E-2</v>
      </c>
      <c r="BH106" s="349"/>
    </row>
    <row r="107" spans="1:60" x14ac:dyDescent="0.35">
      <c r="A107" s="234"/>
      <c r="B107" s="435"/>
      <c r="C107" s="116"/>
      <c r="D107" s="116"/>
      <c r="E107" s="116"/>
      <c r="F107" s="116"/>
      <c r="G107" s="299"/>
      <c r="H107" s="299"/>
      <c r="I107" s="299"/>
      <c r="J107" s="299"/>
      <c r="K107" s="116"/>
      <c r="L107" s="299"/>
      <c r="M107" s="299"/>
      <c r="N107" s="299"/>
      <c r="O107" s="299"/>
      <c r="P107" s="116"/>
      <c r="Q107" s="299"/>
      <c r="R107" s="299"/>
      <c r="S107" s="299"/>
      <c r="T107" s="299"/>
      <c r="U107" s="116"/>
      <c r="V107" s="299"/>
      <c r="W107" s="299"/>
      <c r="X107" s="299"/>
      <c r="Y107" s="299"/>
      <c r="Z107" s="116"/>
      <c r="AA107" s="299"/>
      <c r="AB107" s="299"/>
      <c r="AC107" s="299"/>
      <c r="AD107" s="299"/>
      <c r="AE107" s="116"/>
      <c r="AF107" s="299"/>
      <c r="AG107" s="299"/>
      <c r="AH107" s="299"/>
      <c r="AI107" s="299"/>
      <c r="AJ107" s="116"/>
      <c r="AK107" s="299"/>
      <c r="AL107" s="299"/>
      <c r="AM107" s="299"/>
      <c r="AN107" s="299"/>
      <c r="AO107" s="116"/>
      <c r="AP107" s="299"/>
      <c r="AQ107" s="299"/>
      <c r="AR107" s="299"/>
      <c r="AS107" s="299"/>
      <c r="AT107" s="116"/>
      <c r="AU107" s="794"/>
      <c r="AV107" s="299"/>
      <c r="AW107" s="299"/>
      <c r="AX107" s="299"/>
      <c r="AY107" s="116"/>
      <c r="AZ107" s="299"/>
      <c r="BA107" s="299"/>
      <c r="BB107" s="299"/>
      <c r="BC107" s="299"/>
      <c r="BD107" s="116"/>
      <c r="BE107" s="116"/>
      <c r="BF107" s="116"/>
      <c r="BG107" s="116"/>
      <c r="BH107" s="349"/>
    </row>
    <row r="108" spans="1:60" x14ac:dyDescent="0.35">
      <c r="A108" s="874" t="str">
        <f>Model!A838</f>
        <v>Cash Flow Summary</v>
      </c>
      <c r="B108" s="874"/>
      <c r="C108" s="874"/>
      <c r="D108" s="874"/>
      <c r="E108" s="874"/>
      <c r="F108" s="874"/>
      <c r="G108" s="874"/>
      <c r="H108" s="874"/>
      <c r="I108" s="874"/>
      <c r="J108" s="874"/>
      <c r="K108" s="874"/>
      <c r="L108" s="874"/>
      <c r="M108" s="874"/>
      <c r="N108" s="874"/>
      <c r="O108" s="874"/>
      <c r="P108" s="874"/>
      <c r="Q108" s="874"/>
      <c r="R108" s="874"/>
      <c r="S108" s="874"/>
      <c r="T108" s="874"/>
      <c r="U108" s="874"/>
      <c r="V108" s="874"/>
      <c r="W108" s="874"/>
      <c r="X108" s="874"/>
      <c r="Y108" s="874"/>
      <c r="Z108" s="874"/>
      <c r="AA108" s="874"/>
      <c r="AB108" s="874"/>
      <c r="AC108" s="874"/>
      <c r="AD108" s="874"/>
      <c r="AE108" s="874"/>
      <c r="AF108" s="874"/>
      <c r="AG108" s="874"/>
      <c r="AH108" s="874"/>
      <c r="AI108" s="874"/>
      <c r="AJ108" s="874"/>
      <c r="AK108" s="874"/>
      <c r="AL108" s="874"/>
      <c r="AM108" s="874"/>
      <c r="AN108" s="874"/>
      <c r="AO108" s="874"/>
      <c r="AP108" s="874"/>
      <c r="AQ108" s="874"/>
      <c r="AR108" s="874"/>
      <c r="AS108" s="874"/>
      <c r="AT108" s="874"/>
      <c r="AU108" s="875"/>
      <c r="AV108" s="874"/>
      <c r="AW108" s="874"/>
      <c r="AX108" s="874"/>
      <c r="AY108" s="874"/>
      <c r="AZ108" s="874"/>
      <c r="BA108" s="874"/>
      <c r="BB108" s="874"/>
      <c r="BC108" s="874"/>
      <c r="BD108" s="874"/>
      <c r="BE108" s="874"/>
      <c r="BF108" s="874"/>
      <c r="BG108" s="874"/>
      <c r="BH108" s="349"/>
    </row>
    <row r="109" spans="1:60" x14ac:dyDescent="0.35">
      <c r="A109" s="931" t="str">
        <f>Model!A842</f>
        <v>Capex</v>
      </c>
      <c r="B109" s="427"/>
      <c r="C109" s="70">
        <f>Model!C842</f>
        <v>-903</v>
      </c>
      <c r="D109" s="70">
        <f>Model!D842</f>
        <v>-1091</v>
      </c>
      <c r="E109" s="70">
        <f>Model!E842</f>
        <v>-1379</v>
      </c>
      <c r="F109" s="70">
        <f>Model!F842</f>
        <v>-1484</v>
      </c>
      <c r="G109" s="79">
        <f>Model!G842</f>
        <v>-324</v>
      </c>
      <c r="H109" s="79">
        <f>Model!H842</f>
        <v>-394</v>
      </c>
      <c r="I109" s="79">
        <f>Model!I842</f>
        <v>-404</v>
      </c>
      <c r="J109" s="79">
        <f>Model!J842</f>
        <v>-543</v>
      </c>
      <c r="K109" s="70">
        <f>Model!K842</f>
        <v>-1665</v>
      </c>
      <c r="L109" s="79">
        <f>Model!L842</f>
        <v>-293</v>
      </c>
      <c r="M109" s="79">
        <f>Model!M842</f>
        <v>-341</v>
      </c>
      <c r="N109" s="79">
        <f>Model!N842</f>
        <v>-369</v>
      </c>
      <c r="O109" s="79">
        <f>Model!O842</f>
        <v>-490</v>
      </c>
      <c r="P109" s="70">
        <f>Model!P842</f>
        <v>-1493</v>
      </c>
      <c r="Q109" s="79">
        <f>Model!Q842</f>
        <v>-291</v>
      </c>
      <c r="R109" s="79">
        <f>Model!R842</f>
        <v>-370</v>
      </c>
      <c r="S109" s="79">
        <f>Model!S842</f>
        <v>-354</v>
      </c>
      <c r="T109" s="79">
        <f>Model!T842</f>
        <v>-446</v>
      </c>
      <c r="U109" s="70">
        <f>Model!U842</f>
        <v>-1461</v>
      </c>
      <c r="V109" s="79">
        <f>Model!V842</f>
        <v>-314</v>
      </c>
      <c r="W109" s="79">
        <f>Model!W842</f>
        <v>-323</v>
      </c>
      <c r="X109" s="79">
        <f>Model!X842</f>
        <v>-347</v>
      </c>
      <c r="Y109" s="79">
        <f>Model!Y842</f>
        <v>-436</v>
      </c>
      <c r="Z109" s="70">
        <f>Model!Z842</f>
        <v>-1420</v>
      </c>
      <c r="AA109" s="79">
        <f>Model!AA842</f>
        <v>-287</v>
      </c>
      <c r="AB109" s="79">
        <f>Model!AB842</f>
        <v>-302</v>
      </c>
      <c r="AC109" s="79">
        <f>Model!AC842</f>
        <v>-325</v>
      </c>
      <c r="AD109" s="79">
        <f>Model!AD842</f>
        <v>-459</v>
      </c>
      <c r="AE109" s="70">
        <f>Model!AE842</f>
        <v>-1373</v>
      </c>
      <c r="AF109" s="79">
        <f>Model!AF842</f>
        <v>-304</v>
      </c>
      <c r="AG109" s="79">
        <f>Model!AG842</f>
        <v>-365</v>
      </c>
      <c r="AH109" s="79">
        <f>Model!AH842</f>
        <v>-377</v>
      </c>
      <c r="AI109" s="79">
        <f>Model!AI842</f>
        <v>-531</v>
      </c>
      <c r="AJ109" s="70">
        <f>Model!AJ842</f>
        <v>-1577</v>
      </c>
      <c r="AK109" s="79">
        <f>Model!AK842</f>
        <v>-391</v>
      </c>
      <c r="AL109" s="79">
        <f>Model!AL842</f>
        <v>-421</v>
      </c>
      <c r="AM109" s="79">
        <f>Model!AM842</f>
        <v>-349</v>
      </c>
      <c r="AN109" s="79">
        <f>Model!AN842</f>
        <v>-538</v>
      </c>
      <c r="AO109" s="70">
        <f>Model!AO842</f>
        <v>-1699</v>
      </c>
      <c r="AP109" s="79">
        <f>Model!AP842</f>
        <v>-332</v>
      </c>
      <c r="AQ109" s="79">
        <f>Model!AQ842</f>
        <v>-379</v>
      </c>
      <c r="AR109" s="79">
        <f>Model!AR842</f>
        <v>-368</v>
      </c>
      <c r="AS109" s="79">
        <f>Model!AS842</f>
        <v>-422</v>
      </c>
      <c r="AT109" s="70">
        <f>Model!AT842</f>
        <v>-1501</v>
      </c>
      <c r="AU109" s="803">
        <f>Model!AU842</f>
        <v>-310</v>
      </c>
      <c r="AV109" s="81">
        <v>-475</v>
      </c>
      <c r="AW109" s="81">
        <v>-475</v>
      </c>
      <c r="AX109" s="81">
        <v>-475</v>
      </c>
      <c r="AY109" s="112">
        <f>Model!AY842</f>
        <v>-1735</v>
      </c>
      <c r="AZ109" s="81">
        <v>-475</v>
      </c>
      <c r="BA109" s="81">
        <v>-475</v>
      </c>
      <c r="BB109" s="81">
        <v>-475</v>
      </c>
      <c r="BC109" s="81">
        <v>-475</v>
      </c>
      <c r="BD109" s="112">
        <f>Model!BD842</f>
        <v>-1900</v>
      </c>
      <c r="BE109" s="73">
        <v>-1900</v>
      </c>
      <c r="BF109" s="73">
        <v>-1900</v>
      </c>
      <c r="BG109" s="73">
        <v>-1900</v>
      </c>
      <c r="BH109" s="349"/>
    </row>
    <row r="110" spans="1:60" x14ac:dyDescent="0.35">
      <c r="A110" s="350" t="str">
        <f>Model!A844</f>
        <v>Acquisitions</v>
      </c>
      <c r="B110" s="317"/>
      <c r="C110" s="46">
        <f>Model!C844</f>
        <v>-69</v>
      </c>
      <c r="D110" s="46">
        <f>Model!D844</f>
        <v>-1830</v>
      </c>
      <c r="E110" s="46">
        <f>Model!E844</f>
        <v>-649</v>
      </c>
      <c r="F110" s="46">
        <f>Model!F844</f>
        <v>-1046</v>
      </c>
      <c r="G110" s="351">
        <f>Model!G844</f>
        <v>0</v>
      </c>
      <c r="H110" s="351">
        <f>Model!H844</f>
        <v>0</v>
      </c>
      <c r="I110" s="351">
        <f>Model!I844</f>
        <v>0</v>
      </c>
      <c r="J110" s="351">
        <f>Model!J844</f>
        <v>0</v>
      </c>
      <c r="K110" s="46">
        <f>Model!K844</f>
        <v>0</v>
      </c>
      <c r="L110" s="351">
        <f>Model!L844</f>
        <v>0</v>
      </c>
      <c r="M110" s="351">
        <f>Model!M844</f>
        <v>-94</v>
      </c>
      <c r="N110" s="351">
        <f>Model!N844</f>
        <v>-699</v>
      </c>
      <c r="O110" s="351">
        <f>Model!O844</f>
        <v>-162</v>
      </c>
      <c r="P110" s="46">
        <f>Model!P844</f>
        <v>-955</v>
      </c>
      <c r="Q110" s="351">
        <f>Model!Q844</f>
        <v>-150</v>
      </c>
      <c r="R110" s="351">
        <f>Model!R844</f>
        <v>-3</v>
      </c>
      <c r="S110" s="351">
        <f>Model!S844</f>
        <v>-2757</v>
      </c>
      <c r="T110" s="351">
        <f>Model!T844</f>
        <v>-4</v>
      </c>
      <c r="U110" s="46">
        <f>Model!U844</f>
        <v>-2914</v>
      </c>
      <c r="V110" s="351">
        <f>Model!V844</f>
        <v>-4</v>
      </c>
      <c r="W110" s="351">
        <f>Model!W844</f>
        <v>0</v>
      </c>
      <c r="X110" s="351">
        <f>Model!X844</f>
        <v>-13</v>
      </c>
      <c r="Y110" s="351">
        <f>Model!Y844</f>
        <v>1</v>
      </c>
      <c r="Z110" s="46">
        <f>Model!Z844</f>
        <v>-16</v>
      </c>
      <c r="AA110" s="351">
        <f>Model!AA844</f>
        <v>0</v>
      </c>
      <c r="AB110" s="351">
        <f>Model!AB844</f>
        <v>0</v>
      </c>
      <c r="AC110" s="351">
        <f>Model!AC844</f>
        <v>-12</v>
      </c>
      <c r="AD110" s="351">
        <f>Model!AD844</f>
        <v>-2011</v>
      </c>
      <c r="AE110" s="46">
        <f>Model!AE844</f>
        <v>-2023</v>
      </c>
      <c r="AF110" s="351">
        <f>Model!AF844</f>
        <v>0</v>
      </c>
      <c r="AG110" s="351">
        <f>Model!AG844</f>
        <v>13</v>
      </c>
      <c r="AH110" s="351">
        <f>Model!AH844</f>
        <v>0</v>
      </c>
      <c r="AI110" s="351">
        <f>Model!AI844</f>
        <v>0</v>
      </c>
      <c r="AJ110" s="46">
        <f>Model!AJ844</f>
        <v>13</v>
      </c>
      <c r="AK110" s="351">
        <f>Model!AK844</f>
        <v>-704</v>
      </c>
      <c r="AL110" s="351">
        <f>Model!AL844</f>
        <v>0</v>
      </c>
      <c r="AM110" s="351">
        <f>Model!AM844</f>
        <v>0</v>
      </c>
      <c r="AN110" s="351">
        <f>Model!AN844</f>
        <v>-4280</v>
      </c>
      <c r="AO110" s="46">
        <f>Model!AO844</f>
        <v>-4984</v>
      </c>
      <c r="AP110" s="351">
        <f>Model!AP844</f>
        <v>-25</v>
      </c>
      <c r="AQ110" s="351">
        <f>Model!AQ844</f>
        <v>0</v>
      </c>
      <c r="AR110" s="351">
        <f>Model!AR844</f>
        <v>0</v>
      </c>
      <c r="AS110" s="351">
        <f>Model!AS844</f>
        <v>0</v>
      </c>
      <c r="AT110" s="46">
        <f>Model!AT844</f>
        <v>-25</v>
      </c>
      <c r="AU110" s="805">
        <f>Model!AU844</f>
        <v>0</v>
      </c>
      <c r="AV110" s="242">
        <v>0</v>
      </c>
      <c r="AW110" s="242">
        <v>0</v>
      </c>
      <c r="AX110" s="242">
        <v>0</v>
      </c>
      <c r="AY110" s="108">
        <f>Model!AY844</f>
        <v>0</v>
      </c>
      <c r="AZ110" s="242">
        <v>0</v>
      </c>
      <c r="BA110" s="242">
        <v>0</v>
      </c>
      <c r="BB110" s="242">
        <v>0</v>
      </c>
      <c r="BC110" s="242">
        <v>0</v>
      </c>
      <c r="BD110" s="108">
        <f>Model!BD844</f>
        <v>0</v>
      </c>
      <c r="BE110" s="72">
        <v>0</v>
      </c>
      <c r="BF110" s="72">
        <v>0</v>
      </c>
      <c r="BG110" s="72">
        <v>0</v>
      </c>
      <c r="BH110" s="349"/>
    </row>
    <row r="111" spans="1:60" x14ac:dyDescent="0.35">
      <c r="A111" s="350" t="str">
        <f>Model!A845</f>
        <v>Divestiture</v>
      </c>
      <c r="B111" s="317"/>
      <c r="C111" s="46">
        <f>Model!C845</f>
        <v>79</v>
      </c>
      <c r="D111" s="46">
        <f>Model!D845</f>
        <v>25</v>
      </c>
      <c r="E111" s="46">
        <f>Model!E845</f>
        <v>55</v>
      </c>
      <c r="F111" s="46">
        <f>Model!F845</f>
        <v>41</v>
      </c>
      <c r="G111" s="351">
        <f>Model!G845</f>
        <v>10</v>
      </c>
      <c r="H111" s="351">
        <f>Model!H845</f>
        <v>16</v>
      </c>
      <c r="I111" s="351">
        <f>Model!I845</f>
        <v>68</v>
      </c>
      <c r="J111" s="351">
        <f>Model!J845</f>
        <v>42</v>
      </c>
      <c r="K111" s="46">
        <f>Model!K845</f>
        <v>136</v>
      </c>
      <c r="L111" s="351">
        <f>Model!L845</f>
        <v>3</v>
      </c>
      <c r="M111" s="351">
        <f>Model!M845</f>
        <v>35</v>
      </c>
      <c r="N111" s="351">
        <f>Model!N845</f>
        <v>78</v>
      </c>
      <c r="O111" s="351">
        <f>Model!O845</f>
        <v>19</v>
      </c>
      <c r="P111" s="46">
        <f>Model!P845</f>
        <v>135</v>
      </c>
      <c r="Q111" s="351">
        <f>Model!Q845</f>
        <v>23</v>
      </c>
      <c r="R111" s="351">
        <f>Model!R845</f>
        <v>10</v>
      </c>
      <c r="S111" s="351">
        <f>Model!S845</f>
        <v>3</v>
      </c>
      <c r="T111" s="351">
        <f>Model!T845</f>
        <v>120</v>
      </c>
      <c r="U111" s="46">
        <f>Model!U845</f>
        <v>156</v>
      </c>
      <c r="V111" s="351">
        <f>Model!V845</f>
        <v>74</v>
      </c>
      <c r="W111" s="351">
        <f>Model!W845</f>
        <v>0</v>
      </c>
      <c r="X111" s="351">
        <f>Model!X845</f>
        <v>0</v>
      </c>
      <c r="Y111" s="351">
        <f>Model!Y845</f>
        <v>126</v>
      </c>
      <c r="Z111" s="46">
        <f>Model!Z845</f>
        <v>200</v>
      </c>
      <c r="AA111" s="351">
        <f>Model!AA845</f>
        <v>54</v>
      </c>
      <c r="AB111" s="351">
        <f>Model!AB845</f>
        <v>821</v>
      </c>
      <c r="AC111" s="351">
        <f>Model!AC845</f>
        <v>5</v>
      </c>
      <c r="AD111" s="351">
        <f>Model!AD845</f>
        <v>234</v>
      </c>
      <c r="AE111" s="46">
        <f>Model!AE845</f>
        <v>1114</v>
      </c>
      <c r="AF111" s="351">
        <f>Model!AF845</f>
        <v>123</v>
      </c>
      <c r="AG111" s="351">
        <f>Model!AG845</f>
        <v>779</v>
      </c>
      <c r="AH111" s="351">
        <f>Model!AH845</f>
        <v>47</v>
      </c>
      <c r="AI111" s="351">
        <f>Model!AI845</f>
        <v>159</v>
      </c>
      <c r="AJ111" s="46">
        <f>Model!AJ845</f>
        <v>1108</v>
      </c>
      <c r="AK111" s="351">
        <f>Model!AK845</f>
        <v>7</v>
      </c>
      <c r="AL111" s="351">
        <f>Model!AL845</f>
        <v>2</v>
      </c>
      <c r="AM111" s="351">
        <f>Model!AM845</f>
        <v>318</v>
      </c>
      <c r="AN111" s="351">
        <f>Model!AN845</f>
        <v>32</v>
      </c>
      <c r="AO111" s="46">
        <f>Model!AO845</f>
        <v>359</v>
      </c>
      <c r="AP111" s="351">
        <f>Model!AP845</f>
        <v>93</v>
      </c>
      <c r="AQ111" s="351">
        <f>Model!AQ845</f>
        <v>496</v>
      </c>
      <c r="AR111" s="351">
        <f>Model!AR845</f>
        <v>16</v>
      </c>
      <c r="AS111" s="351">
        <f>Model!AS845</f>
        <v>99</v>
      </c>
      <c r="AT111" s="46">
        <f>Model!AT845</f>
        <v>704</v>
      </c>
      <c r="AU111" s="805">
        <f>Model!AU845</f>
        <v>0</v>
      </c>
      <c r="AV111" s="242">
        <v>0</v>
      </c>
      <c r="AW111" s="242">
        <v>0</v>
      </c>
      <c r="AX111" s="242">
        <v>0</v>
      </c>
      <c r="AY111" s="108">
        <f>Model!AY845</f>
        <v>0</v>
      </c>
      <c r="AZ111" s="242">
        <v>0</v>
      </c>
      <c r="BA111" s="242">
        <v>0</v>
      </c>
      <c r="BB111" s="242">
        <v>0</v>
      </c>
      <c r="BC111" s="242">
        <v>0</v>
      </c>
      <c r="BD111" s="108">
        <f>Model!BD845</f>
        <v>0</v>
      </c>
      <c r="BE111" s="72">
        <v>0</v>
      </c>
      <c r="BF111" s="72">
        <v>0</v>
      </c>
      <c r="BG111" s="72">
        <v>0</v>
      </c>
      <c r="BH111" s="349"/>
    </row>
    <row r="112" spans="1:60" x14ac:dyDescent="0.35">
      <c r="A112" s="960" t="str">
        <f>Model!A847</f>
        <v>Dividend Per Share</v>
      </c>
      <c r="B112" s="702"/>
      <c r="C112" s="45">
        <f>Model!C847</f>
        <v>2.04</v>
      </c>
      <c r="D112" s="45">
        <f>Model!D847</f>
        <v>2.1</v>
      </c>
      <c r="E112" s="45">
        <f>Model!E847</f>
        <v>2.2000000000000002</v>
      </c>
      <c r="F112" s="45">
        <f>Model!F847</f>
        <v>2.36</v>
      </c>
      <c r="G112" s="132">
        <f>Model!G847</f>
        <v>0.63500000000000001</v>
      </c>
      <c r="H112" s="132">
        <f>Model!H847</f>
        <v>0.63500000000000001</v>
      </c>
      <c r="I112" s="132">
        <f>Model!I847</f>
        <v>0.63500000000000001</v>
      </c>
      <c r="J112" s="132">
        <f>Model!J847</f>
        <v>0.63500000000000001</v>
      </c>
      <c r="K112" s="45">
        <f>Model!K847</f>
        <v>2.54</v>
      </c>
      <c r="L112" s="132">
        <f>Model!L847</f>
        <v>0.85499999999999998</v>
      </c>
      <c r="M112" s="132">
        <f>Model!M847</f>
        <v>0.85499999999999998</v>
      </c>
      <c r="N112" s="132">
        <f>Model!N847</f>
        <v>0.85499999999999998</v>
      </c>
      <c r="O112" s="132">
        <f>Model!O847</f>
        <v>0.85499999999999998</v>
      </c>
      <c r="P112" s="45">
        <f>Model!P847</f>
        <v>3.42</v>
      </c>
      <c r="Q112" s="132">
        <f>Model!Q847</f>
        <v>1.0249999999999999</v>
      </c>
      <c r="R112" s="132">
        <f>Model!R847</f>
        <v>1.0249999999999999</v>
      </c>
      <c r="S112" s="132">
        <f>Model!S847</f>
        <v>1.0249999999999999</v>
      </c>
      <c r="T112" s="132">
        <f>Model!T847</f>
        <v>1.0249999999999999</v>
      </c>
      <c r="U112" s="45">
        <f>Model!U847</f>
        <v>4.0999999999999996</v>
      </c>
      <c r="V112" s="132">
        <f>Model!V847</f>
        <v>1.1100000000000001</v>
      </c>
      <c r="W112" s="132">
        <f>Model!W847</f>
        <v>1.1100000000000001</v>
      </c>
      <c r="X112" s="132">
        <f>Model!X847</f>
        <v>1.1100000000000001</v>
      </c>
      <c r="Y112" s="132">
        <f>Model!Y847</f>
        <v>1.1100000000000001</v>
      </c>
      <c r="Z112" s="45">
        <f>Model!Z847</f>
        <v>4.4400000000000004</v>
      </c>
      <c r="AA112" s="132">
        <f>Model!AA847</f>
        <v>1.175</v>
      </c>
      <c r="AB112" s="132">
        <f>Model!AB847</f>
        <v>1.175</v>
      </c>
      <c r="AC112" s="132">
        <f>Model!AC847</f>
        <v>1.175</v>
      </c>
      <c r="AD112" s="132">
        <f>Model!AD847</f>
        <v>1.175</v>
      </c>
      <c r="AE112" s="45">
        <f>Model!AE847</f>
        <v>4.7</v>
      </c>
      <c r="AF112" s="132">
        <f>Model!AF847</f>
        <v>1.36</v>
      </c>
      <c r="AG112" s="132">
        <f>Model!AG847</f>
        <v>1.36</v>
      </c>
      <c r="AH112" s="132">
        <f>Model!AH847</f>
        <v>1.36</v>
      </c>
      <c r="AI112" s="132">
        <f>Model!AI847</f>
        <v>1.36</v>
      </c>
      <c r="AJ112" s="45">
        <f>Model!AJ847</f>
        <v>5.44</v>
      </c>
      <c r="AK112" s="132">
        <f>Model!AK847</f>
        <v>1.44</v>
      </c>
      <c r="AL112" s="132">
        <f>Model!AL847</f>
        <v>1.44</v>
      </c>
      <c r="AM112" s="132">
        <f>Model!AM847</f>
        <v>1.44</v>
      </c>
      <c r="AN112" s="132">
        <f>Model!AN847</f>
        <v>1.44</v>
      </c>
      <c r="AO112" s="45">
        <f>Model!AO847</f>
        <v>5.76</v>
      </c>
      <c r="AP112" s="132">
        <f>Model!AP847</f>
        <v>1.47</v>
      </c>
      <c r="AQ112" s="132">
        <f>Model!AQ847</f>
        <v>1.47</v>
      </c>
      <c r="AR112" s="132">
        <f>Model!AR847</f>
        <v>1.47</v>
      </c>
      <c r="AS112" s="132">
        <f>Model!AS847</f>
        <v>1.47</v>
      </c>
      <c r="AT112" s="45">
        <f>Model!AT847</f>
        <v>5.88</v>
      </c>
      <c r="AU112" s="873">
        <f>Model!AU847</f>
        <v>1.48</v>
      </c>
      <c r="AV112" s="247">
        <v>1.48</v>
      </c>
      <c r="AW112" s="247">
        <v>1.48</v>
      </c>
      <c r="AX112" s="247">
        <v>1.48</v>
      </c>
      <c r="AY112" s="120">
        <f>Model!AY847</f>
        <v>5.92</v>
      </c>
      <c r="AZ112" s="247">
        <v>1.48</v>
      </c>
      <c r="BA112" s="247">
        <v>1.48</v>
      </c>
      <c r="BB112" s="247">
        <v>1.48</v>
      </c>
      <c r="BC112" s="247">
        <v>1.48</v>
      </c>
      <c r="BD112" s="120">
        <f>Model!BD847</f>
        <v>5.92</v>
      </c>
      <c r="BE112" s="49">
        <v>5.92</v>
      </c>
      <c r="BF112" s="49">
        <v>5.92</v>
      </c>
      <c r="BG112" s="49">
        <v>5.92</v>
      </c>
      <c r="BH112" s="349"/>
    </row>
    <row r="113" spans="1:60" x14ac:dyDescent="0.35">
      <c r="A113" s="960" t="str">
        <f>Model!A849</f>
        <v>Net Debt Issuance (Repayment)</v>
      </c>
      <c r="B113" s="702"/>
      <c r="C113" s="46">
        <f>Model!C849</f>
        <v>-1014</v>
      </c>
      <c r="D113" s="46">
        <f>Model!D849</f>
        <v>-472</v>
      </c>
      <c r="E113" s="46">
        <f>Model!E849</f>
        <v>-307</v>
      </c>
      <c r="F113" s="46">
        <f>Model!F849</f>
        <v>722</v>
      </c>
      <c r="G113" s="351">
        <f>Model!G849</f>
        <v>-9</v>
      </c>
      <c r="H113" s="351">
        <f>Model!H849</f>
        <v>-4</v>
      </c>
      <c r="I113" s="351">
        <f>Model!I849</f>
        <v>-221</v>
      </c>
      <c r="J113" s="351">
        <f>Model!J849</f>
        <v>197</v>
      </c>
      <c r="K113" s="46">
        <f>Model!K849</f>
        <v>-37</v>
      </c>
      <c r="L113" s="351">
        <f>Model!L849</f>
        <v>574</v>
      </c>
      <c r="M113" s="351">
        <f>Model!M849</f>
        <v>447</v>
      </c>
      <c r="N113" s="351">
        <f>Model!N849</f>
        <v>427</v>
      </c>
      <c r="O113" s="351">
        <f>Model!O849</f>
        <v>-438</v>
      </c>
      <c r="P113" s="46">
        <f>Model!P849</f>
        <v>1010</v>
      </c>
      <c r="Q113" s="351">
        <f>Model!Q849</f>
        <v>-4</v>
      </c>
      <c r="R113" s="351">
        <f>Model!R849</f>
        <v>1880</v>
      </c>
      <c r="S113" s="351">
        <f>Model!S849</f>
        <v>1911</v>
      </c>
      <c r="T113" s="351">
        <f>Model!T849</f>
        <v>-305</v>
      </c>
      <c r="U113" s="46">
        <f>Model!U849</f>
        <v>3482</v>
      </c>
      <c r="V113" s="351">
        <f>Model!V849</f>
        <v>138</v>
      </c>
      <c r="W113" s="351">
        <f>Model!W849</f>
        <v>637</v>
      </c>
      <c r="X113" s="351">
        <f>Model!X849</f>
        <v>567</v>
      </c>
      <c r="Y113" s="351">
        <f>Model!Y849</f>
        <v>-299</v>
      </c>
      <c r="Z113" s="46">
        <f>Model!Z849</f>
        <v>1043</v>
      </c>
      <c r="AA113" s="351">
        <f>Model!AA849</f>
        <v>-68</v>
      </c>
      <c r="AB113" s="351">
        <f>Model!AB849</f>
        <v>-695</v>
      </c>
      <c r="AC113" s="351">
        <f>Model!AC849</f>
        <v>173</v>
      </c>
      <c r="AD113" s="351">
        <f>Model!AD849</f>
        <v>2193</v>
      </c>
      <c r="AE113" s="46">
        <f>Model!AE849</f>
        <v>1603</v>
      </c>
      <c r="AF113" s="351">
        <f>Model!AF849</f>
        <v>1581</v>
      </c>
      <c r="AG113" s="351">
        <f>Model!AG849</f>
        <v>-807</v>
      </c>
      <c r="AH113" s="351">
        <f>Model!AH849</f>
        <v>319</v>
      </c>
      <c r="AI113" s="351">
        <f>Model!AI849</f>
        <v>-160</v>
      </c>
      <c r="AJ113" s="46">
        <f>Model!AJ849</f>
        <v>933</v>
      </c>
      <c r="AK113" s="351">
        <f>Model!AK849</f>
        <v>1591</v>
      </c>
      <c r="AL113" s="351">
        <f>Model!AL849</f>
        <v>-638</v>
      </c>
      <c r="AM113" s="351">
        <f>Model!AM849</f>
        <v>3826</v>
      </c>
      <c r="AN113" s="351">
        <f>Model!AN849</f>
        <v>-1530</v>
      </c>
      <c r="AO113" s="46">
        <f>Model!AO849</f>
        <v>3249</v>
      </c>
      <c r="AP113" s="351">
        <f>Model!AP849</f>
        <v>2207</v>
      </c>
      <c r="AQ113" s="351">
        <f>Model!AQ849</f>
        <v>-1740</v>
      </c>
      <c r="AR113" s="351">
        <f>Model!AR849</f>
        <v>-1337</v>
      </c>
      <c r="AS113" s="351">
        <f>Model!AS849</f>
        <v>-1005</v>
      </c>
      <c r="AT113" s="46">
        <f>Model!AT849</f>
        <v>-1875</v>
      </c>
      <c r="AU113" s="805">
        <f>Model!AU849</f>
        <v>-444</v>
      </c>
      <c r="AV113" s="242">
        <v>0</v>
      </c>
      <c r="AW113" s="242">
        <v>0</v>
      </c>
      <c r="AX113" s="242">
        <v>0</v>
      </c>
      <c r="AY113" s="108">
        <f>Model!AY849</f>
        <v>-444</v>
      </c>
      <c r="AZ113" s="242">
        <v>0</v>
      </c>
      <c r="BA113" s="242">
        <v>0</v>
      </c>
      <c r="BB113" s="242">
        <v>0</v>
      </c>
      <c r="BC113" s="242">
        <v>0</v>
      </c>
      <c r="BD113" s="108">
        <f>Model!BD849</f>
        <v>0</v>
      </c>
      <c r="BE113" s="72">
        <v>0</v>
      </c>
      <c r="BF113" s="72">
        <v>0</v>
      </c>
      <c r="BG113" s="72">
        <v>0</v>
      </c>
      <c r="BH113" s="349"/>
    </row>
    <row r="114" spans="1:60" x14ac:dyDescent="0.35">
      <c r="A114" s="960" t="str">
        <f>Model!A850</f>
        <v>Net Share Issuance (Buybacks)</v>
      </c>
      <c r="B114" s="702"/>
      <c r="C114" s="46">
        <f>Model!C850</f>
        <v>428</v>
      </c>
      <c r="D114" s="46">
        <f>Model!D850</f>
        <v>-135</v>
      </c>
      <c r="E114" s="46">
        <f>Model!E850</f>
        <v>-1746</v>
      </c>
      <c r="F114" s="46">
        <f>Model!F850</f>
        <v>-1130</v>
      </c>
      <c r="G114" s="351">
        <f>Model!G850</f>
        <v>-33</v>
      </c>
      <c r="H114" s="351">
        <f>Model!H850</f>
        <v>-808</v>
      </c>
      <c r="I114" s="351">
        <f>Model!I850</f>
        <v>-1257</v>
      </c>
      <c r="J114" s="351">
        <f>Model!J850</f>
        <v>-1413</v>
      </c>
      <c r="K114" s="46">
        <f>Model!K850</f>
        <v>-3511</v>
      </c>
      <c r="L114" s="351">
        <f>Model!L850</f>
        <v>-1390</v>
      </c>
      <c r="M114" s="351">
        <f>Model!M850</f>
        <v>-1062</v>
      </c>
      <c r="N114" s="351">
        <f>Model!N850</f>
        <v>-1061</v>
      </c>
      <c r="O114" s="351">
        <f>Model!O850</f>
        <v>-1004</v>
      </c>
      <c r="P114" s="46">
        <f>Model!P850</f>
        <v>-4517</v>
      </c>
      <c r="Q114" s="351">
        <f>Model!Q850</f>
        <v>-476</v>
      </c>
      <c r="R114" s="351">
        <f>Model!R850</f>
        <v>-1526</v>
      </c>
      <c r="S114" s="351">
        <f>Model!S850</f>
        <v>-1447</v>
      </c>
      <c r="T114" s="351">
        <f>Model!T850</f>
        <v>-1000</v>
      </c>
      <c r="U114" s="46">
        <f>Model!U850</f>
        <v>-4449</v>
      </c>
      <c r="V114" s="351">
        <f>Model!V850</f>
        <v>-870</v>
      </c>
      <c r="W114" s="351">
        <f>Model!W850</f>
        <v>-573</v>
      </c>
      <c r="X114" s="351">
        <f>Model!X850</f>
        <v>-645</v>
      </c>
      <c r="Y114" s="351">
        <f>Model!Y850</f>
        <v>-861</v>
      </c>
      <c r="Z114" s="46">
        <f>Model!Z850</f>
        <v>-2949</v>
      </c>
      <c r="AA114" s="351">
        <f>Model!AA850</f>
        <v>-375</v>
      </c>
      <c r="AB114" s="351">
        <f>Model!AB850</f>
        <v>-313</v>
      </c>
      <c r="AC114" s="351">
        <f>Model!AC850</f>
        <v>-294</v>
      </c>
      <c r="AD114" s="351">
        <f>Model!AD850</f>
        <v>-352</v>
      </c>
      <c r="AE114" s="46">
        <f>Model!AE850</f>
        <v>-1334</v>
      </c>
      <c r="AF114" s="351">
        <f>Model!AF850</f>
        <v>-718</v>
      </c>
      <c r="AG114" s="351">
        <f>Model!AG850</f>
        <v>-1514</v>
      </c>
      <c r="AH114" s="351">
        <f>Model!AH850</f>
        <v>-968</v>
      </c>
      <c r="AI114" s="351">
        <f>Model!AI850</f>
        <v>-1185</v>
      </c>
      <c r="AJ114" s="46">
        <f>Model!AJ850</f>
        <v>-4385</v>
      </c>
      <c r="AK114" s="351">
        <f>Model!AK850</f>
        <v>-486</v>
      </c>
      <c r="AL114" s="351">
        <f>Model!AL850</f>
        <v>-250</v>
      </c>
      <c r="AM114" s="351">
        <f>Model!AM850</f>
        <v>-70</v>
      </c>
      <c r="AN114" s="351">
        <f>Model!AN850</f>
        <v>-54</v>
      </c>
      <c r="AO114" s="46">
        <f>Model!AO850</f>
        <v>-860</v>
      </c>
      <c r="AP114" s="351">
        <f>Model!AP850</f>
        <v>-216</v>
      </c>
      <c r="AQ114" s="351">
        <f>Model!AQ850</f>
        <v>86</v>
      </c>
      <c r="AR114" s="351">
        <f>Model!AR850</f>
        <v>89</v>
      </c>
      <c r="AS114" s="351">
        <f>Model!AS850</f>
        <v>102</v>
      </c>
      <c r="AT114" s="46">
        <f>Model!AT850</f>
        <v>61</v>
      </c>
      <c r="AU114" s="805">
        <f>Model!AU850</f>
        <v>62</v>
      </c>
      <c r="AV114" s="242">
        <v>-500</v>
      </c>
      <c r="AW114" s="242">
        <v>-500</v>
      </c>
      <c r="AX114" s="242">
        <v>-500</v>
      </c>
      <c r="AY114" s="108">
        <f>Model!AY850</f>
        <v>-1438</v>
      </c>
      <c r="AZ114" s="242">
        <v>-500</v>
      </c>
      <c r="BA114" s="242">
        <v>-500</v>
      </c>
      <c r="BB114" s="242">
        <v>-500</v>
      </c>
      <c r="BC114" s="242">
        <v>-500</v>
      </c>
      <c r="BD114" s="108">
        <f>Model!BD850</f>
        <v>-2000</v>
      </c>
      <c r="BE114" s="72">
        <v>-2000</v>
      </c>
      <c r="BF114" s="72">
        <v>-2000</v>
      </c>
      <c r="BG114" s="72">
        <v>-2000</v>
      </c>
      <c r="BH114" s="349"/>
    </row>
    <row r="115" spans="1:60" x14ac:dyDescent="0.35">
      <c r="A115" s="962" t="str">
        <f>Model!A851</f>
        <v>Estimated Share Price for Issuance/Buybacks, USD</v>
      </c>
      <c r="B115" s="704"/>
      <c r="C115" s="416"/>
      <c r="D115" s="416"/>
      <c r="E115" s="416"/>
      <c r="F115" s="416"/>
      <c r="G115" s="668"/>
      <c r="H115" s="668"/>
      <c r="I115" s="668"/>
      <c r="J115" s="668"/>
      <c r="K115" s="416"/>
      <c r="L115" s="668"/>
      <c r="M115" s="668"/>
      <c r="N115" s="668"/>
      <c r="O115" s="668"/>
      <c r="P115" s="416"/>
      <c r="Q115" s="668"/>
      <c r="R115" s="668"/>
      <c r="S115" s="668"/>
      <c r="T115" s="668"/>
      <c r="U115" s="416"/>
      <c r="V115" s="668"/>
      <c r="W115" s="668"/>
      <c r="X115" s="668"/>
      <c r="Y115" s="668"/>
      <c r="Z115" s="416"/>
      <c r="AA115" s="668"/>
      <c r="AB115" s="668"/>
      <c r="AC115" s="668"/>
      <c r="AD115" s="668"/>
      <c r="AE115" s="416"/>
      <c r="AF115" s="668"/>
      <c r="AG115" s="668"/>
      <c r="AH115" s="668"/>
      <c r="AI115" s="668"/>
      <c r="AJ115" s="416"/>
      <c r="AK115" s="668"/>
      <c r="AL115" s="668"/>
      <c r="AM115" s="668"/>
      <c r="AN115" s="668"/>
      <c r="AO115" s="416"/>
      <c r="AP115" s="668"/>
      <c r="AQ115" s="668"/>
      <c r="AR115" s="668"/>
      <c r="AS115" s="668"/>
      <c r="AT115" s="416"/>
      <c r="AU115" s="819"/>
      <c r="AV115" s="551">
        <v>194</v>
      </c>
      <c r="AW115" s="551">
        <v>194</v>
      </c>
      <c r="AX115" s="551">
        <v>194</v>
      </c>
      <c r="AY115" s="416">
        <f>Model!AY851</f>
        <v>194</v>
      </c>
      <c r="AZ115" s="551">
        <v>213</v>
      </c>
      <c r="BA115" s="551">
        <v>213</v>
      </c>
      <c r="BB115" s="551">
        <v>213</v>
      </c>
      <c r="BC115" s="551">
        <v>213</v>
      </c>
      <c r="BD115" s="416">
        <f>Model!BD851</f>
        <v>213</v>
      </c>
      <c r="BE115" s="552">
        <v>234</v>
      </c>
      <c r="BF115" s="552">
        <v>257</v>
      </c>
      <c r="BG115" s="552">
        <v>283</v>
      </c>
      <c r="BH115" s="349"/>
    </row>
    <row r="116" spans="1:60" x14ac:dyDescent="0.35">
      <c r="A116" s="980"/>
      <c r="B116" s="704"/>
      <c r="C116" s="416"/>
      <c r="D116" s="416"/>
      <c r="E116" s="416"/>
      <c r="F116" s="416"/>
      <c r="G116" s="668"/>
      <c r="H116" s="668"/>
      <c r="I116" s="668"/>
      <c r="J116" s="668"/>
      <c r="K116" s="416"/>
      <c r="L116" s="668"/>
      <c r="M116" s="668"/>
      <c r="N116" s="668"/>
      <c r="O116" s="668"/>
      <c r="P116" s="416"/>
      <c r="Q116" s="668"/>
      <c r="R116" s="668"/>
      <c r="S116" s="668"/>
      <c r="T116" s="668"/>
      <c r="U116" s="416"/>
      <c r="V116" s="668"/>
      <c r="W116" s="668"/>
      <c r="X116" s="668"/>
      <c r="Y116" s="668"/>
      <c r="Z116" s="416"/>
      <c r="AA116" s="668"/>
      <c r="AB116" s="668"/>
      <c r="AC116" s="668"/>
      <c r="AD116" s="668"/>
      <c r="AE116" s="416"/>
      <c r="AF116" s="668"/>
      <c r="AG116" s="668"/>
      <c r="AH116" s="668"/>
      <c r="AI116" s="668"/>
      <c r="AJ116" s="416"/>
      <c r="AK116" s="668"/>
      <c r="AL116" s="668"/>
      <c r="AM116" s="668"/>
      <c r="AN116" s="668"/>
      <c r="AO116" s="416"/>
      <c r="AP116" s="668"/>
      <c r="AQ116" s="668"/>
      <c r="AR116" s="668"/>
      <c r="AS116" s="668"/>
      <c r="AT116" s="416"/>
      <c r="AU116" s="819"/>
      <c r="AV116" s="668"/>
      <c r="AW116" s="668"/>
      <c r="AX116" s="668"/>
      <c r="AY116" s="416"/>
      <c r="AZ116" s="668"/>
      <c r="BA116" s="668"/>
      <c r="BB116" s="668"/>
      <c r="BC116" s="668"/>
      <c r="BD116" s="416"/>
      <c r="BE116" s="416"/>
      <c r="BF116" s="416"/>
      <c r="BG116" s="416"/>
      <c r="BH116" s="349"/>
    </row>
    <row r="117" spans="1:60" x14ac:dyDescent="0.35">
      <c r="A117" s="874" t="str">
        <f>Model!A858</f>
        <v>Balance Sheet Summary</v>
      </c>
      <c r="B117" s="874"/>
      <c r="C117" s="874"/>
      <c r="D117" s="874"/>
      <c r="E117" s="874"/>
      <c r="F117" s="874"/>
      <c r="G117" s="874"/>
      <c r="H117" s="874"/>
      <c r="I117" s="874"/>
      <c r="J117" s="874"/>
      <c r="K117" s="874"/>
      <c r="L117" s="874"/>
      <c r="M117" s="874"/>
      <c r="N117" s="874"/>
      <c r="O117" s="874"/>
      <c r="P117" s="874"/>
      <c r="Q117" s="874"/>
      <c r="R117" s="874"/>
      <c r="S117" s="874"/>
      <c r="T117" s="874"/>
      <c r="U117" s="874"/>
      <c r="V117" s="874"/>
      <c r="W117" s="874"/>
      <c r="X117" s="874"/>
      <c r="Y117" s="874"/>
      <c r="Z117" s="874"/>
      <c r="AA117" s="874"/>
      <c r="AB117" s="874"/>
      <c r="AC117" s="874"/>
      <c r="AD117" s="874"/>
      <c r="AE117" s="874"/>
      <c r="AF117" s="874"/>
      <c r="AG117" s="874"/>
      <c r="AH117" s="874"/>
      <c r="AI117" s="874"/>
      <c r="AJ117" s="874"/>
      <c r="AK117" s="874"/>
      <c r="AL117" s="874"/>
      <c r="AM117" s="874"/>
      <c r="AN117" s="874"/>
      <c r="AO117" s="874"/>
      <c r="AP117" s="874"/>
      <c r="AQ117" s="874"/>
      <c r="AR117" s="874"/>
      <c r="AS117" s="874"/>
      <c r="AT117" s="874"/>
      <c r="AU117" s="875"/>
      <c r="AV117" s="874"/>
      <c r="AW117" s="874"/>
      <c r="AX117" s="874"/>
      <c r="AY117" s="874"/>
      <c r="AZ117" s="874"/>
      <c r="BA117" s="874"/>
      <c r="BB117" s="874"/>
      <c r="BC117" s="874"/>
      <c r="BD117" s="874"/>
      <c r="BE117" s="874"/>
      <c r="BF117" s="874"/>
      <c r="BG117" s="874"/>
      <c r="BH117" s="349"/>
    </row>
    <row r="118" spans="1:60" x14ac:dyDescent="0.35">
      <c r="A118" s="931" t="str">
        <f>Model!A867</f>
        <v>Effective Interest Rate on Debt</v>
      </c>
      <c r="B118" s="427"/>
      <c r="C118" s="113"/>
      <c r="D118" s="223">
        <f>Model!D867</f>
        <v>3.601505106611718E-2</v>
      </c>
      <c r="E118" s="223">
        <f>Model!E867</f>
        <v>3.5034846487097385E-2</v>
      </c>
      <c r="F118" s="223">
        <f>Model!F867</f>
        <v>3.0625951464135399E-2</v>
      </c>
      <c r="G118" s="226">
        <f>Model!G867</f>
        <v>2.6500237357236604E-2</v>
      </c>
      <c r="H118" s="226">
        <f>Model!H867</f>
        <v>2.7680617648636503E-2</v>
      </c>
      <c r="I118" s="226">
        <f>Model!I867</f>
        <v>2.2336247213764097E-2</v>
      </c>
      <c r="J118" s="226">
        <f>Model!J867</f>
        <v>2.1543614752949337E-2</v>
      </c>
      <c r="K118" s="223">
        <f>Model!K867</f>
        <v>2.4505661652864628E-2</v>
      </c>
      <c r="L118" s="226">
        <f>Model!L867</f>
        <v>2.3844836414358105E-2</v>
      </c>
      <c r="M118" s="226">
        <f>Model!M867</f>
        <v>2.6641255423543248E-2</v>
      </c>
      <c r="N118" s="226">
        <f>Model!N867</f>
        <v>1.5518189078960553E-2</v>
      </c>
      <c r="O118" s="226">
        <f>Model!O867</f>
        <v>1.7938046165896213E-2</v>
      </c>
      <c r="P118" s="223">
        <f>Model!P867</f>
        <v>2.0501714491968959E-2</v>
      </c>
      <c r="Q118" s="226">
        <f>Model!Q867</f>
        <v>1.8761710524134039E-2</v>
      </c>
      <c r="R118" s="226">
        <f>Model!R867</f>
        <v>1.8584142889146862E-2</v>
      </c>
      <c r="S118" s="226">
        <f>Model!S867</f>
        <v>1.5251478964614811E-2</v>
      </c>
      <c r="T118" s="226">
        <f>Model!T867</f>
        <v>1.619343389529725E-2</v>
      </c>
      <c r="U118" s="223">
        <f>Model!U867</f>
        <v>1.6039614618655471E-2</v>
      </c>
      <c r="V118" s="226">
        <f>Model!V867</f>
        <v>1.723495323057686E-2</v>
      </c>
      <c r="W118" s="226">
        <f>Model!W867</f>
        <v>1.3355047608805036E-2</v>
      </c>
      <c r="X118" s="226">
        <f>Model!X867</f>
        <v>1.6500459848881037E-2</v>
      </c>
      <c r="Y118" s="226">
        <f>Model!Y867</f>
        <v>2.1207671121750357E-2</v>
      </c>
      <c r="Z118" s="223">
        <f>Model!Z867</f>
        <v>1.6972643339943281E-2</v>
      </c>
      <c r="AA118" s="226">
        <f>Model!AA867</f>
        <v>1.5624331150207608E-2</v>
      </c>
      <c r="AB118" s="226">
        <f>Model!AB867</f>
        <v>1.8824387849244447E-2</v>
      </c>
      <c r="AC118" s="226">
        <f>Model!AC867</f>
        <v>1.9695288655968132E-2</v>
      </c>
      <c r="AD118" s="226">
        <f>Model!AD867</f>
        <v>5.1427999103681017E-2</v>
      </c>
      <c r="AE118" s="223">
        <f>Model!AE867</f>
        <v>2.6488976637051662E-2</v>
      </c>
      <c r="AF118" s="226">
        <f>Model!AF867</f>
        <v>2.2463139961197982E-2</v>
      </c>
      <c r="AG118" s="226">
        <f>Model!AG867</f>
        <v>2.3391565854868155E-2</v>
      </c>
      <c r="AH118" s="226">
        <f>Model!AH867</f>
        <v>2.296804092419991E-2</v>
      </c>
      <c r="AI118" s="226">
        <f>Model!AI867</f>
        <v>2.5580438028576319E-2</v>
      </c>
      <c r="AJ118" s="223">
        <f>Model!AJ867</f>
        <v>2.3471423541837812E-2</v>
      </c>
      <c r="AK118" s="226">
        <f>Model!AK867</f>
        <v>2.7218493661446682E-2</v>
      </c>
      <c r="AL118" s="226">
        <f>Model!AL867</f>
        <v>2.7674029103666103E-2</v>
      </c>
      <c r="AM118" s="226">
        <f>Model!AM867</f>
        <v>2.4539404294164454E-2</v>
      </c>
      <c r="AN118" s="226">
        <f>Model!AN867</f>
        <v>2.4751284048054462E-2</v>
      </c>
      <c r="AO118" s="223">
        <f>Model!AO867</f>
        <v>2.4913802691580469E-2</v>
      </c>
      <c r="AP118" s="226">
        <f>Model!AP867</f>
        <v>2.3112656358778579E-2</v>
      </c>
      <c r="AQ118" s="226">
        <f>Model!AQ867</f>
        <v>2.5476153640381399E-2</v>
      </c>
      <c r="AR118" s="226">
        <f>Model!AR867</f>
        <v>2.5233765674150036E-2</v>
      </c>
      <c r="AS118" s="226">
        <f>Model!AS867</f>
        <v>2.9220679947318296E-2</v>
      </c>
      <c r="AT118" s="223">
        <f>Model!AT867</f>
        <v>2.5915492957746478E-2</v>
      </c>
      <c r="AU118" s="773">
        <f>Model!AU867</f>
        <v>2.8951021217529248E-2</v>
      </c>
      <c r="AV118" s="82">
        <v>2.9000000000000001E-2</v>
      </c>
      <c r="AW118" s="82">
        <v>2.9000000000000001E-2</v>
      </c>
      <c r="AX118" s="82">
        <v>2.9000000000000001E-2</v>
      </c>
      <c r="AY118" s="113">
        <f>Model!AY867</f>
        <v>2.9107246558018635E-2</v>
      </c>
      <c r="AZ118" s="82">
        <v>2.9000000000000001E-2</v>
      </c>
      <c r="BA118" s="82">
        <v>2.9000000000000001E-2</v>
      </c>
      <c r="BB118" s="82">
        <v>2.9000000000000001E-2</v>
      </c>
      <c r="BC118" s="82">
        <v>2.9000000000000001E-2</v>
      </c>
      <c r="BD118" s="113">
        <f>Model!BD867</f>
        <v>2.9000000000000001E-2</v>
      </c>
      <c r="BE118" s="224">
        <v>2.9000000000000001E-2</v>
      </c>
      <c r="BF118" s="224">
        <v>2.9000000000000001E-2</v>
      </c>
      <c r="BG118" s="224">
        <v>2.9000000000000001E-2</v>
      </c>
      <c r="BH118" s="349"/>
    </row>
    <row r="119" spans="1:60" x14ac:dyDescent="0.35">
      <c r="A119" s="932" t="str">
        <f>Model!A869</f>
        <v>Effective Interest Rate on Cash</v>
      </c>
      <c r="B119" s="427"/>
      <c r="C119" s="113"/>
      <c r="D119" s="113">
        <f>Model!D869</f>
        <v>7.894463488106367E-3</v>
      </c>
      <c r="E119" s="113">
        <f>Model!E869</f>
        <v>8.130081300813009E-3</v>
      </c>
      <c r="F119" s="113">
        <f>Model!F869</f>
        <v>7.5956763073327487E-3</v>
      </c>
      <c r="G119" s="177">
        <f>Model!G869</f>
        <v>7.0402839259709324E-3</v>
      </c>
      <c r="H119" s="177">
        <f>Model!H869</f>
        <v>6.9024075219222348E-3</v>
      </c>
      <c r="I119" s="177">
        <f>Model!I869</f>
        <v>7.4491012098156697E-3</v>
      </c>
      <c r="J119" s="177">
        <f>Model!J869</f>
        <v>9.046704881390151E-3</v>
      </c>
      <c r="K119" s="113">
        <f>Model!K869</f>
        <v>7.7103902209685006E-3</v>
      </c>
      <c r="L119" s="177">
        <f>Model!L869</f>
        <v>8.1436858545292264E-3</v>
      </c>
      <c r="M119" s="177">
        <f>Model!M869</f>
        <v>8.6082988193397179E-3</v>
      </c>
      <c r="N119" s="177">
        <f>Model!N869</f>
        <v>6.9308058723321145E-3</v>
      </c>
      <c r="O119" s="177">
        <f>Model!O869</f>
        <v>8.8755957591673956E-3</v>
      </c>
      <c r="P119" s="113">
        <f>Model!P869</f>
        <v>8.4947551322478929E-3</v>
      </c>
      <c r="Q119" s="177">
        <f>Model!Q869</f>
        <v>5.2558633475529633E-3</v>
      </c>
      <c r="R119" s="177">
        <f>Model!R869</f>
        <v>8.8851022395326201E-3</v>
      </c>
      <c r="S119" s="177">
        <f>Model!S869</f>
        <v>1.0541559738255754E-2</v>
      </c>
      <c r="T119" s="177">
        <f>Model!T869</f>
        <v>1.7174854131375868E-2</v>
      </c>
      <c r="U119" s="113">
        <f>Model!U869</f>
        <v>1.0383386581469648E-2</v>
      </c>
      <c r="V119" s="177">
        <f>Model!V869</f>
        <v>1.1647778806770988E-2</v>
      </c>
      <c r="W119" s="177">
        <f>Model!W869</f>
        <v>1.6527059673522835E-2</v>
      </c>
      <c r="X119" s="177">
        <f>Model!X869</f>
        <v>1.396187188265924E-2</v>
      </c>
      <c r="Y119" s="177">
        <f>Model!Y869</f>
        <v>1.3322548028311424E-2</v>
      </c>
      <c r="Z119" s="113">
        <f>Model!Z869</f>
        <v>1.3208836255978138E-2</v>
      </c>
      <c r="AA119" s="177">
        <f>Model!AA869</f>
        <v>1.2910642437104831E-2</v>
      </c>
      <c r="AB119" s="177">
        <f>Model!AB869</f>
        <v>1.8721068896098068E-2</v>
      </c>
      <c r="AC119" s="177">
        <f>Model!AC869</f>
        <v>1.6517561875587429E-2</v>
      </c>
      <c r="AD119" s="177">
        <f>Model!AD869</f>
        <v>1.7835687471615243E-2</v>
      </c>
      <c r="AE119" s="113">
        <f>Model!AE869</f>
        <v>1.5741833923652106E-2</v>
      </c>
      <c r="AF119" s="177">
        <f>Model!AF869</f>
        <v>2.0711738002594033E-2</v>
      </c>
      <c r="AG119" s="177">
        <f>Model!AG869</f>
        <v>1.7628299457718495E-2</v>
      </c>
      <c r="AH119" s="177">
        <f>Model!AH869</f>
        <v>1.7740608008709909E-2</v>
      </c>
      <c r="AI119" s="177">
        <f>Model!AI869</f>
        <v>2.1140628619970653E-2</v>
      </c>
      <c r="AJ119" s="113">
        <f>Model!AJ869</f>
        <v>1.9947282182802593E-2</v>
      </c>
      <c r="AK119" s="177">
        <f>Model!AK869</f>
        <v>2.4176188110614338E-2</v>
      </c>
      <c r="AL119" s="177">
        <f>Model!AL869</f>
        <v>2.2334973611075698E-2</v>
      </c>
      <c r="AM119" s="177">
        <f>Model!AM869</f>
        <v>1.9192887508241413E-2</v>
      </c>
      <c r="AN119" s="177">
        <f>Model!AN869</f>
        <v>1.2432091827176892E-2</v>
      </c>
      <c r="AO119" s="113">
        <f>Model!AO869</f>
        <v>1.9188103375906939E-2</v>
      </c>
      <c r="AP119" s="177">
        <f>Model!AP869</f>
        <v>1.161079105651854E-2</v>
      </c>
      <c r="AQ119" s="177">
        <f>Model!AQ869</f>
        <v>8.0952258074029285E-3</v>
      </c>
      <c r="AR119" s="177">
        <f>Model!AR869</f>
        <v>4.4070686491250888E-3</v>
      </c>
      <c r="AS119" s="177">
        <f>Model!AS869</f>
        <v>4.144453453031792E-3</v>
      </c>
      <c r="AT119" s="113">
        <f>Model!AT869</f>
        <v>6.256067306655161E-3</v>
      </c>
      <c r="AU119" s="780">
        <f>Model!AU869</f>
        <v>3.1886431886431884E-3</v>
      </c>
      <c r="AV119" s="82">
        <v>6.0000000000000001E-3</v>
      </c>
      <c r="AW119" s="82">
        <v>6.0000000000000001E-3</v>
      </c>
      <c r="AX119" s="82">
        <v>6.0000000000000001E-3</v>
      </c>
      <c r="AY119" s="113">
        <f>Model!AY869</f>
        <v>5.2172605553748395E-3</v>
      </c>
      <c r="AZ119" s="82">
        <v>6.0000000000000001E-3</v>
      </c>
      <c r="BA119" s="82">
        <v>6.0000000000000001E-3</v>
      </c>
      <c r="BB119" s="82">
        <v>6.0000000000000001E-3</v>
      </c>
      <c r="BC119" s="82">
        <v>6.0000000000000001E-3</v>
      </c>
      <c r="BD119" s="113">
        <f>Model!BD869</f>
        <v>5.767019396033005E-3</v>
      </c>
      <c r="BE119" s="224">
        <v>5.9266013323003349E-3</v>
      </c>
      <c r="BF119" s="224">
        <v>5.9266013323003349E-3</v>
      </c>
      <c r="BG119" s="224">
        <v>5.9266013323003349E-3</v>
      </c>
      <c r="BH119" s="349"/>
    </row>
    <row r="120" spans="1:60" x14ac:dyDescent="0.35">
      <c r="A120" s="932"/>
      <c r="B120" s="427"/>
      <c r="C120" s="113"/>
      <c r="D120" s="113"/>
      <c r="E120" s="113"/>
      <c r="F120" s="113"/>
      <c r="G120" s="177"/>
      <c r="H120" s="177"/>
      <c r="I120" s="177"/>
      <c r="J120" s="177"/>
      <c r="K120" s="113"/>
      <c r="L120" s="177"/>
      <c r="M120" s="177"/>
      <c r="N120" s="177"/>
      <c r="O120" s="177"/>
      <c r="P120" s="113"/>
      <c r="Q120" s="177"/>
      <c r="R120" s="177"/>
      <c r="S120" s="177"/>
      <c r="T120" s="177"/>
      <c r="U120" s="113"/>
      <c r="V120" s="177"/>
      <c r="W120" s="177"/>
      <c r="X120" s="177"/>
      <c r="Y120" s="177"/>
      <c r="Z120" s="113"/>
      <c r="AA120" s="177"/>
      <c r="AB120" s="177"/>
      <c r="AC120" s="177"/>
      <c r="AD120" s="177"/>
      <c r="AE120" s="113"/>
      <c r="AF120" s="177"/>
      <c r="AG120" s="177"/>
      <c r="AH120" s="177"/>
      <c r="AI120" s="177"/>
      <c r="AJ120" s="113"/>
      <c r="AK120" s="177"/>
      <c r="AL120" s="177"/>
      <c r="AM120" s="177"/>
      <c r="AN120" s="177"/>
      <c r="AO120" s="113"/>
      <c r="AP120" s="177"/>
      <c r="AQ120" s="177"/>
      <c r="AR120" s="177"/>
      <c r="AS120" s="177"/>
      <c r="AT120" s="113"/>
      <c r="AU120" s="780"/>
      <c r="AV120" s="177"/>
      <c r="AW120" s="177"/>
      <c r="AX120" s="177"/>
      <c r="AY120" s="113"/>
      <c r="AZ120" s="177"/>
      <c r="BA120" s="177"/>
      <c r="BB120" s="177"/>
      <c r="BC120" s="177"/>
      <c r="BD120" s="113"/>
      <c r="BE120" s="113"/>
      <c r="BF120" s="113"/>
      <c r="BG120" s="113"/>
      <c r="BH120" s="349"/>
    </row>
    <row r="121" spans="1:60" x14ac:dyDescent="0.35">
      <c r="A121" s="355" t="str">
        <f>Model!A999</f>
        <v>Working Capital Forecasting</v>
      </c>
      <c r="B121" s="356"/>
      <c r="C121" s="874"/>
      <c r="D121" s="874"/>
      <c r="E121" s="874"/>
      <c r="F121" s="874"/>
      <c r="G121" s="874"/>
      <c r="H121" s="874"/>
      <c r="I121" s="874"/>
      <c r="J121" s="874"/>
      <c r="K121" s="874"/>
      <c r="L121" s="874"/>
      <c r="M121" s="874"/>
      <c r="N121" s="874"/>
      <c r="O121" s="874"/>
      <c r="P121" s="874"/>
      <c r="Q121" s="874"/>
      <c r="R121" s="874"/>
      <c r="S121" s="874"/>
      <c r="T121" s="874"/>
      <c r="U121" s="874"/>
      <c r="V121" s="874"/>
      <c r="W121" s="874"/>
      <c r="X121" s="874"/>
      <c r="Y121" s="874"/>
      <c r="Z121" s="874"/>
      <c r="AA121" s="874"/>
      <c r="AB121" s="874"/>
      <c r="AC121" s="874"/>
      <c r="AD121" s="874"/>
      <c r="AE121" s="874"/>
      <c r="AF121" s="874"/>
      <c r="AG121" s="874"/>
      <c r="AH121" s="874"/>
      <c r="AI121" s="874"/>
      <c r="AJ121" s="874"/>
      <c r="AK121" s="874"/>
      <c r="AL121" s="874"/>
      <c r="AM121" s="874"/>
      <c r="AN121" s="874"/>
      <c r="AO121" s="874"/>
      <c r="AP121" s="874"/>
      <c r="AQ121" s="874"/>
      <c r="AR121" s="874"/>
      <c r="AS121" s="874"/>
      <c r="AT121" s="874"/>
      <c r="AU121" s="875"/>
      <c r="AV121" s="874"/>
      <c r="AW121" s="874"/>
      <c r="AX121" s="874"/>
      <c r="AY121" s="874"/>
      <c r="AZ121" s="874"/>
      <c r="BA121" s="874"/>
      <c r="BB121" s="874"/>
      <c r="BC121" s="874"/>
      <c r="BD121" s="874"/>
      <c r="BE121" s="874"/>
      <c r="BF121" s="874"/>
      <c r="BG121" s="874"/>
      <c r="BH121" s="349"/>
    </row>
    <row r="122" spans="1:60" x14ac:dyDescent="0.35">
      <c r="A122" s="357" t="str">
        <f>Model!A1005</f>
        <v>Accounts receivable - net, Y/Y Change, %</v>
      </c>
      <c r="B122" s="716"/>
      <c r="C122" s="739"/>
      <c r="D122" s="358">
        <f>Model!D1005</f>
        <v>-4.9664688595944251E-3</v>
      </c>
      <c r="E122" s="358">
        <f>Model!E1005</f>
        <v>-4.9928670143664089E-3</v>
      </c>
      <c r="F122" s="358">
        <f>Model!F1005</f>
        <v>5.207870029139583E-3</v>
      </c>
      <c r="G122" s="717"/>
      <c r="H122" s="717"/>
      <c r="I122" s="717"/>
      <c r="J122" s="717"/>
      <c r="K122" s="358">
        <f>Model!K1005</f>
        <v>1.96560558470249E-3</v>
      </c>
      <c r="L122" s="717"/>
      <c r="M122" s="717"/>
      <c r="N122" s="717"/>
      <c r="O122" s="717"/>
      <c r="P122" s="358">
        <f>Model!P1005</f>
        <v>-4.5843466383783948E-3</v>
      </c>
      <c r="Q122" s="359">
        <f>Model!Q1005</f>
        <v>-8.3628665104310551E-3</v>
      </c>
      <c r="R122" s="359">
        <f>Model!R1005</f>
        <v>-4.2115856972956556E-3</v>
      </c>
      <c r="S122" s="359">
        <f>Model!S1005</f>
        <v>1.4392608720905642E-3</v>
      </c>
      <c r="T122" s="359">
        <f>Model!T1005</f>
        <v>4.0309609346396713E-3</v>
      </c>
      <c r="U122" s="358">
        <f>Model!U1005</f>
        <v>4.0309609346396713E-3</v>
      </c>
      <c r="V122" s="359">
        <f>Model!V1005</f>
        <v>9.3435014953996698E-3</v>
      </c>
      <c r="W122" s="359">
        <f>Model!W1005</f>
        <v>8.0397985422221985E-3</v>
      </c>
      <c r="X122" s="359">
        <f>Model!X1005</f>
        <v>7.5026790582309877E-3</v>
      </c>
      <c r="Y122" s="359">
        <f>Model!Y1005</f>
        <v>8.6565551605871649E-3</v>
      </c>
      <c r="Z122" s="358">
        <f>Model!Z1005</f>
        <v>8.6565551605871649E-3</v>
      </c>
      <c r="AA122" s="359">
        <f>Model!AA1005</f>
        <v>6.4270527893199869E-3</v>
      </c>
      <c r="AB122" s="359">
        <f>Model!AB1005</f>
        <v>5.9566111748717843E-3</v>
      </c>
      <c r="AC122" s="359">
        <f>Model!AC1005</f>
        <v>8.6540384083844124E-3</v>
      </c>
      <c r="AD122" s="359">
        <f>Model!AD1005</f>
        <v>9.2615608320357479E-3</v>
      </c>
      <c r="AE122" s="358">
        <f>Model!AE1005</f>
        <v>9.2615608320357479E-3</v>
      </c>
      <c r="AF122" s="359">
        <f>Model!AF1005</f>
        <v>7.4470854014309917E-3</v>
      </c>
      <c r="AG122" s="359">
        <f>Model!AG1005</f>
        <v>2.8615059926423159E-3</v>
      </c>
      <c r="AH122" s="359">
        <f>Model!AH1005</f>
        <v>-3.9240504885273975E-3</v>
      </c>
      <c r="AI122" s="359">
        <f>Model!AI1005</f>
        <v>-1.9192972885039572E-3</v>
      </c>
      <c r="AJ122" s="358">
        <f>Model!AJ1005</f>
        <v>-1.9192972885039572E-3</v>
      </c>
      <c r="AK122" s="359">
        <f>Model!AK1005</f>
        <v>-2.9454488815403301E-3</v>
      </c>
      <c r="AL122" s="359">
        <f>Model!AL1005</f>
        <v>3.2869239525107619E-3</v>
      </c>
      <c r="AM122" s="359">
        <f>Model!AM1005</f>
        <v>-5.3977855839972E-3</v>
      </c>
      <c r="AN122" s="359">
        <f>Model!AN1005</f>
        <v>-4.1271310268760353E-3</v>
      </c>
      <c r="AO122" s="358">
        <f>Model!AO1005</f>
        <v>-4.1271310268760353E-3</v>
      </c>
      <c r="AP122" s="359">
        <f>Model!AP1005</f>
        <v>-1.0871775240243797E-2</v>
      </c>
      <c r="AQ122" s="359">
        <f>Model!AQ1005</f>
        <v>-2.5033563446648532E-2</v>
      </c>
      <c r="AR122" s="359">
        <f>Model!AR1005</f>
        <v>-1.1241431327363854E-2</v>
      </c>
      <c r="AS122" s="359">
        <f>Model!AS1005</f>
        <v>-2.8944844218187771E-3</v>
      </c>
      <c r="AT122" s="358">
        <f>Model!AT1005</f>
        <v>-2.8944844218187771E-3</v>
      </c>
      <c r="AU122" s="827">
        <f>Model!AU1005</f>
        <v>-2.8886443963162811E-3</v>
      </c>
      <c r="AV122" s="360">
        <v>0</v>
      </c>
      <c r="AW122" s="360">
        <v>0</v>
      </c>
      <c r="AX122" s="360">
        <v>-5.0000000000000001E-3</v>
      </c>
      <c r="AY122" s="358">
        <f>Model!AY1005</f>
        <v>-5.0000000000000044E-3</v>
      </c>
      <c r="AZ122" s="360">
        <v>0</v>
      </c>
      <c r="BA122" s="360">
        <v>0</v>
      </c>
      <c r="BB122" s="360">
        <v>0</v>
      </c>
      <c r="BC122" s="360">
        <v>0</v>
      </c>
      <c r="BD122" s="358">
        <f>Model!BD1005</f>
        <v>0</v>
      </c>
      <c r="BE122" s="361">
        <v>0</v>
      </c>
      <c r="BF122" s="361">
        <v>0</v>
      </c>
      <c r="BG122" s="361">
        <v>0</v>
      </c>
      <c r="BH122" s="349"/>
    </row>
    <row r="123" spans="1:60" x14ac:dyDescent="0.35">
      <c r="A123" s="357" t="str">
        <f>Model!A1006</f>
        <v>Total inventories, Y/Y Change, %</v>
      </c>
      <c r="B123" s="716"/>
      <c r="C123" s="739"/>
      <c r="D123" s="358">
        <f>Model!D1006</f>
        <v>4.2044187945233097E-3</v>
      </c>
      <c r="E123" s="358">
        <f>Model!E1006</f>
        <v>-2.9706741180804269E-3</v>
      </c>
      <c r="F123" s="358">
        <f>Model!F1006</f>
        <v>1.2948059707107468E-2</v>
      </c>
      <c r="G123" s="717"/>
      <c r="H123" s="717"/>
      <c r="I123" s="717"/>
      <c r="J123" s="717"/>
      <c r="K123" s="358">
        <f>Model!K1006</f>
        <v>-3.144580489837262E-3</v>
      </c>
      <c r="L123" s="717"/>
      <c r="M123" s="717"/>
      <c r="N123" s="717"/>
      <c r="O123" s="717"/>
      <c r="P123" s="358">
        <f>Model!P1006</f>
        <v>-8.702043076588159E-3</v>
      </c>
      <c r="Q123" s="359">
        <f>Model!Q1006</f>
        <v>-1.0514581066099565E-2</v>
      </c>
      <c r="R123" s="359">
        <f>Model!R1006</f>
        <v>-6.524832332710756E-3</v>
      </c>
      <c r="S123" s="359">
        <f>Model!S1006</f>
        <v>-3.7278900014277305E-3</v>
      </c>
      <c r="T123" s="359">
        <f>Model!T1006</f>
        <v>-2.5864563299250742E-4</v>
      </c>
      <c r="U123" s="358">
        <f>Model!U1006</f>
        <v>-2.5864563299250742E-4</v>
      </c>
      <c r="V123" s="359">
        <f>Model!V1006</f>
        <v>3.1443167363290891E-3</v>
      </c>
      <c r="W123" s="359">
        <f>Model!W1006</f>
        <v>-3.5092129997934401E-3</v>
      </c>
      <c r="X123" s="359">
        <f>Model!X1006</f>
        <v>-7.7948715215879483E-4</v>
      </c>
      <c r="Y123" s="359">
        <f>Model!Y1006</f>
        <v>-3.7804683458210059E-3</v>
      </c>
      <c r="Z123" s="358">
        <f>Model!Z1006</f>
        <v>-3.7804683458210059E-3</v>
      </c>
      <c r="AA123" s="359">
        <f>Model!AA1006</f>
        <v>-1.6038812322085871E-3</v>
      </c>
      <c r="AB123" s="359">
        <f>Model!AB1006</f>
        <v>5.5910232995264458E-3</v>
      </c>
      <c r="AC123" s="359">
        <f>Model!AC1006</f>
        <v>8.1878289501882695E-3</v>
      </c>
      <c r="AD123" s="359">
        <f>Model!AD1006</f>
        <v>1.500351651647612E-2</v>
      </c>
      <c r="AE123" s="358">
        <f>Model!AE1006</f>
        <v>1.500351651647612E-2</v>
      </c>
      <c r="AF123" s="359">
        <f>Model!AF1006</f>
        <v>1.430384994636022E-2</v>
      </c>
      <c r="AG123" s="359">
        <f>Model!AG1006</f>
        <v>3.389185411600687E-3</v>
      </c>
      <c r="AH123" s="359">
        <f>Model!AH1006</f>
        <v>6.9908067696517195E-3</v>
      </c>
      <c r="AI123" s="359">
        <f>Model!AI1006</f>
        <v>5.8235728020184785E-3</v>
      </c>
      <c r="AJ123" s="358">
        <f>Model!AJ1006</f>
        <v>5.8235728020184785E-3</v>
      </c>
      <c r="AK123" s="359">
        <f>Model!AK1006</f>
        <v>7.099912536093822E-3</v>
      </c>
      <c r="AL123" s="359">
        <f>Model!AL1006</f>
        <v>4.7378974852917144E-3</v>
      </c>
      <c r="AM123" s="359">
        <f>Model!AM1006</f>
        <v>-9.8969078848207825E-3</v>
      </c>
      <c r="AN123" s="359">
        <f>Model!AN1006</f>
        <v>-4.6111689747080908E-3</v>
      </c>
      <c r="AO123" s="358">
        <f>Model!AO1006</f>
        <v>-4.6111689747080908E-3</v>
      </c>
      <c r="AP123" s="359">
        <f>Model!AP1006</f>
        <v>-9.9146606771911838E-3</v>
      </c>
      <c r="AQ123" s="359">
        <f>Model!AQ1006</f>
        <v>-8.8930823503413636E-4</v>
      </c>
      <c r="AR123" s="359">
        <f>Model!AR1006</f>
        <v>2.9442334782198154E-4</v>
      </c>
      <c r="AS123" s="359">
        <f>Model!AS1006</f>
        <v>3.0706326969440201E-3</v>
      </c>
      <c r="AT123" s="358">
        <f>Model!AT1006</f>
        <v>3.0706326969440201E-3</v>
      </c>
      <c r="AU123" s="827">
        <f>Model!AU1006</f>
        <v>4.8913079363859802E-3</v>
      </c>
      <c r="AV123" s="360">
        <v>0</v>
      </c>
      <c r="AW123" s="360">
        <v>0</v>
      </c>
      <c r="AX123" s="360">
        <v>0</v>
      </c>
      <c r="AY123" s="358">
        <f>Model!AY1006</f>
        <v>0</v>
      </c>
      <c r="AZ123" s="360">
        <v>0</v>
      </c>
      <c r="BA123" s="360">
        <v>0</v>
      </c>
      <c r="BB123" s="360">
        <v>0</v>
      </c>
      <c r="BC123" s="360">
        <v>0</v>
      </c>
      <c r="BD123" s="358">
        <f>Model!BD1006</f>
        <v>0</v>
      </c>
      <c r="BE123" s="361">
        <v>0</v>
      </c>
      <c r="BF123" s="361">
        <v>0</v>
      </c>
      <c r="BG123" s="361">
        <v>0</v>
      </c>
      <c r="BH123" s="349"/>
    </row>
    <row r="124" spans="1:60" x14ac:dyDescent="0.35">
      <c r="A124" s="357" t="str">
        <f>Model!A1007</f>
        <v>Prepaids, Y/Y Change, %</v>
      </c>
      <c r="B124" s="716"/>
      <c r="C124" s="739"/>
      <c r="D124" s="358">
        <f>Model!D1007</f>
        <v>0</v>
      </c>
      <c r="E124" s="358">
        <f>Model!E1007</f>
        <v>0</v>
      </c>
      <c r="F124" s="358">
        <f>Model!F1007</f>
        <v>0</v>
      </c>
      <c r="G124" s="717"/>
      <c r="H124" s="717"/>
      <c r="I124" s="717"/>
      <c r="J124" s="717"/>
      <c r="K124" s="358">
        <f>Model!K1007</f>
        <v>0</v>
      </c>
      <c r="L124" s="717"/>
      <c r="M124" s="717"/>
      <c r="N124" s="717"/>
      <c r="O124" s="717"/>
      <c r="P124" s="358">
        <f>Model!P1007</f>
        <v>0</v>
      </c>
      <c r="Q124" s="359">
        <f>Model!Q1007</f>
        <v>0</v>
      </c>
      <c r="R124" s="359">
        <f>Model!R1007</f>
        <v>0</v>
      </c>
      <c r="S124" s="359">
        <f>Model!S1007</f>
        <v>0</v>
      </c>
      <c r="T124" s="359">
        <f>Model!T1007</f>
        <v>0</v>
      </c>
      <c r="U124" s="358">
        <f>Model!U1007</f>
        <v>0</v>
      </c>
      <c r="V124" s="359">
        <f>Model!V1007</f>
        <v>0</v>
      </c>
      <c r="W124" s="359">
        <f>Model!W1007</f>
        <v>0</v>
      </c>
      <c r="X124" s="359">
        <f>Model!X1007</f>
        <v>0</v>
      </c>
      <c r="Y124" s="359">
        <f>Model!Y1007</f>
        <v>0</v>
      </c>
      <c r="Z124" s="358">
        <f>Model!Z1007</f>
        <v>0</v>
      </c>
      <c r="AA124" s="359">
        <f>Model!AA1007</f>
        <v>0</v>
      </c>
      <c r="AB124" s="359">
        <f>Model!AB1007</f>
        <v>0</v>
      </c>
      <c r="AC124" s="359">
        <f>Model!AC1007</f>
        <v>0</v>
      </c>
      <c r="AD124" s="359">
        <f>Model!AD1007</f>
        <v>2.9598509018542503E-2</v>
      </c>
      <c r="AE124" s="358">
        <f>Model!AE1007</f>
        <v>2.9598509018542503E-2</v>
      </c>
      <c r="AF124" s="359">
        <f>Model!AF1007</f>
        <v>2.5798449612403102E-2</v>
      </c>
      <c r="AG124" s="359">
        <f>Model!AG1007</f>
        <v>2.1717940907706366E-2</v>
      </c>
      <c r="AH124" s="359">
        <f>Model!AH1007</f>
        <v>2.2706491923194148E-2</v>
      </c>
      <c r="AI124" s="359">
        <f>Model!AI1007</f>
        <v>-6.9829131082723983E-3</v>
      </c>
      <c r="AJ124" s="358">
        <f>Model!AJ1007</f>
        <v>-6.9829131082723983E-3</v>
      </c>
      <c r="AK124" s="359">
        <f>Model!AK1007</f>
        <v>-3.758264140996611E-3</v>
      </c>
      <c r="AL124" s="359">
        <f>Model!AL1007</f>
        <v>7.8173987953841055E-3</v>
      </c>
      <c r="AM124" s="359">
        <f>Model!AM1007</f>
        <v>-2.7921635234647718E-4</v>
      </c>
      <c r="AN124" s="359">
        <f>Model!AN1007</f>
        <v>-7.0870021696664565E-4</v>
      </c>
      <c r="AO124" s="358">
        <f>Model!AO1007</f>
        <v>-7.0870021696664565E-4</v>
      </c>
      <c r="AP124" s="359">
        <f>Model!AP1007</f>
        <v>-3.3682428474421031E-3</v>
      </c>
      <c r="AQ124" s="359">
        <f>Model!AQ1007</f>
        <v>-1.1450945865180223E-2</v>
      </c>
      <c r="AR124" s="359">
        <f>Model!AR1007</f>
        <v>-6.1558325839657334E-3</v>
      </c>
      <c r="AS124" s="359">
        <f>Model!AS1007</f>
        <v>-9.3374133088735059E-4</v>
      </c>
      <c r="AT124" s="358">
        <f>Model!AT1007</f>
        <v>-9.3374133088735059E-4</v>
      </c>
      <c r="AU124" s="827">
        <f>Model!AU1007</f>
        <v>-2.4401465074595334E-3</v>
      </c>
      <c r="AV124" s="360">
        <v>0</v>
      </c>
      <c r="AW124" s="360">
        <v>0</v>
      </c>
      <c r="AX124" s="360">
        <v>0</v>
      </c>
      <c r="AY124" s="358">
        <f>Model!AY1007</f>
        <v>0</v>
      </c>
      <c r="AZ124" s="360">
        <v>0</v>
      </c>
      <c r="BA124" s="360">
        <v>0</v>
      </c>
      <c r="BB124" s="360">
        <v>0</v>
      </c>
      <c r="BC124" s="360">
        <v>0</v>
      </c>
      <c r="BD124" s="358">
        <f>Model!BD1007</f>
        <v>0</v>
      </c>
      <c r="BE124" s="361">
        <v>0</v>
      </c>
      <c r="BF124" s="361">
        <v>0</v>
      </c>
      <c r="BG124" s="361">
        <v>0</v>
      </c>
      <c r="BH124" s="349"/>
    </row>
    <row r="125" spans="1:60" x14ac:dyDescent="0.35">
      <c r="A125" s="357" t="str">
        <f>Model!A1008</f>
        <v>Accounts payable, Y/Y Change, %</v>
      </c>
      <c r="B125" s="716"/>
      <c r="C125" s="739"/>
      <c r="D125" s="358">
        <f>Model!D1008</f>
        <v>-5.0195827473543952E-4</v>
      </c>
      <c r="E125" s="358">
        <f>Model!E1008</f>
        <v>-6.8497718754559345E-3</v>
      </c>
      <c r="F125" s="358">
        <f>Model!F1008</f>
        <v>3.4357464515043373E-3</v>
      </c>
      <c r="G125" s="717"/>
      <c r="H125" s="717"/>
      <c r="I125" s="717"/>
      <c r="J125" s="717"/>
      <c r="K125" s="358">
        <f>Model!K1008</f>
        <v>-6.4712711636172315E-4</v>
      </c>
      <c r="L125" s="717"/>
      <c r="M125" s="717"/>
      <c r="N125" s="717"/>
      <c r="O125" s="717"/>
      <c r="P125" s="358">
        <f>Model!P1008</f>
        <v>-1.4883573247709905E-3</v>
      </c>
      <c r="Q125" s="359">
        <f>Model!Q1008</f>
        <v>-3.0103554219898312E-3</v>
      </c>
      <c r="R125" s="359">
        <f>Model!R1008</f>
        <v>-3.555629574834171E-3</v>
      </c>
      <c r="S125" s="359">
        <f>Model!S1008</f>
        <v>-4.5822760475227042E-3</v>
      </c>
      <c r="T125" s="359">
        <f>Model!T1008</f>
        <v>-8.3079344891259788E-4</v>
      </c>
      <c r="U125" s="358">
        <f>Model!U1008</f>
        <v>-8.3079344891259788E-4</v>
      </c>
      <c r="V125" s="359">
        <f>Model!V1008</f>
        <v>-4.5352511773920565E-3</v>
      </c>
      <c r="W125" s="359">
        <f>Model!W1008</f>
        <v>-2.2522095227205802E-4</v>
      </c>
      <c r="X125" s="359">
        <f>Model!X1008</f>
        <v>1.7674576047436094E-3</v>
      </c>
      <c r="Y125" s="359">
        <f>Model!Y1008</f>
        <v>3.760758407869963E-3</v>
      </c>
      <c r="Z125" s="358">
        <f>Model!Z1008</f>
        <v>3.760758407869963E-3</v>
      </c>
      <c r="AA125" s="359">
        <f>Model!AA1008</f>
        <v>3.4653765301779493E-3</v>
      </c>
      <c r="AB125" s="359">
        <f>Model!AB1008</f>
        <v>3.511182696053515E-3</v>
      </c>
      <c r="AC125" s="359">
        <f>Model!AC1008</f>
        <v>4.9530917639688463E-3</v>
      </c>
      <c r="AD125" s="359">
        <f>Model!AD1008</f>
        <v>1.7234440634613171E-3</v>
      </c>
      <c r="AE125" s="358">
        <f>Model!AE1008</f>
        <v>1.7234440634613171E-3</v>
      </c>
      <c r="AF125" s="359">
        <f>Model!AF1008</f>
        <v>2.1269572782367865E-3</v>
      </c>
      <c r="AG125" s="359">
        <f>Model!AG1008</f>
        <v>-1.3725251494069168E-3</v>
      </c>
      <c r="AH125" s="359">
        <f>Model!AH1008</f>
        <v>2.9945994152326266E-3</v>
      </c>
      <c r="AI125" s="359">
        <f>Model!AI1008</f>
        <v>7.7193558004260698E-3</v>
      </c>
      <c r="AJ125" s="358">
        <f>Model!AJ1008</f>
        <v>7.7193558004260698E-3</v>
      </c>
      <c r="AK125" s="359">
        <f>Model!AK1008</f>
        <v>1.3267052466362346E-2</v>
      </c>
      <c r="AL125" s="359">
        <f>Model!AL1008</f>
        <v>9.300563307537292E-3</v>
      </c>
      <c r="AM125" s="359">
        <f>Model!AM1008</f>
        <v>3.1888131941738632E-3</v>
      </c>
      <c r="AN125" s="359">
        <f>Model!AN1008</f>
        <v>1.7118228757750931E-4</v>
      </c>
      <c r="AO125" s="358">
        <f>Model!AO1008</f>
        <v>1.7118228757750931E-4</v>
      </c>
      <c r="AP125" s="359">
        <f>Model!AP1008</f>
        <v>-3.1487958711760855E-3</v>
      </c>
      <c r="AQ125" s="359">
        <f>Model!AQ1008</f>
        <v>-3.2987435995379261E-3</v>
      </c>
      <c r="AR125" s="359">
        <f>Model!AR1008</f>
        <v>4.5969243996721171E-3</v>
      </c>
      <c r="AS125" s="359">
        <f>Model!AS1008</f>
        <v>1.0243355188621364E-2</v>
      </c>
      <c r="AT125" s="358">
        <f>Model!AT1008</f>
        <v>1.0243355188621364E-2</v>
      </c>
      <c r="AU125" s="827">
        <f>Model!AU1008</f>
        <v>1.2780497826428858E-2</v>
      </c>
      <c r="AV125" s="360">
        <v>0</v>
      </c>
      <c r="AW125" s="360">
        <v>0</v>
      </c>
      <c r="AX125" s="360">
        <v>0</v>
      </c>
      <c r="AY125" s="358">
        <f>Model!AY1008</f>
        <v>0</v>
      </c>
      <c r="AZ125" s="360">
        <v>0</v>
      </c>
      <c r="BA125" s="360">
        <v>0</v>
      </c>
      <c r="BB125" s="360">
        <v>0</v>
      </c>
      <c r="BC125" s="360">
        <v>0</v>
      </c>
      <c r="BD125" s="358">
        <f>Model!BD1008</f>
        <v>0</v>
      </c>
      <c r="BE125" s="361">
        <v>0</v>
      </c>
      <c r="BF125" s="361">
        <v>0</v>
      </c>
      <c r="BG125" s="361">
        <v>0</v>
      </c>
      <c r="BH125" s="349"/>
    </row>
    <row r="126" spans="1:60" x14ac:dyDescent="0.35">
      <c r="A126" s="981"/>
      <c r="B126" s="716"/>
      <c r="C126" s="739"/>
      <c r="D126" s="739"/>
      <c r="E126" s="739"/>
      <c r="F126" s="739"/>
      <c r="G126" s="717"/>
      <c r="H126" s="717"/>
      <c r="I126" s="717"/>
      <c r="J126" s="717"/>
      <c r="K126" s="739"/>
      <c r="L126" s="717"/>
      <c r="M126" s="717"/>
      <c r="N126" s="717"/>
      <c r="O126" s="717"/>
      <c r="P126" s="739"/>
      <c r="Q126" s="717"/>
      <c r="R126" s="717"/>
      <c r="S126" s="717"/>
      <c r="T126" s="717"/>
      <c r="U126" s="739"/>
      <c r="V126" s="717"/>
      <c r="W126" s="717"/>
      <c r="X126" s="717"/>
      <c r="Y126" s="717"/>
      <c r="Z126" s="739"/>
      <c r="AA126" s="717"/>
      <c r="AB126" s="717"/>
      <c r="AC126" s="717"/>
      <c r="AD126" s="717"/>
      <c r="AE126" s="739"/>
      <c r="AF126" s="717"/>
      <c r="AG126" s="717"/>
      <c r="AH126" s="717"/>
      <c r="AI126" s="717"/>
      <c r="AJ126" s="739"/>
      <c r="AK126" s="717"/>
      <c r="AL126" s="717"/>
      <c r="AM126" s="717"/>
      <c r="AN126" s="717"/>
      <c r="AO126" s="739"/>
      <c r="AP126" s="717"/>
      <c r="AQ126" s="717"/>
      <c r="AR126" s="717"/>
      <c r="AS126" s="717"/>
      <c r="AT126" s="739"/>
      <c r="AU126" s="982"/>
      <c r="AV126" s="717"/>
      <c r="AW126" s="717"/>
      <c r="AX126" s="717"/>
      <c r="AY126" s="739"/>
      <c r="AZ126" s="717"/>
      <c r="BA126" s="717"/>
      <c r="BB126" s="717"/>
      <c r="BC126" s="717"/>
      <c r="BD126" s="739"/>
      <c r="BE126" s="739"/>
      <c r="BF126" s="739"/>
      <c r="BG126" s="739"/>
      <c r="BH126" s="349"/>
    </row>
    <row r="127" spans="1:60" x14ac:dyDescent="0.35">
      <c r="A127" s="355" t="str">
        <f>Model!A1010</f>
        <v>D&amp;A Forecasting</v>
      </c>
      <c r="B127" s="356"/>
      <c r="C127" s="565"/>
      <c r="D127" s="565"/>
      <c r="E127" s="565"/>
      <c r="F127" s="565"/>
      <c r="G127" s="565"/>
      <c r="H127" s="565"/>
      <c r="I127" s="565"/>
      <c r="J127" s="565"/>
      <c r="K127" s="565"/>
      <c r="L127" s="565"/>
      <c r="M127" s="565"/>
      <c r="N127" s="565"/>
      <c r="O127" s="565"/>
      <c r="P127" s="565"/>
      <c r="Q127" s="565"/>
      <c r="R127" s="565"/>
      <c r="S127" s="565"/>
      <c r="T127" s="565"/>
      <c r="U127" s="565"/>
      <c r="V127" s="565"/>
      <c r="W127" s="565"/>
      <c r="X127" s="565"/>
      <c r="Y127" s="565"/>
      <c r="Z127" s="565"/>
      <c r="AA127" s="565"/>
      <c r="AB127" s="565"/>
      <c r="AC127" s="565"/>
      <c r="AD127" s="565"/>
      <c r="AE127" s="565"/>
      <c r="AF127" s="565"/>
      <c r="AG127" s="565"/>
      <c r="AH127" s="565"/>
      <c r="AI127" s="565"/>
      <c r="AJ127" s="565"/>
      <c r="AK127" s="565"/>
      <c r="AL127" s="565"/>
      <c r="AM127" s="565"/>
      <c r="AN127" s="565"/>
      <c r="AO127" s="565"/>
      <c r="AP127" s="565"/>
      <c r="AQ127" s="565"/>
      <c r="AR127" s="565"/>
      <c r="AS127" s="565"/>
      <c r="AT127" s="565"/>
      <c r="AU127" s="828"/>
      <c r="AV127" s="565"/>
      <c r="AW127" s="565"/>
      <c r="AX127" s="565"/>
      <c r="AY127" s="565"/>
      <c r="AZ127" s="565"/>
      <c r="BA127" s="565"/>
      <c r="BB127" s="565"/>
      <c r="BC127" s="565"/>
      <c r="BD127" s="565"/>
      <c r="BE127" s="565"/>
      <c r="BF127" s="565"/>
      <c r="BG127" s="565"/>
      <c r="BH127" s="349"/>
    </row>
    <row r="128" spans="1:60" x14ac:dyDescent="0.35">
      <c r="A128" s="965" t="str">
        <f>Model!A1023</f>
        <v>Depreciation as percentage of PP&amp;E BoP, %</v>
      </c>
      <c r="B128" s="432"/>
      <c r="C128" s="448">
        <f>Model!C1023</f>
        <v>0.14173685739180947</v>
      </c>
      <c r="D128" s="448">
        <f>Model!D1023</f>
        <v>0.13485714285714287</v>
      </c>
      <c r="E128" s="448">
        <f>Model!E1023</f>
        <v>0.13751888995741174</v>
      </c>
      <c r="F128" s="448">
        <f>Model!F1023</f>
        <v>0.13762066266631881</v>
      </c>
      <c r="G128" s="449">
        <f>Model!G1023</f>
        <v>0.1336038831861224</v>
      </c>
      <c r="H128" s="449">
        <f>Model!H1023</f>
        <v>0.13260663356840321</v>
      </c>
      <c r="I128" s="449">
        <f>Model!I1023</f>
        <v>0.13527904075336566</v>
      </c>
      <c r="J128" s="449">
        <f>Model!J1023</f>
        <v>0.14088747529644269</v>
      </c>
      <c r="K128" s="448">
        <f>Model!K1023</f>
        <v>0.13547386010981141</v>
      </c>
      <c r="L128" s="449">
        <f>Model!L1023</f>
        <v>0.13734139826372838</v>
      </c>
      <c r="M128" s="449">
        <f>Model!M1023</f>
        <v>0.13989660397539888</v>
      </c>
      <c r="N128" s="449">
        <f>Model!N1023</f>
        <v>0.13430201997446875</v>
      </c>
      <c r="O128" s="449">
        <f>Model!O1023</f>
        <v>0.13630759629010064</v>
      </c>
      <c r="P128" s="448">
        <f>Model!P1023</f>
        <v>0.13638465094775776</v>
      </c>
      <c r="Q128" s="449">
        <f>Model!Q1023</f>
        <v>0.13663433724689469</v>
      </c>
      <c r="R128" s="449">
        <f>Model!R1023</f>
        <v>0.14231604745724949</v>
      </c>
      <c r="S128" s="449">
        <f>Model!S1023</f>
        <v>0.13667613386059382</v>
      </c>
      <c r="T128" s="449">
        <f>Model!T1023</f>
        <v>0.15785252297110006</v>
      </c>
      <c r="U128" s="448">
        <f>Model!U1023</f>
        <v>0.14206620332194606</v>
      </c>
      <c r="V128" s="449">
        <f>Model!V1023</f>
        <v>0.13697869951539945</v>
      </c>
      <c r="W128" s="449">
        <f>Model!W1023</f>
        <v>0.14007353222584243</v>
      </c>
      <c r="X128" s="449">
        <f>Model!X1023</f>
        <v>0.14102389181978048</v>
      </c>
      <c r="Y128" s="449">
        <f>Model!Y1023</f>
        <v>0.14543982189507254</v>
      </c>
      <c r="Z128" s="448">
        <f>Model!Z1023</f>
        <v>0.14233705226071638</v>
      </c>
      <c r="AA128" s="449">
        <f>Model!AA1023</f>
        <v>0.17810918010542245</v>
      </c>
      <c r="AB128" s="449">
        <f>Model!AB1023</f>
        <v>0.15619919783175543</v>
      </c>
      <c r="AC128" s="449">
        <f>Model!AC1023</f>
        <v>0.15098874214538774</v>
      </c>
      <c r="AD128" s="449">
        <f>Model!AD1023</f>
        <v>0.12509792401096748</v>
      </c>
      <c r="AE128" s="448">
        <f>Model!AE1023</f>
        <v>0.15335838421794271</v>
      </c>
      <c r="AF128" s="449">
        <f>Model!AF1023</f>
        <v>0.14546206481690352</v>
      </c>
      <c r="AG128" s="449">
        <f>Model!AG1023</f>
        <v>0.14344353750942199</v>
      </c>
      <c r="AH128" s="449">
        <f>Model!AH1023</f>
        <v>0.13492342897377221</v>
      </c>
      <c r="AI128" s="449">
        <f>Model!AI1023</f>
        <v>0.14251347674945841</v>
      </c>
      <c r="AJ128" s="448">
        <f>Model!AJ1023</f>
        <v>0.13974734942476877</v>
      </c>
      <c r="AK128" s="449">
        <f>Model!AK1023</f>
        <v>0.14202334630350194</v>
      </c>
      <c r="AL128" s="449">
        <f>Model!AL1023</f>
        <v>0.13901490965711147</v>
      </c>
      <c r="AM128" s="449">
        <f>Model!AM1023</f>
        <v>0.13668496380838252</v>
      </c>
      <c r="AN128" s="449">
        <f>Model!AN1023</f>
        <v>0.14725442924696691</v>
      </c>
      <c r="AO128" s="448">
        <f>Model!AO1023</f>
        <v>0.14328221560997939</v>
      </c>
      <c r="AP128" s="449">
        <f>Model!AP1023</f>
        <v>0.13186813186813187</v>
      </c>
      <c r="AQ128" s="449">
        <f>Model!AQ1023</f>
        <v>0.15710508803798492</v>
      </c>
      <c r="AR128" s="449">
        <f>Model!AR1023</f>
        <v>0.15056901079661511</v>
      </c>
      <c r="AS128" s="449">
        <f>Model!AS1023</f>
        <v>0.15799082880434784</v>
      </c>
      <c r="AT128" s="448">
        <f>Model!AT1023</f>
        <v>0.14721954355512698</v>
      </c>
      <c r="AU128" s="784">
        <f>Model!AU1023</f>
        <v>0.14076708063545981</v>
      </c>
      <c r="AV128" s="450">
        <v>0.14499999999999999</v>
      </c>
      <c r="AW128" s="450">
        <v>0.14499999999999999</v>
      </c>
      <c r="AX128" s="450">
        <v>0.14499999999999999</v>
      </c>
      <c r="AY128" s="448">
        <f>Model!AY1023</f>
        <v>0.14394177015886495</v>
      </c>
      <c r="AZ128" s="450">
        <v>0.14499999999999999</v>
      </c>
      <c r="BA128" s="450">
        <v>0.14499999999999999</v>
      </c>
      <c r="BB128" s="450">
        <v>0.14499999999999999</v>
      </c>
      <c r="BC128" s="450">
        <v>0.14499999999999999</v>
      </c>
      <c r="BD128" s="448">
        <f>Model!BD1023</f>
        <v>0.14499999999999999</v>
      </c>
      <c r="BE128" s="451">
        <v>0.14499999999999999</v>
      </c>
      <c r="BF128" s="451">
        <v>0.14499999999999999</v>
      </c>
      <c r="BG128" s="451">
        <v>0.14499999999999999</v>
      </c>
      <c r="BH128" s="349"/>
    </row>
    <row r="129" spans="1:60" x14ac:dyDescent="0.35">
      <c r="A129" s="966" t="str">
        <f>Model!A1030</f>
        <v>Percentage of capex allocated to intangible assets, %</v>
      </c>
      <c r="B129" s="432"/>
      <c r="C129" s="448"/>
      <c r="D129" s="448"/>
      <c r="E129" s="448"/>
      <c r="F129" s="448"/>
      <c r="G129" s="449"/>
      <c r="H129" s="449"/>
      <c r="I129" s="449"/>
      <c r="J129" s="449"/>
      <c r="K129" s="448"/>
      <c r="L129" s="449"/>
      <c r="M129" s="449"/>
      <c r="N129" s="449"/>
      <c r="O129" s="449"/>
      <c r="P129" s="448"/>
      <c r="Q129" s="449"/>
      <c r="R129" s="449"/>
      <c r="S129" s="449"/>
      <c r="T129" s="449"/>
      <c r="U129" s="448"/>
      <c r="V129" s="449"/>
      <c r="W129" s="449"/>
      <c r="X129" s="449"/>
      <c r="Y129" s="449"/>
      <c r="Z129" s="448"/>
      <c r="AA129" s="449"/>
      <c r="AB129" s="449"/>
      <c r="AC129" s="449"/>
      <c r="AD129" s="449"/>
      <c r="AE129" s="448"/>
      <c r="AF129" s="449"/>
      <c r="AG129" s="449"/>
      <c r="AH129" s="449"/>
      <c r="AI129" s="449"/>
      <c r="AJ129" s="448"/>
      <c r="AK129" s="449"/>
      <c r="AL129" s="449"/>
      <c r="AM129" s="449"/>
      <c r="AN129" s="449"/>
      <c r="AO129" s="448"/>
      <c r="AP129" s="449"/>
      <c r="AQ129" s="449"/>
      <c r="AR129" s="449"/>
      <c r="AS129" s="449"/>
      <c r="AT129" s="448"/>
      <c r="AU129" s="784"/>
      <c r="AV129" s="450">
        <v>0.3</v>
      </c>
      <c r="AW129" s="450">
        <v>0.3</v>
      </c>
      <c r="AX129" s="450">
        <v>0.3</v>
      </c>
      <c r="AY129" s="448">
        <f>Model!AY1030</f>
        <v>0.3</v>
      </c>
      <c r="AZ129" s="450">
        <v>0.3</v>
      </c>
      <c r="BA129" s="450">
        <v>0.3</v>
      </c>
      <c r="BB129" s="450">
        <v>0.3</v>
      </c>
      <c r="BC129" s="450">
        <v>0.3</v>
      </c>
      <c r="BD129" s="448">
        <f>Model!BD1030</f>
        <v>0.3</v>
      </c>
      <c r="BE129" s="451">
        <v>0.3</v>
      </c>
      <c r="BF129" s="451">
        <v>0.3</v>
      </c>
      <c r="BG129" s="451">
        <v>0.3</v>
      </c>
      <c r="BH129" s="349"/>
    </row>
    <row r="130" spans="1:60" x14ac:dyDescent="0.35">
      <c r="A130" s="965"/>
      <c r="B130" s="432"/>
      <c r="C130" s="448"/>
      <c r="D130" s="448"/>
      <c r="E130" s="448"/>
      <c r="F130" s="448"/>
      <c r="G130" s="449"/>
      <c r="H130" s="449"/>
      <c r="I130" s="449"/>
      <c r="J130" s="449"/>
      <c r="K130" s="448"/>
      <c r="L130" s="449"/>
      <c r="M130" s="449"/>
      <c r="N130" s="449"/>
      <c r="O130" s="449"/>
      <c r="P130" s="448"/>
      <c r="Q130" s="449"/>
      <c r="R130" s="449"/>
      <c r="S130" s="449"/>
      <c r="T130" s="449"/>
      <c r="U130" s="448"/>
      <c r="V130" s="449"/>
      <c r="W130" s="449"/>
      <c r="X130" s="449"/>
      <c r="Y130" s="449"/>
      <c r="Z130" s="448"/>
      <c r="AA130" s="449"/>
      <c r="AB130" s="449"/>
      <c r="AC130" s="449"/>
      <c r="AD130" s="449"/>
      <c r="AE130" s="448"/>
      <c r="AF130" s="449"/>
      <c r="AG130" s="449"/>
      <c r="AH130" s="449"/>
      <c r="AI130" s="449"/>
      <c r="AJ130" s="448"/>
      <c r="AK130" s="449"/>
      <c r="AL130" s="449"/>
      <c r="AM130" s="449"/>
      <c r="AN130" s="449"/>
      <c r="AO130" s="448"/>
      <c r="AP130" s="449"/>
      <c r="AQ130" s="449"/>
      <c r="AR130" s="449"/>
      <c r="AS130" s="449"/>
      <c r="AT130" s="448"/>
      <c r="AU130" s="784"/>
      <c r="AV130" s="449"/>
      <c r="AW130" s="449"/>
      <c r="AX130" s="449"/>
      <c r="AY130" s="448"/>
      <c r="AZ130" s="449"/>
      <c r="BA130" s="449"/>
      <c r="BB130" s="449"/>
      <c r="BC130" s="449"/>
      <c r="BD130" s="448"/>
      <c r="BE130" s="448"/>
      <c r="BF130" s="448"/>
      <c r="BG130" s="448"/>
      <c r="BH130" s="349"/>
    </row>
    <row r="131" spans="1:60" x14ac:dyDescent="0.35">
      <c r="A131" s="582" t="s">
        <v>778</v>
      </c>
      <c r="B131" s="354"/>
      <c r="C131" s="354"/>
      <c r="D131" s="354"/>
      <c r="E131" s="354"/>
      <c r="F131" s="354"/>
      <c r="G131" s="354"/>
      <c r="H131" s="354"/>
      <c r="I131" s="354"/>
      <c r="J131" s="354"/>
      <c r="K131" s="354"/>
      <c r="L131" s="354"/>
      <c r="M131" s="354"/>
      <c r="N131" s="354"/>
      <c r="O131" s="354"/>
      <c r="P131" s="354"/>
      <c r="Q131" s="354"/>
      <c r="R131" s="354"/>
      <c r="S131" s="354"/>
      <c r="T131" s="354"/>
      <c r="U131" s="354"/>
      <c r="V131" s="354"/>
      <c r="W131" s="354"/>
      <c r="X131" s="354"/>
      <c r="Y131" s="354"/>
      <c r="Z131" s="354"/>
      <c r="AA131" s="354"/>
      <c r="AB131" s="354"/>
      <c r="AC131" s="354"/>
      <c r="AD131" s="354"/>
      <c r="AE131" s="354"/>
      <c r="AF131" s="354"/>
      <c r="AG131" s="354"/>
      <c r="AH131" s="354"/>
      <c r="AI131" s="354"/>
      <c r="AJ131" s="354"/>
      <c r="AK131" s="354"/>
      <c r="AL131" s="354"/>
      <c r="AM131" s="354"/>
      <c r="AN131" s="354"/>
      <c r="AO131" s="354"/>
      <c r="AP131" s="354"/>
      <c r="AQ131" s="354"/>
      <c r="AR131" s="354"/>
      <c r="AS131" s="354"/>
      <c r="AT131" s="354"/>
      <c r="AU131" s="354"/>
      <c r="AV131" s="354"/>
      <c r="AW131" s="354"/>
      <c r="AX131" s="354"/>
      <c r="AY131" s="354"/>
      <c r="AZ131" s="354"/>
      <c r="BA131" s="354"/>
      <c r="BB131" s="354"/>
      <c r="BC131" s="354"/>
      <c r="BD131" s="354"/>
      <c r="BE131" s="354"/>
      <c r="BF131" s="354"/>
      <c r="BG131" s="354"/>
      <c r="BH131" s="349"/>
    </row>
    <row r="132" spans="1:60" x14ac:dyDescent="0.35">
      <c r="A132" s="349"/>
      <c r="B132" s="349"/>
      <c r="C132" s="349"/>
      <c r="D132" s="349"/>
      <c r="E132" s="349"/>
      <c r="F132" s="349"/>
      <c r="G132" s="349"/>
      <c r="H132" s="349"/>
      <c r="I132" s="349"/>
      <c r="J132" s="349"/>
      <c r="K132" s="349"/>
      <c r="L132" s="349"/>
      <c r="M132" s="349"/>
      <c r="N132" s="349"/>
      <c r="O132" s="349"/>
      <c r="P132" s="349"/>
      <c r="Q132" s="349"/>
      <c r="R132" s="349"/>
      <c r="S132" s="349"/>
      <c r="T132" s="349"/>
      <c r="U132" s="349"/>
      <c r="V132" s="349"/>
      <c r="W132" s="349"/>
      <c r="X132" s="349"/>
      <c r="Y132" s="349"/>
      <c r="Z132" s="349"/>
      <c r="AA132" s="349"/>
      <c r="AB132" s="349"/>
      <c r="AC132" s="349"/>
      <c r="AD132" s="349"/>
      <c r="AE132" s="349"/>
      <c r="AF132" s="349"/>
      <c r="AG132" s="349"/>
      <c r="AH132" s="349"/>
      <c r="AI132" s="349"/>
      <c r="AJ132" s="349"/>
      <c r="AK132" s="349"/>
      <c r="AL132" s="349"/>
      <c r="AM132" s="349"/>
      <c r="AN132" s="349"/>
      <c r="AO132" s="349"/>
      <c r="AP132" s="349"/>
      <c r="AQ132" s="349"/>
      <c r="AR132" s="349"/>
      <c r="AS132" s="349"/>
      <c r="AT132" s="349"/>
      <c r="AU132" s="349"/>
      <c r="AV132" s="349"/>
      <c r="AW132" s="349"/>
      <c r="AX132" s="349"/>
      <c r="AY132" s="349"/>
      <c r="AZ132" s="349"/>
      <c r="BA132" s="349"/>
      <c r="BB132" s="349"/>
      <c r="BC132" s="349"/>
      <c r="BD132" s="349"/>
      <c r="BE132" s="349"/>
      <c r="BF132" s="349"/>
      <c r="BG132" s="349"/>
      <c r="BH132" s="349"/>
    </row>
  </sheetData>
  <pageMargins left="0.75" right="0.75" top="1" bottom="1" header="0.5" footer="0.5"/>
  <pageSetup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H1195"/>
  <sheetViews>
    <sheetView zoomScale="85" zoomScaleNormal="85" workbookViewId="0">
      <pane xSplit="2" ySplit="5" topLeftCell="C6" activePane="bottomRight" state="frozen"/>
      <selection pane="topRight" activeCell="C1" sqref="C1"/>
      <selection pane="bottomLeft" activeCell="A6" sqref="A6"/>
      <selection pane="bottomRight"/>
    </sheetView>
  </sheetViews>
  <sheetFormatPr defaultColWidth="9.1796875" defaultRowHeight="14.5" outlineLevelRow="2" outlineLevelCol="1" x14ac:dyDescent="0.35"/>
  <cols>
    <col min="1" max="1" width="50.7265625" style="44" customWidth="1"/>
    <col min="2" max="2" width="10.7265625" style="44" customWidth="1"/>
    <col min="3" max="6" width="10.26953125" style="44" customWidth="1"/>
    <col min="7" max="10" width="10.26953125" style="44" hidden="1" customWidth="1" outlineLevel="1"/>
    <col min="11" max="11" width="10.26953125" style="44" customWidth="1" collapsed="1"/>
    <col min="12" max="15" width="10.26953125" style="44" hidden="1" customWidth="1" outlineLevel="1"/>
    <col min="16" max="16" width="10.26953125" style="44" customWidth="1" collapsed="1"/>
    <col min="17" max="20" width="10.26953125" style="44" hidden="1" customWidth="1" outlineLevel="1"/>
    <col min="21" max="21" width="10.26953125" style="44" customWidth="1" collapsed="1"/>
    <col min="22" max="22" width="10.26953125" style="44" hidden="1" customWidth="1" outlineLevel="1"/>
    <col min="23" max="24" width="10.26953125" style="85" hidden="1" customWidth="1" outlineLevel="1"/>
    <col min="25" max="25" width="10.26953125" style="44" hidden="1" customWidth="1" outlineLevel="1"/>
    <col min="26" max="26" width="10.26953125" style="44" customWidth="1" collapsed="1"/>
    <col min="27" max="30" width="10.26953125" style="44" hidden="1" customWidth="1" outlineLevel="1"/>
    <col min="31" max="31" width="10.26953125" style="44" customWidth="1" collapsed="1"/>
    <col min="32" max="33" width="10.26953125" style="44" hidden="1" customWidth="1" outlineLevel="1"/>
    <col min="34" max="34" width="10.26953125" style="85" hidden="1" customWidth="1" outlineLevel="1"/>
    <col min="35" max="35" width="10.26953125" style="44" hidden="1" customWidth="1" outlineLevel="1"/>
    <col min="36" max="36" width="10.26953125" style="44" customWidth="1" collapsed="1"/>
    <col min="37" max="40" width="10.26953125" style="44" hidden="1" customWidth="1" outlineLevel="1"/>
    <col min="41" max="41" width="10.26953125" style="44" customWidth="1" collapsed="1"/>
    <col min="42" max="45" width="10.26953125" style="44" customWidth="1" outlineLevel="1"/>
    <col min="46" max="46" width="10.26953125" style="44" customWidth="1"/>
    <col min="47" max="50" width="9.1796875" style="44" customWidth="1" outlineLevel="1"/>
    <col min="51" max="51" width="10.26953125" style="44"/>
    <col min="52" max="55" width="10.26953125" style="44" customWidth="1" outlineLevel="1"/>
    <col min="56" max="59" width="10.26953125" style="44" customWidth="1"/>
    <col min="60" max="60" width="8.81640625" style="44" customWidth="1"/>
    <col min="61" max="63" width="9.1796875" style="44" customWidth="1"/>
    <col min="64" max="16384" width="9.1796875" style="44"/>
  </cols>
  <sheetData>
    <row r="1" spans="1:60" s="383" customFormat="1" ht="28.5" x14ac:dyDescent="0.65">
      <c r="A1" s="83" t="s">
        <v>10</v>
      </c>
      <c r="B1" s="747"/>
      <c r="C1" s="747"/>
      <c r="D1" s="747"/>
      <c r="E1" s="747"/>
      <c r="F1" s="747"/>
      <c r="G1" s="747"/>
      <c r="H1" s="747"/>
      <c r="I1" s="747"/>
      <c r="J1" s="747"/>
      <c r="K1" s="747"/>
      <c r="L1" s="747"/>
      <c r="M1" s="747"/>
      <c r="N1" s="747"/>
      <c r="O1" s="747"/>
      <c r="P1" s="747"/>
      <c r="Q1" s="747"/>
      <c r="R1" s="747"/>
      <c r="S1" s="747"/>
      <c r="T1" s="747"/>
      <c r="U1" s="747"/>
      <c r="V1" s="747"/>
      <c r="W1" s="747"/>
      <c r="X1" s="747"/>
      <c r="Y1" s="747"/>
      <c r="Z1" s="747"/>
      <c r="AA1" s="748"/>
      <c r="AB1" s="748"/>
      <c r="AC1" s="748"/>
      <c r="AD1" s="748"/>
      <c r="AE1" s="748"/>
      <c r="AF1" s="747"/>
      <c r="AG1" s="747"/>
      <c r="AH1" s="747"/>
      <c r="AI1" s="747"/>
      <c r="AJ1" s="747"/>
      <c r="AK1" s="747"/>
      <c r="AL1" s="747"/>
      <c r="AM1" s="747"/>
      <c r="AN1" s="747"/>
      <c r="AO1" s="747"/>
      <c r="AP1" s="747"/>
      <c r="AQ1" s="747"/>
      <c r="AR1" s="747"/>
      <c r="AS1" s="747"/>
      <c r="AT1" s="747"/>
      <c r="AU1" s="786"/>
      <c r="AV1" s="747"/>
      <c r="AW1" s="747"/>
      <c r="AX1" s="747"/>
      <c r="AY1" s="747"/>
      <c r="AZ1" s="747"/>
      <c r="BA1" s="747"/>
      <c r="BB1" s="747"/>
      <c r="BC1" s="747"/>
      <c r="BD1" s="747"/>
      <c r="BE1" s="747"/>
      <c r="BF1" s="747"/>
      <c r="BG1" s="747"/>
      <c r="BH1" s="749"/>
    </row>
    <row r="2" spans="1:60" s="84" customFormat="1" x14ac:dyDescent="0.35">
      <c r="A2" s="662" t="str">
        <f>CHOOSE(MO.DataSourceIndex,MO.Ticker.Bloomberg,MO.Ticker.CapIQ,MO.Ticker.FactSet,MO.Ticker.Thomson)</f>
        <v>MMM US</v>
      </c>
      <c r="B2" s="670"/>
      <c r="C2" s="272">
        <f>EOMONTH(C4,-12)</f>
        <v>39813</v>
      </c>
      <c r="D2" s="277"/>
      <c r="E2" s="277"/>
      <c r="F2" s="277"/>
      <c r="G2" s="277"/>
      <c r="H2" s="277"/>
      <c r="I2" s="277"/>
      <c r="J2" s="277"/>
      <c r="K2" s="277"/>
      <c r="L2" s="277"/>
      <c r="M2" s="277"/>
      <c r="N2" s="277"/>
      <c r="O2" s="277"/>
      <c r="P2" s="277"/>
      <c r="Q2" s="277"/>
      <c r="R2" s="277"/>
      <c r="S2" s="277"/>
      <c r="T2" s="277"/>
      <c r="U2" s="277"/>
      <c r="V2" s="277"/>
      <c r="W2" s="277"/>
      <c r="X2" s="277"/>
      <c r="Y2" s="277"/>
      <c r="Z2" s="277"/>
      <c r="AA2" s="558" t="s">
        <v>11</v>
      </c>
      <c r="AB2" s="558" t="s">
        <v>11</v>
      </c>
      <c r="AC2" s="558" t="s">
        <v>11</v>
      </c>
      <c r="AD2" s="558" t="s">
        <v>11</v>
      </c>
      <c r="AE2" s="558" t="s">
        <v>11</v>
      </c>
      <c r="AF2" s="277"/>
      <c r="AG2" s="277"/>
      <c r="AH2" s="277"/>
      <c r="AI2" s="277"/>
      <c r="AJ2" s="277"/>
      <c r="AK2" s="558" t="s">
        <v>11</v>
      </c>
      <c r="AL2" s="558" t="s">
        <v>11</v>
      </c>
      <c r="AM2" s="558" t="s">
        <v>11</v>
      </c>
      <c r="AN2" s="558" t="s">
        <v>11</v>
      </c>
      <c r="AO2" s="558" t="s">
        <v>11</v>
      </c>
      <c r="AP2" s="558" t="s">
        <v>1072</v>
      </c>
      <c r="AQ2" s="558" t="s">
        <v>1072</v>
      </c>
      <c r="AR2" s="558" t="s">
        <v>1072</v>
      </c>
      <c r="AS2" s="558" t="s">
        <v>1072</v>
      </c>
      <c r="AT2" s="558" t="s">
        <v>1072</v>
      </c>
      <c r="AU2" s="822"/>
      <c r="AV2" s="277"/>
      <c r="AW2" s="277"/>
      <c r="AX2" s="277"/>
      <c r="AY2" s="277"/>
      <c r="AZ2" s="277"/>
      <c r="BA2" s="277"/>
      <c r="BB2" s="277"/>
      <c r="BC2" s="277"/>
      <c r="BD2" s="277"/>
      <c r="BE2" s="277"/>
      <c r="BF2" s="277"/>
      <c r="BG2" s="277"/>
      <c r="BH2" s="362"/>
    </row>
    <row r="3" spans="1:60" s="51" customFormat="1" x14ac:dyDescent="0.35">
      <c r="A3" s="663" t="str">
        <f ca="1">HP.TradeCurrency</f>
        <v>USD</v>
      </c>
      <c r="B3" s="664">
        <f ca="1">Drivers!B3</f>
        <v>195.93</v>
      </c>
      <c r="C3" s="727">
        <f>C4-C2</f>
        <v>365</v>
      </c>
      <c r="D3" s="727">
        <f t="shared" ref="D3:J3" si="0">D4-C4</f>
        <v>365</v>
      </c>
      <c r="E3" s="727">
        <f t="shared" si="0"/>
        <v>365</v>
      </c>
      <c r="F3" s="727">
        <f t="shared" si="0"/>
        <v>366</v>
      </c>
      <c r="G3" s="138">
        <f t="shared" si="0"/>
        <v>90</v>
      </c>
      <c r="H3" s="138">
        <f t="shared" si="0"/>
        <v>91</v>
      </c>
      <c r="I3" s="138">
        <f t="shared" si="0"/>
        <v>92</v>
      </c>
      <c r="J3" s="138">
        <f t="shared" si="0"/>
        <v>92</v>
      </c>
      <c r="K3" s="727">
        <f>K4-F4</f>
        <v>365</v>
      </c>
      <c r="L3" s="138">
        <f>L4-K4</f>
        <v>90</v>
      </c>
      <c r="M3" s="138">
        <f>M4-L4</f>
        <v>91</v>
      </c>
      <c r="N3" s="138">
        <f>N4-M4</f>
        <v>92</v>
      </c>
      <c r="O3" s="138">
        <f>O4-N4</f>
        <v>92</v>
      </c>
      <c r="P3" s="727">
        <f>P4-K4</f>
        <v>365</v>
      </c>
      <c r="Q3" s="138">
        <f>Q4-P4</f>
        <v>90</v>
      </c>
      <c r="R3" s="138">
        <f>R4-Q4</f>
        <v>91</v>
      </c>
      <c r="S3" s="138">
        <f>S4-R4</f>
        <v>92</v>
      </c>
      <c r="T3" s="138">
        <f>T4-S4</f>
        <v>92</v>
      </c>
      <c r="U3" s="727">
        <f>U4-P4</f>
        <v>365</v>
      </c>
      <c r="V3" s="138">
        <f>V4-U4</f>
        <v>91</v>
      </c>
      <c r="W3" s="138">
        <f>W4-V4</f>
        <v>91</v>
      </c>
      <c r="X3" s="138">
        <f>X4-W4</f>
        <v>92</v>
      </c>
      <c r="Y3" s="138">
        <f>Y4-X4</f>
        <v>92</v>
      </c>
      <c r="Z3" s="727">
        <f>Z4-U4</f>
        <v>366</v>
      </c>
      <c r="AA3" s="138">
        <f>AA4-Z4</f>
        <v>90</v>
      </c>
      <c r="AB3" s="138">
        <f>AB4-AA4</f>
        <v>91</v>
      </c>
      <c r="AC3" s="138">
        <f>AC4-AB4</f>
        <v>92</v>
      </c>
      <c r="AD3" s="138">
        <f>AD4-AC4</f>
        <v>92</v>
      </c>
      <c r="AE3" s="727">
        <f>AE4-Z4</f>
        <v>365</v>
      </c>
      <c r="AF3" s="138">
        <f>AF4-AE4</f>
        <v>90</v>
      </c>
      <c r="AG3" s="138">
        <f>AG4-AF4</f>
        <v>91</v>
      </c>
      <c r="AH3" s="138">
        <f>AH4-AG4</f>
        <v>92</v>
      </c>
      <c r="AI3" s="138">
        <f>AI4-AH4</f>
        <v>92</v>
      </c>
      <c r="AJ3" s="727">
        <f>AJ4-AE4</f>
        <v>365</v>
      </c>
      <c r="AK3" s="138">
        <f>AK4-AJ4</f>
        <v>90</v>
      </c>
      <c r="AL3" s="138">
        <f>AL4-AK4</f>
        <v>91</v>
      </c>
      <c r="AM3" s="138">
        <f>AM4-AL4</f>
        <v>92</v>
      </c>
      <c r="AN3" s="138">
        <f>AN4-AM4</f>
        <v>92</v>
      </c>
      <c r="AO3" s="727">
        <f>AO4-AJ4</f>
        <v>365</v>
      </c>
      <c r="AP3" s="138">
        <f>AP4-AO4</f>
        <v>91</v>
      </c>
      <c r="AQ3" s="138">
        <f>AQ4-AP4</f>
        <v>91</v>
      </c>
      <c r="AR3" s="138">
        <f>AR4-AQ4</f>
        <v>92</v>
      </c>
      <c r="AS3" s="138">
        <f>AS4-AR4</f>
        <v>92</v>
      </c>
      <c r="AT3" s="727">
        <f>AT4-AO4</f>
        <v>366</v>
      </c>
      <c r="AU3" s="755">
        <f>AU4-AT4</f>
        <v>90</v>
      </c>
      <c r="AV3" s="139">
        <f>AV4-AU4</f>
        <v>91</v>
      </c>
      <c r="AW3" s="139">
        <f>AW4-AV4</f>
        <v>92</v>
      </c>
      <c r="AX3" s="139">
        <f>AX4-AW4</f>
        <v>92</v>
      </c>
      <c r="AY3" s="742">
        <f>AY4-AT4</f>
        <v>365</v>
      </c>
      <c r="AZ3" s="139">
        <f>AZ4-AY4</f>
        <v>90</v>
      </c>
      <c r="BA3" s="139">
        <f>BA4-AZ4</f>
        <v>91</v>
      </c>
      <c r="BB3" s="139">
        <f>BB4-BA4</f>
        <v>92</v>
      </c>
      <c r="BC3" s="139">
        <f>BC4-BB4</f>
        <v>92</v>
      </c>
      <c r="BD3" s="742">
        <f>BD4-AY4</f>
        <v>365</v>
      </c>
      <c r="BE3" s="742">
        <f>BE4-BD4</f>
        <v>365</v>
      </c>
      <c r="BF3" s="742">
        <f>BF4-BE4</f>
        <v>366</v>
      </c>
      <c r="BG3" s="742">
        <f>BG4-BF4</f>
        <v>365</v>
      </c>
      <c r="BH3" s="665"/>
    </row>
    <row r="4" spans="1:60" s="85" customFormat="1" x14ac:dyDescent="0.35">
      <c r="A4" s="666" t="str">
        <f>FP.DataSourceName</f>
        <v>Bloomberg</v>
      </c>
      <c r="B4" s="456" t="str">
        <f ca="1">IF(AND(MO.RealTimeStockPriceToggle,MO.LastPriceFormula&lt;&gt;"N/A"),"ON","OFF")</f>
        <v>OFF</v>
      </c>
      <c r="C4" s="728">
        <v>40178</v>
      </c>
      <c r="D4" s="740">
        <f>EOMONTH(C4,12)</f>
        <v>40543</v>
      </c>
      <c r="E4" s="740">
        <f>EOMONTH(D4,12)</f>
        <v>40908</v>
      </c>
      <c r="F4" s="740">
        <f>EOMONTH(E4,12)</f>
        <v>41274</v>
      </c>
      <c r="G4" s="270">
        <f>EOMONTH(F4,3)</f>
        <v>41364</v>
      </c>
      <c r="H4" s="270">
        <f>EOMONTH(G4,3)</f>
        <v>41455</v>
      </c>
      <c r="I4" s="270">
        <f>EOMONTH(H4,3)</f>
        <v>41547</v>
      </c>
      <c r="J4" s="270">
        <f>EOMONTH(I4,3)</f>
        <v>41639</v>
      </c>
      <c r="K4" s="740">
        <f>J4</f>
        <v>41639</v>
      </c>
      <c r="L4" s="270">
        <f>EOMONTH(K4,3)</f>
        <v>41729</v>
      </c>
      <c r="M4" s="270">
        <f>EOMONTH(L4,3)</f>
        <v>41820</v>
      </c>
      <c r="N4" s="270">
        <f>EOMONTH(M4,3)</f>
        <v>41912</v>
      </c>
      <c r="O4" s="270">
        <f>EOMONTH(N4,3)</f>
        <v>42004</v>
      </c>
      <c r="P4" s="740">
        <f>O4</f>
        <v>42004</v>
      </c>
      <c r="Q4" s="270">
        <f>EOMONTH(P4,3)</f>
        <v>42094</v>
      </c>
      <c r="R4" s="270">
        <f>EOMONTH(Q4,3)</f>
        <v>42185</v>
      </c>
      <c r="S4" s="270">
        <f>EOMONTH(R4,3)</f>
        <v>42277</v>
      </c>
      <c r="T4" s="270">
        <f>EOMONTH(S4,3)</f>
        <v>42369</v>
      </c>
      <c r="U4" s="740">
        <f>T4</f>
        <v>42369</v>
      </c>
      <c r="V4" s="270">
        <f>EOMONTH(U4,3)</f>
        <v>42460</v>
      </c>
      <c r="W4" s="140">
        <f>EOMONTH(V4,3)</f>
        <v>42551</v>
      </c>
      <c r="X4" s="140">
        <f>EOMONTH(W4,3)</f>
        <v>42643</v>
      </c>
      <c r="Y4" s="270">
        <f>EOMONTH(X4,3)</f>
        <v>42735</v>
      </c>
      <c r="Z4" s="740">
        <f>Y4</f>
        <v>42735</v>
      </c>
      <c r="AA4" s="270">
        <f>EOMONTH(Z4,3)</f>
        <v>42825</v>
      </c>
      <c r="AB4" s="140">
        <f>EOMONTH(AA4,3)</f>
        <v>42916</v>
      </c>
      <c r="AC4" s="140">
        <f>EOMONTH(AB4,3)</f>
        <v>43008</v>
      </c>
      <c r="AD4" s="270">
        <f>EOMONTH(AC4,3)</f>
        <v>43100</v>
      </c>
      <c r="AE4" s="740">
        <f>AD4</f>
        <v>43100</v>
      </c>
      <c r="AF4" s="270">
        <f>EOMONTH(AE4,3)</f>
        <v>43190</v>
      </c>
      <c r="AG4" s="140">
        <f>EOMONTH(AF4,3)</f>
        <v>43281</v>
      </c>
      <c r="AH4" s="140">
        <f>EOMONTH(AG4,3)</f>
        <v>43373</v>
      </c>
      <c r="AI4" s="270">
        <f>EOMONTH(AH4,3)</f>
        <v>43465</v>
      </c>
      <c r="AJ4" s="740">
        <f>AI4</f>
        <v>43465</v>
      </c>
      <c r="AK4" s="270">
        <f>EOMONTH(AJ4,3)</f>
        <v>43555</v>
      </c>
      <c r="AL4" s="140">
        <f>EOMONTH(AK4,3)</f>
        <v>43646</v>
      </c>
      <c r="AM4" s="140">
        <f>EOMONTH(AL4,3)</f>
        <v>43738</v>
      </c>
      <c r="AN4" s="270">
        <f>EOMONTH(AM4,3)</f>
        <v>43830</v>
      </c>
      <c r="AO4" s="740">
        <f>AN4</f>
        <v>43830</v>
      </c>
      <c r="AP4" s="270">
        <f>EOMONTH(AO4,3)</f>
        <v>43921</v>
      </c>
      <c r="AQ4" s="140">
        <f>EOMONTH(AP4,3)</f>
        <v>44012</v>
      </c>
      <c r="AR4" s="140">
        <f>EOMONTH(AQ4,3)</f>
        <v>44104</v>
      </c>
      <c r="AS4" s="270">
        <f>EOMONTH(AR4,3)</f>
        <v>44196</v>
      </c>
      <c r="AT4" s="740">
        <f>AS4</f>
        <v>44196</v>
      </c>
      <c r="AU4" s="756">
        <f>EOMONTH(AT4,3)</f>
        <v>44286</v>
      </c>
      <c r="AV4" s="141">
        <f>EOMONTH(AU4,3)</f>
        <v>44377</v>
      </c>
      <c r="AW4" s="141">
        <f>EOMONTH(AV4,3)</f>
        <v>44469</v>
      </c>
      <c r="AX4" s="141">
        <f>EOMONTH(AW4,3)</f>
        <v>44561</v>
      </c>
      <c r="AY4" s="743">
        <f>AX4</f>
        <v>44561</v>
      </c>
      <c r="AZ4" s="141">
        <f>EOMONTH(AY4,3)</f>
        <v>44651</v>
      </c>
      <c r="BA4" s="141">
        <f>EOMONTH(AZ4,3)</f>
        <v>44742</v>
      </c>
      <c r="BB4" s="141">
        <f>EOMONTH(BA4,3)</f>
        <v>44834</v>
      </c>
      <c r="BC4" s="141">
        <f>EOMONTH(BB4,3)</f>
        <v>44926</v>
      </c>
      <c r="BD4" s="743">
        <f>BC4</f>
        <v>44926</v>
      </c>
      <c r="BE4" s="743">
        <f>EOMONTH(BD4,12)</f>
        <v>45291</v>
      </c>
      <c r="BF4" s="743">
        <f>EOMONTH(BE4,12)</f>
        <v>45657</v>
      </c>
      <c r="BG4" s="743">
        <f>EOMONTH(BF4,12)</f>
        <v>46022</v>
      </c>
      <c r="BH4" s="349"/>
    </row>
    <row r="5" spans="1:60" s="86" customFormat="1" x14ac:dyDescent="0.35">
      <c r="A5" s="158" t="str">
        <f>MO.ReportCurrency</f>
        <v>USD</v>
      </c>
      <c r="B5" s="671"/>
      <c r="C5" s="729" t="s">
        <v>13</v>
      </c>
      <c r="D5" s="741" t="str">
        <f>CONCATENATE("FY",RIGHT(C5,4)+1)</f>
        <v>FY2010</v>
      </c>
      <c r="E5" s="741" t="str">
        <f>CONCATENATE("FY",RIGHT(D5,4)+1)</f>
        <v>FY2011</v>
      </c>
      <c r="F5" s="741" t="str">
        <f>CONCATENATE("FY",RIGHT(E5,4)+1)</f>
        <v>FY2012</v>
      </c>
      <c r="G5" s="74" t="str">
        <f>CONCATENATE("Q1","-",RIGHT(F5,4)+1)</f>
        <v>Q1-2013</v>
      </c>
      <c r="H5" s="74" t="str">
        <f>CONCATENATE("Q2","-",RIGHT(G5,4))</f>
        <v>Q2-2013</v>
      </c>
      <c r="I5" s="74" t="str">
        <f>CONCATENATE("Q3","-",RIGHT(H5,4))</f>
        <v>Q3-2013</v>
      </c>
      <c r="J5" s="74" t="str">
        <f>CONCATENATE("Q4","-",RIGHT(I5,4))</f>
        <v>Q4-2013</v>
      </c>
      <c r="K5" s="741" t="str">
        <f>CONCATENATE("FY",RIGHT(F5,4)+1)</f>
        <v>FY2013</v>
      </c>
      <c r="L5" s="74" t="str">
        <f>CONCATENATE("Q1","-",RIGHT(K5,4)+1)</f>
        <v>Q1-2014</v>
      </c>
      <c r="M5" s="74" t="str">
        <f>CONCATENATE("Q2","-",RIGHT(L5,4))</f>
        <v>Q2-2014</v>
      </c>
      <c r="N5" s="74" t="str">
        <f>CONCATENATE("Q3","-",RIGHT(M5,4))</f>
        <v>Q3-2014</v>
      </c>
      <c r="O5" s="74" t="str">
        <f>CONCATENATE("Q4","-",RIGHT(N5,4))</f>
        <v>Q4-2014</v>
      </c>
      <c r="P5" s="741" t="str">
        <f>CONCATENATE("FY",RIGHT(K5,4)+1)</f>
        <v>FY2014</v>
      </c>
      <c r="Q5" s="74" t="str">
        <f>CONCATENATE("Q1","-",RIGHT(P5,4)+1)</f>
        <v>Q1-2015</v>
      </c>
      <c r="R5" s="74" t="str">
        <f>CONCATENATE("Q2","-",RIGHT(Q5,4))</f>
        <v>Q2-2015</v>
      </c>
      <c r="S5" s="74" t="str">
        <f>CONCATENATE("Q3","-",RIGHT(R5,4))</f>
        <v>Q3-2015</v>
      </c>
      <c r="T5" s="74" t="str">
        <f>CONCATENATE("Q4","-",RIGHT(S5,4))</f>
        <v>Q4-2015</v>
      </c>
      <c r="U5" s="741" t="str">
        <f>CONCATENATE("FY",RIGHT(P5,4)+1)</f>
        <v>FY2015</v>
      </c>
      <c r="V5" s="74" t="str">
        <f>CONCATENATE("Q1","-",RIGHT(U5,4)+1)</f>
        <v>Q1-2016</v>
      </c>
      <c r="W5" s="128" t="str">
        <f>CONCATENATE("Q2","-",RIGHT(V5,4))</f>
        <v>Q2-2016</v>
      </c>
      <c r="X5" s="128" t="str">
        <f>CONCATENATE("Q3","-",RIGHT(W5,4))</f>
        <v>Q3-2016</v>
      </c>
      <c r="Y5" s="74" t="str">
        <f>CONCATENATE("Q4","-",RIGHT(X5,4))</f>
        <v>Q4-2016</v>
      </c>
      <c r="Z5" s="741" t="str">
        <f>CONCATENATE("FY",RIGHT(U5,4)+1)</f>
        <v>FY2016</v>
      </c>
      <c r="AA5" s="74" t="str">
        <f>CONCATENATE("Q1","-",RIGHT(Z5,4)+1)</f>
        <v>Q1-2017</v>
      </c>
      <c r="AB5" s="128" t="str">
        <f>CONCATENATE("Q2","-",RIGHT(AA5,4))</f>
        <v>Q2-2017</v>
      </c>
      <c r="AC5" s="128" t="str">
        <f>CONCATENATE("Q3","-",RIGHT(AB5,4))</f>
        <v>Q3-2017</v>
      </c>
      <c r="AD5" s="74" t="str">
        <f>CONCATENATE("Q4","-",RIGHT(AC5,4))</f>
        <v>Q4-2017</v>
      </c>
      <c r="AE5" s="741" t="str">
        <f>CONCATENATE("FY",RIGHT(Z5,4)+1)</f>
        <v>FY2017</v>
      </c>
      <c r="AF5" s="74" t="str">
        <f>CONCATENATE("Q1","-",RIGHT(AE5,4)+1)</f>
        <v>Q1-2018</v>
      </c>
      <c r="AG5" s="128" t="str">
        <f>CONCATENATE("Q2","-",RIGHT(AF5,4))</f>
        <v>Q2-2018</v>
      </c>
      <c r="AH5" s="128" t="str">
        <f>CONCATENATE("Q3","-",RIGHT(AG5,4))</f>
        <v>Q3-2018</v>
      </c>
      <c r="AI5" s="74" t="str">
        <f>CONCATENATE("Q4","-",RIGHT(AH5,4))</f>
        <v>Q4-2018</v>
      </c>
      <c r="AJ5" s="741" t="str">
        <f>CONCATENATE("FY",RIGHT(AE5,4)+1)</f>
        <v>FY2018</v>
      </c>
      <c r="AK5" s="74" t="str">
        <f>CONCATENATE("Q1","-",RIGHT(AJ5,4)+1)</f>
        <v>Q1-2019</v>
      </c>
      <c r="AL5" s="128" t="str">
        <f>CONCATENATE("Q2","-",RIGHT(AK5,4))</f>
        <v>Q2-2019</v>
      </c>
      <c r="AM5" s="128" t="str">
        <f>CONCATENATE("Q3","-",RIGHT(AL5,4))</f>
        <v>Q3-2019</v>
      </c>
      <c r="AN5" s="74" t="str">
        <f>CONCATENATE("Q4","-",RIGHT(AM5,4))</f>
        <v>Q4-2019</v>
      </c>
      <c r="AO5" s="741" t="str">
        <f>CONCATENATE("FY",RIGHT(AJ5,4)+1)</f>
        <v>FY2019</v>
      </c>
      <c r="AP5" s="74" t="str">
        <f>CONCATENATE("Q1","-",RIGHT(AO5,4)+1)</f>
        <v>Q1-2020</v>
      </c>
      <c r="AQ5" s="128" t="str">
        <f>CONCATENATE("Q2","-",RIGHT(AP5,4))</f>
        <v>Q2-2020</v>
      </c>
      <c r="AR5" s="128" t="str">
        <f>CONCATENATE("Q3","-",RIGHT(AQ5,4))</f>
        <v>Q3-2020</v>
      </c>
      <c r="AS5" s="74" t="str">
        <f>CONCATENATE("Q4","-",RIGHT(AR5,4))</f>
        <v>Q4-2020</v>
      </c>
      <c r="AT5" s="741" t="str">
        <f>CONCATENATE("FY",RIGHT(AO5,4)+1)</f>
        <v>FY2020</v>
      </c>
      <c r="AU5" s="757" t="str">
        <f>CONCATENATE("Q1","-",RIGHT(AT5,4)+1)</f>
        <v>Q1-2021</v>
      </c>
      <c r="AV5" s="104" t="str">
        <f>CONCATENATE("Q2","-",RIGHT(AU5,4))</f>
        <v>Q2-2021</v>
      </c>
      <c r="AW5" s="104" t="str">
        <f>CONCATENATE("Q3","-",RIGHT(AV5,4))</f>
        <v>Q3-2021</v>
      </c>
      <c r="AX5" s="104" t="str">
        <f>CONCATENATE("Q4","-",RIGHT(AW5,4))</f>
        <v>Q4-2021</v>
      </c>
      <c r="AY5" s="744" t="str">
        <f>CONCATENATE("FY",RIGHT(AT5,4)+1)</f>
        <v>FY2021</v>
      </c>
      <c r="AZ5" s="104" t="str">
        <f>CONCATENATE("Q1","-",RIGHT(AY5,4)+1)</f>
        <v>Q1-2022</v>
      </c>
      <c r="BA5" s="104" t="str">
        <f>CONCATENATE("Q2","-",RIGHT(AZ5,4))</f>
        <v>Q2-2022</v>
      </c>
      <c r="BB5" s="104" t="str">
        <f>CONCATENATE("Q3","-",RIGHT(BA5,4))</f>
        <v>Q3-2022</v>
      </c>
      <c r="BC5" s="104" t="str">
        <f>CONCATENATE("Q4","-",RIGHT(BB5,4))</f>
        <v>Q4-2022</v>
      </c>
      <c r="BD5" s="744" t="str">
        <f>CONCATENATE("FY",RIGHT(AY5,4)+1)</f>
        <v>FY2022</v>
      </c>
      <c r="BE5" s="744" t="str">
        <f>CONCATENATE("FY",RIGHT(BD5,4)+1)</f>
        <v>FY2023</v>
      </c>
      <c r="BF5" s="744" t="str">
        <f>CONCATENATE("FY",RIGHT(BE5,4)+1)</f>
        <v>FY2024</v>
      </c>
      <c r="BG5" s="744" t="str">
        <f>CONCATENATE("FY",RIGHT(BF5,4)+1)</f>
        <v>FY2025</v>
      </c>
      <c r="BH5" s="362"/>
    </row>
    <row r="6" spans="1:60" s="225" customFormat="1" x14ac:dyDescent="0.35">
      <c r="A6" s="103" t="s">
        <v>14</v>
      </c>
      <c r="B6" s="103"/>
      <c r="C6" s="103"/>
      <c r="D6" s="103"/>
      <c r="E6" s="103"/>
      <c r="F6" s="103"/>
      <c r="G6" s="103"/>
      <c r="H6" s="103"/>
      <c r="I6" s="103"/>
      <c r="J6" s="103"/>
      <c r="K6" s="103"/>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758"/>
      <c r="AV6" s="103"/>
      <c r="AW6" s="103"/>
      <c r="AX6" s="103"/>
      <c r="AY6" s="103"/>
      <c r="AZ6" s="103"/>
      <c r="BA6" s="103"/>
      <c r="BB6" s="103"/>
      <c r="BC6" s="103"/>
      <c r="BD6" s="103"/>
      <c r="BE6" s="103"/>
      <c r="BF6" s="103"/>
      <c r="BG6" s="103"/>
      <c r="BH6" s="94"/>
    </row>
    <row r="7" spans="1:60" s="262" customFormat="1" x14ac:dyDescent="0.35">
      <c r="A7" s="154" t="s">
        <v>588</v>
      </c>
      <c r="B7" s="312"/>
      <c r="C7" s="105"/>
      <c r="D7" s="105"/>
      <c r="E7" s="105"/>
      <c r="F7" s="105"/>
      <c r="G7" s="200"/>
      <c r="H7" s="200"/>
      <c r="I7" s="200"/>
      <c r="J7" s="200"/>
      <c r="K7" s="105"/>
      <c r="L7" s="200"/>
      <c r="M7" s="200"/>
      <c r="N7" s="200"/>
      <c r="O7" s="200"/>
      <c r="P7" s="105"/>
      <c r="Q7" s="200"/>
      <c r="R7" s="200"/>
      <c r="S7" s="200"/>
      <c r="T7" s="200"/>
      <c r="U7" s="105"/>
      <c r="V7" s="200"/>
      <c r="W7" s="200"/>
      <c r="X7" s="200"/>
      <c r="Y7" s="200"/>
      <c r="Z7" s="105"/>
      <c r="AA7" s="78">
        <f t="shared" ref="AA7:AO10" si="1">AA36/V36-1</f>
        <v>3.0088495575221197E-2</v>
      </c>
      <c r="AB7" s="78">
        <f t="shared" si="1"/>
        <v>1.3508832698302831E-2</v>
      </c>
      <c r="AC7" s="78">
        <f t="shared" si="1"/>
        <v>6.6666666666666652E-2</v>
      </c>
      <c r="AD7" s="78">
        <f t="shared" si="1"/>
        <v>0.15623829149494184</v>
      </c>
      <c r="AE7" s="47">
        <f t="shared" si="1"/>
        <v>6.5085592011412174E-2</v>
      </c>
      <c r="AF7" s="78">
        <f t="shared" si="1"/>
        <v>0.12302405498281788</v>
      </c>
      <c r="AG7" s="78">
        <f t="shared" si="1"/>
        <v>0.11175666438824328</v>
      </c>
      <c r="AH7" s="78">
        <f t="shared" si="1"/>
        <v>-9.9206349206348854E-4</v>
      </c>
      <c r="AI7" s="78">
        <f t="shared" si="1"/>
        <v>-4.3421905379131598E-2</v>
      </c>
      <c r="AJ7" s="47">
        <f t="shared" si="1"/>
        <v>4.5873095596852487E-2</v>
      </c>
      <c r="AK7" s="78">
        <f t="shared" si="1"/>
        <v>-8.6291309669522698E-2</v>
      </c>
      <c r="AL7" s="78">
        <f t="shared" si="1"/>
        <v>-8.9763295419612699E-2</v>
      </c>
      <c r="AM7" s="78">
        <f t="shared" si="1"/>
        <v>-5.6934789804700459E-2</v>
      </c>
      <c r="AN7" s="78">
        <f t="shared" si="1"/>
        <v>-4.7764227642276391E-2</v>
      </c>
      <c r="AO7" s="47">
        <f t="shared" si="1"/>
        <v>-7.0994077157035429E-2</v>
      </c>
      <c r="AP7" s="78">
        <f>AP124</f>
        <v>-9.4498818764765513E-3</v>
      </c>
      <c r="AQ7" s="78">
        <f>AQ124</f>
        <v>-9.1590057882192766E-2</v>
      </c>
      <c r="AR7" s="78">
        <f>AR124</f>
        <v>6.892895015906686E-2</v>
      </c>
      <c r="AS7" s="78">
        <f t="shared" ref="AS7:AT10" si="2">AS36/AN36-1</f>
        <v>0.11704019921736042</v>
      </c>
      <c r="AT7" s="47">
        <f t="shared" si="2"/>
        <v>1.3784785043508219E-2</v>
      </c>
      <c r="AU7" s="759">
        <f>AU124</f>
        <v>0.1366586949094637</v>
      </c>
      <c r="AV7" s="78">
        <f t="shared" ref="AV7:AY10" si="3">AV36/AQ36-1</f>
        <v>7.0000000000000062E-2</v>
      </c>
      <c r="AW7" s="78">
        <f t="shared" si="3"/>
        <v>6.999999999999984E-2</v>
      </c>
      <c r="AX7" s="78">
        <f t="shared" si="3"/>
        <v>7.0000000000000062E-2</v>
      </c>
      <c r="AY7" s="47">
        <f t="shared" si="3"/>
        <v>8.5853658536585442E-2</v>
      </c>
      <c r="AZ7" s="78">
        <f t="shared" ref="AZ7:BD10" si="4">AZ36/AU36-1</f>
        <v>7.0000000000000062E-2</v>
      </c>
      <c r="BA7" s="78">
        <f t="shared" si="4"/>
        <v>7.0000000000000062E-2</v>
      </c>
      <c r="BB7" s="78">
        <f t="shared" si="4"/>
        <v>7.0000000000000062E-2</v>
      </c>
      <c r="BC7" s="78">
        <f t="shared" si="4"/>
        <v>6.999999999999984E-2</v>
      </c>
      <c r="BD7" s="47">
        <f t="shared" si="4"/>
        <v>7.0000000000000062E-2</v>
      </c>
      <c r="BE7" s="47">
        <f t="shared" ref="BE7:BG10" si="5">BE36/BD36-1</f>
        <v>7.0000000000000062E-2</v>
      </c>
      <c r="BF7" s="47">
        <f t="shared" si="5"/>
        <v>7.0000000000000062E-2</v>
      </c>
      <c r="BG7" s="47">
        <f t="shared" si="5"/>
        <v>7.0000000000000062E-2</v>
      </c>
      <c r="BH7" s="363"/>
    </row>
    <row r="8" spans="1:60" s="262" customFormat="1" x14ac:dyDescent="0.35">
      <c r="A8" s="154" t="s">
        <v>589</v>
      </c>
      <c r="B8" s="312"/>
      <c r="C8" s="105"/>
      <c r="D8" s="105"/>
      <c r="E8" s="105"/>
      <c r="F8" s="105"/>
      <c r="G8" s="200"/>
      <c r="H8" s="200"/>
      <c r="I8" s="200"/>
      <c r="J8" s="200"/>
      <c r="K8" s="105"/>
      <c r="L8" s="200"/>
      <c r="M8" s="200"/>
      <c r="N8" s="200"/>
      <c r="O8" s="200"/>
      <c r="P8" s="105"/>
      <c r="Q8" s="200"/>
      <c r="R8" s="200"/>
      <c r="S8" s="200"/>
      <c r="T8" s="200"/>
      <c r="U8" s="105"/>
      <c r="V8" s="200"/>
      <c r="W8" s="200"/>
      <c r="X8" s="200"/>
      <c r="Y8" s="200"/>
      <c r="Z8" s="105"/>
      <c r="AA8" s="78">
        <f t="shared" si="1"/>
        <v>8.3333333333333259E-2</v>
      </c>
      <c r="AB8" s="78">
        <f t="shared" si="1"/>
        <v>5.0390964378800973E-2</v>
      </c>
      <c r="AC8" s="78">
        <f t="shared" si="1"/>
        <v>7.3875361122575312E-2</v>
      </c>
      <c r="AD8" s="78">
        <f t="shared" si="1"/>
        <v>4.8738033072236675E-2</v>
      </c>
      <c r="AE8" s="47">
        <f t="shared" si="1"/>
        <v>6.4098413726124903E-2</v>
      </c>
      <c r="AF8" s="78">
        <f t="shared" si="1"/>
        <v>3.6199095022624528E-2</v>
      </c>
      <c r="AG8" s="78">
        <f t="shared" si="1"/>
        <v>4.5078577336641779E-2</v>
      </c>
      <c r="AH8" s="78">
        <f t="shared" si="1"/>
        <v>6.5334358186011077E-3</v>
      </c>
      <c r="AI8" s="78">
        <f t="shared" si="1"/>
        <v>1.2863070539419041E-2</v>
      </c>
      <c r="AJ8" s="47">
        <f t="shared" si="1"/>
        <v>2.4845350370145125E-2</v>
      </c>
      <c r="AK8" s="78">
        <f t="shared" si="1"/>
        <v>-6.4311234616911461E-2</v>
      </c>
      <c r="AL8" s="78">
        <f t="shared" si="1"/>
        <v>-2.9679461812425756E-2</v>
      </c>
      <c r="AM8" s="78">
        <f t="shared" si="1"/>
        <v>-4.4291714394807169E-2</v>
      </c>
      <c r="AN8" s="78">
        <f t="shared" si="1"/>
        <v>-6.1859893486276074E-2</v>
      </c>
      <c r="AO8" s="47">
        <f t="shared" si="1"/>
        <v>-4.9871363546408087E-2</v>
      </c>
      <c r="AP8" s="78">
        <f>AP204</f>
        <v>-4.9681528662420371E-2</v>
      </c>
      <c r="AQ8" s="78">
        <f>AQ204</f>
        <v>-0.20938775510204077</v>
      </c>
      <c r="AR8" s="78">
        <f>AR204</f>
        <v>-7.4400000000000022E-2</v>
      </c>
      <c r="AS8" s="78">
        <f t="shared" si="2"/>
        <v>2.0960698689956425E-2</v>
      </c>
      <c r="AT8" s="47">
        <f t="shared" si="2"/>
        <v>-8.0712351593418052E-2</v>
      </c>
      <c r="AU8" s="759">
        <f>AU204</f>
        <v>0.13041536400178644</v>
      </c>
      <c r="AV8" s="78">
        <f t="shared" si="3"/>
        <v>8.0000000000000071E-2</v>
      </c>
      <c r="AW8" s="78">
        <f t="shared" si="3"/>
        <v>7.9999999999999849E-2</v>
      </c>
      <c r="AX8" s="78">
        <f t="shared" si="3"/>
        <v>8.0000000000000071E-2</v>
      </c>
      <c r="AY8" s="47">
        <f t="shared" si="3"/>
        <v>9.291038858049161E-2</v>
      </c>
      <c r="AZ8" s="78">
        <f t="shared" si="4"/>
        <v>8.0000000000000071E-2</v>
      </c>
      <c r="BA8" s="78">
        <f t="shared" si="4"/>
        <v>8.0000000000000071E-2</v>
      </c>
      <c r="BB8" s="78">
        <f t="shared" si="4"/>
        <v>8.0000000000000071E-2</v>
      </c>
      <c r="BC8" s="78">
        <f t="shared" si="4"/>
        <v>8.0000000000000071E-2</v>
      </c>
      <c r="BD8" s="47">
        <f t="shared" si="4"/>
        <v>8.0000000000000071E-2</v>
      </c>
      <c r="BE8" s="47">
        <f t="shared" si="5"/>
        <v>7.9999999999999627E-2</v>
      </c>
      <c r="BF8" s="47">
        <f t="shared" si="5"/>
        <v>8.0000000000000071E-2</v>
      </c>
      <c r="BG8" s="47">
        <f t="shared" si="5"/>
        <v>7.9999999999999849E-2</v>
      </c>
      <c r="BH8" s="363"/>
    </row>
    <row r="9" spans="1:60" s="262" customFormat="1" x14ac:dyDescent="0.35">
      <c r="A9" s="154" t="s">
        <v>590</v>
      </c>
      <c r="B9" s="312"/>
      <c r="C9" s="105"/>
      <c r="D9" s="105"/>
      <c r="E9" s="105"/>
      <c r="F9" s="105"/>
      <c r="G9" s="200"/>
      <c r="H9" s="200"/>
      <c r="I9" s="200"/>
      <c r="J9" s="200"/>
      <c r="K9" s="105"/>
      <c r="L9" s="200"/>
      <c r="M9" s="200"/>
      <c r="N9" s="200"/>
      <c r="O9" s="200"/>
      <c r="P9" s="105"/>
      <c r="Q9" s="200"/>
      <c r="R9" s="200"/>
      <c r="S9" s="200"/>
      <c r="T9" s="200"/>
      <c r="U9" s="105"/>
      <c r="V9" s="200"/>
      <c r="W9" s="200"/>
      <c r="X9" s="200"/>
      <c r="Y9" s="200"/>
      <c r="Z9" s="105"/>
      <c r="AA9" s="78">
        <f t="shared" si="1"/>
        <v>2.0663744520976746E-2</v>
      </c>
      <c r="AB9" s="78">
        <f t="shared" si="1"/>
        <v>1.1083743842364546E-2</v>
      </c>
      <c r="AC9" s="78">
        <f t="shared" si="1"/>
        <v>7.3155216284987334E-2</v>
      </c>
      <c r="AD9" s="78">
        <f t="shared" si="1"/>
        <v>5.8080808080808177E-2</v>
      </c>
      <c r="AE9" s="47">
        <f t="shared" si="1"/>
        <v>4.0457895562176605E-2</v>
      </c>
      <c r="AF9" s="78">
        <f t="shared" si="1"/>
        <v>7.055214723926384E-2</v>
      </c>
      <c r="AG9" s="78">
        <f t="shared" si="1"/>
        <v>5.3593179049939099E-2</v>
      </c>
      <c r="AH9" s="78">
        <f t="shared" si="1"/>
        <v>-2.6081802015411992E-2</v>
      </c>
      <c r="AI9" s="78">
        <f t="shared" si="1"/>
        <v>1.9093078758949833E-2</v>
      </c>
      <c r="AJ9" s="47">
        <f t="shared" si="1"/>
        <v>2.8786737000753515E-2</v>
      </c>
      <c r="AK9" s="78">
        <f t="shared" si="1"/>
        <v>-4.0114613180515235E-3</v>
      </c>
      <c r="AL9" s="78">
        <f t="shared" si="1"/>
        <v>5.838150289017352E-2</v>
      </c>
      <c r="AM9" s="78">
        <f t="shared" si="1"/>
        <v>4.7474132684114378E-2</v>
      </c>
      <c r="AN9" s="78">
        <f t="shared" si="1"/>
        <v>0.25351288056206078</v>
      </c>
      <c r="AO9" s="47">
        <f t="shared" si="1"/>
        <v>8.8631702314679206E-2</v>
      </c>
      <c r="AP9" s="78">
        <f>AP38/AK38-1</f>
        <v>0.21001150747986186</v>
      </c>
      <c r="AQ9" s="78">
        <f>AQ38/AL38-1</f>
        <v>-3.2768978700163931E-3</v>
      </c>
      <c r="AR9" s="78">
        <f>AR38/AM38-1</f>
        <v>0.25508425334108087</v>
      </c>
      <c r="AS9" s="78">
        <f t="shared" si="2"/>
        <v>5.4180289584306429E-2</v>
      </c>
      <c r="AT9" s="47">
        <f t="shared" si="2"/>
        <v>0.12299825057192848</v>
      </c>
      <c r="AU9" s="759">
        <f>AU281</f>
        <v>6.8441064638783189E-2</v>
      </c>
      <c r="AV9" s="78">
        <f t="shared" si="3"/>
        <v>5.0000000000000044E-2</v>
      </c>
      <c r="AW9" s="78">
        <f t="shared" si="3"/>
        <v>5.0000000000000044E-2</v>
      </c>
      <c r="AX9" s="78">
        <f t="shared" si="3"/>
        <v>5.0000000000000044E-2</v>
      </c>
      <c r="AY9" s="47">
        <f t="shared" si="3"/>
        <v>5.4775314559616595E-2</v>
      </c>
      <c r="AZ9" s="78">
        <f t="shared" si="4"/>
        <v>4.9999999999999822E-2</v>
      </c>
      <c r="BA9" s="78">
        <f t="shared" si="4"/>
        <v>5.0000000000000044E-2</v>
      </c>
      <c r="BB9" s="78">
        <f t="shared" si="4"/>
        <v>5.0000000000000044E-2</v>
      </c>
      <c r="BC9" s="78">
        <f t="shared" si="4"/>
        <v>5.0000000000000044E-2</v>
      </c>
      <c r="BD9" s="47">
        <f t="shared" si="4"/>
        <v>5.0000000000000044E-2</v>
      </c>
      <c r="BE9" s="47">
        <f t="shared" si="5"/>
        <v>5.0000000000000044E-2</v>
      </c>
      <c r="BF9" s="47">
        <f t="shared" si="5"/>
        <v>5.0000000000000044E-2</v>
      </c>
      <c r="BG9" s="47">
        <f t="shared" si="5"/>
        <v>4.9999999999999822E-2</v>
      </c>
      <c r="BH9" s="363"/>
    </row>
    <row r="10" spans="1:60" s="262" customFormat="1" x14ac:dyDescent="0.35">
      <c r="A10" s="154" t="s">
        <v>591</v>
      </c>
      <c r="B10" s="312"/>
      <c r="C10" s="105"/>
      <c r="D10" s="105"/>
      <c r="E10" s="105"/>
      <c r="F10" s="105"/>
      <c r="G10" s="200"/>
      <c r="H10" s="200"/>
      <c r="I10" s="200"/>
      <c r="J10" s="200"/>
      <c r="K10" s="105"/>
      <c r="L10" s="200"/>
      <c r="M10" s="200"/>
      <c r="N10" s="200"/>
      <c r="O10" s="200"/>
      <c r="P10" s="105"/>
      <c r="Q10" s="200"/>
      <c r="R10" s="200"/>
      <c r="S10" s="200"/>
      <c r="T10" s="200"/>
      <c r="U10" s="105"/>
      <c r="V10" s="200"/>
      <c r="W10" s="200"/>
      <c r="X10" s="200"/>
      <c r="Y10" s="200"/>
      <c r="Z10" s="105"/>
      <c r="AA10" s="78">
        <f t="shared" si="1"/>
        <v>5.2539404553415547E-3</v>
      </c>
      <c r="AB10" s="78">
        <f t="shared" si="1"/>
        <v>9.7323600973235891E-3</v>
      </c>
      <c r="AC10" s="78">
        <f t="shared" si="1"/>
        <v>3.935185185185186E-2</v>
      </c>
      <c r="AD10" s="78">
        <f t="shared" si="1"/>
        <v>8.3904109589041154E-2</v>
      </c>
      <c r="AE10" s="47">
        <f t="shared" si="1"/>
        <v>3.4511262657573871E-2</v>
      </c>
      <c r="AF10" s="78">
        <f t="shared" si="1"/>
        <v>5.2264808362369353E-2</v>
      </c>
      <c r="AG10" s="78">
        <f t="shared" si="1"/>
        <v>5.1405622489959946E-2</v>
      </c>
      <c r="AH10" s="78">
        <f t="shared" si="1"/>
        <v>-3.3407572383073458E-2</v>
      </c>
      <c r="AI10" s="78">
        <f t="shared" si="1"/>
        <v>7.898894154818592E-4</v>
      </c>
      <c r="AJ10" s="47">
        <f t="shared" si="1"/>
        <v>1.5980823012385237E-2</v>
      </c>
      <c r="AK10" s="78">
        <f t="shared" si="1"/>
        <v>-1.1589403973509937E-2</v>
      </c>
      <c r="AL10" s="78">
        <f t="shared" si="1"/>
        <v>-4.5836516424752061E-3</v>
      </c>
      <c r="AM10" s="78">
        <f t="shared" si="1"/>
        <v>1.6897081413210335E-2</v>
      </c>
      <c r="AN10" s="78">
        <f t="shared" si="1"/>
        <v>7.8926598263606706E-4</v>
      </c>
      <c r="AO10" s="47">
        <f t="shared" si="1"/>
        <v>5.8985450255599758E-4</v>
      </c>
      <c r="AP10" s="78">
        <f>AP359</f>
        <v>4.6666666666666634E-2</v>
      </c>
      <c r="AQ10" s="78">
        <f>AQ359</f>
        <v>-6.2121212121212133E-2</v>
      </c>
      <c r="AR10" s="78">
        <f>AR359</f>
        <v>5.5886736214605159E-2</v>
      </c>
      <c r="AS10" s="78">
        <f t="shared" si="2"/>
        <v>0.12381703470031535</v>
      </c>
      <c r="AT10" s="47">
        <f t="shared" si="2"/>
        <v>4.8536058164668994E-2</v>
      </c>
      <c r="AU10" s="759">
        <f>AU359</f>
        <v>9.8400000000000043E-2</v>
      </c>
      <c r="AV10" s="78">
        <f t="shared" si="3"/>
        <v>4.4999999999999929E-2</v>
      </c>
      <c r="AW10" s="78">
        <f t="shared" si="3"/>
        <v>-8.256880733944949E-2</v>
      </c>
      <c r="AX10" s="78">
        <f t="shared" si="3"/>
        <v>-8.7719298245614086E-2</v>
      </c>
      <c r="AY10" s="47">
        <f t="shared" si="3"/>
        <v>-1.2985382308845606E-2</v>
      </c>
      <c r="AZ10" s="78">
        <f t="shared" si="4"/>
        <v>4.5000000000000151E-2</v>
      </c>
      <c r="BA10" s="78">
        <f t="shared" si="4"/>
        <v>4.4999999999999929E-2</v>
      </c>
      <c r="BB10" s="78">
        <f t="shared" si="4"/>
        <v>4.4999999999999929E-2</v>
      </c>
      <c r="BC10" s="78">
        <f t="shared" si="4"/>
        <v>4.4999999999999929E-2</v>
      </c>
      <c r="BD10" s="47">
        <f t="shared" si="4"/>
        <v>4.4999999999999929E-2</v>
      </c>
      <c r="BE10" s="47">
        <f t="shared" si="5"/>
        <v>4.4999999999999929E-2</v>
      </c>
      <c r="BF10" s="47">
        <f t="shared" si="5"/>
        <v>4.4999999999999929E-2</v>
      </c>
      <c r="BG10" s="47">
        <f t="shared" si="5"/>
        <v>4.5000000000000151E-2</v>
      </c>
      <c r="BH10" s="363"/>
    </row>
    <row r="11" spans="1:60" s="225" customFormat="1" x14ac:dyDescent="0.35">
      <c r="A11" s="313" t="s">
        <v>17</v>
      </c>
      <c r="B11" s="180"/>
      <c r="C11" s="107"/>
      <c r="D11" s="107">
        <f>D787/C787-1</f>
        <v>0.15305107468754064</v>
      </c>
      <c r="E11" s="107">
        <f>E787/D787-1</f>
        <v>0.11060685619983501</v>
      </c>
      <c r="F11" s="107">
        <f>F787/E787-1</f>
        <v>9.8949714633076447E-3</v>
      </c>
      <c r="G11" s="106"/>
      <c r="H11" s="106"/>
      <c r="I11" s="106"/>
      <c r="J11" s="106"/>
      <c r="K11" s="107">
        <f t="shared" ref="K11:AY11" si="6">K787/F787-1</f>
        <v>3.233681112894593E-2</v>
      </c>
      <c r="L11" s="106">
        <f t="shared" si="6"/>
        <v>2.5805606497249167E-2</v>
      </c>
      <c r="M11" s="106">
        <f t="shared" si="6"/>
        <v>4.9277605779153744E-2</v>
      </c>
      <c r="N11" s="106">
        <f t="shared" si="6"/>
        <v>2.7918140474987307E-2</v>
      </c>
      <c r="O11" s="106">
        <f t="shared" si="6"/>
        <v>1.9817677368212383E-2</v>
      </c>
      <c r="P11" s="107">
        <f t="shared" si="6"/>
        <v>3.0773217582844792E-2</v>
      </c>
      <c r="Q11" s="106">
        <f t="shared" si="6"/>
        <v>-3.2307495849827617E-2</v>
      </c>
      <c r="R11" s="106">
        <f t="shared" si="6"/>
        <v>-5.5077452667814164E-2</v>
      </c>
      <c r="S11" s="106">
        <f t="shared" si="6"/>
        <v>-5.2230551800417802E-2</v>
      </c>
      <c r="T11" s="106">
        <f t="shared" si="6"/>
        <v>-5.4540743619639898E-2</v>
      </c>
      <c r="U11" s="107">
        <f t="shared" si="6"/>
        <v>-4.8615694038528057E-2</v>
      </c>
      <c r="V11" s="106">
        <f t="shared" si="6"/>
        <v>-2.2301398785959381E-2</v>
      </c>
      <c r="W11" s="106">
        <f t="shared" si="6"/>
        <v>-3.1225604996096834E-3</v>
      </c>
      <c r="X11" s="106">
        <f t="shared" si="6"/>
        <v>-3.8900414937759198E-4</v>
      </c>
      <c r="Y11" s="106">
        <f t="shared" si="6"/>
        <v>4.2477391066044756E-3</v>
      </c>
      <c r="Z11" s="107">
        <f t="shared" si="6"/>
        <v>-5.4502213120168896E-3</v>
      </c>
      <c r="AA11" s="106">
        <f t="shared" si="6"/>
        <v>3.725199082197328E-2</v>
      </c>
      <c r="AB11" s="106">
        <f t="shared" si="6"/>
        <v>1.931610545549467E-2</v>
      </c>
      <c r="AC11" s="106">
        <f t="shared" si="6"/>
        <v>6.0059670514982511E-2</v>
      </c>
      <c r="AD11" s="106">
        <f t="shared" si="6"/>
        <v>9.0189657524901046E-2</v>
      </c>
      <c r="AE11" s="107">
        <f t="shared" si="6"/>
        <v>5.1413198711348862E-2</v>
      </c>
      <c r="AF11" s="106">
        <f t="shared" si="6"/>
        <v>7.7163305139882787E-2</v>
      </c>
      <c r="AG11" s="106">
        <f t="shared" si="6"/>
        <v>7.4263764404609578E-2</v>
      </c>
      <c r="AH11" s="106">
        <f t="shared" si="6"/>
        <v>-2.4473813020068347E-3</v>
      </c>
      <c r="AI11" s="106">
        <f t="shared" si="6"/>
        <v>-5.63204005006257E-3</v>
      </c>
      <c r="AJ11" s="107">
        <f t="shared" si="6"/>
        <v>3.5000157942951082E-2</v>
      </c>
      <c r="AK11" s="106">
        <f t="shared" si="6"/>
        <v>-5.0132882338729146E-2</v>
      </c>
      <c r="AL11" s="106">
        <f t="shared" si="6"/>
        <v>-2.6102502979737818E-2</v>
      </c>
      <c r="AM11" s="106">
        <f t="shared" si="6"/>
        <v>-1.9749754661432806E-2</v>
      </c>
      <c r="AN11" s="106">
        <f t="shared" si="6"/>
        <v>2.0893643801132677E-2</v>
      </c>
      <c r="AO11" s="107">
        <f t="shared" si="6"/>
        <v>-1.9197314207233362E-2</v>
      </c>
      <c r="AP11" s="106">
        <f t="shared" si="6"/>
        <v>2.6961719445504295E-2</v>
      </c>
      <c r="AQ11" s="106">
        <f t="shared" si="6"/>
        <v>-0.12177212091543266</v>
      </c>
      <c r="AR11" s="106">
        <f>AR787/AM787-1</f>
        <v>4.4925541233888033E-2</v>
      </c>
      <c r="AS11" s="106">
        <f>AS787/AN787-1</f>
        <v>5.8192577980520355E-2</v>
      </c>
      <c r="AT11" s="107">
        <f>AT787/AO787-1</f>
        <v>1.4936519790889058E-3</v>
      </c>
      <c r="AU11" s="760">
        <f t="shared" si="6"/>
        <v>9.6099071207430331E-2</v>
      </c>
      <c r="AV11" s="106">
        <f t="shared" si="6"/>
        <v>6.8592419175028008E-2</v>
      </c>
      <c r="AW11" s="106">
        <f t="shared" si="6"/>
        <v>4.7373892215568869E-2</v>
      </c>
      <c r="AX11" s="106">
        <f t="shared" si="6"/>
        <v>4.65278573925203E-2</v>
      </c>
      <c r="AY11" s="107">
        <f t="shared" si="6"/>
        <v>6.4104517772806568E-2</v>
      </c>
      <c r="AZ11" s="106">
        <f>AZ787/AU787-1</f>
        <v>7.1537871426957444E-2</v>
      </c>
      <c r="BA11" s="106">
        <f>BA787/AV787-1</f>
        <v>6.3893098282845173E-2</v>
      </c>
      <c r="BB11" s="106">
        <f>BB787/AW787-1</f>
        <v>6.4309980868032302E-2</v>
      </c>
      <c r="BC11" s="106">
        <f>BC787/AX787-1</f>
        <v>6.4273924750593459E-2</v>
      </c>
      <c r="BD11" s="107">
        <f>BD787/AY787-1</f>
        <v>6.6075192328907795E-2</v>
      </c>
      <c r="BE11" s="107">
        <f>BE787/BD787-1</f>
        <v>6.437370102813178E-2</v>
      </c>
      <c r="BF11" s="107">
        <f>BF787/BE787-1</f>
        <v>6.4542268019727178E-2</v>
      </c>
      <c r="BG11" s="107">
        <f>BG787/BF787-1</f>
        <v>6.4710183000712629E-2</v>
      </c>
      <c r="BH11" s="94"/>
    </row>
    <row r="12" spans="1:60" s="262" customFormat="1" x14ac:dyDescent="0.35">
      <c r="A12" s="514"/>
      <c r="B12" s="312"/>
      <c r="C12" s="105"/>
      <c r="D12" s="105"/>
      <c r="E12" s="105"/>
      <c r="F12" s="105"/>
      <c r="G12" s="200"/>
      <c r="H12" s="200"/>
      <c r="I12" s="200"/>
      <c r="J12" s="200"/>
      <c r="K12" s="105"/>
      <c r="L12" s="200"/>
      <c r="M12" s="200"/>
      <c r="N12" s="200"/>
      <c r="O12" s="200"/>
      <c r="P12" s="105"/>
      <c r="Q12" s="200"/>
      <c r="R12" s="200"/>
      <c r="S12" s="200"/>
      <c r="T12" s="200"/>
      <c r="U12" s="105"/>
      <c r="V12" s="200"/>
      <c r="W12" s="200"/>
      <c r="X12" s="200"/>
      <c r="Y12" s="200"/>
      <c r="Z12" s="105"/>
      <c r="AA12" s="200"/>
      <c r="AB12" s="200"/>
      <c r="AC12" s="200"/>
      <c r="AD12" s="200"/>
      <c r="AE12" s="105"/>
      <c r="AF12" s="200"/>
      <c r="AG12" s="200"/>
      <c r="AH12" s="200"/>
      <c r="AI12" s="200"/>
      <c r="AJ12" s="105"/>
      <c r="AK12" s="200"/>
      <c r="AL12" s="200"/>
      <c r="AM12" s="200"/>
      <c r="AN12" s="200"/>
      <c r="AO12" s="105"/>
      <c r="AP12" s="200"/>
      <c r="AQ12" s="200"/>
      <c r="AR12" s="200"/>
      <c r="AS12" s="200"/>
      <c r="AT12" s="105"/>
      <c r="AU12" s="761"/>
      <c r="AV12" s="200"/>
      <c r="AW12" s="200"/>
      <c r="AX12" s="200"/>
      <c r="AY12" s="105"/>
      <c r="AZ12" s="200"/>
      <c r="BA12" s="200"/>
      <c r="BB12" s="200"/>
      <c r="BC12" s="200"/>
      <c r="BD12" s="105"/>
      <c r="BE12" s="105"/>
      <c r="BF12" s="105"/>
      <c r="BG12" s="105"/>
      <c r="BH12" s="363"/>
    </row>
    <row r="13" spans="1:60" s="262" customFormat="1" x14ac:dyDescent="0.35">
      <c r="A13" s="513" t="s">
        <v>1028</v>
      </c>
      <c r="B13" s="312"/>
      <c r="C13" s="47">
        <v>-9.5000000000000001E-2</v>
      </c>
      <c r="D13" s="47">
        <v>0.13700000000000001</v>
      </c>
      <c r="E13" s="47">
        <v>3.6999999999999998E-2</v>
      </c>
      <c r="F13" s="47">
        <v>1.2E-2</v>
      </c>
      <c r="G13" s="200"/>
      <c r="H13" s="200"/>
      <c r="I13" s="200"/>
      <c r="J13" s="200"/>
      <c r="K13" s="47">
        <v>1.2E-2</v>
      </c>
      <c r="L13" s="78">
        <v>3.4000000000000002E-2</v>
      </c>
      <c r="M13" s="78">
        <v>3.5000000000000003E-2</v>
      </c>
      <c r="N13" s="78">
        <v>3.2000000000000001E-2</v>
      </c>
      <c r="O13" s="78">
        <v>5.6000000000000001E-2</v>
      </c>
      <c r="P13" s="47">
        <f>P24/P$23</f>
        <v>3.9132260049885008E-2</v>
      </c>
      <c r="Q13" s="78">
        <v>2.3E-2</v>
      </c>
      <c r="R13" s="78">
        <v>8.0000000000000002E-3</v>
      </c>
      <c r="S13" s="78">
        <v>1E-3</v>
      </c>
      <c r="T13" s="78">
        <v>-2.3E-2</v>
      </c>
      <c r="U13" s="47">
        <f>U24/U$23</f>
        <v>2.3816033437038431E-3</v>
      </c>
      <c r="V13" s="78">
        <v>-1.7000000000000001E-2</v>
      </c>
      <c r="W13" s="78">
        <v>-1.2999999999999999E-2</v>
      </c>
      <c r="X13" s="78">
        <v>-1.4E-2</v>
      </c>
      <c r="Y13" s="78">
        <v>1.4999999999999999E-2</v>
      </c>
      <c r="Z13" s="47">
        <f>Z24/Z$23</f>
        <v>-7.5061769174869543E-3</v>
      </c>
      <c r="AA13" s="78">
        <v>4.4999999999999998E-2</v>
      </c>
      <c r="AB13" s="78">
        <v>3.7999999999999999E-2</v>
      </c>
      <c r="AC13" s="78">
        <v>6.6000000000000003E-2</v>
      </c>
      <c r="AD13" s="78">
        <v>5.8000000000000003E-2</v>
      </c>
      <c r="AE13" s="47">
        <f>AE24/AE$23</f>
        <v>5.1759839250722375E-2</v>
      </c>
      <c r="AF13" s="78">
        <v>2.1000000000000001E-2</v>
      </c>
      <c r="AG13" s="78">
        <v>4.4999999999999998E-2</v>
      </c>
      <c r="AH13" s="78">
        <v>1E-3</v>
      </c>
      <c r="AI13" s="78">
        <v>1.6E-2</v>
      </c>
      <c r="AJ13" s="47">
        <f>AJ24/AJ$23</f>
        <v>2.0496161986290555E-2</v>
      </c>
      <c r="AK13" s="78">
        <v>-0.02</v>
      </c>
      <c r="AL13" s="78">
        <v>-1.4E-2</v>
      </c>
      <c r="AM13" s="78">
        <v>-1.6E-2</v>
      </c>
      <c r="AN13" s="78">
        <v>-3.4000000000000002E-2</v>
      </c>
      <c r="AO13" s="47">
        <f>AO24/AO$23</f>
        <v>-2.0863177170761481E-2</v>
      </c>
      <c r="AP13" s="78">
        <v>-1E-3</v>
      </c>
      <c r="AQ13" s="78">
        <v>-0.13600000000000001</v>
      </c>
      <c r="AR13" s="78">
        <v>3.0000000000000001E-3</v>
      </c>
      <c r="AS13" s="78">
        <v>4.7E-2</v>
      </c>
      <c r="AT13" s="47">
        <f>AT24/AT$23</f>
        <v>-2.2215863828727912E-2</v>
      </c>
      <c r="AU13" s="759">
        <v>7.2999999999999995E-2</v>
      </c>
      <c r="AV13" s="200"/>
      <c r="AW13" s="200"/>
      <c r="AX13" s="200"/>
      <c r="AY13" s="105"/>
      <c r="AZ13" s="200"/>
      <c r="BA13" s="200"/>
      <c r="BB13" s="200"/>
      <c r="BC13" s="200"/>
      <c r="BD13" s="105"/>
      <c r="BE13" s="105"/>
      <c r="BF13" s="105"/>
      <c r="BG13" s="105"/>
      <c r="BH13" s="363"/>
    </row>
    <row r="14" spans="1:60" s="262" customFormat="1" x14ac:dyDescent="0.35">
      <c r="A14" s="513" t="s">
        <v>1023</v>
      </c>
      <c r="B14" s="312"/>
      <c r="C14" s="47">
        <v>1.7999999999999999E-2</v>
      </c>
      <c r="D14" s="47">
        <v>-2E-3</v>
      </c>
      <c r="E14" s="47">
        <v>0.01</v>
      </c>
      <c r="F14" s="47">
        <v>1.4E-2</v>
      </c>
      <c r="G14" s="200"/>
      <c r="H14" s="200"/>
      <c r="I14" s="200"/>
      <c r="J14" s="200"/>
      <c r="K14" s="47">
        <v>1.4E-2</v>
      </c>
      <c r="L14" s="78">
        <v>1.2E-2</v>
      </c>
      <c r="M14" s="78">
        <v>1.2999999999999999E-2</v>
      </c>
      <c r="N14" s="78">
        <v>7.0000000000000001E-3</v>
      </c>
      <c r="O14" s="78">
        <v>7.0000000000000001E-3</v>
      </c>
      <c r="P14" s="47">
        <f>P25/P$23</f>
        <v>9.7430922224741659E-3</v>
      </c>
      <c r="Q14" s="78">
        <v>0.01</v>
      </c>
      <c r="R14" s="78">
        <v>0.01</v>
      </c>
      <c r="S14" s="78">
        <v>1.0999999999999999E-2</v>
      </c>
      <c r="T14" s="78">
        <v>1.2E-2</v>
      </c>
      <c r="U14" s="47">
        <f>U25/U$23</f>
        <v>1.0740862952138525E-2</v>
      </c>
      <c r="V14" s="78">
        <v>8.9999999999999993E-3</v>
      </c>
      <c r="W14" s="78">
        <v>1.0999999999999999E-2</v>
      </c>
      <c r="X14" s="78">
        <v>6.0000000000000001E-3</v>
      </c>
      <c r="Y14" s="78">
        <v>1E-3</v>
      </c>
      <c r="Z14" s="47">
        <f>Z25/Z$23</f>
        <v>6.8150227918345766E-3</v>
      </c>
      <c r="AA14" s="78">
        <v>1E-3</v>
      </c>
      <c r="AB14" s="78">
        <v>-3.0000000000000001E-3</v>
      </c>
      <c r="AC14" s="200"/>
      <c r="AD14" s="78">
        <v>2E-3</v>
      </c>
      <c r="AE14" s="47">
        <f>AE25/AE$23</f>
        <v>-3.0522435152280125E-5</v>
      </c>
      <c r="AF14" s="78">
        <v>7.0000000000000001E-3</v>
      </c>
      <c r="AG14" s="78">
        <v>1.0999999999999999E-2</v>
      </c>
      <c r="AH14" s="78">
        <v>1.2E-2</v>
      </c>
      <c r="AI14" s="78">
        <v>1.4E-2</v>
      </c>
      <c r="AJ14" s="47">
        <f>AJ25/AJ$23</f>
        <v>1.104428720346211E-2</v>
      </c>
      <c r="AK14" s="78">
        <v>8.9999999999999993E-3</v>
      </c>
      <c r="AL14" s="78">
        <v>5.0000000000000001E-3</v>
      </c>
      <c r="AM14" s="78">
        <v>3.0000000000000001E-3</v>
      </c>
      <c r="AN14" s="78">
        <v>8.0000000000000002E-3</v>
      </c>
      <c r="AO14" s="47">
        <f>AO25/AO$23</f>
        <v>6.2404394933618188E-3</v>
      </c>
      <c r="AP14" s="78">
        <v>4.0000000000000001E-3</v>
      </c>
      <c r="AQ14" s="78">
        <v>5.0000000000000001E-3</v>
      </c>
      <c r="AR14" s="78">
        <v>6.0000000000000001E-3</v>
      </c>
      <c r="AS14" s="78">
        <v>8.0000000000000002E-3</v>
      </c>
      <c r="AT14" s="47">
        <f>AT25/AT$23</f>
        <v>5.7611712720936027E-3</v>
      </c>
      <c r="AU14" s="759">
        <f>AU15-AU13</f>
        <v>7.0000000000000062E-3</v>
      </c>
      <c r="AV14" s="200"/>
      <c r="AW14" s="200"/>
      <c r="AX14" s="200"/>
      <c r="AY14" s="105"/>
      <c r="AZ14" s="200"/>
      <c r="BA14" s="200"/>
      <c r="BB14" s="200"/>
      <c r="BC14" s="200"/>
      <c r="BD14" s="105"/>
      <c r="BE14" s="105"/>
      <c r="BF14" s="105"/>
      <c r="BG14" s="105"/>
      <c r="BH14" s="363"/>
    </row>
    <row r="15" spans="1:60" s="262" customFormat="1" x14ac:dyDescent="0.35">
      <c r="A15" s="515" t="s">
        <v>1029</v>
      </c>
      <c r="B15" s="510"/>
      <c r="C15" s="516">
        <f>SUM(C13:C14)</f>
        <v>-7.6999999999999999E-2</v>
      </c>
      <c r="D15" s="516">
        <f>SUM(D13:D14)</f>
        <v>0.13500000000000001</v>
      </c>
      <c r="E15" s="516">
        <f>SUM(E13:E14)</f>
        <v>4.7E-2</v>
      </c>
      <c r="F15" s="516">
        <f>SUM(F13:F14)</f>
        <v>2.6000000000000002E-2</v>
      </c>
      <c r="G15" s="512"/>
      <c r="H15" s="512"/>
      <c r="I15" s="512"/>
      <c r="J15" s="512"/>
      <c r="K15" s="516">
        <f t="shared" ref="K15:AQ15" si="7">SUM(K13:K14)</f>
        <v>2.6000000000000002E-2</v>
      </c>
      <c r="L15" s="517">
        <f t="shared" si="7"/>
        <v>4.5999999999999999E-2</v>
      </c>
      <c r="M15" s="517">
        <f t="shared" si="7"/>
        <v>4.8000000000000001E-2</v>
      </c>
      <c r="N15" s="517">
        <f t="shared" si="7"/>
        <v>3.9E-2</v>
      </c>
      <c r="O15" s="517">
        <f t="shared" si="7"/>
        <v>6.3E-2</v>
      </c>
      <c r="P15" s="516">
        <f t="shared" si="7"/>
        <v>4.8875352272359174E-2</v>
      </c>
      <c r="Q15" s="517">
        <f t="shared" si="7"/>
        <v>3.3000000000000002E-2</v>
      </c>
      <c r="R15" s="517">
        <f t="shared" si="7"/>
        <v>1.8000000000000002E-2</v>
      </c>
      <c r="S15" s="517">
        <f t="shared" si="7"/>
        <v>1.2E-2</v>
      </c>
      <c r="T15" s="517">
        <f t="shared" si="7"/>
        <v>-1.0999999999999999E-2</v>
      </c>
      <c r="U15" s="516">
        <f t="shared" si="7"/>
        <v>1.3122466295842367E-2</v>
      </c>
      <c r="V15" s="517">
        <f t="shared" si="7"/>
        <v>-8.0000000000000019E-3</v>
      </c>
      <c r="W15" s="517">
        <f t="shared" si="7"/>
        <v>-2E-3</v>
      </c>
      <c r="X15" s="517">
        <f t="shared" si="7"/>
        <v>-8.0000000000000002E-3</v>
      </c>
      <c r="Y15" s="517">
        <f t="shared" si="7"/>
        <v>1.6E-2</v>
      </c>
      <c r="Z15" s="516">
        <f t="shared" si="7"/>
        <v>-6.9115412565237764E-4</v>
      </c>
      <c r="AA15" s="517">
        <f t="shared" si="7"/>
        <v>4.5999999999999999E-2</v>
      </c>
      <c r="AB15" s="517">
        <f t="shared" si="7"/>
        <v>3.4999999999999996E-2</v>
      </c>
      <c r="AC15" s="517">
        <f t="shared" si="7"/>
        <v>6.6000000000000003E-2</v>
      </c>
      <c r="AD15" s="517">
        <f t="shared" si="7"/>
        <v>6.0000000000000005E-2</v>
      </c>
      <c r="AE15" s="516">
        <f t="shared" si="7"/>
        <v>5.1729316815570095E-2</v>
      </c>
      <c r="AF15" s="517">
        <f t="shared" si="7"/>
        <v>2.8000000000000001E-2</v>
      </c>
      <c r="AG15" s="517">
        <f t="shared" si="7"/>
        <v>5.5999999999999994E-2</v>
      </c>
      <c r="AH15" s="517">
        <f t="shared" si="7"/>
        <v>1.3000000000000001E-2</v>
      </c>
      <c r="AI15" s="517">
        <f t="shared" si="7"/>
        <v>0.03</v>
      </c>
      <c r="AJ15" s="516">
        <f t="shared" si="7"/>
        <v>3.1540449189752663E-2</v>
      </c>
      <c r="AK15" s="517">
        <f t="shared" si="7"/>
        <v>-1.1000000000000001E-2</v>
      </c>
      <c r="AL15" s="517">
        <f t="shared" si="7"/>
        <v>-9.0000000000000011E-3</v>
      </c>
      <c r="AM15" s="517">
        <f t="shared" si="7"/>
        <v>-1.3000000000000001E-2</v>
      </c>
      <c r="AN15" s="517">
        <f t="shared" si="7"/>
        <v>-2.6000000000000002E-2</v>
      </c>
      <c r="AO15" s="516">
        <f t="shared" si="7"/>
        <v>-1.4622737677399663E-2</v>
      </c>
      <c r="AP15" s="517">
        <f t="shared" si="7"/>
        <v>3.0000000000000001E-3</v>
      </c>
      <c r="AQ15" s="517">
        <f t="shared" si="7"/>
        <v>-0.13100000000000001</v>
      </c>
      <c r="AR15" s="517">
        <f>SUM(AR13:AR14)</f>
        <v>9.0000000000000011E-3</v>
      </c>
      <c r="AS15" s="517">
        <f>SUM(AS13:AS14)</f>
        <v>5.5E-2</v>
      </c>
      <c r="AT15" s="516">
        <f>SUM(AT13:AT14)</f>
        <v>-1.6454692556634308E-2</v>
      </c>
      <c r="AU15" s="870">
        <v>0.08</v>
      </c>
      <c r="AV15" s="512"/>
      <c r="AW15" s="512"/>
      <c r="AX15" s="512"/>
      <c r="AY15" s="511"/>
      <c r="AZ15" s="517">
        <f t="shared" ref="AZ15:BD19" si="8">AZ26/AZ$23</f>
        <v>5.1510190938876974E-2</v>
      </c>
      <c r="BA15" s="517">
        <f t="shared" si="8"/>
        <v>4.4191646608119924E-2</v>
      </c>
      <c r="BB15" s="517">
        <f t="shared" si="8"/>
        <v>4.4390003078129132E-2</v>
      </c>
      <c r="BC15" s="517">
        <f t="shared" si="8"/>
        <v>4.436045245449504E-2</v>
      </c>
      <c r="BD15" s="516">
        <f t="shared" si="8"/>
        <v>4.6178015397361737E-2</v>
      </c>
      <c r="BE15" s="516">
        <f>BE26/BE23</f>
        <v>4.4445603263131177E-2</v>
      </c>
      <c r="BF15" s="516">
        <f>BF26/BF23</f>
        <v>4.4548558596899213E-2</v>
      </c>
      <c r="BG15" s="516">
        <f>BG26/BG23</f>
        <v>4.4651099835507857E-2</v>
      </c>
      <c r="BH15" s="363"/>
    </row>
    <row r="16" spans="1:60" s="262" customFormat="1" x14ac:dyDescent="0.35">
      <c r="A16" s="154" t="s">
        <v>1024</v>
      </c>
      <c r="B16" s="312"/>
      <c r="C16" s="47">
        <v>2.1000000000000001E-2</v>
      </c>
      <c r="D16" s="47">
        <v>8.9999999999999993E-3</v>
      </c>
      <c r="E16" s="47">
        <v>3.3000000000000002E-2</v>
      </c>
      <c r="F16" s="47">
        <v>8.0000000000000002E-3</v>
      </c>
      <c r="G16" s="200"/>
      <c r="H16" s="200"/>
      <c r="I16" s="200"/>
      <c r="J16" s="200"/>
      <c r="K16" s="47">
        <v>8.0000000000000002E-3</v>
      </c>
      <c r="L16" s="200"/>
      <c r="M16" s="78">
        <v>1E-3</v>
      </c>
      <c r="N16" s="78">
        <v>1E-3</v>
      </c>
      <c r="O16" s="78">
        <v>1E-3</v>
      </c>
      <c r="P16" s="47">
        <f>P27/P$23</f>
        <v>7.5271290207638234E-4</v>
      </c>
      <c r="Q16" s="78">
        <v>1E-3</v>
      </c>
      <c r="R16" s="78">
        <v>1E-3</v>
      </c>
      <c r="S16" s="78">
        <v>1.0999999999999999E-2</v>
      </c>
      <c r="T16" s="78">
        <v>1.9E-2</v>
      </c>
      <c r="U16" s="47">
        <f>U27/U$23</f>
        <v>7.9234782062160211E-3</v>
      </c>
      <c r="V16" s="78">
        <v>2.1000000000000001E-2</v>
      </c>
      <c r="W16" s="78">
        <v>1.9E-2</v>
      </c>
      <c r="X16" s="78">
        <v>8.0000000000000002E-3</v>
      </c>
      <c r="Y16" s="200"/>
      <c r="Z16" s="47">
        <f>Z27/Z$23</f>
        <v>1.2118253286648612E-2</v>
      </c>
      <c r="AA16" s="200"/>
      <c r="AB16" s="200"/>
      <c r="AC16" s="200"/>
      <c r="AD16" s="78">
        <v>1.7999999999999999E-2</v>
      </c>
      <c r="AE16" s="47">
        <f>AE27/AE$23</f>
        <v>4.381480620412501E-3</v>
      </c>
      <c r="AF16" s="78">
        <v>1.9E-2</v>
      </c>
      <c r="AG16" s="78">
        <v>2.1000000000000001E-2</v>
      </c>
      <c r="AH16" s="78">
        <v>1.7000000000000001E-2</v>
      </c>
      <c r="AI16" s="200"/>
      <c r="AJ16" s="47">
        <f>AJ27/AJ$23</f>
        <v>1.418166598224721E-2</v>
      </c>
      <c r="AK16" s="78">
        <v>6.0000000000000001E-3</v>
      </c>
      <c r="AL16" s="78">
        <v>8.9999999999999993E-3</v>
      </c>
      <c r="AM16" s="78">
        <v>8.9999999999999993E-3</v>
      </c>
      <c r="AN16" s="78">
        <v>5.6000000000000001E-2</v>
      </c>
      <c r="AO16" s="47">
        <f>AO27/AO$23</f>
        <v>1.9638821913627348E-2</v>
      </c>
      <c r="AP16" s="78">
        <v>4.8000000000000001E-2</v>
      </c>
      <c r="AQ16" s="78">
        <v>3.9E-2</v>
      </c>
      <c r="AR16" s="78">
        <v>4.8000000000000001E-2</v>
      </c>
      <c r="AS16" s="78">
        <v>5.0000000000000001E-3</v>
      </c>
      <c r="AT16" s="47">
        <f>AT27/AT$23</f>
        <v>3.485860094597959E-2</v>
      </c>
      <c r="AU16" s="761"/>
      <c r="AV16" s="200"/>
      <c r="AW16" s="200"/>
      <c r="AX16" s="200"/>
      <c r="AY16" s="105"/>
      <c r="AZ16" s="78">
        <f t="shared" si="8"/>
        <v>0</v>
      </c>
      <c r="BA16" s="78">
        <f t="shared" si="8"/>
        <v>0</v>
      </c>
      <c r="BB16" s="78">
        <f t="shared" si="8"/>
        <v>0</v>
      </c>
      <c r="BC16" s="78">
        <f t="shared" si="8"/>
        <v>0</v>
      </c>
      <c r="BD16" s="47">
        <f t="shared" si="8"/>
        <v>0</v>
      </c>
      <c r="BE16" s="47">
        <f>BE27/BE23</f>
        <v>0</v>
      </c>
      <c r="BF16" s="47">
        <f>BF27/BF23</f>
        <v>0</v>
      </c>
      <c r="BG16" s="47">
        <f>BG27/BG23</f>
        <v>0</v>
      </c>
      <c r="BH16" s="363"/>
    </row>
    <row r="17" spans="1:60" s="262" customFormat="1" x14ac:dyDescent="0.35">
      <c r="A17" s="154" t="s">
        <v>1025</v>
      </c>
      <c r="B17" s="312"/>
      <c r="C17" s="47">
        <v>-1E-3</v>
      </c>
      <c r="D17" s="47">
        <v>-1E-3</v>
      </c>
      <c r="E17" s="105"/>
      <c r="F17" s="105"/>
      <c r="G17" s="200"/>
      <c r="H17" s="200"/>
      <c r="I17" s="200"/>
      <c r="J17" s="200"/>
      <c r="K17" s="105"/>
      <c r="L17" s="200"/>
      <c r="M17" s="200"/>
      <c r="N17" s="200"/>
      <c r="O17" s="200"/>
      <c r="P17" s="47">
        <f>P28/P$23</f>
        <v>0</v>
      </c>
      <c r="Q17" s="78">
        <v>-1E-3</v>
      </c>
      <c r="R17" s="78">
        <v>-1E-3</v>
      </c>
      <c r="S17" s="78">
        <v>-1E-3</v>
      </c>
      <c r="T17" s="78">
        <v>-4.0000000000000001E-3</v>
      </c>
      <c r="U17" s="47">
        <f>U28/U$23</f>
        <v>-1.7277269727538418E-3</v>
      </c>
      <c r="V17" s="78">
        <v>-5.0000000000000001E-3</v>
      </c>
      <c r="W17" s="78">
        <v>-5.0000000000000001E-3</v>
      </c>
      <c r="X17" s="78">
        <v>-5.0000000000000001E-3</v>
      </c>
      <c r="Y17" s="78">
        <v>-4.0000000000000001E-3</v>
      </c>
      <c r="Z17" s="47">
        <f>Z28/Z$23</f>
        <v>-4.7589350597872764E-3</v>
      </c>
      <c r="AA17" s="78">
        <v>-4.0000000000000001E-3</v>
      </c>
      <c r="AB17" s="78">
        <v>-0.01</v>
      </c>
      <c r="AC17" s="78">
        <v>-1.2E-2</v>
      </c>
      <c r="AD17" s="78">
        <v>-1.4999999999999999E-2</v>
      </c>
      <c r="AE17" s="47">
        <f>AE28/AE$23</f>
        <v>-1.0252715135009466E-2</v>
      </c>
      <c r="AF17" s="78">
        <v>-1.2E-2</v>
      </c>
      <c r="AG17" s="78">
        <v>-1.2999999999999999E-2</v>
      </c>
      <c r="AH17" s="78">
        <v>-1.4999999999999999E-2</v>
      </c>
      <c r="AI17" s="78">
        <v>-1.2999999999999999E-2</v>
      </c>
      <c r="AJ17" s="47">
        <f>AJ28/AJ$23</f>
        <v>-1.3273525602552358E-2</v>
      </c>
      <c r="AK17" s="78">
        <v>-1.0999999999999999E-2</v>
      </c>
      <c r="AL17" s="78">
        <v>-8.0000000000000002E-3</v>
      </c>
      <c r="AM17" s="78">
        <v>-3.0000000000000001E-3</v>
      </c>
      <c r="AN17" s="78">
        <v>-5.0000000000000001E-3</v>
      </c>
      <c r="AO17" s="47">
        <f>AO28/AO$23</f>
        <v>-6.7864794750495949E-3</v>
      </c>
      <c r="AP17" s="78">
        <v>-6.0000000000000001E-3</v>
      </c>
      <c r="AQ17" s="78">
        <v>-1.4999999999999999E-2</v>
      </c>
      <c r="AR17" s="78">
        <v>-1.7999999999999999E-2</v>
      </c>
      <c r="AS17" s="78">
        <v>-1.6E-2</v>
      </c>
      <c r="AT17" s="47">
        <f>AT28/AT$23</f>
        <v>-1.3796272093602192E-2</v>
      </c>
      <c r="AU17" s="759">
        <v>-1.4E-2</v>
      </c>
      <c r="AV17" s="200"/>
      <c r="AW17" s="200"/>
      <c r="AX17" s="200"/>
      <c r="AY17" s="105"/>
      <c r="AZ17" s="78">
        <f t="shared" si="8"/>
        <v>0</v>
      </c>
      <c r="BA17" s="78">
        <f t="shared" si="8"/>
        <v>0</v>
      </c>
      <c r="BB17" s="78">
        <f t="shared" si="8"/>
        <v>0</v>
      </c>
      <c r="BC17" s="78">
        <f t="shared" si="8"/>
        <v>0</v>
      </c>
      <c r="BD17" s="47">
        <f t="shared" si="8"/>
        <v>0</v>
      </c>
      <c r="BE17" s="47">
        <f>BE28/BE23</f>
        <v>0</v>
      </c>
      <c r="BF17" s="47">
        <f>BF28/BF23</f>
        <v>0</v>
      </c>
      <c r="BG17" s="47">
        <f>BG28/BG23</f>
        <v>0</v>
      </c>
      <c r="BH17" s="363"/>
    </row>
    <row r="18" spans="1:60" s="262" customFormat="1" x14ac:dyDescent="0.35">
      <c r="A18" s="154" t="s">
        <v>1026</v>
      </c>
      <c r="B18" s="312"/>
      <c r="C18" s="47">
        <v>-2.8000000000000001E-2</v>
      </c>
      <c r="D18" s="47">
        <v>0.01</v>
      </c>
      <c r="E18" s="47">
        <v>3.1E-2</v>
      </c>
      <c r="F18" s="47">
        <v>-2.4E-2</v>
      </c>
      <c r="G18" s="200"/>
      <c r="H18" s="200"/>
      <c r="I18" s="200"/>
      <c r="J18" s="200"/>
      <c r="K18" s="47">
        <v>-2.4E-2</v>
      </c>
      <c r="L18" s="78">
        <v>-0.02</v>
      </c>
      <c r="M18" s="200"/>
      <c r="N18" s="78">
        <v>-1.2E-2</v>
      </c>
      <c r="O18" s="78">
        <v>-4.3999999999999997E-2</v>
      </c>
      <c r="P18" s="47">
        <f>P29/P$23</f>
        <v>-1.8810793301156429E-2</v>
      </c>
      <c r="Q18" s="78">
        <v>-6.5000000000000002E-2</v>
      </c>
      <c r="R18" s="78">
        <v>-7.2999999999999995E-2</v>
      </c>
      <c r="S18" s="78">
        <v>-7.3999999999999996E-2</v>
      </c>
      <c r="T18" s="78">
        <v>-5.8000000000000003E-2</v>
      </c>
      <c r="U18" s="47">
        <f>U29/U$23</f>
        <v>-6.7648314006473698E-2</v>
      </c>
      <c r="V18" s="78">
        <v>-0.03</v>
      </c>
      <c r="W18" s="78">
        <v>-1.4999999999999999E-2</v>
      </c>
      <c r="X18" s="78">
        <v>5.0000000000000001E-3</v>
      </c>
      <c r="Y18" s="78">
        <v>-8.0000000000000002E-3</v>
      </c>
      <c r="Z18" s="47">
        <f>Z29/Z$23</f>
        <v>-1.1972451608641079E-2</v>
      </c>
      <c r="AA18" s="78">
        <v>-5.0000000000000001E-3</v>
      </c>
      <c r="AB18" s="78">
        <v>-6.0000000000000001E-3</v>
      </c>
      <c r="AC18" s="78">
        <v>6.0000000000000001E-3</v>
      </c>
      <c r="AD18" s="78">
        <v>2.7E-2</v>
      </c>
      <c r="AE18" s="47">
        <f>AE29/AE$23</f>
        <v>5.351223886545551E-3</v>
      </c>
      <c r="AF18" s="78">
        <v>4.2000000000000003E-2</v>
      </c>
      <c r="AG18" s="78">
        <v>0.01</v>
      </c>
      <c r="AH18" s="78">
        <v>-1.7000000000000001E-2</v>
      </c>
      <c r="AI18" s="78">
        <v>-2.3E-2</v>
      </c>
      <c r="AJ18" s="47">
        <f>AJ29/AJ$23</f>
        <v>2.4694696275705222E-3</v>
      </c>
      <c r="AK18" s="78">
        <v>-3.4000000000000002E-2</v>
      </c>
      <c r="AL18" s="78">
        <v>-1.7999999999999999E-2</v>
      </c>
      <c r="AM18" s="78">
        <v>-1.2999999999999999E-2</v>
      </c>
      <c r="AN18" s="78">
        <v>-4.0000000000000001E-3</v>
      </c>
      <c r="AO18" s="47">
        <f>AO29/AO$23</f>
        <v>-1.7403570883564777E-2</v>
      </c>
      <c r="AP18" s="78">
        <v>-1.7999999999999999E-2</v>
      </c>
      <c r="AQ18" s="78">
        <v>-1.4999999999999999E-2</v>
      </c>
      <c r="AR18" s="78">
        <v>6.0000000000000001E-3</v>
      </c>
      <c r="AS18" s="78">
        <v>1.4E-2</v>
      </c>
      <c r="AT18" s="47">
        <f>AT29/AT$23</f>
        <v>-3.1926499875528998E-3</v>
      </c>
      <c r="AU18" s="759">
        <v>0.03</v>
      </c>
      <c r="AV18" s="200"/>
      <c r="AW18" s="200"/>
      <c r="AX18" s="200"/>
      <c r="AY18" s="105"/>
      <c r="AZ18" s="78">
        <f t="shared" si="8"/>
        <v>2.002768048808044E-2</v>
      </c>
      <c r="BA18" s="78">
        <f t="shared" si="8"/>
        <v>1.9701451674725211E-2</v>
      </c>
      <c r="BB18" s="78">
        <f t="shared" si="8"/>
        <v>1.9919977789903277E-2</v>
      </c>
      <c r="BC18" s="78">
        <f t="shared" si="8"/>
        <v>1.9913472296098595E-2</v>
      </c>
      <c r="BD18" s="47">
        <f t="shared" si="8"/>
        <v>1.9897176931546263E-2</v>
      </c>
      <c r="BE18" s="47">
        <f>BE29/BE23</f>
        <v>1.9928097765000586E-2</v>
      </c>
      <c r="BF18" s="47">
        <f>BF29/BF23</f>
        <v>1.9993709422828135E-2</v>
      </c>
      <c r="BG18" s="47">
        <f>BG29/BG23</f>
        <v>2.0059083165204775E-2</v>
      </c>
      <c r="BH18" s="363"/>
    </row>
    <row r="19" spans="1:60" s="262" customFormat="1" x14ac:dyDescent="0.35">
      <c r="A19" s="154" t="s">
        <v>1027</v>
      </c>
      <c r="B19" s="312"/>
      <c r="C19" s="105"/>
      <c r="D19" s="47">
        <f>D20-SUM(D15:D18)</f>
        <v>5.1074687540619834E-5</v>
      </c>
      <c r="E19" s="47">
        <f>E20-SUM(E15:E18)</f>
        <v>-3.931438001649884E-4</v>
      </c>
      <c r="F19" s="47">
        <f>F20-SUM(F15:F18)</f>
        <v>-1.0502853669235729E-4</v>
      </c>
      <c r="G19" s="200"/>
      <c r="H19" s="200"/>
      <c r="I19" s="200"/>
      <c r="J19" s="200"/>
      <c r="K19" s="47">
        <f t="shared" ref="K19:AQ19" si="9">K20-SUM(K15:K18)</f>
        <v>2.2336811128945928E-2</v>
      </c>
      <c r="L19" s="78">
        <f t="shared" si="9"/>
        <v>-1.9439350275083159E-4</v>
      </c>
      <c r="M19" s="78">
        <f t="shared" si="9"/>
        <v>2.7760577915374174E-4</v>
      </c>
      <c r="N19" s="78">
        <f t="shared" si="9"/>
        <v>-8.1859525012693141E-5</v>
      </c>
      <c r="O19" s="78">
        <f t="shared" si="9"/>
        <v>-1.8232263178762087E-4</v>
      </c>
      <c r="P19" s="47">
        <f t="shared" si="9"/>
        <v>-4.4054290434334537E-5</v>
      </c>
      <c r="Q19" s="78">
        <f t="shared" si="9"/>
        <v>-3.0749584982761591E-4</v>
      </c>
      <c r="R19" s="78">
        <f t="shared" si="9"/>
        <v>-7.7452667814170706E-5</v>
      </c>
      <c r="S19" s="78">
        <f t="shared" si="9"/>
        <v>-2.3055180041780393E-4</v>
      </c>
      <c r="T19" s="78">
        <f t="shared" si="9"/>
        <v>-5.4074361963989126E-4</v>
      </c>
      <c r="U19" s="47">
        <f t="shared" si="9"/>
        <v>-2.8559756135890235E-4</v>
      </c>
      <c r="V19" s="78">
        <f t="shared" si="9"/>
        <v>-3.0139878595938224E-4</v>
      </c>
      <c r="W19" s="78">
        <f t="shared" si="9"/>
        <v>-1.2256049960968421E-4</v>
      </c>
      <c r="X19" s="78">
        <f t="shared" si="9"/>
        <v>-3.8900414937759198E-4</v>
      </c>
      <c r="Y19" s="78">
        <f t="shared" si="9"/>
        <v>2.4773910660447554E-4</v>
      </c>
      <c r="Z19" s="47">
        <f t="shared" si="9"/>
        <v>-1.4593380458476773E-4</v>
      </c>
      <c r="AA19" s="78">
        <f t="shared" si="9"/>
        <v>2.5199082197328165E-4</v>
      </c>
      <c r="AB19" s="78">
        <f t="shared" si="9"/>
        <v>3.1610545549467378E-4</v>
      </c>
      <c r="AC19" s="78">
        <f t="shared" si="9"/>
        <v>5.9670514982505807E-5</v>
      </c>
      <c r="AD19" s="78">
        <f t="shared" si="9"/>
        <v>1.8965752490104903E-4</v>
      </c>
      <c r="AE19" s="47">
        <f t="shared" si="9"/>
        <v>2.0389252383018475E-4</v>
      </c>
      <c r="AF19" s="78">
        <f t="shared" si="9"/>
        <v>1.6330513988277451E-4</v>
      </c>
      <c r="AG19" s="78">
        <f t="shared" si="9"/>
        <v>2.6376440460958162E-4</v>
      </c>
      <c r="AH19" s="78">
        <f t="shared" si="9"/>
        <v>-4.4738130200683637E-4</v>
      </c>
      <c r="AI19" s="78">
        <f t="shared" si="9"/>
        <v>3.6795994993742837E-4</v>
      </c>
      <c r="AJ19" s="47">
        <f t="shared" si="9"/>
        <v>8.2098745933040229E-5</v>
      </c>
      <c r="AK19" s="78">
        <f t="shared" si="9"/>
        <v>-1.3288233872914279E-4</v>
      </c>
      <c r="AL19" s="78">
        <f t="shared" si="9"/>
        <v>-1.0250297973781602E-4</v>
      </c>
      <c r="AM19" s="78">
        <f t="shared" si="9"/>
        <v>2.5024533856719475E-4</v>
      </c>
      <c r="AN19" s="78">
        <f t="shared" si="9"/>
        <v>-1.0635619886732034E-4</v>
      </c>
      <c r="AO19" s="47">
        <f t="shared" si="9"/>
        <v>-2.3348084846677719E-5</v>
      </c>
      <c r="AP19" s="78">
        <f t="shared" si="9"/>
        <v>-3.8280554495711411E-5</v>
      </c>
      <c r="AQ19" s="78">
        <f t="shared" si="9"/>
        <v>2.2787908456733952E-4</v>
      </c>
      <c r="AR19" s="78">
        <f>AR20-SUM(AR15:AR18)</f>
        <v>-7.4458766111971941E-5</v>
      </c>
      <c r="AS19" s="78">
        <f>AS20-SUM(AS15:AS18)</f>
        <v>1.9257798052035868E-4</v>
      </c>
      <c r="AT19" s="47">
        <f>AT20-SUM(AT15:AT18)</f>
        <v>7.8665670898715821E-5</v>
      </c>
      <c r="AU19" s="759">
        <f t="shared" ref="AU19" si="10">AU20-SUM(AU15:AU18)</f>
        <v>9.9071207430329045E-5</v>
      </c>
      <c r="AV19" s="200"/>
      <c r="AW19" s="200"/>
      <c r="AX19" s="200"/>
      <c r="AY19" s="105"/>
      <c r="AZ19" s="78">
        <f t="shared" si="8"/>
        <v>0</v>
      </c>
      <c r="BA19" s="78">
        <f t="shared" si="8"/>
        <v>0</v>
      </c>
      <c r="BB19" s="78">
        <f t="shared" si="8"/>
        <v>0</v>
      </c>
      <c r="BC19" s="78">
        <f t="shared" si="8"/>
        <v>0</v>
      </c>
      <c r="BD19" s="47">
        <f t="shared" si="8"/>
        <v>0</v>
      </c>
      <c r="BE19" s="47">
        <f>BE30/BE23</f>
        <v>0</v>
      </c>
      <c r="BF19" s="47">
        <f>BF30/BF23</f>
        <v>0</v>
      </c>
      <c r="BG19" s="47">
        <f>BG30/BG23</f>
        <v>0</v>
      </c>
      <c r="BH19" s="363"/>
    </row>
    <row r="20" spans="1:60" s="225" customFormat="1" x14ac:dyDescent="0.35">
      <c r="A20" s="313" t="s">
        <v>17</v>
      </c>
      <c r="B20" s="180"/>
      <c r="C20" s="107">
        <f>SUM(C15:C19)</f>
        <v>-8.4999999999999992E-2</v>
      </c>
      <c r="D20" s="107">
        <f>D787/C787-1</f>
        <v>0.15305107468754064</v>
      </c>
      <c r="E20" s="107">
        <f>E787/D787-1</f>
        <v>0.11060685619983501</v>
      </c>
      <c r="F20" s="107">
        <f>F787/E787-1</f>
        <v>9.8949714633076447E-3</v>
      </c>
      <c r="G20" s="106"/>
      <c r="H20" s="106"/>
      <c r="I20" s="106"/>
      <c r="J20" s="106"/>
      <c r="K20" s="107">
        <f t="shared" ref="K20:AU20" si="11">K787/F787-1</f>
        <v>3.233681112894593E-2</v>
      </c>
      <c r="L20" s="106">
        <f t="shared" si="11"/>
        <v>2.5805606497249167E-2</v>
      </c>
      <c r="M20" s="106">
        <f t="shared" si="11"/>
        <v>4.9277605779153744E-2</v>
      </c>
      <c r="N20" s="106">
        <f t="shared" si="11"/>
        <v>2.7918140474987307E-2</v>
      </c>
      <c r="O20" s="106">
        <f t="shared" si="11"/>
        <v>1.9817677368212383E-2</v>
      </c>
      <c r="P20" s="107">
        <f t="shared" si="11"/>
        <v>3.0773217582844792E-2</v>
      </c>
      <c r="Q20" s="106">
        <f t="shared" si="11"/>
        <v>-3.2307495849827617E-2</v>
      </c>
      <c r="R20" s="106">
        <f t="shared" si="11"/>
        <v>-5.5077452667814164E-2</v>
      </c>
      <c r="S20" s="106">
        <f t="shared" si="11"/>
        <v>-5.2230551800417802E-2</v>
      </c>
      <c r="T20" s="106">
        <f t="shared" si="11"/>
        <v>-5.4540743619639898E-2</v>
      </c>
      <c r="U20" s="107">
        <f t="shared" si="11"/>
        <v>-4.8615694038528057E-2</v>
      </c>
      <c r="V20" s="106">
        <f t="shared" si="11"/>
        <v>-2.2301398785959381E-2</v>
      </c>
      <c r="W20" s="106">
        <f t="shared" si="11"/>
        <v>-3.1225604996096834E-3</v>
      </c>
      <c r="X20" s="106">
        <f t="shared" si="11"/>
        <v>-3.8900414937759198E-4</v>
      </c>
      <c r="Y20" s="106">
        <f t="shared" si="11"/>
        <v>4.2477391066044756E-3</v>
      </c>
      <c r="Z20" s="107">
        <f t="shared" si="11"/>
        <v>-5.4502213120168896E-3</v>
      </c>
      <c r="AA20" s="106">
        <f t="shared" si="11"/>
        <v>3.725199082197328E-2</v>
      </c>
      <c r="AB20" s="106">
        <f t="shared" si="11"/>
        <v>1.931610545549467E-2</v>
      </c>
      <c r="AC20" s="106">
        <f t="shared" si="11"/>
        <v>6.0059670514982511E-2</v>
      </c>
      <c r="AD20" s="106">
        <f t="shared" si="11"/>
        <v>9.0189657524901046E-2</v>
      </c>
      <c r="AE20" s="107">
        <f t="shared" si="11"/>
        <v>5.1413198711348862E-2</v>
      </c>
      <c r="AF20" s="106">
        <f t="shared" si="11"/>
        <v>7.7163305139882787E-2</v>
      </c>
      <c r="AG20" s="106">
        <f t="shared" si="11"/>
        <v>7.4263764404609578E-2</v>
      </c>
      <c r="AH20" s="106">
        <f t="shared" si="11"/>
        <v>-2.4473813020068347E-3</v>
      </c>
      <c r="AI20" s="106">
        <f t="shared" si="11"/>
        <v>-5.63204005006257E-3</v>
      </c>
      <c r="AJ20" s="107">
        <f t="shared" si="11"/>
        <v>3.5000157942951082E-2</v>
      </c>
      <c r="AK20" s="106">
        <f t="shared" si="11"/>
        <v>-5.0132882338729146E-2</v>
      </c>
      <c r="AL20" s="106">
        <f t="shared" si="11"/>
        <v>-2.6102502979737818E-2</v>
      </c>
      <c r="AM20" s="106">
        <f t="shared" si="11"/>
        <v>-1.9749754661432806E-2</v>
      </c>
      <c r="AN20" s="106">
        <f t="shared" si="11"/>
        <v>2.0893643801132677E-2</v>
      </c>
      <c r="AO20" s="107">
        <f t="shared" si="11"/>
        <v>-1.9197314207233362E-2</v>
      </c>
      <c r="AP20" s="106">
        <f t="shared" si="11"/>
        <v>2.6961719445504295E-2</v>
      </c>
      <c r="AQ20" s="106">
        <f t="shared" si="11"/>
        <v>-0.12177212091543266</v>
      </c>
      <c r="AR20" s="106">
        <f>AR787/AM787-1</f>
        <v>4.4925541233888033E-2</v>
      </c>
      <c r="AS20" s="106">
        <f>AS787/AN787-1</f>
        <v>5.8192577980520355E-2</v>
      </c>
      <c r="AT20" s="107">
        <f>AT787/AO787-1</f>
        <v>1.4936519790889058E-3</v>
      </c>
      <c r="AU20" s="760">
        <f t="shared" si="11"/>
        <v>9.6099071207430331E-2</v>
      </c>
      <c r="AV20" s="106"/>
      <c r="AW20" s="106"/>
      <c r="AX20" s="106"/>
      <c r="AY20" s="107"/>
      <c r="AZ20" s="106">
        <f>AZ787/AU787-1</f>
        <v>7.1537871426957444E-2</v>
      </c>
      <c r="BA20" s="106">
        <f>BA787/AV787-1</f>
        <v>6.3893098282845173E-2</v>
      </c>
      <c r="BB20" s="106">
        <f>BB787/AW787-1</f>
        <v>6.4309980868032302E-2</v>
      </c>
      <c r="BC20" s="106">
        <f>BC787/AX787-1</f>
        <v>6.4273924750593459E-2</v>
      </c>
      <c r="BD20" s="107">
        <f>BD787/AY787-1</f>
        <v>6.6075192328907795E-2</v>
      </c>
      <c r="BE20" s="107">
        <f>BE787/BD787-1</f>
        <v>6.437370102813178E-2</v>
      </c>
      <c r="BF20" s="107">
        <f>BF787/BE787-1</f>
        <v>6.4542268019727178E-2</v>
      </c>
      <c r="BG20" s="107">
        <f>BG787/BF787-1</f>
        <v>6.4710183000712629E-2</v>
      </c>
      <c r="BH20" s="94"/>
    </row>
    <row r="21" spans="1:60" s="262" customFormat="1" x14ac:dyDescent="0.35">
      <c r="A21" s="311"/>
      <c r="B21" s="312"/>
      <c r="C21" s="105"/>
      <c r="D21" s="105"/>
      <c r="E21" s="105"/>
      <c r="F21" s="105"/>
      <c r="G21" s="200"/>
      <c r="H21" s="200"/>
      <c r="I21" s="200"/>
      <c r="J21" s="200"/>
      <c r="K21" s="105"/>
      <c r="L21" s="200"/>
      <c r="M21" s="200"/>
      <c r="N21" s="200"/>
      <c r="O21" s="200"/>
      <c r="P21" s="105"/>
      <c r="Q21" s="200"/>
      <c r="R21" s="200"/>
      <c r="S21" s="200"/>
      <c r="T21" s="200"/>
      <c r="U21" s="105"/>
      <c r="V21" s="200"/>
      <c r="W21" s="200"/>
      <c r="X21" s="200"/>
      <c r="Y21" s="200"/>
      <c r="Z21" s="105"/>
      <c r="AA21" s="200"/>
      <c r="AB21" s="200"/>
      <c r="AC21" s="200"/>
      <c r="AD21" s="200"/>
      <c r="AE21" s="105"/>
      <c r="AF21" s="200"/>
      <c r="AG21" s="200"/>
      <c r="AH21" s="200"/>
      <c r="AI21" s="200"/>
      <c r="AJ21" s="105"/>
      <c r="AK21" s="200"/>
      <c r="AL21" s="200"/>
      <c r="AM21" s="200"/>
      <c r="AN21" s="200"/>
      <c r="AO21" s="105"/>
      <c r="AP21" s="200"/>
      <c r="AQ21" s="200"/>
      <c r="AR21" s="200"/>
      <c r="AS21" s="200"/>
      <c r="AT21" s="105"/>
      <c r="AU21" s="761"/>
      <c r="AV21" s="200"/>
      <c r="AW21" s="200"/>
      <c r="AX21" s="200"/>
      <c r="AY21" s="105"/>
      <c r="AZ21" s="200"/>
      <c r="BA21" s="200"/>
      <c r="BB21" s="200"/>
      <c r="BC21" s="200"/>
      <c r="BD21" s="105"/>
      <c r="BE21" s="105"/>
      <c r="BF21" s="105"/>
      <c r="BG21" s="105"/>
      <c r="BH21" s="363"/>
    </row>
    <row r="22" spans="1:60" s="21" customFormat="1" x14ac:dyDescent="0.35">
      <c r="A22" s="746" t="s">
        <v>819</v>
      </c>
      <c r="B22" s="746"/>
      <c r="C22" s="874"/>
      <c r="D22" s="874"/>
      <c r="E22" s="874"/>
      <c r="F22" s="874"/>
      <c r="G22" s="874"/>
      <c r="H22" s="874"/>
      <c r="I22" s="874"/>
      <c r="J22" s="874"/>
      <c r="K22" s="874"/>
      <c r="L22" s="874"/>
      <c r="M22" s="874"/>
      <c r="N22" s="874"/>
      <c r="O22" s="874"/>
      <c r="P22" s="874"/>
      <c r="Q22" s="874"/>
      <c r="R22" s="874"/>
      <c r="S22" s="874"/>
      <c r="T22" s="874"/>
      <c r="U22" s="874"/>
      <c r="V22" s="874"/>
      <c r="W22" s="874"/>
      <c r="X22" s="874"/>
      <c r="Y22" s="874"/>
      <c r="Z22" s="874"/>
      <c r="AA22" s="874"/>
      <c r="AB22" s="874"/>
      <c r="AC22" s="874"/>
      <c r="AD22" s="874"/>
      <c r="AE22" s="874"/>
      <c r="AF22" s="874"/>
      <c r="AG22" s="874"/>
      <c r="AH22" s="874"/>
      <c r="AI22" s="874"/>
      <c r="AJ22" s="874"/>
      <c r="AK22" s="874"/>
      <c r="AL22" s="874"/>
      <c r="AM22" s="874"/>
      <c r="AN22" s="874"/>
      <c r="AO22" s="874"/>
      <c r="AP22" s="874"/>
      <c r="AQ22" s="874"/>
      <c r="AR22" s="874"/>
      <c r="AS22" s="874"/>
      <c r="AT22" s="874"/>
      <c r="AU22" s="875"/>
      <c r="AV22" s="874"/>
      <c r="AW22" s="874"/>
      <c r="AX22" s="874"/>
      <c r="AY22" s="874"/>
      <c r="AZ22" s="874"/>
      <c r="BA22" s="874"/>
      <c r="BB22" s="874"/>
      <c r="BC22" s="874"/>
      <c r="BD22" s="874"/>
      <c r="BE22" s="874"/>
      <c r="BF22" s="874"/>
      <c r="BG22" s="874"/>
      <c r="BH22" s="651"/>
    </row>
    <row r="23" spans="1:60" s="69" customFormat="1" x14ac:dyDescent="0.35">
      <c r="A23" s="90" t="s">
        <v>572</v>
      </c>
      <c r="B23" s="518"/>
      <c r="C23" s="519"/>
      <c r="D23" s="440">
        <f>C31</f>
        <v>23123</v>
      </c>
      <c r="E23" s="440">
        <f>D31</f>
        <v>26662</v>
      </c>
      <c r="F23" s="440">
        <f>E31</f>
        <v>29611</v>
      </c>
      <c r="G23" s="520"/>
      <c r="H23" s="520"/>
      <c r="I23" s="520"/>
      <c r="J23" s="520"/>
      <c r="K23" s="440">
        <f t="shared" ref="K23:AU23" si="12">F31</f>
        <v>29904</v>
      </c>
      <c r="L23" s="441">
        <f t="shared" si="12"/>
        <v>7634</v>
      </c>
      <c r="M23" s="441">
        <f t="shared" si="12"/>
        <v>7752</v>
      </c>
      <c r="N23" s="441">
        <f t="shared" si="12"/>
        <v>7916</v>
      </c>
      <c r="O23" s="441">
        <f t="shared" si="12"/>
        <v>7569</v>
      </c>
      <c r="P23" s="440">
        <f t="shared" si="12"/>
        <v>30871</v>
      </c>
      <c r="Q23" s="441">
        <f t="shared" si="12"/>
        <v>7831</v>
      </c>
      <c r="R23" s="441">
        <f t="shared" si="12"/>
        <v>8134</v>
      </c>
      <c r="S23" s="441">
        <f t="shared" si="12"/>
        <v>8137</v>
      </c>
      <c r="T23" s="441">
        <f t="shared" si="12"/>
        <v>7719</v>
      </c>
      <c r="U23" s="440">
        <f t="shared" si="12"/>
        <v>31821</v>
      </c>
      <c r="V23" s="441">
        <f t="shared" si="12"/>
        <v>7578</v>
      </c>
      <c r="W23" s="441">
        <f t="shared" si="12"/>
        <v>7686</v>
      </c>
      <c r="X23" s="441">
        <f t="shared" si="12"/>
        <v>7712</v>
      </c>
      <c r="Y23" s="441">
        <f t="shared" si="12"/>
        <v>7298</v>
      </c>
      <c r="Z23" s="440">
        <f t="shared" si="12"/>
        <v>30274</v>
      </c>
      <c r="AA23" s="441">
        <f t="shared" si="12"/>
        <v>7409</v>
      </c>
      <c r="AB23" s="441">
        <f t="shared" si="12"/>
        <v>7662</v>
      </c>
      <c r="AC23" s="441">
        <f t="shared" si="12"/>
        <v>7709</v>
      </c>
      <c r="AD23" s="441">
        <f t="shared" si="12"/>
        <v>7329</v>
      </c>
      <c r="AE23" s="440">
        <f t="shared" si="12"/>
        <v>30109</v>
      </c>
      <c r="AF23" s="441">
        <f t="shared" si="12"/>
        <v>7685</v>
      </c>
      <c r="AG23" s="441">
        <f t="shared" si="12"/>
        <v>7810</v>
      </c>
      <c r="AH23" s="441">
        <f t="shared" si="12"/>
        <v>8172</v>
      </c>
      <c r="AI23" s="441">
        <f t="shared" si="12"/>
        <v>7990</v>
      </c>
      <c r="AJ23" s="440">
        <f t="shared" si="12"/>
        <v>31657</v>
      </c>
      <c r="AK23" s="441">
        <f t="shared" si="12"/>
        <v>8278</v>
      </c>
      <c r="AL23" s="441">
        <f t="shared" si="12"/>
        <v>8390</v>
      </c>
      <c r="AM23" s="441">
        <f t="shared" si="12"/>
        <v>8152</v>
      </c>
      <c r="AN23" s="441">
        <f t="shared" si="12"/>
        <v>7945</v>
      </c>
      <c r="AO23" s="440">
        <f t="shared" si="12"/>
        <v>32765</v>
      </c>
      <c r="AP23" s="441">
        <f t="shared" si="12"/>
        <v>7863</v>
      </c>
      <c r="AQ23" s="441">
        <f t="shared" si="12"/>
        <v>8171</v>
      </c>
      <c r="AR23" s="441">
        <f>AM31</f>
        <v>7991</v>
      </c>
      <c r="AS23" s="441">
        <f>AN31</f>
        <v>8111</v>
      </c>
      <c r="AT23" s="440">
        <f>AO31</f>
        <v>32136</v>
      </c>
      <c r="AU23" s="762">
        <f t="shared" si="12"/>
        <v>8075</v>
      </c>
      <c r="AV23" s="520"/>
      <c r="AW23" s="520"/>
      <c r="AX23" s="520"/>
      <c r="AY23" s="519"/>
      <c r="AZ23" s="441">
        <f>AU31</f>
        <v>8851</v>
      </c>
      <c r="BA23" s="441">
        <f>AV31</f>
        <v>7668.2192000000005</v>
      </c>
      <c r="BB23" s="441">
        <f>AW31</f>
        <v>8745.5720000000001</v>
      </c>
      <c r="BC23" s="441">
        <f>AX31</f>
        <v>8982.3486000000012</v>
      </c>
      <c r="BD23" s="440">
        <f>AY31</f>
        <v>34247.139800000004</v>
      </c>
      <c r="BE23" s="440">
        <f>BD31</f>
        <v>36510.026149000005</v>
      </c>
      <c r="BF23" s="440">
        <f>BE31</f>
        <v>38860.311656845006</v>
      </c>
      <c r="BG23" s="440">
        <f>BF31</f>
        <v>41368.444307131234</v>
      </c>
      <c r="BH23" s="79"/>
    </row>
    <row r="24" spans="1:60" s="345" customFormat="1" x14ac:dyDescent="0.35">
      <c r="A24" s="161" t="s">
        <v>1017</v>
      </c>
      <c r="B24" s="444"/>
      <c r="C24" s="445"/>
      <c r="D24" s="436">
        <f t="shared" ref="D24:F30" si="13">D$23*D13</f>
        <v>3167.8510000000001</v>
      </c>
      <c r="E24" s="436">
        <f t="shared" si="13"/>
        <v>986.49399999999991</v>
      </c>
      <c r="F24" s="436">
        <f t="shared" si="13"/>
        <v>355.33199999999999</v>
      </c>
      <c r="G24" s="446"/>
      <c r="H24" s="446"/>
      <c r="I24" s="446"/>
      <c r="J24" s="446"/>
      <c r="K24" s="436">
        <f t="shared" ref="K24:O30" si="14">K$23*K13</f>
        <v>358.84800000000001</v>
      </c>
      <c r="L24" s="437">
        <f t="shared" si="14"/>
        <v>259.55600000000004</v>
      </c>
      <c r="M24" s="437">
        <f t="shared" si="14"/>
        <v>271.32000000000005</v>
      </c>
      <c r="N24" s="437">
        <f t="shared" si="14"/>
        <v>253.31200000000001</v>
      </c>
      <c r="O24" s="437">
        <f t="shared" si="14"/>
        <v>423.86400000000003</v>
      </c>
      <c r="P24" s="436">
        <f>SUM(L24,M24,N24,O24)</f>
        <v>1208.0520000000001</v>
      </c>
      <c r="Q24" s="437">
        <f t="shared" ref="Q24:T30" si="15">Q$23*Q13</f>
        <v>180.113</v>
      </c>
      <c r="R24" s="437">
        <f t="shared" si="15"/>
        <v>65.072000000000003</v>
      </c>
      <c r="S24" s="437">
        <f t="shared" si="15"/>
        <v>8.1370000000000005</v>
      </c>
      <c r="T24" s="437">
        <f t="shared" si="15"/>
        <v>-177.53700000000001</v>
      </c>
      <c r="U24" s="436">
        <f>SUM(Q24,R24,S24,T24)</f>
        <v>75.784999999999997</v>
      </c>
      <c r="V24" s="437">
        <f t="shared" ref="V24:Y30" si="16">V$23*V13</f>
        <v>-128.82600000000002</v>
      </c>
      <c r="W24" s="437">
        <f t="shared" si="16"/>
        <v>-99.917999999999992</v>
      </c>
      <c r="X24" s="437">
        <f t="shared" si="16"/>
        <v>-107.968</v>
      </c>
      <c r="Y24" s="437">
        <f t="shared" si="16"/>
        <v>109.47</v>
      </c>
      <c r="Z24" s="436">
        <f>SUM(V24,W24,X24,Y24)</f>
        <v>-227.24200000000005</v>
      </c>
      <c r="AA24" s="437">
        <f t="shared" ref="AA24:AD30" si="17">AA$23*AA13</f>
        <v>333.40499999999997</v>
      </c>
      <c r="AB24" s="437">
        <f t="shared" si="17"/>
        <v>291.15600000000001</v>
      </c>
      <c r="AC24" s="437">
        <f t="shared" si="17"/>
        <v>508.79400000000004</v>
      </c>
      <c r="AD24" s="437">
        <f t="shared" si="17"/>
        <v>425.08199999999999</v>
      </c>
      <c r="AE24" s="436">
        <f>SUM(AA24,AB24,AC24,AD24)</f>
        <v>1558.4369999999999</v>
      </c>
      <c r="AF24" s="437">
        <f t="shared" ref="AF24:AI30" si="18">AF$23*AF13</f>
        <v>161.38500000000002</v>
      </c>
      <c r="AG24" s="437">
        <f t="shared" si="18"/>
        <v>351.45</v>
      </c>
      <c r="AH24" s="437">
        <f t="shared" si="18"/>
        <v>8.1720000000000006</v>
      </c>
      <c r="AI24" s="437">
        <f t="shared" si="18"/>
        <v>127.84</v>
      </c>
      <c r="AJ24" s="436">
        <f>SUM(AF24,AG24,AH24,AI24)</f>
        <v>648.84700000000009</v>
      </c>
      <c r="AK24" s="437">
        <f t="shared" ref="AK24:AN30" si="19">AK$23*AK13</f>
        <v>-165.56</v>
      </c>
      <c r="AL24" s="437">
        <f t="shared" si="19"/>
        <v>-117.46000000000001</v>
      </c>
      <c r="AM24" s="437">
        <f t="shared" si="19"/>
        <v>-130.43200000000002</v>
      </c>
      <c r="AN24" s="437">
        <f t="shared" si="19"/>
        <v>-270.13</v>
      </c>
      <c r="AO24" s="436">
        <f>SUM(AK24,AL24,AM24,AN24)</f>
        <v>-683.58199999999999</v>
      </c>
      <c r="AP24" s="437">
        <f t="shared" ref="AP24:AR30" si="20">AP$23*AP13</f>
        <v>-7.8630000000000004</v>
      </c>
      <c r="AQ24" s="437">
        <f t="shared" si="20"/>
        <v>-1111.2560000000001</v>
      </c>
      <c r="AR24" s="437">
        <f t="shared" si="20"/>
        <v>23.972999999999999</v>
      </c>
      <c r="AS24" s="437">
        <f t="shared" ref="AS24:AS30" si="21">AS$23*AS13</f>
        <v>381.21699999999998</v>
      </c>
      <c r="AT24" s="436">
        <f>SUM(AP24,AQ24,AR24,AS24)</f>
        <v>-713.9290000000002</v>
      </c>
      <c r="AU24" s="763">
        <f t="shared" ref="AU24" si="22">AU$23*AU13</f>
        <v>589.47499999999991</v>
      </c>
      <c r="AV24" s="446"/>
      <c r="AW24" s="446"/>
      <c r="AX24" s="446"/>
      <c r="AY24" s="445"/>
      <c r="AZ24" s="446"/>
      <c r="BA24" s="446"/>
      <c r="BB24" s="446"/>
      <c r="BC24" s="446"/>
      <c r="BD24" s="445"/>
      <c r="BE24" s="445"/>
      <c r="BF24" s="445"/>
      <c r="BG24" s="445"/>
      <c r="BH24" s="351"/>
    </row>
    <row r="25" spans="1:60" s="345" customFormat="1" x14ac:dyDescent="0.35">
      <c r="A25" s="161" t="s">
        <v>1018</v>
      </c>
      <c r="B25" s="444"/>
      <c r="C25" s="445"/>
      <c r="D25" s="436">
        <f t="shared" si="13"/>
        <v>-46.246000000000002</v>
      </c>
      <c r="E25" s="436">
        <f t="shared" si="13"/>
        <v>266.62</v>
      </c>
      <c r="F25" s="436">
        <f t="shared" si="13"/>
        <v>414.55400000000003</v>
      </c>
      <c r="G25" s="446"/>
      <c r="H25" s="446"/>
      <c r="I25" s="446"/>
      <c r="J25" s="446"/>
      <c r="K25" s="436">
        <f t="shared" si="14"/>
        <v>418.65600000000001</v>
      </c>
      <c r="L25" s="437">
        <f t="shared" si="14"/>
        <v>91.608000000000004</v>
      </c>
      <c r="M25" s="437">
        <f t="shared" si="14"/>
        <v>100.776</v>
      </c>
      <c r="N25" s="437">
        <f t="shared" si="14"/>
        <v>55.411999999999999</v>
      </c>
      <c r="O25" s="437">
        <f t="shared" si="14"/>
        <v>52.983000000000004</v>
      </c>
      <c r="P25" s="436">
        <f>SUM(L25,M25,N25,O25)</f>
        <v>300.779</v>
      </c>
      <c r="Q25" s="437">
        <f t="shared" si="15"/>
        <v>78.31</v>
      </c>
      <c r="R25" s="437">
        <f t="shared" si="15"/>
        <v>81.34</v>
      </c>
      <c r="S25" s="437">
        <f t="shared" si="15"/>
        <v>89.506999999999991</v>
      </c>
      <c r="T25" s="437">
        <f t="shared" si="15"/>
        <v>92.628</v>
      </c>
      <c r="U25" s="436">
        <f>SUM(Q25,R25,S25,T25)</f>
        <v>341.78499999999997</v>
      </c>
      <c r="V25" s="437">
        <f t="shared" si="16"/>
        <v>68.201999999999998</v>
      </c>
      <c r="W25" s="437">
        <f t="shared" si="16"/>
        <v>84.545999999999992</v>
      </c>
      <c r="X25" s="437">
        <f t="shared" si="16"/>
        <v>46.271999999999998</v>
      </c>
      <c r="Y25" s="437">
        <f t="shared" si="16"/>
        <v>7.298</v>
      </c>
      <c r="Z25" s="436">
        <f>SUM(V25,W25,X25,Y25)</f>
        <v>206.31799999999998</v>
      </c>
      <c r="AA25" s="437">
        <f t="shared" si="17"/>
        <v>7.4089999999999998</v>
      </c>
      <c r="AB25" s="437">
        <f t="shared" si="17"/>
        <v>-22.986000000000001</v>
      </c>
      <c r="AC25" s="437">
        <f t="shared" si="17"/>
        <v>0</v>
      </c>
      <c r="AD25" s="437">
        <f t="shared" si="17"/>
        <v>14.657999999999999</v>
      </c>
      <c r="AE25" s="436">
        <f>SUM(AA25,AB25,AC25,AD25)</f>
        <v>-0.91900000000000226</v>
      </c>
      <c r="AF25" s="437">
        <f t="shared" si="18"/>
        <v>53.795000000000002</v>
      </c>
      <c r="AG25" s="437">
        <f t="shared" si="18"/>
        <v>85.91</v>
      </c>
      <c r="AH25" s="437">
        <f t="shared" si="18"/>
        <v>98.064000000000007</v>
      </c>
      <c r="AI25" s="437">
        <f t="shared" si="18"/>
        <v>111.86</v>
      </c>
      <c r="AJ25" s="436">
        <f>SUM(AF25,AG25,AH25,AI25)</f>
        <v>349.62900000000002</v>
      </c>
      <c r="AK25" s="437">
        <f t="shared" si="19"/>
        <v>74.501999999999995</v>
      </c>
      <c r="AL25" s="437">
        <f t="shared" si="19"/>
        <v>41.95</v>
      </c>
      <c r="AM25" s="437">
        <f t="shared" si="19"/>
        <v>24.456</v>
      </c>
      <c r="AN25" s="437">
        <f t="shared" si="19"/>
        <v>63.56</v>
      </c>
      <c r="AO25" s="436">
        <f>SUM(AK25,AL25,AM25,AN25)</f>
        <v>204.46799999999999</v>
      </c>
      <c r="AP25" s="437">
        <f t="shared" si="20"/>
        <v>31.452000000000002</v>
      </c>
      <c r="AQ25" s="437">
        <f t="shared" si="20"/>
        <v>40.855000000000004</v>
      </c>
      <c r="AR25" s="437">
        <f t="shared" si="20"/>
        <v>47.945999999999998</v>
      </c>
      <c r="AS25" s="437">
        <f t="shared" si="21"/>
        <v>64.888000000000005</v>
      </c>
      <c r="AT25" s="436">
        <f>SUM(AP25,AQ25,AR25,AS25)</f>
        <v>185.14100000000002</v>
      </c>
      <c r="AU25" s="763">
        <f t="shared" ref="AU25" si="23">AU$23*AU14</f>
        <v>56.525000000000048</v>
      </c>
      <c r="AV25" s="446"/>
      <c r="AW25" s="446"/>
      <c r="AX25" s="446"/>
      <c r="AY25" s="445"/>
      <c r="AZ25" s="446"/>
      <c r="BA25" s="446"/>
      <c r="BB25" s="446"/>
      <c r="BC25" s="446"/>
      <c r="BD25" s="445"/>
      <c r="BE25" s="445"/>
      <c r="BF25" s="445"/>
      <c r="BG25" s="445"/>
      <c r="BH25" s="351"/>
    </row>
    <row r="26" spans="1:60" s="345" customFormat="1" x14ac:dyDescent="0.35">
      <c r="A26" s="534" t="s">
        <v>1030</v>
      </c>
      <c r="B26" s="672"/>
      <c r="C26" s="730"/>
      <c r="D26" s="535">
        <f t="shared" si="13"/>
        <v>3121.605</v>
      </c>
      <c r="E26" s="535">
        <f t="shared" si="13"/>
        <v>1253.114</v>
      </c>
      <c r="F26" s="535">
        <f t="shared" si="13"/>
        <v>769.88600000000008</v>
      </c>
      <c r="G26" s="673"/>
      <c r="H26" s="673"/>
      <c r="I26" s="673"/>
      <c r="J26" s="673"/>
      <c r="K26" s="535">
        <f t="shared" si="14"/>
        <v>777.50400000000002</v>
      </c>
      <c r="L26" s="536">
        <f t="shared" si="14"/>
        <v>351.16399999999999</v>
      </c>
      <c r="M26" s="536">
        <f t="shared" si="14"/>
        <v>372.096</v>
      </c>
      <c r="N26" s="536">
        <f t="shared" si="14"/>
        <v>308.72399999999999</v>
      </c>
      <c r="O26" s="536">
        <f t="shared" si="14"/>
        <v>476.84699999999998</v>
      </c>
      <c r="P26" s="535">
        <f>P$23*P15</f>
        <v>1508.8310000000001</v>
      </c>
      <c r="Q26" s="536">
        <f t="shared" si="15"/>
        <v>258.423</v>
      </c>
      <c r="R26" s="536">
        <f t="shared" si="15"/>
        <v>146.41200000000001</v>
      </c>
      <c r="S26" s="536">
        <f t="shared" si="15"/>
        <v>97.644000000000005</v>
      </c>
      <c r="T26" s="536">
        <f t="shared" si="15"/>
        <v>-84.908999999999992</v>
      </c>
      <c r="U26" s="535">
        <f>U$23*U15</f>
        <v>417.57</v>
      </c>
      <c r="V26" s="536">
        <f t="shared" si="16"/>
        <v>-60.624000000000017</v>
      </c>
      <c r="W26" s="536">
        <f t="shared" si="16"/>
        <v>-15.372</v>
      </c>
      <c r="X26" s="536">
        <f t="shared" si="16"/>
        <v>-61.695999999999998</v>
      </c>
      <c r="Y26" s="536">
        <f t="shared" si="16"/>
        <v>116.768</v>
      </c>
      <c r="Z26" s="535">
        <f>Z$23*Z15</f>
        <v>-20.924000000000081</v>
      </c>
      <c r="AA26" s="536">
        <f t="shared" si="17"/>
        <v>340.81400000000002</v>
      </c>
      <c r="AB26" s="536">
        <f t="shared" si="17"/>
        <v>268.16999999999996</v>
      </c>
      <c r="AC26" s="536">
        <f t="shared" si="17"/>
        <v>508.79400000000004</v>
      </c>
      <c r="AD26" s="536">
        <f t="shared" si="17"/>
        <v>439.74</v>
      </c>
      <c r="AE26" s="535">
        <f>AE$23*AE15</f>
        <v>1557.518</v>
      </c>
      <c r="AF26" s="536">
        <f t="shared" si="18"/>
        <v>215.18</v>
      </c>
      <c r="AG26" s="536">
        <f t="shared" si="18"/>
        <v>437.35999999999996</v>
      </c>
      <c r="AH26" s="536">
        <f t="shared" si="18"/>
        <v>106.236</v>
      </c>
      <c r="AI26" s="536">
        <f t="shared" si="18"/>
        <v>239.7</v>
      </c>
      <c r="AJ26" s="535">
        <f>AJ$23*AJ15</f>
        <v>998.47600000000011</v>
      </c>
      <c r="AK26" s="536">
        <f t="shared" si="19"/>
        <v>-91.058000000000007</v>
      </c>
      <c r="AL26" s="536">
        <f t="shared" si="19"/>
        <v>-75.510000000000005</v>
      </c>
      <c r="AM26" s="536">
        <f t="shared" si="19"/>
        <v>-105.97600000000001</v>
      </c>
      <c r="AN26" s="536">
        <f t="shared" si="19"/>
        <v>-206.57000000000002</v>
      </c>
      <c r="AO26" s="535">
        <f>AO$23*AO15</f>
        <v>-479.11399999999992</v>
      </c>
      <c r="AP26" s="536">
        <f t="shared" si="20"/>
        <v>23.589000000000002</v>
      </c>
      <c r="AQ26" s="536">
        <f t="shared" si="20"/>
        <v>-1070.4010000000001</v>
      </c>
      <c r="AR26" s="536">
        <f t="shared" si="20"/>
        <v>71.919000000000011</v>
      </c>
      <c r="AS26" s="536">
        <f t="shared" si="21"/>
        <v>446.10500000000002</v>
      </c>
      <c r="AT26" s="535">
        <f>AT$23*AT15</f>
        <v>-528.78800000000012</v>
      </c>
      <c r="AU26" s="764">
        <f t="shared" ref="AU26" si="24">AU$23*AU15</f>
        <v>646</v>
      </c>
      <c r="AV26" s="673"/>
      <c r="AW26" s="673"/>
      <c r="AX26" s="673"/>
      <c r="AY26" s="730"/>
      <c r="AZ26" s="536">
        <f>AZ127+AZ207+AZ284+AZ362+AZ33</f>
        <v>455.91670000000011</v>
      </c>
      <c r="BA26" s="536">
        <f>BA127+BA207+BA284+BA362+BA33</f>
        <v>338.87123300000007</v>
      </c>
      <c r="BB26" s="536">
        <f>BB127+BB207+BB284+BB362+BB33</f>
        <v>388.21596799999998</v>
      </c>
      <c r="BC26" s="536">
        <f>BC127+BC207+BC284+BC362+BC33</f>
        <v>398.46104800000012</v>
      </c>
      <c r="BD26" s="535">
        <f>SUM(AZ26,BA26,BB26,BC26)</f>
        <v>1581.4649490000002</v>
      </c>
      <c r="BE26" s="535">
        <f>BE127+BE207+BE284+BE362+BE33</f>
        <v>1622.7101373449991</v>
      </c>
      <c r="BF26" s="535">
        <f>BF127+BF207+BF284+BF362+BF33</f>
        <v>1731.1708709387253</v>
      </c>
      <c r="BG26" s="535">
        <f>BG127+BG207+BG284+BG362+BG33</f>
        <v>1847.1465367973633</v>
      </c>
      <c r="BH26" s="351"/>
    </row>
    <row r="27" spans="1:60" s="345" customFormat="1" x14ac:dyDescent="0.35">
      <c r="A27" s="350" t="s">
        <v>1019</v>
      </c>
      <c r="B27" s="444"/>
      <c r="C27" s="445"/>
      <c r="D27" s="436">
        <f t="shared" si="13"/>
        <v>208.10699999999997</v>
      </c>
      <c r="E27" s="436">
        <f t="shared" si="13"/>
        <v>879.846</v>
      </c>
      <c r="F27" s="436">
        <f t="shared" si="13"/>
        <v>236.88800000000001</v>
      </c>
      <c r="G27" s="446"/>
      <c r="H27" s="446"/>
      <c r="I27" s="446"/>
      <c r="J27" s="446"/>
      <c r="K27" s="436">
        <f t="shared" si="14"/>
        <v>239.232</v>
      </c>
      <c r="L27" s="437">
        <f t="shared" si="14"/>
        <v>0</v>
      </c>
      <c r="M27" s="437">
        <f t="shared" si="14"/>
        <v>7.7519999999999998</v>
      </c>
      <c r="N27" s="437">
        <f t="shared" si="14"/>
        <v>7.9160000000000004</v>
      </c>
      <c r="O27" s="437">
        <f t="shared" si="14"/>
        <v>7.569</v>
      </c>
      <c r="P27" s="436">
        <f>SUM(L27,M27,N27,O27)</f>
        <v>23.236999999999998</v>
      </c>
      <c r="Q27" s="437">
        <f t="shared" si="15"/>
        <v>7.8310000000000004</v>
      </c>
      <c r="R27" s="437">
        <f t="shared" si="15"/>
        <v>8.1340000000000003</v>
      </c>
      <c r="S27" s="437">
        <f t="shared" si="15"/>
        <v>89.506999999999991</v>
      </c>
      <c r="T27" s="437">
        <f t="shared" si="15"/>
        <v>146.661</v>
      </c>
      <c r="U27" s="436">
        <f>SUM(Q27,R27,S27,T27)</f>
        <v>252.13299999999998</v>
      </c>
      <c r="V27" s="437">
        <f t="shared" si="16"/>
        <v>159.13800000000001</v>
      </c>
      <c r="W27" s="437">
        <f t="shared" si="16"/>
        <v>146.03399999999999</v>
      </c>
      <c r="X27" s="437">
        <f t="shared" si="16"/>
        <v>61.695999999999998</v>
      </c>
      <c r="Y27" s="437">
        <f t="shared" si="16"/>
        <v>0</v>
      </c>
      <c r="Z27" s="436">
        <f>SUM(V27,W27,X27,Y27)</f>
        <v>366.86800000000005</v>
      </c>
      <c r="AA27" s="437">
        <f t="shared" si="17"/>
        <v>0</v>
      </c>
      <c r="AB27" s="437">
        <f t="shared" si="17"/>
        <v>0</v>
      </c>
      <c r="AC27" s="437">
        <f t="shared" si="17"/>
        <v>0</v>
      </c>
      <c r="AD27" s="437">
        <f t="shared" si="17"/>
        <v>131.922</v>
      </c>
      <c r="AE27" s="436">
        <f>SUM(AA27,AB27,AC27,AD27)</f>
        <v>131.922</v>
      </c>
      <c r="AF27" s="437">
        <f t="shared" si="18"/>
        <v>146.01499999999999</v>
      </c>
      <c r="AG27" s="437">
        <f t="shared" si="18"/>
        <v>164.01000000000002</v>
      </c>
      <c r="AH27" s="437">
        <f t="shared" si="18"/>
        <v>138.92400000000001</v>
      </c>
      <c r="AI27" s="437">
        <f t="shared" si="18"/>
        <v>0</v>
      </c>
      <c r="AJ27" s="436">
        <f>SUM(AF27,AG27,AH27,AI27)</f>
        <v>448.94899999999996</v>
      </c>
      <c r="AK27" s="437">
        <f t="shared" si="19"/>
        <v>49.667999999999999</v>
      </c>
      <c r="AL27" s="437">
        <f t="shared" si="19"/>
        <v>75.509999999999991</v>
      </c>
      <c r="AM27" s="437">
        <f t="shared" si="19"/>
        <v>73.367999999999995</v>
      </c>
      <c r="AN27" s="437">
        <f t="shared" si="19"/>
        <v>444.92</v>
      </c>
      <c r="AO27" s="436">
        <f>SUM(AK27,AL27,AM27,AN27)</f>
        <v>643.46600000000001</v>
      </c>
      <c r="AP27" s="437">
        <f t="shared" si="20"/>
        <v>377.42400000000004</v>
      </c>
      <c r="AQ27" s="437">
        <f t="shared" si="20"/>
        <v>318.66899999999998</v>
      </c>
      <c r="AR27" s="437">
        <f t="shared" si="20"/>
        <v>383.56799999999998</v>
      </c>
      <c r="AS27" s="437">
        <f t="shared" si="21"/>
        <v>40.555</v>
      </c>
      <c r="AT27" s="436">
        <f>SUM(AP27,AQ27,AR27,AS27)</f>
        <v>1120.2160000000001</v>
      </c>
      <c r="AU27" s="763">
        <f t="shared" ref="AU27" si="25">AU$23*AU16</f>
        <v>0</v>
      </c>
      <c r="AV27" s="446"/>
      <c r="AW27" s="446"/>
      <c r="AX27" s="446"/>
      <c r="AY27" s="445"/>
      <c r="AZ27" s="437">
        <f t="shared" ref="AZ27:BC28" si="26">AZ128+AZ208+AZ285+AZ363</f>
        <v>0</v>
      </c>
      <c r="BA27" s="437">
        <f t="shared" si="26"/>
        <v>0</v>
      </c>
      <c r="BB27" s="437">
        <f t="shared" si="26"/>
        <v>0</v>
      </c>
      <c r="BC27" s="437">
        <f t="shared" si="26"/>
        <v>0</v>
      </c>
      <c r="BD27" s="436">
        <f>SUM(AZ27,BA27,BB27,BC27)</f>
        <v>0</v>
      </c>
      <c r="BE27" s="436">
        <f t="shared" ref="BE27:BG28" si="27">BE128+BE208+BE285+BE363</f>
        <v>0</v>
      </c>
      <c r="BF27" s="436">
        <f t="shared" si="27"/>
        <v>0</v>
      </c>
      <c r="BG27" s="436">
        <f t="shared" si="27"/>
        <v>0</v>
      </c>
      <c r="BH27" s="351"/>
    </row>
    <row r="28" spans="1:60" s="345" customFormat="1" x14ac:dyDescent="0.35">
      <c r="A28" s="350" t="s">
        <v>1020</v>
      </c>
      <c r="B28" s="444"/>
      <c r="C28" s="445"/>
      <c r="D28" s="436">
        <f t="shared" si="13"/>
        <v>-23.123000000000001</v>
      </c>
      <c r="E28" s="436">
        <f t="shared" si="13"/>
        <v>0</v>
      </c>
      <c r="F28" s="436">
        <f t="shared" si="13"/>
        <v>0</v>
      </c>
      <c r="G28" s="446"/>
      <c r="H28" s="446"/>
      <c r="I28" s="446"/>
      <c r="J28" s="446"/>
      <c r="K28" s="436">
        <f t="shared" si="14"/>
        <v>0</v>
      </c>
      <c r="L28" s="437">
        <f t="shared" si="14"/>
        <v>0</v>
      </c>
      <c r="M28" s="437">
        <f t="shared" si="14"/>
        <v>0</v>
      </c>
      <c r="N28" s="437">
        <f t="shared" si="14"/>
        <v>0</v>
      </c>
      <c r="O28" s="437">
        <f t="shared" si="14"/>
        <v>0</v>
      </c>
      <c r="P28" s="436">
        <f>SUM(L28,M28,N28,O28)</f>
        <v>0</v>
      </c>
      <c r="Q28" s="437">
        <f t="shared" si="15"/>
        <v>-7.8310000000000004</v>
      </c>
      <c r="R28" s="437">
        <f t="shared" si="15"/>
        <v>-8.1340000000000003</v>
      </c>
      <c r="S28" s="437">
        <f t="shared" si="15"/>
        <v>-8.1370000000000005</v>
      </c>
      <c r="T28" s="437">
        <f t="shared" si="15"/>
        <v>-30.876000000000001</v>
      </c>
      <c r="U28" s="436">
        <f>SUM(Q28,R28,S28,T28)</f>
        <v>-54.978000000000002</v>
      </c>
      <c r="V28" s="437">
        <f t="shared" si="16"/>
        <v>-37.89</v>
      </c>
      <c r="W28" s="437">
        <f t="shared" si="16"/>
        <v>-38.43</v>
      </c>
      <c r="X28" s="437">
        <f t="shared" si="16"/>
        <v>-38.56</v>
      </c>
      <c r="Y28" s="437">
        <f t="shared" si="16"/>
        <v>-29.192</v>
      </c>
      <c r="Z28" s="436">
        <f>SUM(V28,W28,X28,Y28)</f>
        <v>-144.072</v>
      </c>
      <c r="AA28" s="437">
        <f t="shared" si="17"/>
        <v>-29.635999999999999</v>
      </c>
      <c r="AB28" s="437">
        <f t="shared" si="17"/>
        <v>-76.62</v>
      </c>
      <c r="AC28" s="437">
        <f t="shared" si="17"/>
        <v>-92.507999999999996</v>
      </c>
      <c r="AD28" s="437">
        <f t="shared" si="17"/>
        <v>-109.935</v>
      </c>
      <c r="AE28" s="436">
        <f>SUM(AA28,AB28,AC28,AD28)</f>
        <v>-308.69900000000001</v>
      </c>
      <c r="AF28" s="437">
        <f t="shared" si="18"/>
        <v>-92.22</v>
      </c>
      <c r="AG28" s="437">
        <f t="shared" si="18"/>
        <v>-101.53</v>
      </c>
      <c r="AH28" s="437">
        <f t="shared" si="18"/>
        <v>-122.58</v>
      </c>
      <c r="AI28" s="437">
        <f t="shared" si="18"/>
        <v>-103.86999999999999</v>
      </c>
      <c r="AJ28" s="436">
        <f>SUM(AF28,AG28,AH28,AI28)</f>
        <v>-420.2</v>
      </c>
      <c r="AK28" s="437">
        <f t="shared" si="19"/>
        <v>-91.057999999999993</v>
      </c>
      <c r="AL28" s="437">
        <f t="shared" si="19"/>
        <v>-67.12</v>
      </c>
      <c r="AM28" s="437">
        <f t="shared" si="19"/>
        <v>-24.456</v>
      </c>
      <c r="AN28" s="437">
        <f t="shared" si="19"/>
        <v>-39.725000000000001</v>
      </c>
      <c r="AO28" s="436">
        <f>SUM(AK28,AL28,AM28,AN28)</f>
        <v>-222.35899999999998</v>
      </c>
      <c r="AP28" s="437">
        <f t="shared" si="20"/>
        <v>-47.178000000000004</v>
      </c>
      <c r="AQ28" s="437">
        <f t="shared" si="20"/>
        <v>-122.565</v>
      </c>
      <c r="AR28" s="437">
        <f t="shared" si="20"/>
        <v>-143.83799999999999</v>
      </c>
      <c r="AS28" s="437">
        <f t="shared" si="21"/>
        <v>-129.77600000000001</v>
      </c>
      <c r="AT28" s="436">
        <f>SUM(AP28,AQ28,AR28,AS28)</f>
        <v>-443.35700000000003</v>
      </c>
      <c r="AU28" s="763">
        <f t="shared" ref="AU28" si="28">AU$23*AU17</f>
        <v>-113.05</v>
      </c>
      <c r="AV28" s="446"/>
      <c r="AW28" s="446"/>
      <c r="AX28" s="446"/>
      <c r="AY28" s="445"/>
      <c r="AZ28" s="437">
        <f t="shared" si="26"/>
        <v>0</v>
      </c>
      <c r="BA28" s="437">
        <f t="shared" si="26"/>
        <v>0</v>
      </c>
      <c r="BB28" s="437">
        <f t="shared" si="26"/>
        <v>0</v>
      </c>
      <c r="BC28" s="437">
        <f t="shared" si="26"/>
        <v>0</v>
      </c>
      <c r="BD28" s="436">
        <f>SUM(AZ28,BA28,BB28,BC28)</f>
        <v>0</v>
      </c>
      <c r="BE28" s="436">
        <f t="shared" si="27"/>
        <v>0</v>
      </c>
      <c r="BF28" s="436">
        <f t="shared" si="27"/>
        <v>0</v>
      </c>
      <c r="BG28" s="436">
        <f t="shared" si="27"/>
        <v>0</v>
      </c>
      <c r="BH28" s="351"/>
    </row>
    <row r="29" spans="1:60" s="345" customFormat="1" x14ac:dyDescent="0.35">
      <c r="A29" s="350" t="s">
        <v>1021</v>
      </c>
      <c r="B29" s="444"/>
      <c r="C29" s="445"/>
      <c r="D29" s="436">
        <f t="shared" si="13"/>
        <v>231.23000000000002</v>
      </c>
      <c r="E29" s="436">
        <f t="shared" si="13"/>
        <v>826.52200000000005</v>
      </c>
      <c r="F29" s="436">
        <f t="shared" si="13"/>
        <v>-710.66399999999999</v>
      </c>
      <c r="G29" s="446"/>
      <c r="H29" s="446"/>
      <c r="I29" s="446"/>
      <c r="J29" s="446"/>
      <c r="K29" s="436">
        <f t="shared" si="14"/>
        <v>-717.69600000000003</v>
      </c>
      <c r="L29" s="437">
        <f t="shared" si="14"/>
        <v>-152.68</v>
      </c>
      <c r="M29" s="437">
        <f t="shared" si="14"/>
        <v>0</v>
      </c>
      <c r="N29" s="437">
        <f t="shared" si="14"/>
        <v>-94.992000000000004</v>
      </c>
      <c r="O29" s="437">
        <f t="shared" si="14"/>
        <v>-333.036</v>
      </c>
      <c r="P29" s="436">
        <f>SUM(L29,M29,N29,O29)</f>
        <v>-580.70800000000008</v>
      </c>
      <c r="Q29" s="437">
        <f t="shared" si="15"/>
        <v>-509.01500000000004</v>
      </c>
      <c r="R29" s="437">
        <f t="shared" si="15"/>
        <v>-593.78199999999993</v>
      </c>
      <c r="S29" s="437">
        <f t="shared" si="15"/>
        <v>-602.13799999999992</v>
      </c>
      <c r="T29" s="437">
        <f t="shared" si="15"/>
        <v>-447.702</v>
      </c>
      <c r="U29" s="436">
        <f>SUM(Q29,R29,S29,T29)</f>
        <v>-2152.6369999999997</v>
      </c>
      <c r="V29" s="437">
        <f t="shared" si="16"/>
        <v>-227.34</v>
      </c>
      <c r="W29" s="437">
        <f t="shared" si="16"/>
        <v>-115.28999999999999</v>
      </c>
      <c r="X29" s="437">
        <f t="shared" si="16"/>
        <v>38.56</v>
      </c>
      <c r="Y29" s="437">
        <f t="shared" si="16"/>
        <v>-58.384</v>
      </c>
      <c r="Z29" s="436">
        <f>SUM(V29,W29,X29,Y29)</f>
        <v>-362.45400000000001</v>
      </c>
      <c r="AA29" s="437">
        <f t="shared" si="17"/>
        <v>-37.045000000000002</v>
      </c>
      <c r="AB29" s="437">
        <f t="shared" si="17"/>
        <v>-45.972000000000001</v>
      </c>
      <c r="AC29" s="437">
        <f t="shared" si="17"/>
        <v>46.253999999999998</v>
      </c>
      <c r="AD29" s="437">
        <f t="shared" si="17"/>
        <v>197.88300000000001</v>
      </c>
      <c r="AE29" s="436">
        <f>SUM(AA29,AB29,AC29,AD29)</f>
        <v>161.12</v>
      </c>
      <c r="AF29" s="437">
        <f t="shared" si="18"/>
        <v>322.77000000000004</v>
      </c>
      <c r="AG29" s="437">
        <f t="shared" si="18"/>
        <v>78.100000000000009</v>
      </c>
      <c r="AH29" s="437">
        <f t="shared" si="18"/>
        <v>-138.92400000000001</v>
      </c>
      <c r="AI29" s="437">
        <f t="shared" si="18"/>
        <v>-183.77</v>
      </c>
      <c r="AJ29" s="436">
        <f>SUM(AF29,AG29,AH29,AI29)</f>
        <v>78.176000000000016</v>
      </c>
      <c r="AK29" s="437">
        <f t="shared" si="19"/>
        <v>-281.452</v>
      </c>
      <c r="AL29" s="437">
        <f t="shared" si="19"/>
        <v>-151.01999999999998</v>
      </c>
      <c r="AM29" s="437">
        <f t="shared" si="19"/>
        <v>-105.976</v>
      </c>
      <c r="AN29" s="437">
        <f t="shared" si="19"/>
        <v>-31.78</v>
      </c>
      <c r="AO29" s="436">
        <f>SUM(AK29,AL29,AM29,AN29)</f>
        <v>-570.22799999999995</v>
      </c>
      <c r="AP29" s="437">
        <f t="shared" si="20"/>
        <v>-141.53399999999999</v>
      </c>
      <c r="AQ29" s="437">
        <f t="shared" si="20"/>
        <v>-122.565</v>
      </c>
      <c r="AR29" s="437">
        <f t="shared" si="20"/>
        <v>47.945999999999998</v>
      </c>
      <c r="AS29" s="437">
        <f t="shared" si="21"/>
        <v>113.554</v>
      </c>
      <c r="AT29" s="436">
        <f>SUM(AP29,AQ29,AR29,AS29)</f>
        <v>-102.59899999999999</v>
      </c>
      <c r="AU29" s="763">
        <f t="shared" ref="AU29" si="29">AU$23*AU18</f>
        <v>242.25</v>
      </c>
      <c r="AV29" s="446"/>
      <c r="AW29" s="446"/>
      <c r="AX29" s="446"/>
      <c r="AY29" s="445"/>
      <c r="AZ29" s="437">
        <f>AZ130+AZ210+AZ287+AZ365+AZ34</f>
        <v>177.26499999999999</v>
      </c>
      <c r="BA29" s="437">
        <f>BA130+BA210+BA287+BA365+BA34</f>
        <v>151.07505000000003</v>
      </c>
      <c r="BB29" s="437">
        <f>BB130+BB210+BB287+BB365+BB34</f>
        <v>174.21159999999998</v>
      </c>
      <c r="BC29" s="437">
        <f>BC130+BC210+BC287+BC365+BC34</f>
        <v>178.86975000000001</v>
      </c>
      <c r="BD29" s="436">
        <f>SUM(AZ29,BA29,BB29,BC29)</f>
        <v>681.42139999999995</v>
      </c>
      <c r="BE29" s="436">
        <f>BE130+BE210+BE287+BE365+BE34</f>
        <v>727.57537049999996</v>
      </c>
      <c r="BF29" s="436">
        <f>BF130+BF210+BF287+BF365+BF34</f>
        <v>776.96177934750006</v>
      </c>
      <c r="BG29" s="436">
        <f>BG130+BG210+BG287+BG365+BG34</f>
        <v>829.81306477188741</v>
      </c>
      <c r="BH29" s="351"/>
    </row>
    <row r="30" spans="1:60" s="345" customFormat="1" x14ac:dyDescent="0.35">
      <c r="A30" s="350" t="s">
        <v>1022</v>
      </c>
      <c r="B30" s="444"/>
      <c r="C30" s="445"/>
      <c r="D30" s="436">
        <f t="shared" si="13"/>
        <v>1.1810000000017524</v>
      </c>
      <c r="E30" s="436">
        <f t="shared" si="13"/>
        <v>-10.481999999998921</v>
      </c>
      <c r="F30" s="436">
        <f t="shared" si="13"/>
        <v>-3.1099999999973917</v>
      </c>
      <c r="G30" s="446"/>
      <c r="H30" s="446"/>
      <c r="I30" s="446"/>
      <c r="J30" s="446"/>
      <c r="K30" s="436">
        <f t="shared" si="14"/>
        <v>667.95999999999901</v>
      </c>
      <c r="L30" s="437">
        <f t="shared" si="14"/>
        <v>-1.4839999999998483</v>
      </c>
      <c r="M30" s="437">
        <f t="shared" si="14"/>
        <v>2.1519999999998061</v>
      </c>
      <c r="N30" s="437">
        <f t="shared" si="14"/>
        <v>-0.64800000000047886</v>
      </c>
      <c r="O30" s="437">
        <f t="shared" si="14"/>
        <v>-1.3800000000005024</v>
      </c>
      <c r="P30" s="436">
        <f>SUM(L30,M30,N30,O30)</f>
        <v>-1.3600000000010235</v>
      </c>
      <c r="Q30" s="437">
        <f t="shared" si="15"/>
        <v>-2.4080000000000603</v>
      </c>
      <c r="R30" s="437">
        <f t="shared" si="15"/>
        <v>-0.63000000000046452</v>
      </c>
      <c r="S30" s="437">
        <f t="shared" si="15"/>
        <v>-1.8759999999996706</v>
      </c>
      <c r="T30" s="437">
        <f t="shared" si="15"/>
        <v>-4.174000000000321</v>
      </c>
      <c r="U30" s="436">
        <f>SUM(Q30,R30,S30,T30)</f>
        <v>-9.0880000000005161</v>
      </c>
      <c r="V30" s="437">
        <f t="shared" si="16"/>
        <v>-2.2840000000001988</v>
      </c>
      <c r="W30" s="437">
        <f t="shared" si="16"/>
        <v>-0.94200000000003281</v>
      </c>
      <c r="X30" s="437">
        <f t="shared" si="16"/>
        <v>-2.9999999999999893</v>
      </c>
      <c r="Y30" s="437">
        <f t="shared" si="16"/>
        <v>1.8079999999994625</v>
      </c>
      <c r="Z30" s="436">
        <f>SUM(V30,W30,X30,Y30)</f>
        <v>-4.4180000000007587</v>
      </c>
      <c r="AA30" s="437">
        <f t="shared" si="17"/>
        <v>1.8670000000000437</v>
      </c>
      <c r="AB30" s="437">
        <f t="shared" si="17"/>
        <v>2.4220000000001907</v>
      </c>
      <c r="AC30" s="437">
        <f t="shared" si="17"/>
        <v>0.46000000000013724</v>
      </c>
      <c r="AD30" s="437">
        <f t="shared" si="17"/>
        <v>1.3899999999997883</v>
      </c>
      <c r="AE30" s="436">
        <f>SUM(AA30,AB30,AC30,AD30)</f>
        <v>6.1390000000001601</v>
      </c>
      <c r="AF30" s="437">
        <f t="shared" si="18"/>
        <v>1.2549999999991222</v>
      </c>
      <c r="AG30" s="437">
        <f t="shared" si="18"/>
        <v>2.0600000000008323</v>
      </c>
      <c r="AH30" s="437">
        <f t="shared" si="18"/>
        <v>-3.6559999999998669</v>
      </c>
      <c r="AI30" s="437">
        <f t="shared" si="18"/>
        <v>2.9400000000000528</v>
      </c>
      <c r="AJ30" s="436">
        <f>SUM(AF30,AG30,AH30,AI30)</f>
        <v>2.5990000000001401</v>
      </c>
      <c r="AK30" s="437">
        <f t="shared" si="19"/>
        <v>-1.099999999999844</v>
      </c>
      <c r="AL30" s="437">
        <f t="shared" si="19"/>
        <v>-0.86000000000027643</v>
      </c>
      <c r="AM30" s="437">
        <f t="shared" si="19"/>
        <v>2.0399999999997718</v>
      </c>
      <c r="AN30" s="437">
        <f t="shared" si="19"/>
        <v>-0.84500000000086006</v>
      </c>
      <c r="AO30" s="436">
        <f>SUM(AK30,AL30,AM30,AN30)</f>
        <v>-0.7650000000012086</v>
      </c>
      <c r="AP30" s="437">
        <f t="shared" si="20"/>
        <v>-0.30099999999977883</v>
      </c>
      <c r="AQ30" s="437">
        <f t="shared" si="20"/>
        <v>1.8619999999997312</v>
      </c>
      <c r="AR30" s="437">
        <f t="shared" si="20"/>
        <v>-0.5950000000007678</v>
      </c>
      <c r="AS30" s="437">
        <f t="shared" si="21"/>
        <v>1.5620000000006293</v>
      </c>
      <c r="AT30" s="436">
        <f>SUM(AP30,AQ30,AR30,AS30)</f>
        <v>2.527999999999814</v>
      </c>
      <c r="AU30" s="763">
        <f t="shared" ref="AU30" si="30">AU$23*AU19</f>
        <v>0.79999999999990701</v>
      </c>
      <c r="AV30" s="446"/>
      <c r="AW30" s="446"/>
      <c r="AX30" s="446"/>
      <c r="AY30" s="445"/>
      <c r="AZ30" s="437">
        <f>AZ131+AZ211+AZ288+AZ366</f>
        <v>0</v>
      </c>
      <c r="BA30" s="437">
        <f>BA131+BA211+BA288+BA366</f>
        <v>0</v>
      </c>
      <c r="BB30" s="437">
        <f>BB131+BB211+BB288+BB366</f>
        <v>0</v>
      </c>
      <c r="BC30" s="437">
        <f>BC131+BC211+BC288+BC366</f>
        <v>0</v>
      </c>
      <c r="BD30" s="436">
        <f>SUM(AZ30,BA30,BB30,BC30)</f>
        <v>0</v>
      </c>
      <c r="BE30" s="436">
        <f>BE131+BE211+BE288+BE366</f>
        <v>0</v>
      </c>
      <c r="BF30" s="436">
        <f>BF131+BF211+BF288+BF366</f>
        <v>0</v>
      </c>
      <c r="BG30" s="436">
        <f>BG131+BG211+BG288+BG366</f>
        <v>0</v>
      </c>
      <c r="BH30" s="351"/>
    </row>
    <row r="31" spans="1:60" s="69" customFormat="1" x14ac:dyDescent="0.35">
      <c r="A31" s="89" t="s">
        <v>23</v>
      </c>
      <c r="B31" s="452"/>
      <c r="C31" s="438">
        <f t="shared" ref="C31:AR31" si="31">C787</f>
        <v>23123</v>
      </c>
      <c r="D31" s="438">
        <f t="shared" si="31"/>
        <v>26662</v>
      </c>
      <c r="E31" s="438">
        <f t="shared" si="31"/>
        <v>29611</v>
      </c>
      <c r="F31" s="438">
        <f t="shared" si="31"/>
        <v>29904</v>
      </c>
      <c r="G31" s="439">
        <f t="shared" si="31"/>
        <v>7634</v>
      </c>
      <c r="H31" s="439">
        <f t="shared" si="31"/>
        <v>7752</v>
      </c>
      <c r="I31" s="439">
        <f t="shared" si="31"/>
        <v>7916</v>
      </c>
      <c r="J31" s="439">
        <f t="shared" si="31"/>
        <v>7569</v>
      </c>
      <c r="K31" s="438">
        <f t="shared" si="31"/>
        <v>30871</v>
      </c>
      <c r="L31" s="439">
        <f t="shared" si="31"/>
        <v>7831</v>
      </c>
      <c r="M31" s="439">
        <f t="shared" si="31"/>
        <v>8134</v>
      </c>
      <c r="N31" s="439">
        <f t="shared" si="31"/>
        <v>8137</v>
      </c>
      <c r="O31" s="439">
        <f t="shared" si="31"/>
        <v>7719</v>
      </c>
      <c r="P31" s="438">
        <f t="shared" si="31"/>
        <v>31821</v>
      </c>
      <c r="Q31" s="439">
        <f t="shared" si="31"/>
        <v>7578</v>
      </c>
      <c r="R31" s="439">
        <f t="shared" si="31"/>
        <v>7686</v>
      </c>
      <c r="S31" s="439">
        <f t="shared" si="31"/>
        <v>7712</v>
      </c>
      <c r="T31" s="439">
        <f t="shared" si="31"/>
        <v>7298</v>
      </c>
      <c r="U31" s="438">
        <f t="shared" si="31"/>
        <v>30274</v>
      </c>
      <c r="V31" s="439">
        <f t="shared" si="31"/>
        <v>7409</v>
      </c>
      <c r="W31" s="439">
        <f t="shared" si="31"/>
        <v>7662</v>
      </c>
      <c r="X31" s="439">
        <f t="shared" si="31"/>
        <v>7709</v>
      </c>
      <c r="Y31" s="439">
        <f t="shared" si="31"/>
        <v>7329</v>
      </c>
      <c r="Z31" s="438">
        <f t="shared" si="31"/>
        <v>30109</v>
      </c>
      <c r="AA31" s="439">
        <f t="shared" si="31"/>
        <v>7685</v>
      </c>
      <c r="AB31" s="439">
        <f t="shared" si="31"/>
        <v>7810</v>
      </c>
      <c r="AC31" s="439">
        <f t="shared" si="31"/>
        <v>8172</v>
      </c>
      <c r="AD31" s="439">
        <f t="shared" si="31"/>
        <v>7990</v>
      </c>
      <c r="AE31" s="438">
        <f t="shared" si="31"/>
        <v>31657</v>
      </c>
      <c r="AF31" s="439">
        <f t="shared" si="31"/>
        <v>8278</v>
      </c>
      <c r="AG31" s="439">
        <f t="shared" si="31"/>
        <v>8390</v>
      </c>
      <c r="AH31" s="439">
        <f t="shared" si="31"/>
        <v>8152</v>
      </c>
      <c r="AI31" s="439">
        <f t="shared" si="31"/>
        <v>7945</v>
      </c>
      <c r="AJ31" s="438">
        <f t="shared" si="31"/>
        <v>32765</v>
      </c>
      <c r="AK31" s="439">
        <f t="shared" si="31"/>
        <v>7863</v>
      </c>
      <c r="AL31" s="439">
        <f t="shared" si="31"/>
        <v>8171</v>
      </c>
      <c r="AM31" s="439">
        <f t="shared" si="31"/>
        <v>7991</v>
      </c>
      <c r="AN31" s="439">
        <f t="shared" si="31"/>
        <v>8111</v>
      </c>
      <c r="AO31" s="438">
        <f t="shared" si="31"/>
        <v>32136</v>
      </c>
      <c r="AP31" s="439">
        <f t="shared" si="31"/>
        <v>8075</v>
      </c>
      <c r="AQ31" s="439">
        <f t="shared" si="31"/>
        <v>7176</v>
      </c>
      <c r="AR31" s="439">
        <f t="shared" si="31"/>
        <v>8350</v>
      </c>
      <c r="AS31" s="439">
        <f>AS787</f>
        <v>8583</v>
      </c>
      <c r="AT31" s="438">
        <f>AT787</f>
        <v>32184</v>
      </c>
      <c r="AU31" s="765">
        <f t="shared" ref="AU31" si="32">AU787</f>
        <v>8851</v>
      </c>
      <c r="AV31" s="439">
        <f>AV42</f>
        <v>7668.2192000000005</v>
      </c>
      <c r="AW31" s="439">
        <f t="shared" ref="AW31:AX31" si="33">AW42</f>
        <v>8745.5720000000001</v>
      </c>
      <c r="AX31" s="439">
        <f t="shared" si="33"/>
        <v>8982.3486000000012</v>
      </c>
      <c r="AY31" s="438">
        <f>SUM(AU31,AV31,AW31,AX31)</f>
        <v>34247.139800000004</v>
      </c>
      <c r="AZ31" s="439">
        <f t="shared" ref="AZ31:BG31" si="34">SUM(AZ26:AZ30,AZ23)</f>
        <v>9484.181700000001</v>
      </c>
      <c r="BA31" s="439">
        <f t="shared" si="34"/>
        <v>8158.1654830000007</v>
      </c>
      <c r="BB31" s="439">
        <f t="shared" si="34"/>
        <v>9307.9995679999993</v>
      </c>
      <c r="BC31" s="439">
        <f t="shared" si="34"/>
        <v>9559.679398000002</v>
      </c>
      <c r="BD31" s="438">
        <f t="shared" si="34"/>
        <v>36510.026149000005</v>
      </c>
      <c r="BE31" s="438">
        <f t="shared" si="34"/>
        <v>38860.311656845006</v>
      </c>
      <c r="BF31" s="438">
        <f t="shared" si="34"/>
        <v>41368.444307131234</v>
      </c>
      <c r="BG31" s="438">
        <f t="shared" si="34"/>
        <v>44045.403908700486</v>
      </c>
      <c r="BH31" s="79"/>
    </row>
    <row r="32" spans="1:60" s="69" customFormat="1" x14ac:dyDescent="0.35">
      <c r="A32" s="426"/>
      <c r="B32" s="518"/>
      <c r="C32" s="519"/>
      <c r="D32" s="519"/>
      <c r="E32" s="519"/>
      <c r="F32" s="519"/>
      <c r="G32" s="520"/>
      <c r="H32" s="520"/>
      <c r="I32" s="520"/>
      <c r="J32" s="520"/>
      <c r="K32" s="519"/>
      <c r="L32" s="520"/>
      <c r="M32" s="520"/>
      <c r="N32" s="520"/>
      <c r="O32" s="520"/>
      <c r="P32" s="519"/>
      <c r="Q32" s="520"/>
      <c r="R32" s="520"/>
      <c r="S32" s="520"/>
      <c r="T32" s="520"/>
      <c r="U32" s="519"/>
      <c r="V32" s="520"/>
      <c r="W32" s="520"/>
      <c r="X32" s="520"/>
      <c r="Y32" s="520"/>
      <c r="Z32" s="519"/>
      <c r="AA32" s="520"/>
      <c r="AB32" s="520"/>
      <c r="AC32" s="520"/>
      <c r="AD32" s="520"/>
      <c r="AE32" s="519"/>
      <c r="AF32" s="520"/>
      <c r="AG32" s="520"/>
      <c r="AH32" s="520"/>
      <c r="AI32" s="520"/>
      <c r="AJ32" s="519"/>
      <c r="AK32" s="520"/>
      <c r="AL32" s="520"/>
      <c r="AM32" s="520"/>
      <c r="AN32" s="520"/>
      <c r="AO32" s="519"/>
      <c r="AP32" s="520"/>
      <c r="AQ32" s="520"/>
      <c r="AR32" s="520"/>
      <c r="AS32" s="520"/>
      <c r="AT32" s="519"/>
      <c r="AU32" s="766"/>
      <c r="AV32" s="520"/>
      <c r="AW32" s="520"/>
      <c r="AX32" s="520"/>
      <c r="AY32" s="519"/>
      <c r="AZ32" s="520"/>
      <c r="BA32" s="520"/>
      <c r="BB32" s="520"/>
      <c r="BC32" s="520"/>
      <c r="BD32" s="519"/>
      <c r="BE32" s="519"/>
      <c r="BF32" s="519"/>
      <c r="BG32" s="519"/>
      <c r="BH32" s="79"/>
    </row>
    <row r="33" spans="1:60" s="345" customFormat="1" x14ac:dyDescent="0.35">
      <c r="A33" s="236" t="s">
        <v>573</v>
      </c>
      <c r="B33" s="444"/>
      <c r="C33" s="445"/>
      <c r="D33" s="445"/>
      <c r="E33" s="445"/>
      <c r="F33" s="445"/>
      <c r="G33" s="446"/>
      <c r="H33" s="446"/>
      <c r="I33" s="446"/>
      <c r="J33" s="446"/>
      <c r="K33" s="445"/>
      <c r="L33" s="446"/>
      <c r="M33" s="446"/>
      <c r="N33" s="446"/>
      <c r="O33" s="446"/>
      <c r="P33" s="445"/>
      <c r="Q33" s="446"/>
      <c r="R33" s="446"/>
      <c r="S33" s="446"/>
      <c r="T33" s="446"/>
      <c r="U33" s="445"/>
      <c r="V33" s="446"/>
      <c r="W33" s="446"/>
      <c r="X33" s="446"/>
      <c r="Y33" s="446"/>
      <c r="Z33" s="445"/>
      <c r="AA33" s="437">
        <f t="shared" ref="AA33:AT33" si="35">AA26-AA127-AA207-AA284-AA362</f>
        <v>-40.79499999999998</v>
      </c>
      <c r="AB33" s="437">
        <f t="shared" si="35"/>
        <v>-39.137000000000064</v>
      </c>
      <c r="AC33" s="437">
        <f t="shared" si="35"/>
        <v>-75.973000000000013</v>
      </c>
      <c r="AD33" s="437">
        <f t="shared" si="35"/>
        <v>-60.250000000000014</v>
      </c>
      <c r="AE33" s="436">
        <f t="shared" si="35"/>
        <v>-216.15499999999989</v>
      </c>
      <c r="AF33" s="437">
        <f t="shared" si="35"/>
        <v>-6.9979999999999727</v>
      </c>
      <c r="AG33" s="437">
        <f t="shared" si="35"/>
        <v>-4.1420000000000385</v>
      </c>
      <c r="AH33" s="437">
        <f t="shared" si="35"/>
        <v>48.451000000000008</v>
      </c>
      <c r="AI33" s="437">
        <f t="shared" si="35"/>
        <v>11.319999999999983</v>
      </c>
      <c r="AJ33" s="436">
        <f t="shared" si="35"/>
        <v>48.631000000000142</v>
      </c>
      <c r="AK33" s="437">
        <f t="shared" si="35"/>
        <v>34.191999999999993</v>
      </c>
      <c r="AL33" s="437">
        <f t="shared" si="35"/>
        <v>47.750999999999991</v>
      </c>
      <c r="AM33" s="437">
        <f t="shared" si="35"/>
        <v>16.050999999999995</v>
      </c>
      <c r="AN33" s="437">
        <f t="shared" si="35"/>
        <v>20.986999999999991</v>
      </c>
      <c r="AO33" s="436">
        <f t="shared" si="35"/>
        <v>118.98100000000012</v>
      </c>
      <c r="AP33" s="437">
        <f t="shared" si="35"/>
        <v>-65.003000000000014</v>
      </c>
      <c r="AQ33" s="437">
        <f t="shared" si="35"/>
        <v>-135.15000000000012</v>
      </c>
      <c r="AR33" s="437">
        <f t="shared" si="35"/>
        <v>-158.99300000000005</v>
      </c>
      <c r="AS33" s="437">
        <f t="shared" si="35"/>
        <v>-172.30599999999998</v>
      </c>
      <c r="AT33" s="436">
        <f t="shared" si="35"/>
        <v>-531.45200000000011</v>
      </c>
      <c r="AU33" s="763">
        <f t="shared" ref="AU33" si="36">AU26-AU127-AU207-AU284-AU362</f>
        <v>-168.07499999999999</v>
      </c>
      <c r="AV33" s="446"/>
      <c r="AW33" s="446"/>
      <c r="AX33" s="446"/>
      <c r="AY33" s="445"/>
      <c r="AZ33" s="437">
        <f>(AZ419-AU419)+(AZ439-AU439)-AZ34</f>
        <v>23.626700000000028</v>
      </c>
      <c r="BA33" s="437">
        <f>(BA419-AV419)+(BA439-AV439)-BA34</f>
        <v>-31.273167000000001</v>
      </c>
      <c r="BB33" s="437">
        <f>(BB419-AW419)+(BB439-AW439)-BB34</f>
        <v>-35.899631999999997</v>
      </c>
      <c r="BC33" s="437">
        <f>(BC419-AX419)+(BC439-AX439)-BC34</f>
        <v>-36.850901999999905</v>
      </c>
      <c r="BD33" s="436">
        <f>SUM(AZ33,BA33,BB33,BC33)</f>
        <v>-80.397000999999875</v>
      </c>
      <c r="BE33" s="436">
        <f>(BE419-BD419)+(BE439-BD439)-BE34</f>
        <v>-150.01822390500092</v>
      </c>
      <c r="BF33" s="436">
        <f>(BF419-BE419)+(BF439-BE439)-BF34</f>
        <v>-160.09357342252451</v>
      </c>
      <c r="BG33" s="436">
        <f>(BG419-BF419)+(BG439-BF439)-BG34</f>
        <v>-170.86976180229294</v>
      </c>
      <c r="BH33" s="351"/>
    </row>
    <row r="34" spans="1:60" s="345" customFormat="1" x14ac:dyDescent="0.35">
      <c r="A34" s="537" t="s">
        <v>574</v>
      </c>
      <c r="B34" s="444"/>
      <c r="C34" s="445"/>
      <c r="D34" s="445"/>
      <c r="E34" s="445"/>
      <c r="F34" s="445"/>
      <c r="G34" s="446"/>
      <c r="H34" s="446"/>
      <c r="I34" s="446"/>
      <c r="J34" s="446"/>
      <c r="K34" s="445"/>
      <c r="L34" s="446"/>
      <c r="M34" s="446"/>
      <c r="N34" s="446"/>
      <c r="O34" s="446"/>
      <c r="P34" s="445"/>
      <c r="Q34" s="446"/>
      <c r="R34" s="446"/>
      <c r="S34" s="446"/>
      <c r="T34" s="446"/>
      <c r="U34" s="445"/>
      <c r="V34" s="446"/>
      <c r="W34" s="446"/>
      <c r="X34" s="446"/>
      <c r="Y34" s="446"/>
      <c r="Z34" s="445"/>
      <c r="AA34" s="446">
        <f t="shared" ref="AA34:AU34" si="37">AA29-AA130-AA210-AA287-AA365</f>
        <v>0.99599999999999778</v>
      </c>
      <c r="AB34" s="446">
        <f t="shared" si="37"/>
        <v>1.2979999999999992</v>
      </c>
      <c r="AC34" s="446">
        <f t="shared" si="37"/>
        <v>2.7030000000000012</v>
      </c>
      <c r="AD34" s="446">
        <f t="shared" si="37"/>
        <v>-2.3719999999999892</v>
      </c>
      <c r="AE34" s="445">
        <f t="shared" si="37"/>
        <v>2.6250000000000142</v>
      </c>
      <c r="AF34" s="446">
        <f t="shared" si="37"/>
        <v>-25.656999999999961</v>
      </c>
      <c r="AG34" s="446">
        <f t="shared" si="37"/>
        <v>-6.0329999999999941</v>
      </c>
      <c r="AH34" s="446">
        <f t="shared" si="37"/>
        <v>7.1979999999999968</v>
      </c>
      <c r="AI34" s="446">
        <f t="shared" si="37"/>
        <v>11.174000000000003</v>
      </c>
      <c r="AJ34" s="445">
        <f t="shared" si="37"/>
        <v>-13.317999999999948</v>
      </c>
      <c r="AK34" s="446">
        <f t="shared" si="37"/>
        <v>15.48299999999999</v>
      </c>
      <c r="AL34" s="446">
        <f t="shared" si="37"/>
        <v>12.290000000000029</v>
      </c>
      <c r="AM34" s="446">
        <f t="shared" si="37"/>
        <v>8.1990000000000016</v>
      </c>
      <c r="AN34" s="446">
        <f t="shared" si="37"/>
        <v>2.6209999999999991</v>
      </c>
      <c r="AO34" s="445">
        <f t="shared" si="37"/>
        <v>38.593000000000082</v>
      </c>
      <c r="AP34" s="446">
        <f t="shared" si="37"/>
        <v>3.5509999999999948</v>
      </c>
      <c r="AQ34" s="446">
        <f t="shared" si="37"/>
        <v>9.2349999999999888</v>
      </c>
      <c r="AR34" s="446">
        <f t="shared" si="37"/>
        <v>-6.1430000000000025</v>
      </c>
      <c r="AS34" s="446">
        <f t="shared" si="37"/>
        <v>-16.221999999999991</v>
      </c>
      <c r="AT34" s="445">
        <f t="shared" si="37"/>
        <v>-9.5790000000000042</v>
      </c>
      <c r="AU34" s="767">
        <f t="shared" si="37"/>
        <v>-21.379000000000005</v>
      </c>
      <c r="AV34" s="446"/>
      <c r="AW34" s="446"/>
      <c r="AX34" s="446"/>
      <c r="AY34" s="445"/>
      <c r="AZ34" s="941">
        <f>Drivers!AZ31</f>
        <v>0</v>
      </c>
      <c r="BA34" s="941">
        <f>Drivers!BA31</f>
        <v>0</v>
      </c>
      <c r="BB34" s="941">
        <f>Drivers!BB31</f>
        <v>0</v>
      </c>
      <c r="BC34" s="941">
        <f>Drivers!BC31</f>
        <v>0</v>
      </c>
      <c r="BD34" s="445">
        <f>SUM(AZ34,BA34,BB34,BC34)</f>
        <v>0</v>
      </c>
      <c r="BE34" s="941">
        <f>Drivers!BE31</f>
        <v>0</v>
      </c>
      <c r="BF34" s="941">
        <f>Drivers!BF31</f>
        <v>0</v>
      </c>
      <c r="BG34" s="941">
        <f>Drivers!BG31</f>
        <v>0</v>
      </c>
      <c r="BH34" s="351"/>
    </row>
    <row r="35" spans="1:60" s="345" customFormat="1" x14ac:dyDescent="0.35">
      <c r="A35" s="316"/>
      <c r="B35" s="444"/>
      <c r="C35" s="445"/>
      <c r="D35" s="445"/>
      <c r="E35" s="445"/>
      <c r="F35" s="445"/>
      <c r="G35" s="446"/>
      <c r="H35" s="446"/>
      <c r="I35" s="446"/>
      <c r="J35" s="446"/>
      <c r="K35" s="445"/>
      <c r="L35" s="446"/>
      <c r="M35" s="446"/>
      <c r="N35" s="446"/>
      <c r="O35" s="446"/>
      <c r="P35" s="445"/>
      <c r="Q35" s="446"/>
      <c r="R35" s="446"/>
      <c r="S35" s="446"/>
      <c r="T35" s="446"/>
      <c r="U35" s="445"/>
      <c r="V35" s="446"/>
      <c r="W35" s="446"/>
      <c r="X35" s="446"/>
      <c r="Y35" s="446"/>
      <c r="Z35" s="445"/>
      <c r="AA35" s="446"/>
      <c r="AB35" s="446"/>
      <c r="AC35" s="446"/>
      <c r="AD35" s="446"/>
      <c r="AE35" s="445"/>
      <c r="AF35" s="446"/>
      <c r="AG35" s="446"/>
      <c r="AH35" s="446"/>
      <c r="AI35" s="446"/>
      <c r="AJ35" s="445"/>
      <c r="AK35" s="446"/>
      <c r="AL35" s="446"/>
      <c r="AM35" s="446"/>
      <c r="AN35" s="446"/>
      <c r="AO35" s="445"/>
      <c r="AP35" s="446"/>
      <c r="AQ35" s="446"/>
      <c r="AR35" s="446"/>
      <c r="AS35" s="446"/>
      <c r="AT35" s="445"/>
      <c r="AU35" s="767"/>
      <c r="AV35" s="446"/>
      <c r="AW35" s="446"/>
      <c r="AX35" s="446"/>
      <c r="AY35" s="445"/>
      <c r="AZ35" s="446"/>
      <c r="BA35" s="446"/>
      <c r="BB35" s="446"/>
      <c r="BC35" s="446"/>
      <c r="BD35" s="445"/>
      <c r="BE35" s="445"/>
      <c r="BF35" s="445"/>
      <c r="BG35" s="445"/>
      <c r="BH35" s="351"/>
    </row>
    <row r="36" spans="1:60" s="60" customFormat="1" x14ac:dyDescent="0.35">
      <c r="A36" s="350" t="s">
        <v>390</v>
      </c>
      <c r="B36" s="444"/>
      <c r="C36" s="445"/>
      <c r="D36" s="445"/>
      <c r="E36" s="445"/>
      <c r="F36" s="445"/>
      <c r="G36" s="446"/>
      <c r="H36" s="446"/>
      <c r="I36" s="446"/>
      <c r="J36" s="446"/>
      <c r="K36" s="445"/>
      <c r="L36" s="446"/>
      <c r="M36" s="446"/>
      <c r="N36" s="446"/>
      <c r="O36" s="446"/>
      <c r="P36" s="445"/>
      <c r="Q36" s="446"/>
      <c r="R36" s="446"/>
      <c r="S36" s="446"/>
      <c r="T36" s="446"/>
      <c r="U36" s="445"/>
      <c r="V36" s="437">
        <v>2825</v>
      </c>
      <c r="W36" s="437">
        <v>2887</v>
      </c>
      <c r="X36" s="437">
        <v>2835</v>
      </c>
      <c r="Y36" s="437">
        <f t="shared" ref="Y36:Y39" si="38">Z36-SUM(V36,W36,X36)</f>
        <v>2669</v>
      </c>
      <c r="Z36" s="436">
        <v>11216</v>
      </c>
      <c r="AA36" s="437">
        <v>2910</v>
      </c>
      <c r="AB36" s="437">
        <v>2926</v>
      </c>
      <c r="AC36" s="437">
        <v>3024</v>
      </c>
      <c r="AD36" s="437">
        <f t="shared" ref="AD36:AD39" si="39">AE36-SUM(AA36,AB36,AC36)</f>
        <v>3086</v>
      </c>
      <c r="AE36" s="436">
        <v>11946</v>
      </c>
      <c r="AF36" s="437">
        <v>3268</v>
      </c>
      <c r="AG36" s="437">
        <v>3253</v>
      </c>
      <c r="AH36" s="437">
        <v>3021</v>
      </c>
      <c r="AI36" s="437">
        <f t="shared" ref="AI36:AI39" si="40">AJ36-SUM(AF36,AG36,AH36)</f>
        <v>2952</v>
      </c>
      <c r="AJ36" s="436">
        <v>12494</v>
      </c>
      <c r="AK36" s="437">
        <v>2986</v>
      </c>
      <c r="AL36" s="437">
        <v>2961</v>
      </c>
      <c r="AM36" s="437">
        <v>2849</v>
      </c>
      <c r="AN36" s="437">
        <f t="shared" ref="AN36:AN39" si="41">AO36-SUM(AK36,AL36,AM36)</f>
        <v>2811</v>
      </c>
      <c r="AO36" s="436">
        <v>11607</v>
      </c>
      <c r="AP36" s="437">
        <v>2935</v>
      </c>
      <c r="AQ36" s="437">
        <v>2668</v>
      </c>
      <c r="AR36" s="437">
        <v>3024</v>
      </c>
      <c r="AS36" s="437">
        <f t="shared" ref="AS36:AS41" si="42">AT36-SUM(AP36,AQ36,AR36)</f>
        <v>3140</v>
      </c>
      <c r="AT36" s="436">
        <v>11767</v>
      </c>
      <c r="AU36" s="763">
        <v>3327</v>
      </c>
      <c r="AV36" s="437">
        <f>AV140</f>
        <v>2854.76</v>
      </c>
      <c r="AW36" s="437">
        <f>AW140</f>
        <v>3235.68</v>
      </c>
      <c r="AX36" s="437">
        <f>AX140</f>
        <v>3359.8</v>
      </c>
      <c r="AY36" s="436">
        <f t="shared" ref="AY36:AY39" si="43">SUM(AU36,AV36,AW36,AX36)</f>
        <v>12777.240000000002</v>
      </c>
      <c r="AZ36" s="437">
        <f>AZ140</f>
        <v>3559.89</v>
      </c>
      <c r="BA36" s="437">
        <f>BA140</f>
        <v>3054.5932000000003</v>
      </c>
      <c r="BB36" s="437">
        <f>BB140</f>
        <v>3462.1776</v>
      </c>
      <c r="BC36" s="437">
        <f>BC140</f>
        <v>3594.9859999999999</v>
      </c>
      <c r="BD36" s="436">
        <f t="shared" ref="BD36:BD41" si="44">SUM(AZ36,BA36,BB36,BC36)</f>
        <v>13671.646800000002</v>
      </c>
      <c r="BE36" s="436">
        <f>BE140</f>
        <v>14628.662076000002</v>
      </c>
      <c r="BF36" s="436">
        <f>BF140</f>
        <v>15652.668421320002</v>
      </c>
      <c r="BG36" s="436">
        <f>BG140</f>
        <v>16748.355210812402</v>
      </c>
      <c r="BH36" s="351"/>
    </row>
    <row r="37" spans="1:60" s="60" customFormat="1" x14ac:dyDescent="0.35">
      <c r="A37" s="350" t="s">
        <v>391</v>
      </c>
      <c r="B37" s="444"/>
      <c r="C37" s="445"/>
      <c r="D37" s="445"/>
      <c r="E37" s="445"/>
      <c r="F37" s="445"/>
      <c r="G37" s="446"/>
      <c r="H37" s="446"/>
      <c r="I37" s="446"/>
      <c r="J37" s="446"/>
      <c r="K37" s="445"/>
      <c r="L37" s="446"/>
      <c r="M37" s="446"/>
      <c r="N37" s="446"/>
      <c r="O37" s="446"/>
      <c r="P37" s="445"/>
      <c r="Q37" s="446"/>
      <c r="R37" s="446"/>
      <c r="S37" s="446"/>
      <c r="T37" s="446"/>
      <c r="U37" s="445"/>
      <c r="V37" s="437">
        <v>2244</v>
      </c>
      <c r="W37" s="437">
        <v>2302</v>
      </c>
      <c r="X37" s="437">
        <v>2423</v>
      </c>
      <c r="Y37" s="437">
        <f t="shared" si="38"/>
        <v>2298</v>
      </c>
      <c r="Z37" s="436">
        <v>9267</v>
      </c>
      <c r="AA37" s="437">
        <v>2431</v>
      </c>
      <c r="AB37" s="437">
        <v>2418</v>
      </c>
      <c r="AC37" s="437">
        <v>2602</v>
      </c>
      <c r="AD37" s="437">
        <f t="shared" si="39"/>
        <v>2410</v>
      </c>
      <c r="AE37" s="436">
        <v>9861</v>
      </c>
      <c r="AF37" s="437">
        <v>2519</v>
      </c>
      <c r="AG37" s="437">
        <v>2527</v>
      </c>
      <c r="AH37" s="437">
        <v>2619</v>
      </c>
      <c r="AI37" s="437">
        <f t="shared" si="40"/>
        <v>2441</v>
      </c>
      <c r="AJ37" s="436">
        <v>10106</v>
      </c>
      <c r="AK37" s="437">
        <v>2357</v>
      </c>
      <c r="AL37" s="437">
        <v>2452</v>
      </c>
      <c r="AM37" s="437">
        <v>2503</v>
      </c>
      <c r="AN37" s="437">
        <f t="shared" si="41"/>
        <v>2290</v>
      </c>
      <c r="AO37" s="436">
        <v>9602</v>
      </c>
      <c r="AP37" s="437">
        <v>2238</v>
      </c>
      <c r="AQ37" s="437">
        <v>1937</v>
      </c>
      <c r="AR37" s="437">
        <v>2314</v>
      </c>
      <c r="AS37" s="437">
        <f t="shared" si="42"/>
        <v>2338</v>
      </c>
      <c r="AT37" s="436">
        <v>8827</v>
      </c>
      <c r="AU37" s="763">
        <v>2531</v>
      </c>
      <c r="AV37" s="437">
        <f>AV220</f>
        <v>2091.96</v>
      </c>
      <c r="AW37" s="437">
        <f>AW220</f>
        <v>2499.12</v>
      </c>
      <c r="AX37" s="437">
        <f>AX220</f>
        <v>2525.04</v>
      </c>
      <c r="AY37" s="436">
        <f t="shared" si="43"/>
        <v>9647.119999999999</v>
      </c>
      <c r="AZ37" s="437">
        <f>AZ220</f>
        <v>2733.48</v>
      </c>
      <c r="BA37" s="437">
        <f>BA220</f>
        <v>2259.3168000000001</v>
      </c>
      <c r="BB37" s="437">
        <f>BB220</f>
        <v>2699.0495999999998</v>
      </c>
      <c r="BC37" s="437">
        <f>BC220</f>
        <v>2727.0432000000001</v>
      </c>
      <c r="BD37" s="436">
        <f t="shared" si="44"/>
        <v>10418.8896</v>
      </c>
      <c r="BE37" s="436">
        <f>BE220</f>
        <v>11252.400767999998</v>
      </c>
      <c r="BF37" s="436">
        <f>BF220</f>
        <v>12152.592829439998</v>
      </c>
      <c r="BG37" s="436">
        <f>BG220</f>
        <v>13124.800255795197</v>
      </c>
      <c r="BH37" s="351"/>
    </row>
    <row r="38" spans="1:60" s="60" customFormat="1" x14ac:dyDescent="0.35">
      <c r="A38" s="350" t="s">
        <v>20</v>
      </c>
      <c r="B38" s="444"/>
      <c r="C38" s="445"/>
      <c r="D38" s="445"/>
      <c r="E38" s="445"/>
      <c r="F38" s="445"/>
      <c r="G38" s="446"/>
      <c r="H38" s="446"/>
      <c r="I38" s="446"/>
      <c r="J38" s="446"/>
      <c r="K38" s="445"/>
      <c r="L38" s="446"/>
      <c r="M38" s="446"/>
      <c r="N38" s="446"/>
      <c r="O38" s="446"/>
      <c r="P38" s="445"/>
      <c r="Q38" s="446"/>
      <c r="R38" s="446"/>
      <c r="S38" s="446"/>
      <c r="T38" s="446"/>
      <c r="U38" s="445"/>
      <c r="V38" s="437">
        <v>1597</v>
      </c>
      <c r="W38" s="437">
        <v>1624</v>
      </c>
      <c r="X38" s="437">
        <v>1572</v>
      </c>
      <c r="Y38" s="437">
        <f t="shared" si="38"/>
        <v>1584</v>
      </c>
      <c r="Z38" s="436">
        <v>6377</v>
      </c>
      <c r="AA38" s="437">
        <v>1630</v>
      </c>
      <c r="AB38" s="437">
        <v>1642</v>
      </c>
      <c r="AC38" s="437">
        <v>1687</v>
      </c>
      <c r="AD38" s="437">
        <f t="shared" si="39"/>
        <v>1676</v>
      </c>
      <c r="AE38" s="436">
        <v>6635</v>
      </c>
      <c r="AF38" s="437">
        <v>1745</v>
      </c>
      <c r="AG38" s="437">
        <v>1730</v>
      </c>
      <c r="AH38" s="437">
        <v>1643</v>
      </c>
      <c r="AI38" s="437">
        <f t="shared" si="40"/>
        <v>1708</v>
      </c>
      <c r="AJ38" s="436">
        <v>6826</v>
      </c>
      <c r="AK38" s="437">
        <v>1738</v>
      </c>
      <c r="AL38" s="437">
        <v>1831</v>
      </c>
      <c r="AM38" s="437">
        <v>1721</v>
      </c>
      <c r="AN38" s="437">
        <f t="shared" si="41"/>
        <v>2141</v>
      </c>
      <c r="AO38" s="436">
        <v>7431</v>
      </c>
      <c r="AP38" s="437">
        <v>2103</v>
      </c>
      <c r="AQ38" s="437">
        <v>1825</v>
      </c>
      <c r="AR38" s="437">
        <v>2160</v>
      </c>
      <c r="AS38" s="437">
        <f t="shared" si="42"/>
        <v>2257</v>
      </c>
      <c r="AT38" s="436">
        <v>8345</v>
      </c>
      <c r="AU38" s="763">
        <v>2248</v>
      </c>
      <c r="AV38" s="437">
        <f>AV297</f>
        <v>1916.25</v>
      </c>
      <c r="AW38" s="437">
        <f>AW297</f>
        <v>2268</v>
      </c>
      <c r="AX38" s="437">
        <f>AX297</f>
        <v>2369.85</v>
      </c>
      <c r="AY38" s="436">
        <f t="shared" si="43"/>
        <v>8802.1</v>
      </c>
      <c r="AZ38" s="437">
        <f>AZ297</f>
        <v>2360.3999999999996</v>
      </c>
      <c r="BA38" s="437">
        <f>BA297</f>
        <v>2012.0625</v>
      </c>
      <c r="BB38" s="437">
        <f>BB297</f>
        <v>2381.4</v>
      </c>
      <c r="BC38" s="437">
        <f>BC297</f>
        <v>2488.3425000000002</v>
      </c>
      <c r="BD38" s="436">
        <f t="shared" si="44"/>
        <v>9242.2049999999999</v>
      </c>
      <c r="BE38" s="436">
        <f>BE297</f>
        <v>9704.3152499999997</v>
      </c>
      <c r="BF38" s="436">
        <f>BF297</f>
        <v>10189.5310125</v>
      </c>
      <c r="BG38" s="436">
        <f>BG297</f>
        <v>10699.007563124998</v>
      </c>
      <c r="BH38" s="351"/>
    </row>
    <row r="39" spans="1:60" s="60" customFormat="1" x14ac:dyDescent="0.35">
      <c r="A39" s="350" t="s">
        <v>21</v>
      </c>
      <c r="B39" s="444"/>
      <c r="C39" s="445"/>
      <c r="D39" s="445"/>
      <c r="E39" s="445"/>
      <c r="F39" s="445"/>
      <c r="G39" s="446"/>
      <c r="H39" s="446"/>
      <c r="I39" s="446"/>
      <c r="J39" s="446"/>
      <c r="K39" s="445"/>
      <c r="L39" s="446"/>
      <c r="M39" s="446"/>
      <c r="N39" s="446"/>
      <c r="O39" s="446"/>
      <c r="P39" s="445"/>
      <c r="Q39" s="446"/>
      <c r="R39" s="446"/>
      <c r="S39" s="446"/>
      <c r="T39" s="446"/>
      <c r="U39" s="445"/>
      <c r="V39" s="437">
        <v>1142</v>
      </c>
      <c r="W39" s="437">
        <v>1233</v>
      </c>
      <c r="X39" s="437">
        <v>1296</v>
      </c>
      <c r="Y39" s="437">
        <f t="shared" si="38"/>
        <v>1168</v>
      </c>
      <c r="Z39" s="436">
        <v>4839</v>
      </c>
      <c r="AA39" s="437">
        <v>1148</v>
      </c>
      <c r="AB39" s="437">
        <v>1245</v>
      </c>
      <c r="AC39" s="437">
        <v>1347</v>
      </c>
      <c r="AD39" s="437">
        <f t="shared" si="39"/>
        <v>1266</v>
      </c>
      <c r="AE39" s="436">
        <v>5006</v>
      </c>
      <c r="AF39" s="437">
        <v>1208</v>
      </c>
      <c r="AG39" s="437">
        <v>1309</v>
      </c>
      <c r="AH39" s="437">
        <v>1302</v>
      </c>
      <c r="AI39" s="437">
        <f t="shared" si="40"/>
        <v>1267</v>
      </c>
      <c r="AJ39" s="436">
        <v>5086</v>
      </c>
      <c r="AK39" s="437">
        <v>1194</v>
      </c>
      <c r="AL39" s="437">
        <v>1303</v>
      </c>
      <c r="AM39" s="437">
        <v>1324</v>
      </c>
      <c r="AN39" s="437">
        <f t="shared" si="41"/>
        <v>1268</v>
      </c>
      <c r="AO39" s="436">
        <v>5089</v>
      </c>
      <c r="AP39" s="437">
        <v>1256</v>
      </c>
      <c r="AQ39" s="437">
        <v>1238</v>
      </c>
      <c r="AR39" s="437">
        <v>1417</v>
      </c>
      <c r="AS39" s="437">
        <f t="shared" si="42"/>
        <v>1425</v>
      </c>
      <c r="AT39" s="436">
        <v>5336</v>
      </c>
      <c r="AU39" s="763">
        <v>1373</v>
      </c>
      <c r="AV39" s="437">
        <f>AV375</f>
        <v>1293.71</v>
      </c>
      <c r="AW39" s="437">
        <f>AW375</f>
        <v>1300</v>
      </c>
      <c r="AX39" s="437">
        <f>AX375</f>
        <v>1300</v>
      </c>
      <c r="AY39" s="436">
        <f t="shared" si="43"/>
        <v>5266.71</v>
      </c>
      <c r="AZ39" s="437">
        <f>AZ375</f>
        <v>1434.7850000000001</v>
      </c>
      <c r="BA39" s="437">
        <f>BA375</f>
        <v>1351.92695</v>
      </c>
      <c r="BB39" s="437">
        <f>BB375</f>
        <v>1358.5</v>
      </c>
      <c r="BC39" s="437">
        <f>BC375</f>
        <v>1358.5</v>
      </c>
      <c r="BD39" s="436">
        <f t="shared" si="44"/>
        <v>5503.7119499999999</v>
      </c>
      <c r="BE39" s="436">
        <f>BE375</f>
        <v>5751.3789877499994</v>
      </c>
      <c r="BF39" s="436">
        <f>BF375</f>
        <v>6010.1910421987495</v>
      </c>
      <c r="BG39" s="436">
        <f>BG375</f>
        <v>6280.6496390976936</v>
      </c>
      <c r="BH39" s="351"/>
    </row>
    <row r="40" spans="1:60" s="60" customFormat="1" x14ac:dyDescent="0.35">
      <c r="A40" s="350" t="s">
        <v>392</v>
      </c>
      <c r="B40" s="444"/>
      <c r="C40" s="445"/>
      <c r="D40" s="445"/>
      <c r="E40" s="445"/>
      <c r="F40" s="445"/>
      <c r="G40" s="446"/>
      <c r="H40" s="446"/>
      <c r="I40" s="446"/>
      <c r="J40" s="446"/>
      <c r="K40" s="445"/>
      <c r="L40" s="446"/>
      <c r="M40" s="446"/>
      <c r="N40" s="446"/>
      <c r="O40" s="446"/>
      <c r="P40" s="445"/>
      <c r="Q40" s="446"/>
      <c r="R40" s="446"/>
      <c r="S40" s="446"/>
      <c r="T40" s="446"/>
      <c r="U40" s="445"/>
      <c r="V40" s="437">
        <v>-399</v>
      </c>
      <c r="W40" s="437">
        <v>-388</v>
      </c>
      <c r="X40" s="437">
        <v>-417</v>
      </c>
      <c r="Y40" s="437">
        <f>Z40-SUM(V40,W40,X40)</f>
        <v>-392</v>
      </c>
      <c r="Z40" s="436">
        <v>-1596</v>
      </c>
      <c r="AA40" s="437">
        <v>-436</v>
      </c>
      <c r="AB40" s="437">
        <v>-424</v>
      </c>
      <c r="AC40" s="437">
        <v>-488</v>
      </c>
      <c r="AD40" s="437">
        <f>AE40-SUM(AA40,AB40,AC40)</f>
        <v>-445</v>
      </c>
      <c r="AE40" s="436">
        <v>-1793</v>
      </c>
      <c r="AF40" s="437">
        <v>-462</v>
      </c>
      <c r="AG40" s="437">
        <v>-441</v>
      </c>
      <c r="AH40" s="437">
        <v>-468</v>
      </c>
      <c r="AI40" s="437">
        <f>AJ40-SUM(AF40,AG40,AH40)</f>
        <v>-426</v>
      </c>
      <c r="AJ40" s="436">
        <v>-1797</v>
      </c>
      <c r="AK40" s="437">
        <v>-434</v>
      </c>
      <c r="AL40" s="437">
        <v>-424</v>
      </c>
      <c r="AM40" s="437">
        <v>-434</v>
      </c>
      <c r="AN40" s="437">
        <f>AO40-SUM(AK40,AL40,AM40)</f>
        <v>-411</v>
      </c>
      <c r="AO40" s="436">
        <v>-1703</v>
      </c>
      <c r="AP40" s="437">
        <v>-458</v>
      </c>
      <c r="AQ40" s="437">
        <v>-490</v>
      </c>
      <c r="AR40" s="437">
        <v>-565</v>
      </c>
      <c r="AS40" s="437">
        <f t="shared" si="42"/>
        <v>-577</v>
      </c>
      <c r="AT40" s="436">
        <v>-2090</v>
      </c>
      <c r="AU40" s="763">
        <v>-626</v>
      </c>
      <c r="AV40" s="437">
        <f>AV439</f>
        <v>-489.46080000000001</v>
      </c>
      <c r="AW40" s="437">
        <f>AW439</f>
        <v>-558.22799999999995</v>
      </c>
      <c r="AX40" s="437">
        <f>AX439</f>
        <v>-573.34140000000002</v>
      </c>
      <c r="AY40" s="436">
        <f>SUM(AU40,AV40,AW40,AX40)</f>
        <v>-2247.0302000000001</v>
      </c>
      <c r="AZ40" s="437">
        <f>AZ439</f>
        <v>-605.37329999999997</v>
      </c>
      <c r="BA40" s="437">
        <f>BA439</f>
        <v>-520.73396700000001</v>
      </c>
      <c r="BB40" s="437">
        <f>BB439</f>
        <v>-594.12763199999995</v>
      </c>
      <c r="BC40" s="437">
        <f>BC439</f>
        <v>-610.19230199999993</v>
      </c>
      <c r="BD40" s="436">
        <f t="shared" si="44"/>
        <v>-2330.4272009999995</v>
      </c>
      <c r="BE40" s="436">
        <f>BE439</f>
        <v>-2480.4454249050004</v>
      </c>
      <c r="BF40" s="436">
        <f>BF439</f>
        <v>-2640.538998327525</v>
      </c>
      <c r="BG40" s="436">
        <f>BG439</f>
        <v>-2811.4087601298179</v>
      </c>
      <c r="BH40" s="351"/>
    </row>
    <row r="41" spans="1:60" s="60" customFormat="1" x14ac:dyDescent="0.35">
      <c r="A41" s="466" t="s">
        <v>22</v>
      </c>
      <c r="B41" s="501"/>
      <c r="C41" s="502"/>
      <c r="D41" s="502"/>
      <c r="E41" s="502"/>
      <c r="F41" s="502"/>
      <c r="G41" s="463"/>
      <c r="H41" s="463"/>
      <c r="I41" s="463"/>
      <c r="J41" s="463"/>
      <c r="K41" s="502"/>
      <c r="L41" s="463"/>
      <c r="M41" s="463"/>
      <c r="N41" s="463"/>
      <c r="O41" s="463"/>
      <c r="P41" s="502"/>
      <c r="Q41" s="463"/>
      <c r="R41" s="463"/>
      <c r="S41" s="463"/>
      <c r="T41" s="463"/>
      <c r="U41" s="502"/>
      <c r="V41" s="463"/>
      <c r="W41" s="463">
        <v>4</v>
      </c>
      <c r="X41" s="463"/>
      <c r="Y41" s="463">
        <f>Z41-SUM(V41,W41,X41)</f>
        <v>2</v>
      </c>
      <c r="Z41" s="502">
        <v>6</v>
      </c>
      <c r="AA41" s="463">
        <v>2</v>
      </c>
      <c r="AB41" s="463">
        <v>3</v>
      </c>
      <c r="AC41" s="463"/>
      <c r="AD41" s="463">
        <f>AE41-SUM(AA41,AB41,AC41)</f>
        <v>-3</v>
      </c>
      <c r="AE41" s="502">
        <v>2</v>
      </c>
      <c r="AF41" s="463"/>
      <c r="AG41" s="463">
        <v>12</v>
      </c>
      <c r="AH41" s="463">
        <v>35</v>
      </c>
      <c r="AI41" s="463">
        <f>AJ41-SUM(AF41,AG41,AH41)</f>
        <v>3</v>
      </c>
      <c r="AJ41" s="502">
        <v>50</v>
      </c>
      <c r="AK41" s="463">
        <v>22</v>
      </c>
      <c r="AL41" s="463">
        <v>48</v>
      </c>
      <c r="AM41" s="463">
        <v>28</v>
      </c>
      <c r="AN41" s="463">
        <f>AO41-SUM(AK41,AL41,AM41)</f>
        <v>12</v>
      </c>
      <c r="AO41" s="502">
        <v>110</v>
      </c>
      <c r="AP41" s="463">
        <v>1</v>
      </c>
      <c r="AQ41" s="463">
        <v>-2</v>
      </c>
      <c r="AR41" s="463">
        <v>0</v>
      </c>
      <c r="AS41" s="463">
        <f t="shared" si="42"/>
        <v>0</v>
      </c>
      <c r="AT41" s="502">
        <v>-1</v>
      </c>
      <c r="AU41" s="768">
        <v>-2</v>
      </c>
      <c r="AV41" s="463">
        <f>AV419</f>
        <v>1</v>
      </c>
      <c r="AW41" s="463">
        <f>AW419</f>
        <v>1</v>
      </c>
      <c r="AX41" s="463">
        <f>AX419</f>
        <v>1</v>
      </c>
      <c r="AY41" s="502">
        <f>SUM(AU41,AV41,AW41,AX41)</f>
        <v>1</v>
      </c>
      <c r="AZ41" s="463">
        <f>AZ419</f>
        <v>1</v>
      </c>
      <c r="BA41" s="463">
        <f>BA419</f>
        <v>1</v>
      </c>
      <c r="BB41" s="463">
        <f>BB419</f>
        <v>1</v>
      </c>
      <c r="BC41" s="463">
        <f>BC419</f>
        <v>1</v>
      </c>
      <c r="BD41" s="502">
        <f t="shared" si="44"/>
        <v>4</v>
      </c>
      <c r="BE41" s="502">
        <f>BE419</f>
        <v>4</v>
      </c>
      <c r="BF41" s="502">
        <f>BF419</f>
        <v>4</v>
      </c>
      <c r="BG41" s="502">
        <f>BG419</f>
        <v>4</v>
      </c>
      <c r="BH41" s="351"/>
    </row>
    <row r="42" spans="1:60" s="69" customFormat="1" x14ac:dyDescent="0.35">
      <c r="A42" s="89" t="s">
        <v>23</v>
      </c>
      <c r="B42" s="452"/>
      <c r="C42" s="453"/>
      <c r="D42" s="453"/>
      <c r="E42" s="453"/>
      <c r="F42" s="453"/>
      <c r="G42" s="454"/>
      <c r="H42" s="454"/>
      <c r="I42" s="454"/>
      <c r="J42" s="454"/>
      <c r="K42" s="453"/>
      <c r="L42" s="454"/>
      <c r="M42" s="454"/>
      <c r="N42" s="454"/>
      <c r="O42" s="454"/>
      <c r="P42" s="453"/>
      <c r="Q42" s="454"/>
      <c r="R42" s="454"/>
      <c r="S42" s="454"/>
      <c r="T42" s="454"/>
      <c r="U42" s="453"/>
      <c r="V42" s="439">
        <f>SUM(V36:V41)</f>
        <v>7409</v>
      </c>
      <c r="W42" s="439">
        <f t="shared" ref="W42:AY42" si="45">SUM(W36:W41)</f>
        <v>7662</v>
      </c>
      <c r="X42" s="439">
        <f t="shared" si="45"/>
        <v>7709</v>
      </c>
      <c r="Y42" s="439">
        <f t="shared" si="45"/>
        <v>7329</v>
      </c>
      <c r="Z42" s="438">
        <f t="shared" si="45"/>
        <v>30109</v>
      </c>
      <c r="AA42" s="439">
        <f t="shared" si="45"/>
        <v>7685</v>
      </c>
      <c r="AB42" s="439">
        <f t="shared" si="45"/>
        <v>7810</v>
      </c>
      <c r="AC42" s="439">
        <f t="shared" si="45"/>
        <v>8172</v>
      </c>
      <c r="AD42" s="439">
        <f t="shared" si="45"/>
        <v>7990</v>
      </c>
      <c r="AE42" s="438">
        <f t="shared" si="45"/>
        <v>31657</v>
      </c>
      <c r="AF42" s="439">
        <f t="shared" si="45"/>
        <v>8278</v>
      </c>
      <c r="AG42" s="439">
        <f t="shared" si="45"/>
        <v>8390</v>
      </c>
      <c r="AH42" s="439">
        <f t="shared" si="45"/>
        <v>8152</v>
      </c>
      <c r="AI42" s="439">
        <f t="shared" si="45"/>
        <v>7945</v>
      </c>
      <c r="AJ42" s="438">
        <f t="shared" si="45"/>
        <v>32765</v>
      </c>
      <c r="AK42" s="439">
        <f t="shared" si="45"/>
        <v>7863</v>
      </c>
      <c r="AL42" s="439">
        <f t="shared" si="45"/>
        <v>8171</v>
      </c>
      <c r="AM42" s="439">
        <f t="shared" si="45"/>
        <v>7991</v>
      </c>
      <c r="AN42" s="439">
        <f t="shared" si="45"/>
        <v>8111</v>
      </c>
      <c r="AO42" s="438">
        <f t="shared" si="45"/>
        <v>32136</v>
      </c>
      <c r="AP42" s="439">
        <f t="shared" si="45"/>
        <v>8075</v>
      </c>
      <c r="AQ42" s="439">
        <f t="shared" si="45"/>
        <v>7176</v>
      </c>
      <c r="AR42" s="439">
        <f t="shared" si="45"/>
        <v>8350</v>
      </c>
      <c r="AS42" s="439">
        <f>SUM(AS36:AS41)</f>
        <v>8583</v>
      </c>
      <c r="AT42" s="438">
        <f>SUM(AT36:AT41)</f>
        <v>32184</v>
      </c>
      <c r="AU42" s="765">
        <f t="shared" ref="AU42" si="46">SUM(AU36:AU41)</f>
        <v>8851</v>
      </c>
      <c r="AV42" s="439">
        <f t="shared" si="45"/>
        <v>7668.2192000000005</v>
      </c>
      <c r="AW42" s="439">
        <f t="shared" si="45"/>
        <v>8745.5720000000001</v>
      </c>
      <c r="AX42" s="439">
        <f t="shared" si="45"/>
        <v>8982.3486000000012</v>
      </c>
      <c r="AY42" s="438">
        <f t="shared" si="45"/>
        <v>34247.139799999997</v>
      </c>
      <c r="AZ42" s="439">
        <f t="shared" ref="AZ42:BG42" si="47">SUM(AZ36:AZ41)</f>
        <v>9484.181700000001</v>
      </c>
      <c r="BA42" s="439">
        <f t="shared" si="47"/>
        <v>8158.1654830000007</v>
      </c>
      <c r="BB42" s="439">
        <f t="shared" si="47"/>
        <v>9307.9995679999993</v>
      </c>
      <c r="BC42" s="439">
        <f t="shared" si="47"/>
        <v>9559.6793980000002</v>
      </c>
      <c r="BD42" s="438">
        <f t="shared" si="47"/>
        <v>36510.026149000005</v>
      </c>
      <c r="BE42" s="438">
        <f t="shared" si="47"/>
        <v>38860.311656844999</v>
      </c>
      <c r="BF42" s="438">
        <f t="shared" si="47"/>
        <v>41368.44430713122</v>
      </c>
      <c r="BG42" s="438">
        <f t="shared" si="47"/>
        <v>44045.403908700471</v>
      </c>
      <c r="BH42" s="79"/>
    </row>
    <row r="43" spans="1:60" s="69" customFormat="1" x14ac:dyDescent="0.35">
      <c r="A43" s="426"/>
      <c r="B43" s="518"/>
      <c r="C43" s="519"/>
      <c r="D43" s="519"/>
      <c r="E43" s="519"/>
      <c r="F43" s="519"/>
      <c r="G43" s="520"/>
      <c r="H43" s="520"/>
      <c r="I43" s="520"/>
      <c r="J43" s="520"/>
      <c r="K43" s="519"/>
      <c r="L43" s="520"/>
      <c r="M43" s="520"/>
      <c r="N43" s="520"/>
      <c r="O43" s="520"/>
      <c r="P43" s="519"/>
      <c r="Q43" s="520"/>
      <c r="R43" s="520"/>
      <c r="S43" s="520"/>
      <c r="T43" s="520"/>
      <c r="U43" s="519"/>
      <c r="V43" s="520"/>
      <c r="W43" s="520"/>
      <c r="X43" s="520"/>
      <c r="Y43" s="520"/>
      <c r="Z43" s="519"/>
      <c r="AA43" s="520"/>
      <c r="AB43" s="520"/>
      <c r="AC43" s="520"/>
      <c r="AD43" s="520"/>
      <c r="AE43" s="519"/>
      <c r="AF43" s="520"/>
      <c r="AG43" s="520"/>
      <c r="AH43" s="520"/>
      <c r="AI43" s="520"/>
      <c r="AJ43" s="519"/>
      <c r="AK43" s="520"/>
      <c r="AL43" s="520"/>
      <c r="AM43" s="520"/>
      <c r="AN43" s="520"/>
      <c r="AO43" s="519"/>
      <c r="AP43" s="520"/>
      <c r="AQ43" s="520"/>
      <c r="AR43" s="520"/>
      <c r="AS43" s="520"/>
      <c r="AT43" s="519"/>
      <c r="AU43" s="766"/>
      <c r="AV43" s="520"/>
      <c r="AW43" s="520"/>
      <c r="AX43" s="520"/>
      <c r="AY43" s="519"/>
      <c r="AZ43" s="520"/>
      <c r="BA43" s="520"/>
      <c r="BB43" s="520"/>
      <c r="BC43" s="520"/>
      <c r="BD43" s="519"/>
      <c r="BE43" s="519"/>
      <c r="BF43" s="519"/>
      <c r="BG43" s="519"/>
      <c r="BH43" s="79"/>
    </row>
    <row r="44" spans="1:60" s="443" customFormat="1" x14ac:dyDescent="0.35">
      <c r="A44" s="173" t="s">
        <v>844</v>
      </c>
      <c r="B44" s="447"/>
      <c r="C44" s="448"/>
      <c r="D44" s="448"/>
      <c r="E44" s="448"/>
      <c r="F44" s="448"/>
      <c r="G44" s="449"/>
      <c r="H44" s="449"/>
      <c r="I44" s="449"/>
      <c r="J44" s="449"/>
      <c r="K44" s="448"/>
      <c r="L44" s="449"/>
      <c r="M44" s="449"/>
      <c r="N44" s="449"/>
      <c r="O44" s="449"/>
      <c r="P44" s="448"/>
      <c r="Q44" s="449"/>
      <c r="R44" s="449"/>
      <c r="S44" s="449"/>
      <c r="T44" s="449"/>
      <c r="U44" s="448"/>
      <c r="V44" s="568">
        <f>V36/SUM(V$36:V$39)</f>
        <v>0.36180840163934425</v>
      </c>
      <c r="W44" s="568">
        <f t="shared" ref="W44:AY47" si="48">W36/SUM(W$36:W$39)</f>
        <v>0.35881183196619437</v>
      </c>
      <c r="X44" s="568">
        <f t="shared" si="48"/>
        <v>0.34888013782919025</v>
      </c>
      <c r="Y44" s="568">
        <f t="shared" si="48"/>
        <v>0.34577017748413008</v>
      </c>
      <c r="Z44" s="567">
        <f t="shared" si="48"/>
        <v>0.35382819647307484</v>
      </c>
      <c r="AA44" s="568">
        <f t="shared" si="48"/>
        <v>0.35841852444882377</v>
      </c>
      <c r="AB44" s="568">
        <f t="shared" si="48"/>
        <v>0.35548536022354515</v>
      </c>
      <c r="AC44" s="568">
        <f t="shared" si="48"/>
        <v>0.3491916859122402</v>
      </c>
      <c r="AD44" s="568">
        <f t="shared" si="48"/>
        <v>0.36572647546812043</v>
      </c>
      <c r="AE44" s="567">
        <f t="shared" si="48"/>
        <v>0.35715139918679739</v>
      </c>
      <c r="AF44" s="568">
        <f t="shared" si="48"/>
        <v>0.37391304347826088</v>
      </c>
      <c r="AG44" s="568">
        <f t="shared" si="48"/>
        <v>0.36886268284385987</v>
      </c>
      <c r="AH44" s="568">
        <f t="shared" si="48"/>
        <v>0.35189283634245777</v>
      </c>
      <c r="AI44" s="568">
        <f t="shared" si="48"/>
        <v>0.35277246653919692</v>
      </c>
      <c r="AJ44" s="567">
        <f t="shared" si="48"/>
        <v>0.36201900788131663</v>
      </c>
      <c r="AK44" s="568">
        <f t="shared" si="48"/>
        <v>0.36084592145015104</v>
      </c>
      <c r="AL44" s="568">
        <f t="shared" si="48"/>
        <v>0.34643734643734642</v>
      </c>
      <c r="AM44" s="568">
        <f t="shared" si="48"/>
        <v>0.33928784089555791</v>
      </c>
      <c r="AN44" s="568">
        <f t="shared" si="48"/>
        <v>0.33031727379553466</v>
      </c>
      <c r="AO44" s="567">
        <f t="shared" si="48"/>
        <v>0.34412523347860891</v>
      </c>
      <c r="AP44" s="568">
        <f t="shared" si="48"/>
        <v>0.34399906235349276</v>
      </c>
      <c r="AQ44" s="568">
        <f t="shared" si="48"/>
        <v>0.34793948878455921</v>
      </c>
      <c r="AR44" s="568">
        <f t="shared" si="48"/>
        <v>0.33920358945597306</v>
      </c>
      <c r="AS44" s="568">
        <f t="shared" ref="AS44:AT47" si="49">AS36/SUM(AS$36:AS$39)</f>
        <v>0.34279475982532753</v>
      </c>
      <c r="AT44" s="567">
        <f t="shared" si="49"/>
        <v>0.34331145149525893</v>
      </c>
      <c r="AU44" s="769">
        <f t="shared" ref="AU44" si="50">AU36/SUM(AU$36:AU$39)</f>
        <v>0.35098639096951156</v>
      </c>
      <c r="AV44" s="568">
        <f t="shared" si="48"/>
        <v>0.34999043728575846</v>
      </c>
      <c r="AW44" s="568">
        <f t="shared" si="48"/>
        <v>0.34781786128907427</v>
      </c>
      <c r="AX44" s="568">
        <f t="shared" si="48"/>
        <v>0.35163882867994672</v>
      </c>
      <c r="AY44" s="567">
        <f t="shared" si="48"/>
        <v>0.35012688675716586</v>
      </c>
      <c r="AZ44" s="568">
        <f t="shared" ref="AZ44:BG47" si="51">AZ36/SUM(AZ$36:AZ$39)</f>
        <v>0.35286421097966952</v>
      </c>
      <c r="BA44" s="568">
        <f t="shared" si="51"/>
        <v>0.35199684181636837</v>
      </c>
      <c r="BB44" s="568">
        <f t="shared" si="51"/>
        <v>0.34967509557901655</v>
      </c>
      <c r="BC44" s="568">
        <f t="shared" si="51"/>
        <v>0.35352850405222441</v>
      </c>
      <c r="BD44" s="567">
        <f t="shared" si="51"/>
        <v>0.35203129072546996</v>
      </c>
      <c r="BE44" s="567">
        <f t="shared" si="51"/>
        <v>0.35388993014303227</v>
      </c>
      <c r="BF44" s="567">
        <f t="shared" si="51"/>
        <v>0.35570217837983625</v>
      </c>
      <c r="BG44" s="567">
        <f t="shared" si="51"/>
        <v>0.35746744446688383</v>
      </c>
      <c r="BH44" s="442"/>
    </row>
    <row r="45" spans="1:60" s="443" customFormat="1" x14ac:dyDescent="0.35">
      <c r="A45" s="173" t="s">
        <v>851</v>
      </c>
      <c r="B45" s="447"/>
      <c r="C45" s="448"/>
      <c r="D45" s="448"/>
      <c r="E45" s="448"/>
      <c r="F45" s="448"/>
      <c r="G45" s="449"/>
      <c r="H45" s="449"/>
      <c r="I45" s="449"/>
      <c r="J45" s="449"/>
      <c r="K45" s="448"/>
      <c r="L45" s="449"/>
      <c r="M45" s="449"/>
      <c r="N45" s="449"/>
      <c r="O45" s="449"/>
      <c r="P45" s="448"/>
      <c r="Q45" s="449"/>
      <c r="R45" s="449"/>
      <c r="S45" s="449"/>
      <c r="T45" s="449"/>
      <c r="U45" s="448"/>
      <c r="V45" s="568">
        <f t="shared" ref="V45:AK47" si="52">V37/SUM(V$36:V$39)</f>
        <v>0.28739754098360654</v>
      </c>
      <c r="W45" s="568">
        <f t="shared" si="52"/>
        <v>0.28610489684315188</v>
      </c>
      <c r="X45" s="568">
        <f t="shared" si="52"/>
        <v>0.29817868570022149</v>
      </c>
      <c r="Y45" s="568">
        <f t="shared" si="52"/>
        <v>0.29770695685969684</v>
      </c>
      <c r="Z45" s="567">
        <f t="shared" si="52"/>
        <v>0.29234360705385026</v>
      </c>
      <c r="AA45" s="568">
        <f t="shared" si="52"/>
        <v>0.29942111097425789</v>
      </c>
      <c r="AB45" s="568">
        <f t="shared" si="52"/>
        <v>0.29376746446361318</v>
      </c>
      <c r="AC45" s="568">
        <f t="shared" si="52"/>
        <v>0.30046189376443416</v>
      </c>
      <c r="AD45" s="568">
        <f t="shared" si="52"/>
        <v>0.28561270443232994</v>
      </c>
      <c r="AE45" s="567">
        <f t="shared" si="52"/>
        <v>0.29481583353264768</v>
      </c>
      <c r="AF45" s="568">
        <f t="shared" si="52"/>
        <v>0.28821510297482839</v>
      </c>
      <c r="AG45" s="568">
        <f t="shared" si="52"/>
        <v>0.28654042408436331</v>
      </c>
      <c r="AH45" s="568">
        <f t="shared" si="52"/>
        <v>0.30506697728596388</v>
      </c>
      <c r="AI45" s="568">
        <f t="shared" si="52"/>
        <v>0.29170650095602296</v>
      </c>
      <c r="AJ45" s="567">
        <f t="shared" si="52"/>
        <v>0.29282568382012053</v>
      </c>
      <c r="AK45" s="568">
        <f t="shared" si="52"/>
        <v>0.28483383685800606</v>
      </c>
      <c r="AL45" s="568">
        <f t="shared" si="48"/>
        <v>0.28688428688428691</v>
      </c>
      <c r="AM45" s="568">
        <f t="shared" si="48"/>
        <v>0.29808264856496369</v>
      </c>
      <c r="AN45" s="568">
        <f t="shared" si="48"/>
        <v>0.2690951821386604</v>
      </c>
      <c r="AO45" s="567">
        <f t="shared" si="48"/>
        <v>0.28468083844762665</v>
      </c>
      <c r="AP45" s="568">
        <f t="shared" si="48"/>
        <v>0.26230661040787623</v>
      </c>
      <c r="AQ45" s="568">
        <f t="shared" si="48"/>
        <v>0.25260824204486176</v>
      </c>
      <c r="AR45" s="568">
        <f t="shared" si="48"/>
        <v>0.25956253505328097</v>
      </c>
      <c r="AS45" s="568">
        <f t="shared" si="49"/>
        <v>0.25524017467248911</v>
      </c>
      <c r="AT45" s="567">
        <f t="shared" si="49"/>
        <v>0.25753464624361777</v>
      </c>
      <c r="AU45" s="769">
        <f t="shared" ref="AU45" si="53">AU37/SUM(AU$36:AU$39)</f>
        <v>0.26701128811056019</v>
      </c>
      <c r="AV45" s="568">
        <f t="shared" si="48"/>
        <v>0.25647199595914022</v>
      </c>
      <c r="AW45" s="568">
        <f t="shared" si="48"/>
        <v>0.26864169927333709</v>
      </c>
      <c r="AX45" s="568">
        <f t="shared" si="48"/>
        <v>0.26427231024763753</v>
      </c>
      <c r="AY45" s="567">
        <f t="shared" si="48"/>
        <v>0.26435412434710381</v>
      </c>
      <c r="AZ45" s="568">
        <f t="shared" si="51"/>
        <v>0.27094861454390645</v>
      </c>
      <c r="BA45" s="568">
        <f t="shared" si="51"/>
        <v>0.26035295903319089</v>
      </c>
      <c r="BB45" s="568">
        <f t="shared" si="51"/>
        <v>0.27260023485002799</v>
      </c>
      <c r="BC45" s="568">
        <f t="shared" si="51"/>
        <v>0.26817559316831585</v>
      </c>
      <c r="BD45" s="567">
        <f t="shared" si="51"/>
        <v>0.26827603195645566</v>
      </c>
      <c r="BE45" s="567">
        <f t="shared" si="51"/>
        <v>0.27221295433859477</v>
      </c>
      <c r="BF45" s="567">
        <f t="shared" si="51"/>
        <v>0.27616401408638847</v>
      </c>
      <c r="BG45" s="567">
        <f t="shared" si="51"/>
        <v>0.28012833185843539</v>
      </c>
      <c r="BH45" s="442"/>
    </row>
    <row r="46" spans="1:60" s="443" customFormat="1" x14ac:dyDescent="0.35">
      <c r="A46" s="173" t="s">
        <v>858</v>
      </c>
      <c r="B46" s="447"/>
      <c r="C46" s="448"/>
      <c r="D46" s="448"/>
      <c r="E46" s="448"/>
      <c r="F46" s="448"/>
      <c r="G46" s="449"/>
      <c r="H46" s="449"/>
      <c r="I46" s="449"/>
      <c r="J46" s="449"/>
      <c r="K46" s="448"/>
      <c r="L46" s="449"/>
      <c r="M46" s="449"/>
      <c r="N46" s="449"/>
      <c r="O46" s="449"/>
      <c r="P46" s="448"/>
      <c r="Q46" s="449"/>
      <c r="R46" s="449"/>
      <c r="S46" s="449"/>
      <c r="T46" s="449"/>
      <c r="U46" s="448"/>
      <c r="V46" s="568">
        <f t="shared" si="52"/>
        <v>0.20453381147540983</v>
      </c>
      <c r="W46" s="568">
        <f t="shared" si="48"/>
        <v>0.20183942331593338</v>
      </c>
      <c r="X46" s="568">
        <f t="shared" si="48"/>
        <v>0.1934531134629584</v>
      </c>
      <c r="Y46" s="568">
        <f t="shared" si="48"/>
        <v>0.20520792848814615</v>
      </c>
      <c r="Z46" s="567">
        <f t="shared" si="48"/>
        <v>0.20117353859743209</v>
      </c>
      <c r="AA46" s="568">
        <f t="shared" si="48"/>
        <v>0.20076364084246828</v>
      </c>
      <c r="AB46" s="568">
        <f t="shared" si="48"/>
        <v>0.19948973393269348</v>
      </c>
      <c r="AC46" s="568">
        <f t="shared" si="48"/>
        <v>0.19480369515011547</v>
      </c>
      <c r="AD46" s="568">
        <f t="shared" si="48"/>
        <v>0.19862526665086513</v>
      </c>
      <c r="AE46" s="567">
        <f t="shared" si="48"/>
        <v>0.19836761540301362</v>
      </c>
      <c r="AF46" s="568">
        <f t="shared" si="48"/>
        <v>0.19965675057208238</v>
      </c>
      <c r="AG46" s="568">
        <f t="shared" si="48"/>
        <v>0.19616736591450279</v>
      </c>
      <c r="AH46" s="568">
        <f t="shared" si="48"/>
        <v>0.19138031450203843</v>
      </c>
      <c r="AI46" s="568">
        <f t="shared" si="48"/>
        <v>0.20411089866156787</v>
      </c>
      <c r="AJ46" s="567">
        <f t="shared" si="48"/>
        <v>0.19778627723690312</v>
      </c>
      <c r="AK46" s="568">
        <f t="shared" si="48"/>
        <v>0.21003021148036255</v>
      </c>
      <c r="AL46" s="568">
        <f t="shared" si="48"/>
        <v>0.21422721422721422</v>
      </c>
      <c r="AM46" s="568">
        <f t="shared" si="48"/>
        <v>0.20495415029177086</v>
      </c>
      <c r="AN46" s="568">
        <f t="shared" si="48"/>
        <v>0.25158636897767334</v>
      </c>
      <c r="AO46" s="567">
        <f t="shared" si="48"/>
        <v>0.22031486258116162</v>
      </c>
      <c r="AP46" s="568">
        <f t="shared" si="48"/>
        <v>0.24648382559774965</v>
      </c>
      <c r="AQ46" s="568">
        <f t="shared" si="48"/>
        <v>0.23800208659363589</v>
      </c>
      <c r="AR46" s="568">
        <f t="shared" si="48"/>
        <v>0.24228827818283791</v>
      </c>
      <c r="AS46" s="568">
        <f t="shared" si="49"/>
        <v>0.24639737991266375</v>
      </c>
      <c r="AT46" s="567">
        <f t="shared" si="49"/>
        <v>0.24347191830780451</v>
      </c>
      <c r="AU46" s="769">
        <f t="shared" ref="AU46" si="54">AU38/SUM(AU$36:AU$39)</f>
        <v>0.23715581812427472</v>
      </c>
      <c r="AV46" s="568">
        <f t="shared" si="48"/>
        <v>0.23493014314647626</v>
      </c>
      <c r="AW46" s="568">
        <f t="shared" si="48"/>
        <v>0.24379756632411748</v>
      </c>
      <c r="AX46" s="568">
        <f t="shared" si="48"/>
        <v>0.24803002504529187</v>
      </c>
      <c r="AY46" s="567">
        <f t="shared" si="48"/>
        <v>0.241198558524787</v>
      </c>
      <c r="AZ46" s="568">
        <f t="shared" si="51"/>
        <v>0.23396809553003375</v>
      </c>
      <c r="BA46" s="568">
        <f t="shared" si="51"/>
        <v>0.23186054546875395</v>
      </c>
      <c r="BB46" s="568">
        <f t="shared" si="51"/>
        <v>0.24051806949818808</v>
      </c>
      <c r="BC46" s="568">
        <f t="shared" si="51"/>
        <v>0.24470192696009729</v>
      </c>
      <c r="BD46" s="567">
        <f t="shared" si="51"/>
        <v>0.23797757526177399</v>
      </c>
      <c r="BE46" s="567">
        <f t="shared" si="51"/>
        <v>0.23476237458125163</v>
      </c>
      <c r="BF46" s="567">
        <f t="shared" si="51"/>
        <v>0.23155402518323431</v>
      </c>
      <c r="BG46" s="567">
        <f t="shared" si="51"/>
        <v>0.2283535812193131</v>
      </c>
      <c r="BH46" s="442"/>
    </row>
    <row r="47" spans="1:60" s="443" customFormat="1" x14ac:dyDescent="0.35">
      <c r="A47" s="654" t="s">
        <v>865</v>
      </c>
      <c r="B47" s="674"/>
      <c r="C47" s="731"/>
      <c r="D47" s="731"/>
      <c r="E47" s="731"/>
      <c r="F47" s="731"/>
      <c r="G47" s="675"/>
      <c r="H47" s="675"/>
      <c r="I47" s="675"/>
      <c r="J47" s="675"/>
      <c r="K47" s="731"/>
      <c r="L47" s="675"/>
      <c r="M47" s="675"/>
      <c r="N47" s="675"/>
      <c r="O47" s="675"/>
      <c r="P47" s="731"/>
      <c r="Q47" s="675"/>
      <c r="R47" s="675"/>
      <c r="S47" s="675"/>
      <c r="T47" s="675"/>
      <c r="U47" s="731"/>
      <c r="V47" s="656">
        <f t="shared" si="52"/>
        <v>0.14626024590163936</v>
      </c>
      <c r="W47" s="656">
        <f t="shared" si="48"/>
        <v>0.15324384787472037</v>
      </c>
      <c r="X47" s="656">
        <f t="shared" si="48"/>
        <v>0.15948806300762983</v>
      </c>
      <c r="Y47" s="656">
        <f t="shared" si="48"/>
        <v>0.15131493716802694</v>
      </c>
      <c r="Z47" s="655">
        <f t="shared" si="48"/>
        <v>0.15265465787564275</v>
      </c>
      <c r="AA47" s="656">
        <f t="shared" si="48"/>
        <v>0.14139672373445006</v>
      </c>
      <c r="AB47" s="656">
        <f t="shared" si="48"/>
        <v>0.15125744138014821</v>
      </c>
      <c r="AC47" s="656">
        <f t="shared" si="48"/>
        <v>0.15554272517321016</v>
      </c>
      <c r="AD47" s="656">
        <f t="shared" si="48"/>
        <v>0.15003555344868452</v>
      </c>
      <c r="AE47" s="655">
        <f t="shared" si="48"/>
        <v>0.14966515187754126</v>
      </c>
      <c r="AF47" s="656">
        <f t="shared" si="48"/>
        <v>0.13821510297482836</v>
      </c>
      <c r="AG47" s="656">
        <f t="shared" si="48"/>
        <v>0.14842952715727406</v>
      </c>
      <c r="AH47" s="656">
        <f t="shared" si="48"/>
        <v>0.15165987186953989</v>
      </c>
      <c r="AI47" s="656">
        <f t="shared" si="48"/>
        <v>0.15141013384321222</v>
      </c>
      <c r="AJ47" s="655">
        <f t="shared" si="48"/>
        <v>0.14736903106165972</v>
      </c>
      <c r="AK47" s="656">
        <f t="shared" si="48"/>
        <v>0.14429003021148037</v>
      </c>
      <c r="AL47" s="656">
        <f t="shared" si="48"/>
        <v>0.15245115245115246</v>
      </c>
      <c r="AM47" s="656">
        <f t="shared" si="48"/>
        <v>0.15767536024770751</v>
      </c>
      <c r="AN47" s="656">
        <f t="shared" si="48"/>
        <v>0.1490011750881316</v>
      </c>
      <c r="AO47" s="655">
        <f t="shared" si="48"/>
        <v>0.1508790654926028</v>
      </c>
      <c r="AP47" s="656">
        <f t="shared" si="48"/>
        <v>0.1472105016408814</v>
      </c>
      <c r="AQ47" s="656">
        <f t="shared" si="48"/>
        <v>0.16145018257694313</v>
      </c>
      <c r="AR47" s="656">
        <f t="shared" si="48"/>
        <v>0.15894559730790803</v>
      </c>
      <c r="AS47" s="656">
        <f t="shared" si="49"/>
        <v>0.15556768558951964</v>
      </c>
      <c r="AT47" s="655">
        <f t="shared" si="49"/>
        <v>0.15568198395331875</v>
      </c>
      <c r="AU47" s="770">
        <f t="shared" ref="AU47" si="55">AU39/SUM(AU$36:AU$39)</f>
        <v>0.14484650279565356</v>
      </c>
      <c r="AV47" s="656">
        <f t="shared" si="48"/>
        <v>0.15860742360862506</v>
      </c>
      <c r="AW47" s="656">
        <f t="shared" si="48"/>
        <v>0.13974287311347122</v>
      </c>
      <c r="AX47" s="656">
        <f t="shared" si="48"/>
        <v>0.13605883602712385</v>
      </c>
      <c r="AY47" s="655">
        <f t="shared" si="48"/>
        <v>0.14432043037094339</v>
      </c>
      <c r="AZ47" s="656">
        <f t="shared" si="51"/>
        <v>0.14221907894639024</v>
      </c>
      <c r="BA47" s="656">
        <f t="shared" si="51"/>
        <v>0.15578965368168673</v>
      </c>
      <c r="BB47" s="656">
        <f t="shared" si="51"/>
        <v>0.1372066000727675</v>
      </c>
      <c r="BC47" s="656">
        <f t="shared" si="51"/>
        <v>0.13359397581936253</v>
      </c>
      <c r="BD47" s="655">
        <f t="shared" si="51"/>
        <v>0.14171510205630039</v>
      </c>
      <c r="BE47" s="655">
        <f t="shared" si="51"/>
        <v>0.13913474093712128</v>
      </c>
      <c r="BF47" s="655">
        <f t="shared" si="51"/>
        <v>0.13657978235054108</v>
      </c>
      <c r="BG47" s="655">
        <f t="shared" si="51"/>
        <v>0.13405064245536777</v>
      </c>
      <c r="BH47" s="442"/>
    </row>
    <row r="48" spans="1:60" s="660" customFormat="1" x14ac:dyDescent="0.35">
      <c r="A48" s="657" t="s">
        <v>868</v>
      </c>
      <c r="B48" s="676"/>
      <c r="C48" s="732"/>
      <c r="D48" s="732"/>
      <c r="E48" s="732"/>
      <c r="F48" s="732"/>
      <c r="G48" s="677"/>
      <c r="H48" s="677"/>
      <c r="I48" s="677"/>
      <c r="J48" s="677"/>
      <c r="K48" s="732"/>
      <c r="L48" s="677"/>
      <c r="M48" s="677"/>
      <c r="N48" s="677"/>
      <c r="O48" s="677"/>
      <c r="P48" s="732"/>
      <c r="Q48" s="677"/>
      <c r="R48" s="677"/>
      <c r="S48" s="677"/>
      <c r="T48" s="677"/>
      <c r="U48" s="732"/>
      <c r="V48" s="659">
        <f>SUM(V44:V47)</f>
        <v>1</v>
      </c>
      <c r="W48" s="659">
        <f t="shared" ref="W48:AY48" si="56">SUM(W44:W47)</f>
        <v>1</v>
      </c>
      <c r="X48" s="659">
        <f t="shared" si="56"/>
        <v>1</v>
      </c>
      <c r="Y48" s="659">
        <f t="shared" si="56"/>
        <v>1</v>
      </c>
      <c r="Z48" s="658">
        <f t="shared" si="56"/>
        <v>0.99999999999999978</v>
      </c>
      <c r="AA48" s="659">
        <f t="shared" si="56"/>
        <v>1</v>
      </c>
      <c r="AB48" s="659">
        <f t="shared" si="56"/>
        <v>1</v>
      </c>
      <c r="AC48" s="659">
        <f t="shared" si="56"/>
        <v>1</v>
      </c>
      <c r="AD48" s="659">
        <f t="shared" si="56"/>
        <v>1</v>
      </c>
      <c r="AE48" s="658">
        <f t="shared" si="56"/>
        <v>0.99999999999999989</v>
      </c>
      <c r="AF48" s="659">
        <f t="shared" si="56"/>
        <v>1</v>
      </c>
      <c r="AG48" s="659">
        <f t="shared" si="56"/>
        <v>1</v>
      </c>
      <c r="AH48" s="659">
        <f t="shared" si="56"/>
        <v>0.99999999999999989</v>
      </c>
      <c r="AI48" s="659">
        <f t="shared" si="56"/>
        <v>0.99999999999999989</v>
      </c>
      <c r="AJ48" s="658">
        <f t="shared" si="56"/>
        <v>1</v>
      </c>
      <c r="AK48" s="659">
        <f t="shared" si="56"/>
        <v>0.99999999999999989</v>
      </c>
      <c r="AL48" s="659">
        <f t="shared" si="56"/>
        <v>1</v>
      </c>
      <c r="AM48" s="659">
        <f t="shared" si="56"/>
        <v>1</v>
      </c>
      <c r="AN48" s="659">
        <f t="shared" si="56"/>
        <v>1</v>
      </c>
      <c r="AO48" s="658">
        <f t="shared" si="56"/>
        <v>1</v>
      </c>
      <c r="AP48" s="659">
        <f t="shared" si="56"/>
        <v>1</v>
      </c>
      <c r="AQ48" s="659">
        <f t="shared" si="56"/>
        <v>0.99999999999999989</v>
      </c>
      <c r="AR48" s="659">
        <f t="shared" si="56"/>
        <v>1</v>
      </c>
      <c r="AS48" s="659">
        <f>SUM(AS44:AS47)</f>
        <v>1</v>
      </c>
      <c r="AT48" s="658">
        <f>SUM(AT44:AT47)</f>
        <v>1</v>
      </c>
      <c r="AU48" s="771">
        <f t="shared" ref="AU48" si="57">SUM(AU44:AU47)</f>
        <v>1</v>
      </c>
      <c r="AV48" s="659">
        <f t="shared" si="56"/>
        <v>1</v>
      </c>
      <c r="AW48" s="659">
        <f t="shared" si="56"/>
        <v>1</v>
      </c>
      <c r="AX48" s="659">
        <f t="shared" si="56"/>
        <v>0.99999999999999989</v>
      </c>
      <c r="AY48" s="658">
        <f t="shared" si="56"/>
        <v>1</v>
      </c>
      <c r="AZ48" s="659">
        <f t="shared" ref="AZ48:BG48" si="58">SUM(AZ44:AZ47)</f>
        <v>1</v>
      </c>
      <c r="BA48" s="659">
        <f t="shared" si="58"/>
        <v>1</v>
      </c>
      <c r="BB48" s="659">
        <f t="shared" si="58"/>
        <v>1</v>
      </c>
      <c r="BC48" s="659">
        <f t="shared" si="58"/>
        <v>1.0000000000000002</v>
      </c>
      <c r="BD48" s="658">
        <f t="shared" si="58"/>
        <v>1</v>
      </c>
      <c r="BE48" s="658">
        <f t="shared" si="58"/>
        <v>0.99999999999999989</v>
      </c>
      <c r="BF48" s="658">
        <f t="shared" si="58"/>
        <v>1.0000000000000002</v>
      </c>
      <c r="BG48" s="658">
        <f t="shared" si="58"/>
        <v>1.0000000000000002</v>
      </c>
      <c r="BH48" s="359"/>
    </row>
    <row r="49" spans="1:60" s="69" customFormat="1" x14ac:dyDescent="0.35">
      <c r="A49" s="426"/>
      <c r="B49" s="518"/>
      <c r="C49" s="519"/>
      <c r="D49" s="519"/>
      <c r="E49" s="519"/>
      <c r="F49" s="519"/>
      <c r="G49" s="520"/>
      <c r="H49" s="520"/>
      <c r="I49" s="520"/>
      <c r="J49" s="520"/>
      <c r="K49" s="519"/>
      <c r="L49" s="520"/>
      <c r="M49" s="520"/>
      <c r="N49" s="520"/>
      <c r="O49" s="520"/>
      <c r="P49" s="519"/>
      <c r="Q49" s="520"/>
      <c r="R49" s="520"/>
      <c r="S49" s="520"/>
      <c r="T49" s="520"/>
      <c r="U49" s="519"/>
      <c r="V49" s="520"/>
      <c r="W49" s="520"/>
      <c r="X49" s="520"/>
      <c r="Y49" s="520"/>
      <c r="Z49" s="519"/>
      <c r="AA49" s="520"/>
      <c r="AB49" s="520"/>
      <c r="AC49" s="520"/>
      <c r="AD49" s="520"/>
      <c r="AE49" s="519"/>
      <c r="AF49" s="520"/>
      <c r="AG49" s="520"/>
      <c r="AH49" s="520"/>
      <c r="AI49" s="520"/>
      <c r="AJ49" s="519"/>
      <c r="AK49" s="520"/>
      <c r="AL49" s="520"/>
      <c r="AM49" s="520"/>
      <c r="AN49" s="520"/>
      <c r="AO49" s="519"/>
      <c r="AP49" s="520"/>
      <c r="AQ49" s="520"/>
      <c r="AR49" s="520"/>
      <c r="AS49" s="520"/>
      <c r="AT49" s="519"/>
      <c r="AU49" s="766"/>
      <c r="AV49" s="520"/>
      <c r="AW49" s="520"/>
      <c r="AX49" s="520"/>
      <c r="AY49" s="519"/>
      <c r="AZ49" s="520"/>
      <c r="BA49" s="520"/>
      <c r="BB49" s="520"/>
      <c r="BC49" s="520"/>
      <c r="BD49" s="519"/>
      <c r="BE49" s="519"/>
      <c r="BF49" s="519"/>
      <c r="BG49" s="519"/>
      <c r="BH49" s="79"/>
    </row>
    <row r="50" spans="1:60" s="21" customFormat="1" x14ac:dyDescent="0.35">
      <c r="A50" s="746" t="s">
        <v>820</v>
      </c>
      <c r="B50" s="746"/>
      <c r="C50" s="874"/>
      <c r="D50" s="874"/>
      <c r="E50" s="874"/>
      <c r="F50" s="874"/>
      <c r="G50" s="874"/>
      <c r="H50" s="874"/>
      <c r="I50" s="874"/>
      <c r="J50" s="874"/>
      <c r="K50" s="874"/>
      <c r="L50" s="874"/>
      <c r="M50" s="874"/>
      <c r="N50" s="874"/>
      <c r="O50" s="874"/>
      <c r="P50" s="874"/>
      <c r="Q50" s="874"/>
      <c r="R50" s="874"/>
      <c r="S50" s="874"/>
      <c r="T50" s="874"/>
      <c r="U50" s="874"/>
      <c r="V50" s="874"/>
      <c r="W50" s="874"/>
      <c r="X50" s="874"/>
      <c r="Y50" s="874"/>
      <c r="Z50" s="874"/>
      <c r="AA50" s="874"/>
      <c r="AB50" s="874"/>
      <c r="AC50" s="874"/>
      <c r="AD50" s="874"/>
      <c r="AE50" s="874"/>
      <c r="AF50" s="874"/>
      <c r="AG50" s="874"/>
      <c r="AH50" s="874"/>
      <c r="AI50" s="874"/>
      <c r="AJ50" s="874"/>
      <c r="AK50" s="874"/>
      <c r="AL50" s="874"/>
      <c r="AM50" s="874"/>
      <c r="AN50" s="874"/>
      <c r="AO50" s="874"/>
      <c r="AP50" s="874"/>
      <c r="AQ50" s="874"/>
      <c r="AR50" s="874"/>
      <c r="AS50" s="874"/>
      <c r="AT50" s="874"/>
      <c r="AU50" s="875"/>
      <c r="AV50" s="874"/>
      <c r="AW50" s="874"/>
      <c r="AX50" s="874"/>
      <c r="AY50" s="874"/>
      <c r="AZ50" s="874"/>
      <c r="BA50" s="874"/>
      <c r="BB50" s="874"/>
      <c r="BC50" s="874"/>
      <c r="BD50" s="874"/>
      <c r="BE50" s="874"/>
      <c r="BF50" s="874"/>
      <c r="BG50" s="874"/>
      <c r="BH50" s="651"/>
    </row>
    <row r="51" spans="1:60" s="262" customFormat="1" x14ac:dyDescent="0.35">
      <c r="A51" s="350" t="s">
        <v>813</v>
      </c>
      <c r="B51" s="312"/>
      <c r="C51" s="105"/>
      <c r="D51" s="105"/>
      <c r="E51" s="105"/>
      <c r="F51" s="105"/>
      <c r="G51" s="200"/>
      <c r="H51" s="200"/>
      <c r="I51" s="200"/>
      <c r="J51" s="200"/>
      <c r="K51" s="105"/>
      <c r="L51" s="200"/>
      <c r="M51" s="200"/>
      <c r="N51" s="200"/>
      <c r="O51" s="200"/>
      <c r="P51" s="105"/>
      <c r="Q51" s="200"/>
      <c r="R51" s="200"/>
      <c r="S51" s="200"/>
      <c r="T51" s="200"/>
      <c r="U51" s="105"/>
      <c r="V51" s="200"/>
      <c r="W51" s="200"/>
      <c r="X51" s="200"/>
      <c r="Y51" s="200"/>
      <c r="Z51" s="105"/>
      <c r="AA51" s="78">
        <f t="shared" ref="AA51:AJ54" si="59">AA57/V57-1</f>
        <v>3.2659409020217689E-2</v>
      </c>
      <c r="AB51" s="78">
        <f t="shared" si="59"/>
        <v>-0.13668061366806139</v>
      </c>
      <c r="AC51" s="78">
        <f t="shared" si="59"/>
        <v>0.11485451761102605</v>
      </c>
      <c r="AD51" s="78">
        <f t="shared" si="59"/>
        <v>2.4221453287197159E-2</v>
      </c>
      <c r="AE51" s="47">
        <f t="shared" si="59"/>
        <v>4.6314164415284242E-3</v>
      </c>
      <c r="AF51" s="78">
        <f t="shared" si="59"/>
        <v>0.16114457831325302</v>
      </c>
      <c r="AG51" s="78">
        <f t="shared" si="59"/>
        <v>1.0759289176090467</v>
      </c>
      <c r="AH51" s="78">
        <f t="shared" si="59"/>
        <v>-4.2582417582417542E-2</v>
      </c>
      <c r="AI51" s="78">
        <f t="shared" si="59"/>
        <v>0.1317567567567568</v>
      </c>
      <c r="AJ51" s="47">
        <f t="shared" si="59"/>
        <v>0.3150211294660008</v>
      </c>
      <c r="AK51" s="78">
        <f t="shared" ref="AK51:AR54" si="60">AK57/AF57-1</f>
        <v>-0.17380025940337229</v>
      </c>
      <c r="AL51" s="78">
        <f t="shared" si="60"/>
        <v>-0.49649805447470818</v>
      </c>
      <c r="AM51" s="78">
        <f t="shared" si="60"/>
        <v>-7.1736011477761874E-2</v>
      </c>
      <c r="AN51" s="78">
        <f t="shared" si="60"/>
        <v>-0.13582089552238807</v>
      </c>
      <c r="AO51" s="47">
        <f t="shared" si="60"/>
        <v>-0.26672509494595387</v>
      </c>
      <c r="AP51" s="78">
        <f t="shared" si="60"/>
        <v>0.13971742543171106</v>
      </c>
      <c r="AQ51" s="78">
        <f t="shared" si="60"/>
        <v>-1.7001545595054068E-2</v>
      </c>
      <c r="AR51" s="78">
        <f t="shared" si="60"/>
        <v>0.27202472952086554</v>
      </c>
      <c r="AS51" s="78">
        <f t="shared" ref="AS51:AU54" si="61">AS57/AN57-1</f>
        <v>0.50086355785837644</v>
      </c>
      <c r="AT51" s="47">
        <f t="shared" si="61"/>
        <v>0.21673306772908374</v>
      </c>
      <c r="AU51" s="759">
        <f t="shared" si="61"/>
        <v>0.11707988980716255</v>
      </c>
      <c r="AV51" s="78">
        <f t="shared" ref="AV51:AY54" si="62">AV57/AQ57-1</f>
        <v>0.159772327044025</v>
      </c>
      <c r="AW51" s="78">
        <f t="shared" si="62"/>
        <v>1.1026488456864936E-2</v>
      </c>
      <c r="AX51" s="78">
        <f t="shared" si="62"/>
        <v>0.10866283084004613</v>
      </c>
      <c r="AY51" s="47">
        <f t="shared" si="62"/>
        <v>9.4996070726915294E-2</v>
      </c>
      <c r="AZ51" s="78">
        <f t="shared" ref="AZ51:BD54" si="63">AZ57/AU57-1</f>
        <v>0.11389506781750924</v>
      </c>
      <c r="BA51" s="78">
        <f t="shared" si="63"/>
        <v>0.15282348845305793</v>
      </c>
      <c r="BB51" s="78">
        <f t="shared" si="63"/>
        <v>7.5865439020628145E-3</v>
      </c>
      <c r="BC51" s="78">
        <f t="shared" si="63"/>
        <v>0.10731452687694354</v>
      </c>
      <c r="BD51" s="47">
        <f t="shared" si="63"/>
        <v>9.4134303873248726E-2</v>
      </c>
      <c r="BE51" s="47">
        <f t="shared" ref="BE51:BG54" si="64">BE57/BD57-1</f>
        <v>8.9990441421170964E-2</v>
      </c>
      <c r="BF51" s="47">
        <f t="shared" si="64"/>
        <v>8.9623816418760827E-2</v>
      </c>
      <c r="BG51" s="47">
        <f t="shared" si="64"/>
        <v>8.9270397041325555E-2</v>
      </c>
      <c r="BH51" s="363"/>
    </row>
    <row r="52" spans="1:60" s="262" customFormat="1" x14ac:dyDescent="0.35">
      <c r="A52" s="350" t="s">
        <v>809</v>
      </c>
      <c r="B52" s="312"/>
      <c r="C52" s="105"/>
      <c r="D52" s="105"/>
      <c r="E52" s="105"/>
      <c r="F52" s="105"/>
      <c r="G52" s="200"/>
      <c r="H52" s="200"/>
      <c r="I52" s="200"/>
      <c r="J52" s="200"/>
      <c r="K52" s="105"/>
      <c r="L52" s="200"/>
      <c r="M52" s="200"/>
      <c r="N52" s="200"/>
      <c r="O52" s="200"/>
      <c r="P52" s="105"/>
      <c r="Q52" s="200"/>
      <c r="R52" s="200"/>
      <c r="S52" s="200"/>
      <c r="T52" s="200"/>
      <c r="U52" s="105"/>
      <c r="V52" s="200"/>
      <c r="W52" s="200"/>
      <c r="X52" s="200"/>
      <c r="Y52" s="200"/>
      <c r="Z52" s="105"/>
      <c r="AA52" s="78">
        <f t="shared" si="59"/>
        <v>0.13121272365805159</v>
      </c>
      <c r="AB52" s="78">
        <f t="shared" si="59"/>
        <v>1.0194174757281553</v>
      </c>
      <c r="AC52" s="78">
        <f t="shared" si="59"/>
        <v>0.16220735785953178</v>
      </c>
      <c r="AD52" s="78">
        <f t="shared" si="59"/>
        <v>0.23550724637681153</v>
      </c>
      <c r="AE52" s="47">
        <f t="shared" si="59"/>
        <v>0.37730627306273057</v>
      </c>
      <c r="AF52" s="78">
        <f t="shared" si="59"/>
        <v>0.15289982425307547</v>
      </c>
      <c r="AG52" s="78">
        <f t="shared" si="59"/>
        <v>-0.35673076923076918</v>
      </c>
      <c r="AH52" s="78">
        <f t="shared" si="59"/>
        <v>4.4604316546762668E-2</v>
      </c>
      <c r="AI52" s="78">
        <f t="shared" si="59"/>
        <v>-0.12316715542521994</v>
      </c>
      <c r="AJ52" s="47">
        <f t="shared" si="59"/>
        <v>-0.11286001339584728</v>
      </c>
      <c r="AK52" s="78">
        <f t="shared" si="60"/>
        <v>-0.20426829268292679</v>
      </c>
      <c r="AL52" s="78">
        <f t="shared" si="60"/>
        <v>-0.11659192825112108</v>
      </c>
      <c r="AM52" s="78">
        <f t="shared" si="60"/>
        <v>-0.12258953168044073</v>
      </c>
      <c r="AN52" s="78">
        <f t="shared" si="60"/>
        <v>-0.20735785953177255</v>
      </c>
      <c r="AO52" s="47">
        <f t="shared" si="60"/>
        <v>-0.16157040392600985</v>
      </c>
      <c r="AP52" s="78">
        <f t="shared" si="60"/>
        <v>-7.2796934865900331E-2</v>
      </c>
      <c r="AQ52" s="78">
        <f t="shared" si="60"/>
        <v>-0.3536379018612521</v>
      </c>
      <c r="AR52" s="78">
        <f t="shared" si="60"/>
        <v>-0.13343799058084771</v>
      </c>
      <c r="AS52" s="78">
        <f t="shared" si="61"/>
        <v>7.8059071729957852E-2</v>
      </c>
      <c r="AT52" s="47">
        <f t="shared" si="61"/>
        <v>-0.13237280504277349</v>
      </c>
      <c r="AU52" s="759">
        <f t="shared" si="61"/>
        <v>0.22107438016528924</v>
      </c>
      <c r="AV52" s="78">
        <f t="shared" si="62"/>
        <v>0.13476335078534052</v>
      </c>
      <c r="AW52" s="78">
        <f t="shared" si="62"/>
        <v>0.12527391304347835</v>
      </c>
      <c r="AX52" s="78">
        <f t="shared" si="62"/>
        <v>0.12941369863013708</v>
      </c>
      <c r="AY52" s="47">
        <f t="shared" si="62"/>
        <v>0.15348271925272439</v>
      </c>
      <c r="AZ52" s="78">
        <f t="shared" si="63"/>
        <v>0.12625177664974618</v>
      </c>
      <c r="BA52" s="78">
        <f t="shared" si="63"/>
        <v>0.13212048733089166</v>
      </c>
      <c r="BB52" s="78">
        <f t="shared" si="63"/>
        <v>0.12345237681260213</v>
      </c>
      <c r="BC52" s="78">
        <f t="shared" si="63"/>
        <v>0.12725176840450625</v>
      </c>
      <c r="BD52" s="47">
        <f t="shared" si="63"/>
        <v>0.12687363446869604</v>
      </c>
      <c r="BE52" s="47">
        <f t="shared" si="64"/>
        <v>0.10246193525064573</v>
      </c>
      <c r="BF52" s="47">
        <f t="shared" si="64"/>
        <v>0.10200428812554163</v>
      </c>
      <c r="BG52" s="47">
        <f t="shared" si="64"/>
        <v>0.1015649171529156</v>
      </c>
      <c r="BH52" s="363"/>
    </row>
    <row r="53" spans="1:60" s="262" customFormat="1" x14ac:dyDescent="0.35">
      <c r="A53" s="350" t="s">
        <v>810</v>
      </c>
      <c r="B53" s="312"/>
      <c r="C53" s="105"/>
      <c r="D53" s="105"/>
      <c r="E53" s="105"/>
      <c r="F53" s="105"/>
      <c r="G53" s="200"/>
      <c r="H53" s="200"/>
      <c r="I53" s="200"/>
      <c r="J53" s="200"/>
      <c r="K53" s="105"/>
      <c r="L53" s="200"/>
      <c r="M53" s="200"/>
      <c r="N53" s="200"/>
      <c r="O53" s="200"/>
      <c r="P53" s="105"/>
      <c r="Q53" s="200"/>
      <c r="R53" s="200"/>
      <c r="S53" s="200"/>
      <c r="T53" s="200"/>
      <c r="U53" s="105"/>
      <c r="V53" s="200"/>
      <c r="W53" s="200"/>
      <c r="X53" s="200"/>
      <c r="Y53" s="200"/>
      <c r="Z53" s="105"/>
      <c r="AA53" s="78">
        <f t="shared" si="59"/>
        <v>-4.5360824742267991E-2</v>
      </c>
      <c r="AB53" s="78">
        <f t="shared" si="59"/>
        <v>-0.11451942740286303</v>
      </c>
      <c r="AC53" s="78">
        <f t="shared" si="59"/>
        <v>0.10864745011086474</v>
      </c>
      <c r="AD53" s="78">
        <f t="shared" si="59"/>
        <v>0.12646370023419196</v>
      </c>
      <c r="AE53" s="47">
        <f t="shared" si="59"/>
        <v>1.3498920086393085E-2</v>
      </c>
      <c r="AF53" s="78">
        <f t="shared" si="59"/>
        <v>7.5593952483801186E-2</v>
      </c>
      <c r="AG53" s="78">
        <f t="shared" si="59"/>
        <v>8.5450346420323342E-2</v>
      </c>
      <c r="AH53" s="78">
        <f t="shared" si="59"/>
        <v>-5.0000000000000044E-2</v>
      </c>
      <c r="AI53" s="78">
        <f t="shared" si="59"/>
        <v>-6.2370062370061818E-3</v>
      </c>
      <c r="AJ53" s="47">
        <f t="shared" si="59"/>
        <v>2.3441662226957982E-2</v>
      </c>
      <c r="AK53" s="78">
        <f t="shared" si="60"/>
        <v>-6.8273092369477872E-2</v>
      </c>
      <c r="AL53" s="78">
        <f t="shared" si="60"/>
        <v>2.7659574468085202E-2</v>
      </c>
      <c r="AM53" s="78">
        <f t="shared" si="60"/>
        <v>-3.3684210526315761E-2</v>
      </c>
      <c r="AN53" s="78">
        <f t="shared" si="60"/>
        <v>-4.3933054393305415E-2</v>
      </c>
      <c r="AO53" s="47">
        <f t="shared" si="60"/>
        <v>-3.2795419052576769E-2</v>
      </c>
      <c r="AP53" s="78">
        <f t="shared" si="60"/>
        <v>-1.7241379310344862E-2</v>
      </c>
      <c r="AQ53" s="78">
        <f t="shared" si="60"/>
        <v>-0.36645962732919257</v>
      </c>
      <c r="AR53" s="78">
        <f t="shared" si="60"/>
        <v>0.10675381263616557</v>
      </c>
      <c r="AS53" s="78">
        <f t="shared" si="61"/>
        <v>0.22100656455142231</v>
      </c>
      <c r="AT53" s="47">
        <f t="shared" si="61"/>
        <v>-1.6146393972012896E-2</v>
      </c>
      <c r="AU53" s="759">
        <f t="shared" si="61"/>
        <v>0.11622807017543857</v>
      </c>
      <c r="AV53" s="78">
        <f t="shared" si="62"/>
        <v>0.37769607843137254</v>
      </c>
      <c r="AW53" s="78">
        <f t="shared" si="62"/>
        <v>-8.8661417322835057E-3</v>
      </c>
      <c r="AX53" s="78">
        <f t="shared" si="62"/>
        <v>-6.1403494623655908E-2</v>
      </c>
      <c r="AY53" s="47">
        <f t="shared" si="62"/>
        <v>7.101085886214431E-2</v>
      </c>
      <c r="AZ53" s="78">
        <f t="shared" si="63"/>
        <v>0.14274656188605084</v>
      </c>
      <c r="BA53" s="78">
        <f t="shared" si="63"/>
        <v>0.2886363636363638</v>
      </c>
      <c r="BB53" s="78">
        <f t="shared" si="63"/>
        <v>7.3648648648648729E-2</v>
      </c>
      <c r="BC53" s="78">
        <f t="shared" si="63"/>
        <v>9.751131221719489E-2</v>
      </c>
      <c r="BD53" s="47">
        <f t="shared" si="63"/>
        <v>0.14428992227199422</v>
      </c>
      <c r="BE53" s="47">
        <f t="shared" si="64"/>
        <v>9.331703856103446E-2</v>
      </c>
      <c r="BF53" s="47">
        <f t="shared" si="64"/>
        <v>9.1600824724133556E-2</v>
      </c>
      <c r="BG53" s="47">
        <f t="shared" si="64"/>
        <v>9.0015420445819672E-2</v>
      </c>
      <c r="BH53" s="363"/>
    </row>
    <row r="54" spans="1:60" s="262" customFormat="1" x14ac:dyDescent="0.35">
      <c r="A54" s="91" t="s">
        <v>811</v>
      </c>
      <c r="B54" s="465"/>
      <c r="C54" s="479"/>
      <c r="D54" s="479"/>
      <c r="E54" s="479"/>
      <c r="F54" s="479"/>
      <c r="G54" s="457"/>
      <c r="H54" s="457"/>
      <c r="I54" s="457"/>
      <c r="J54" s="457"/>
      <c r="K54" s="479"/>
      <c r="L54" s="457"/>
      <c r="M54" s="457"/>
      <c r="N54" s="457"/>
      <c r="O54" s="457"/>
      <c r="P54" s="479"/>
      <c r="Q54" s="457"/>
      <c r="R54" s="457"/>
      <c r="S54" s="457"/>
      <c r="T54" s="457"/>
      <c r="U54" s="479"/>
      <c r="V54" s="457"/>
      <c r="W54" s="457"/>
      <c r="X54" s="457"/>
      <c r="Y54" s="457"/>
      <c r="Z54" s="479"/>
      <c r="AA54" s="604">
        <f t="shared" si="59"/>
        <v>-4.8192771084337394E-2</v>
      </c>
      <c r="AB54" s="604">
        <f t="shared" si="59"/>
        <v>-0.2696245733788396</v>
      </c>
      <c r="AC54" s="604">
        <f t="shared" si="59"/>
        <v>-6.1538461538461764E-3</v>
      </c>
      <c r="AD54" s="604">
        <f t="shared" si="59"/>
        <v>0.20960698689956336</v>
      </c>
      <c r="AE54" s="603">
        <f t="shared" si="59"/>
        <v>-4.1058394160583989E-2</v>
      </c>
      <c r="AF54" s="604">
        <f t="shared" si="59"/>
        <v>-2.1097046413502074E-2</v>
      </c>
      <c r="AG54" s="604">
        <f t="shared" si="59"/>
        <v>0.30373831775700944</v>
      </c>
      <c r="AH54" s="604">
        <f t="shared" si="59"/>
        <v>-7.1207430340557321E-2</v>
      </c>
      <c r="AI54" s="604">
        <f t="shared" si="59"/>
        <v>-6.1371841155234641E-2</v>
      </c>
      <c r="AJ54" s="603">
        <f t="shared" si="59"/>
        <v>1.9029495718363432E-2</v>
      </c>
      <c r="AK54" s="604">
        <f t="shared" si="60"/>
        <v>1.2931034482758674E-2</v>
      </c>
      <c r="AL54" s="604">
        <f t="shared" si="60"/>
        <v>-2.1505376344086002E-2</v>
      </c>
      <c r="AM54" s="604">
        <f t="shared" si="60"/>
        <v>4.3333333333333224E-2</v>
      </c>
      <c r="AN54" s="604">
        <f t="shared" si="60"/>
        <v>0.16538461538461546</v>
      </c>
      <c r="AO54" s="603">
        <f t="shared" si="60"/>
        <v>4.948646125116718E-2</v>
      </c>
      <c r="AP54" s="604">
        <f t="shared" si="60"/>
        <v>0.14468085106382977</v>
      </c>
      <c r="AQ54" s="604">
        <f t="shared" si="60"/>
        <v>5.1282051282051322E-2</v>
      </c>
      <c r="AR54" s="604">
        <f t="shared" si="60"/>
        <v>0.14376996805111819</v>
      </c>
      <c r="AS54" s="604">
        <f t="shared" si="61"/>
        <v>0.10561056105610556</v>
      </c>
      <c r="AT54" s="603">
        <f t="shared" si="61"/>
        <v>0.11120996441281128</v>
      </c>
      <c r="AU54" s="772">
        <f t="shared" si="61"/>
        <v>7.4349442379182173E-2</v>
      </c>
      <c r="AV54" s="604">
        <f t="shared" si="62"/>
        <v>-5.3382926829268262E-2</v>
      </c>
      <c r="AW54" s="604">
        <f t="shared" si="62"/>
        <v>-0.23743016759776536</v>
      </c>
      <c r="AX54" s="604">
        <f t="shared" si="62"/>
        <v>-0.18507462686567167</v>
      </c>
      <c r="AY54" s="603">
        <f t="shared" si="62"/>
        <v>-0.11394787830264208</v>
      </c>
      <c r="AZ54" s="604">
        <f t="shared" si="63"/>
        <v>9.4646539792387463E-2</v>
      </c>
      <c r="BA54" s="604">
        <f t="shared" si="63"/>
        <v>-4.761904761904856E-3</v>
      </c>
      <c r="BB54" s="604">
        <f t="shared" si="63"/>
        <v>-0.10428571428571431</v>
      </c>
      <c r="BC54" s="604">
        <f t="shared" si="63"/>
        <v>-5.452380952380953E-2</v>
      </c>
      <c r="BD54" s="603">
        <f t="shared" si="63"/>
        <v>-1.5628613570094707E-2</v>
      </c>
      <c r="BE54" s="603">
        <f t="shared" si="64"/>
        <v>5.5558963598063116E-2</v>
      </c>
      <c r="BF54" s="603">
        <f t="shared" si="64"/>
        <v>5.5453340211677249E-2</v>
      </c>
      <c r="BG54" s="603">
        <f t="shared" si="64"/>
        <v>5.5349809039414222E-2</v>
      </c>
      <c r="BH54" s="363"/>
    </row>
    <row r="55" spans="1:60" s="225" customFormat="1" x14ac:dyDescent="0.35">
      <c r="A55" s="90" t="s">
        <v>812</v>
      </c>
      <c r="B55" s="176"/>
      <c r="C55" s="113"/>
      <c r="D55" s="113"/>
      <c r="E55" s="113"/>
      <c r="F55" s="113"/>
      <c r="G55" s="177"/>
      <c r="H55" s="177"/>
      <c r="I55" s="177"/>
      <c r="J55" s="177"/>
      <c r="K55" s="113"/>
      <c r="L55" s="177"/>
      <c r="M55" s="177"/>
      <c r="N55" s="177"/>
      <c r="O55" s="177"/>
      <c r="P55" s="113"/>
      <c r="Q55" s="177"/>
      <c r="R55" s="177"/>
      <c r="S55" s="177"/>
      <c r="T55" s="177"/>
      <c r="U55" s="113"/>
      <c r="V55" s="177"/>
      <c r="W55" s="177"/>
      <c r="X55" s="177"/>
      <c r="Y55" s="177"/>
      <c r="Z55" s="113"/>
      <c r="AA55" s="226">
        <f t="shared" ref="AA55:AY55" si="65">AA64/V64-1</f>
        <v>1.7251293847038163E-3</v>
      </c>
      <c r="AB55" s="226">
        <f t="shared" si="65"/>
        <v>0.1849201981287838</v>
      </c>
      <c r="AC55" s="226">
        <f t="shared" si="65"/>
        <v>8.2479784366576769E-2</v>
      </c>
      <c r="AD55" s="226">
        <f t="shared" si="65"/>
        <v>0.10705445544554459</v>
      </c>
      <c r="AE55" s="223">
        <f t="shared" si="65"/>
        <v>9.4634979365305183E-2</v>
      </c>
      <c r="AF55" s="226">
        <f t="shared" si="65"/>
        <v>-0.42192881745120547</v>
      </c>
      <c r="AG55" s="226">
        <f t="shared" si="65"/>
        <v>0.11518810961449133</v>
      </c>
      <c r="AH55" s="226">
        <f t="shared" si="65"/>
        <v>3.9840637450199168E-3</v>
      </c>
      <c r="AI55" s="226">
        <f t="shared" si="65"/>
        <v>-3.3538289547233591E-3</v>
      </c>
      <c r="AJ55" s="223">
        <f t="shared" si="65"/>
        <v>-6.3052522100884079E-2</v>
      </c>
      <c r="AK55" s="226">
        <f t="shared" si="65"/>
        <v>0.12810327706057589</v>
      </c>
      <c r="AL55" s="226">
        <f t="shared" si="65"/>
        <v>-0.29112869637650973</v>
      </c>
      <c r="AM55" s="226">
        <f t="shared" si="65"/>
        <v>-2.4801587301587213E-3</v>
      </c>
      <c r="AN55" s="226">
        <f t="shared" si="65"/>
        <v>-0.25687044307347162</v>
      </c>
      <c r="AO55" s="223">
        <f t="shared" si="65"/>
        <v>-0.1433328708200361</v>
      </c>
      <c r="AP55" s="226">
        <f t="shared" si="65"/>
        <v>0.46390845070422526</v>
      </c>
      <c r="AQ55" s="226">
        <f t="shared" si="65"/>
        <v>2.2326674500587451E-2</v>
      </c>
      <c r="AR55" s="226">
        <f t="shared" si="65"/>
        <v>-5.0721034311287938E-2</v>
      </c>
      <c r="AS55" s="226">
        <f>AS64/AN64-1</f>
        <v>0.39547169811320759</v>
      </c>
      <c r="AT55" s="223">
        <f>AT64/AO64-1</f>
        <v>0.15986394557823136</v>
      </c>
      <c r="AU55" s="773">
        <f t="shared" si="65"/>
        <v>0.19903788334335548</v>
      </c>
      <c r="AV55" s="226">
        <f t="shared" si="65"/>
        <v>-2.5302077701149228E-2</v>
      </c>
      <c r="AW55" s="226">
        <f t="shared" si="65"/>
        <v>6.7413079099004625E-2</v>
      </c>
      <c r="AX55" s="226">
        <f t="shared" si="65"/>
        <v>0.15741796019469989</v>
      </c>
      <c r="AY55" s="223">
        <f t="shared" si="65"/>
        <v>9.8691769473537194E-2</v>
      </c>
      <c r="AZ55" s="226">
        <f>AZ64/AU64-1</f>
        <v>0.1327713815446343</v>
      </c>
      <c r="BA55" s="226">
        <f>BA64/AV64-1</f>
        <v>0.16487669982408093</v>
      </c>
      <c r="BB55" s="226">
        <f>BB64/AW64-1</f>
        <v>3.8895724866639947E-2</v>
      </c>
      <c r="BC55" s="226">
        <f>BC64/AX64-1</f>
        <v>9.3613589089478255E-2</v>
      </c>
      <c r="BD55" s="223">
        <f>BD64/AY64-1</f>
        <v>0.10472770948031496</v>
      </c>
      <c r="BE55" s="223">
        <f>BE64/BD64-1</f>
        <v>9.2489127189243403E-2</v>
      </c>
      <c r="BF55" s="223">
        <f>BF64/BE64-1</f>
        <v>9.1849957243829161E-2</v>
      </c>
      <c r="BG55" s="223">
        <f>BG64/BF64-1</f>
        <v>9.1252110934852082E-2</v>
      </c>
      <c r="BH55" s="94"/>
    </row>
    <row r="56" spans="1:60" s="262" customFormat="1" x14ac:dyDescent="0.35">
      <c r="A56" s="311"/>
      <c r="B56" s="312"/>
      <c r="C56" s="105"/>
      <c r="D56" s="105"/>
      <c r="E56" s="105"/>
      <c r="F56" s="105"/>
      <c r="G56" s="200"/>
      <c r="H56" s="200"/>
      <c r="I56" s="200"/>
      <c r="J56" s="200"/>
      <c r="K56" s="105"/>
      <c r="L56" s="200"/>
      <c r="M56" s="200"/>
      <c r="N56" s="200"/>
      <c r="O56" s="200"/>
      <c r="P56" s="105"/>
      <c r="Q56" s="200"/>
      <c r="R56" s="200"/>
      <c r="S56" s="200"/>
      <c r="T56" s="200"/>
      <c r="U56" s="105"/>
      <c r="V56" s="200"/>
      <c r="W56" s="200"/>
      <c r="X56" s="200"/>
      <c r="Y56" s="200"/>
      <c r="Z56" s="105"/>
      <c r="AA56" s="200"/>
      <c r="AB56" s="200"/>
      <c r="AC56" s="200"/>
      <c r="AD56" s="200"/>
      <c r="AE56" s="105"/>
      <c r="AF56" s="200"/>
      <c r="AG56" s="200"/>
      <c r="AH56" s="200"/>
      <c r="AI56" s="200"/>
      <c r="AJ56" s="105"/>
      <c r="AK56" s="200"/>
      <c r="AL56" s="200"/>
      <c r="AM56" s="200"/>
      <c r="AN56" s="200"/>
      <c r="AO56" s="105"/>
      <c r="AP56" s="200"/>
      <c r="AQ56" s="200"/>
      <c r="AR56" s="200"/>
      <c r="AS56" s="200"/>
      <c r="AT56" s="105"/>
      <c r="AU56" s="761"/>
      <c r="AV56" s="200"/>
      <c r="AW56" s="200"/>
      <c r="AX56" s="200"/>
      <c r="AY56" s="105"/>
      <c r="AZ56" s="200"/>
      <c r="BA56" s="200"/>
      <c r="BB56" s="200"/>
      <c r="BC56" s="200"/>
      <c r="BD56" s="105"/>
      <c r="BE56" s="105"/>
      <c r="BF56" s="105"/>
      <c r="BG56" s="105"/>
      <c r="BH56" s="363"/>
    </row>
    <row r="57" spans="1:60" s="60" customFormat="1" x14ac:dyDescent="0.35">
      <c r="A57" s="350" t="s">
        <v>797</v>
      </c>
      <c r="B57" s="444"/>
      <c r="C57" s="445"/>
      <c r="D57" s="445"/>
      <c r="E57" s="445"/>
      <c r="F57" s="445"/>
      <c r="G57" s="446"/>
      <c r="H57" s="446"/>
      <c r="I57" s="446"/>
      <c r="J57" s="446"/>
      <c r="K57" s="445"/>
      <c r="L57" s="446"/>
      <c r="M57" s="446"/>
      <c r="N57" s="446"/>
      <c r="O57" s="446"/>
      <c r="P57" s="445"/>
      <c r="Q57" s="446"/>
      <c r="R57" s="446"/>
      <c r="S57" s="446"/>
      <c r="T57" s="446"/>
      <c r="U57" s="445"/>
      <c r="V57" s="437">
        <v>643</v>
      </c>
      <c r="W57" s="437">
        <v>717</v>
      </c>
      <c r="X57" s="437">
        <v>653</v>
      </c>
      <c r="Y57" s="437">
        <f t="shared" ref="Y57:Y63" si="66">Z57-SUM(V57,W57,X57)</f>
        <v>578</v>
      </c>
      <c r="Z57" s="436">
        <v>2591</v>
      </c>
      <c r="AA57" s="437">
        <v>664</v>
      </c>
      <c r="AB57" s="437">
        <v>619</v>
      </c>
      <c r="AC57" s="437">
        <v>728</v>
      </c>
      <c r="AD57" s="437">
        <f t="shared" ref="AD57:AD63" si="67">AE57-SUM(AA57,AB57,AC57)</f>
        <v>592</v>
      </c>
      <c r="AE57" s="436">
        <v>2603</v>
      </c>
      <c r="AF57" s="437">
        <v>771</v>
      </c>
      <c r="AG57" s="437">
        <v>1285</v>
      </c>
      <c r="AH57" s="437">
        <v>697</v>
      </c>
      <c r="AI57" s="437">
        <f t="shared" ref="AI57:AI63" si="68">AJ57-SUM(AF57,AG57,AH57)</f>
        <v>670</v>
      </c>
      <c r="AJ57" s="436">
        <v>3423</v>
      </c>
      <c r="AK57" s="437">
        <v>637</v>
      </c>
      <c r="AL57" s="437">
        <v>647</v>
      </c>
      <c r="AM57" s="437">
        <v>647</v>
      </c>
      <c r="AN57" s="437">
        <v>579</v>
      </c>
      <c r="AO57" s="436">
        <v>2510</v>
      </c>
      <c r="AP57" s="437">
        <v>726</v>
      </c>
      <c r="AQ57" s="437">
        <v>636</v>
      </c>
      <c r="AR57" s="437">
        <v>823</v>
      </c>
      <c r="AS57" s="437">
        <v>869</v>
      </c>
      <c r="AT57" s="436">
        <v>3054</v>
      </c>
      <c r="AU57" s="763">
        <v>811</v>
      </c>
      <c r="AV57" s="437">
        <f>AV142</f>
        <v>737.61519999999996</v>
      </c>
      <c r="AW57" s="437">
        <f>AW142</f>
        <v>832.07479999999987</v>
      </c>
      <c r="AX57" s="437">
        <f>AX142</f>
        <v>963.42800000000011</v>
      </c>
      <c r="AY57" s="436">
        <f t="shared" ref="AY57:AY63" si="69">SUM(AU57,AV57,AW57,AX57)</f>
        <v>3344.1179999999995</v>
      </c>
      <c r="AZ57" s="437">
        <f>AZ142</f>
        <v>903.36890000000005</v>
      </c>
      <c r="BA57" s="437">
        <f>BA142</f>
        <v>850.34012800000005</v>
      </c>
      <c r="BB57" s="437">
        <f>BB142</f>
        <v>838.38737199999991</v>
      </c>
      <c r="BC57" s="437">
        <f>BC142</f>
        <v>1066.81782</v>
      </c>
      <c r="BD57" s="436">
        <f>SUM(AZ57,BA57,BB57,BC57)</f>
        <v>3658.9142200000006</v>
      </c>
      <c r="BE57" s="436">
        <f>BE142</f>
        <v>3988.1815257800004</v>
      </c>
      <c r="BF57" s="436">
        <f>BF142</f>
        <v>4345.6175746912004</v>
      </c>
      <c r="BG57" s="436">
        <f>BG142</f>
        <v>4733.5525809736464</v>
      </c>
      <c r="BH57" s="351"/>
    </row>
    <row r="58" spans="1:60" s="60" customFormat="1" x14ac:dyDescent="0.35">
      <c r="A58" s="350" t="s">
        <v>791</v>
      </c>
      <c r="B58" s="444"/>
      <c r="C58" s="445"/>
      <c r="D58" s="445"/>
      <c r="E58" s="445"/>
      <c r="F58" s="445"/>
      <c r="G58" s="446"/>
      <c r="H58" s="446"/>
      <c r="I58" s="446"/>
      <c r="J58" s="446"/>
      <c r="K58" s="445"/>
      <c r="L58" s="446"/>
      <c r="M58" s="446"/>
      <c r="N58" s="446"/>
      <c r="O58" s="446"/>
      <c r="P58" s="445"/>
      <c r="Q58" s="446"/>
      <c r="R58" s="446"/>
      <c r="S58" s="446"/>
      <c r="T58" s="446"/>
      <c r="U58" s="445"/>
      <c r="V58" s="437">
        <v>503</v>
      </c>
      <c r="W58" s="437">
        <v>515</v>
      </c>
      <c r="X58" s="437">
        <v>598</v>
      </c>
      <c r="Y58" s="437">
        <f t="shared" si="66"/>
        <v>552</v>
      </c>
      <c r="Z58" s="436">
        <v>2168</v>
      </c>
      <c r="AA58" s="437">
        <v>569</v>
      </c>
      <c r="AB58" s="437">
        <v>1040</v>
      </c>
      <c r="AC58" s="437">
        <v>695</v>
      </c>
      <c r="AD58" s="437">
        <f t="shared" si="67"/>
        <v>682</v>
      </c>
      <c r="AE58" s="436">
        <v>2986</v>
      </c>
      <c r="AF58" s="437">
        <v>656</v>
      </c>
      <c r="AG58" s="437">
        <v>669</v>
      </c>
      <c r="AH58" s="437">
        <v>726</v>
      </c>
      <c r="AI58" s="437">
        <f t="shared" si="68"/>
        <v>598</v>
      </c>
      <c r="AJ58" s="436">
        <v>2649</v>
      </c>
      <c r="AK58" s="437">
        <v>522</v>
      </c>
      <c r="AL58" s="437">
        <v>591</v>
      </c>
      <c r="AM58" s="437">
        <v>637</v>
      </c>
      <c r="AN58" s="437">
        <v>474</v>
      </c>
      <c r="AO58" s="436">
        <v>2221</v>
      </c>
      <c r="AP58" s="437">
        <v>484</v>
      </c>
      <c r="AQ58" s="437">
        <v>382</v>
      </c>
      <c r="AR58" s="437">
        <v>552</v>
      </c>
      <c r="AS58" s="437">
        <v>511</v>
      </c>
      <c r="AT58" s="436">
        <v>1927</v>
      </c>
      <c r="AU58" s="763">
        <v>591</v>
      </c>
      <c r="AV58" s="437">
        <f>AV222</f>
        <v>433.47960000000006</v>
      </c>
      <c r="AW58" s="437">
        <f>AW222</f>
        <v>621.15120000000002</v>
      </c>
      <c r="AX58" s="437">
        <f>AX222</f>
        <v>577.13040000000001</v>
      </c>
      <c r="AY58" s="436">
        <f t="shared" si="69"/>
        <v>2222.7611999999999</v>
      </c>
      <c r="AZ58" s="437">
        <f>AZ222</f>
        <v>665.61480000000006</v>
      </c>
      <c r="BA58" s="437">
        <f>BA222</f>
        <v>490.75113600000009</v>
      </c>
      <c r="BB58" s="437">
        <f>BB222</f>
        <v>697.83379200000002</v>
      </c>
      <c r="BC58" s="437">
        <f>BC222</f>
        <v>650.57126400000004</v>
      </c>
      <c r="BD58" s="436">
        <f>SUM(AZ58,BA58,BB58,BC58)</f>
        <v>2504.7709920000002</v>
      </c>
      <c r="BE58" s="436">
        <f>BE222</f>
        <v>2761.4146751999997</v>
      </c>
      <c r="BF58" s="436">
        <f>BF222</f>
        <v>3043.0908133631992</v>
      </c>
      <c r="BG58" s="436">
        <f>BG222</f>
        <v>3352.1620797112309</v>
      </c>
      <c r="BH58" s="351"/>
    </row>
    <row r="59" spans="1:60" s="60" customFormat="1" x14ac:dyDescent="0.35">
      <c r="A59" s="350" t="s">
        <v>792</v>
      </c>
      <c r="B59" s="444"/>
      <c r="C59" s="445"/>
      <c r="D59" s="445"/>
      <c r="E59" s="445"/>
      <c r="F59" s="445"/>
      <c r="G59" s="446"/>
      <c r="H59" s="446"/>
      <c r="I59" s="446"/>
      <c r="J59" s="446"/>
      <c r="K59" s="445"/>
      <c r="L59" s="446"/>
      <c r="M59" s="446"/>
      <c r="N59" s="446"/>
      <c r="O59" s="446"/>
      <c r="P59" s="445"/>
      <c r="Q59" s="446"/>
      <c r="R59" s="446"/>
      <c r="S59" s="446"/>
      <c r="T59" s="446"/>
      <c r="U59" s="445"/>
      <c r="V59" s="437">
        <v>485</v>
      </c>
      <c r="W59" s="437">
        <v>489</v>
      </c>
      <c r="X59" s="437">
        <v>451</v>
      </c>
      <c r="Y59" s="437">
        <f t="shared" si="66"/>
        <v>427</v>
      </c>
      <c r="Z59" s="436">
        <v>1852</v>
      </c>
      <c r="AA59" s="437">
        <v>463</v>
      </c>
      <c r="AB59" s="437">
        <v>433</v>
      </c>
      <c r="AC59" s="437">
        <v>500</v>
      </c>
      <c r="AD59" s="437">
        <f t="shared" si="67"/>
        <v>481</v>
      </c>
      <c r="AE59" s="436">
        <v>1877</v>
      </c>
      <c r="AF59" s="437">
        <v>498</v>
      </c>
      <c r="AG59" s="437">
        <v>470</v>
      </c>
      <c r="AH59" s="437">
        <v>475</v>
      </c>
      <c r="AI59" s="437">
        <f t="shared" si="68"/>
        <v>478</v>
      </c>
      <c r="AJ59" s="436">
        <v>1921</v>
      </c>
      <c r="AK59" s="437">
        <v>464</v>
      </c>
      <c r="AL59" s="437">
        <v>483</v>
      </c>
      <c r="AM59" s="437">
        <v>459</v>
      </c>
      <c r="AN59" s="437">
        <v>457</v>
      </c>
      <c r="AO59" s="436">
        <v>1858</v>
      </c>
      <c r="AP59" s="437">
        <v>456</v>
      </c>
      <c r="AQ59" s="437">
        <v>306</v>
      </c>
      <c r="AR59" s="437">
        <v>508</v>
      </c>
      <c r="AS59" s="437">
        <v>558</v>
      </c>
      <c r="AT59" s="436">
        <v>1828</v>
      </c>
      <c r="AU59" s="763">
        <v>509</v>
      </c>
      <c r="AV59" s="437">
        <f>AV299</f>
        <v>421.57499999999999</v>
      </c>
      <c r="AW59" s="437">
        <f>AW299</f>
        <v>503.49599999999998</v>
      </c>
      <c r="AX59" s="437">
        <f>AX299</f>
        <v>523.73685</v>
      </c>
      <c r="AY59" s="436">
        <f t="shared" si="69"/>
        <v>1957.8078499999999</v>
      </c>
      <c r="AZ59" s="437">
        <f>AZ299</f>
        <v>581.6579999999999</v>
      </c>
      <c r="BA59" s="437">
        <f>BA299</f>
        <v>543.25687500000004</v>
      </c>
      <c r="BB59" s="437">
        <f>BB299</f>
        <v>540.57780000000002</v>
      </c>
      <c r="BC59" s="437">
        <f>BC299</f>
        <v>574.80711750000012</v>
      </c>
      <c r="BD59" s="436">
        <f>SUM(AZ59,BA59,BB59,BC59)</f>
        <v>2240.2997925</v>
      </c>
      <c r="BE59" s="436">
        <f>BE299</f>
        <v>2449.3579346249999</v>
      </c>
      <c r="BF59" s="436">
        <f>BF299</f>
        <v>2673.72114148125</v>
      </c>
      <c r="BG59" s="436">
        <f>BG299</f>
        <v>2914.3972741865618</v>
      </c>
      <c r="BH59" s="351"/>
    </row>
    <row r="60" spans="1:60" s="60" customFormat="1" x14ac:dyDescent="0.35">
      <c r="A60" s="350" t="s">
        <v>793</v>
      </c>
      <c r="B60" s="444"/>
      <c r="C60" s="445"/>
      <c r="D60" s="445"/>
      <c r="E60" s="445"/>
      <c r="F60" s="445"/>
      <c r="G60" s="446"/>
      <c r="H60" s="446"/>
      <c r="I60" s="446"/>
      <c r="J60" s="446"/>
      <c r="K60" s="445"/>
      <c r="L60" s="446"/>
      <c r="M60" s="446"/>
      <c r="N60" s="446"/>
      <c r="O60" s="446"/>
      <c r="P60" s="445"/>
      <c r="Q60" s="446"/>
      <c r="R60" s="446"/>
      <c r="S60" s="446"/>
      <c r="T60" s="446"/>
      <c r="U60" s="445"/>
      <c r="V60" s="437">
        <v>249</v>
      </c>
      <c r="W60" s="437">
        <v>293</v>
      </c>
      <c r="X60" s="437">
        <v>325</v>
      </c>
      <c r="Y60" s="437">
        <f t="shared" si="66"/>
        <v>229</v>
      </c>
      <c r="Z60" s="436">
        <v>1096</v>
      </c>
      <c r="AA60" s="437">
        <v>237</v>
      </c>
      <c r="AB60" s="437">
        <v>214</v>
      </c>
      <c r="AC60" s="437">
        <v>323</v>
      </c>
      <c r="AD60" s="437">
        <f t="shared" si="67"/>
        <v>277</v>
      </c>
      <c r="AE60" s="436">
        <v>1051</v>
      </c>
      <c r="AF60" s="437">
        <v>232</v>
      </c>
      <c r="AG60" s="437">
        <v>279</v>
      </c>
      <c r="AH60" s="437">
        <v>300</v>
      </c>
      <c r="AI60" s="437">
        <f t="shared" si="68"/>
        <v>260</v>
      </c>
      <c r="AJ60" s="436">
        <v>1071</v>
      </c>
      <c r="AK60" s="437">
        <v>235</v>
      </c>
      <c r="AL60" s="437">
        <v>273</v>
      </c>
      <c r="AM60" s="437">
        <v>313</v>
      </c>
      <c r="AN60" s="437">
        <v>303</v>
      </c>
      <c r="AO60" s="436">
        <v>1124</v>
      </c>
      <c r="AP60" s="437">
        <v>269</v>
      </c>
      <c r="AQ60" s="437">
        <v>287</v>
      </c>
      <c r="AR60" s="437">
        <v>358</v>
      </c>
      <c r="AS60" s="437">
        <v>335</v>
      </c>
      <c r="AT60" s="436">
        <v>1249</v>
      </c>
      <c r="AU60" s="763">
        <v>289</v>
      </c>
      <c r="AV60" s="437">
        <f>AV377</f>
        <v>271.67910000000001</v>
      </c>
      <c r="AW60" s="437">
        <f>AW377</f>
        <v>273</v>
      </c>
      <c r="AX60" s="437">
        <f>AX377</f>
        <v>273</v>
      </c>
      <c r="AY60" s="436">
        <f t="shared" si="69"/>
        <v>1106.6791000000001</v>
      </c>
      <c r="AZ60" s="437">
        <f>AZ377</f>
        <v>316.35284999999999</v>
      </c>
      <c r="BA60" s="437">
        <f>BA377</f>
        <v>270.38538999999997</v>
      </c>
      <c r="BB60" s="437">
        <f>BB377</f>
        <v>244.53</v>
      </c>
      <c r="BC60" s="437">
        <f>BC377</f>
        <v>258.11500000000001</v>
      </c>
      <c r="BD60" s="436">
        <f>SUM(AZ60,BA60,BB60,BC60)</f>
        <v>1089.3832399999999</v>
      </c>
      <c r="BE60" s="436">
        <f>BE377</f>
        <v>1149.9082437754998</v>
      </c>
      <c r="BF60" s="436">
        <f>BF377</f>
        <v>1213.6744968297949</v>
      </c>
      <c r="BG60" s="436">
        <f>BG377</f>
        <v>1280.8511484653311</v>
      </c>
      <c r="BH60" s="351"/>
    </row>
    <row r="61" spans="1:60" s="60" customFormat="1" x14ac:dyDescent="0.35">
      <c r="A61" s="91" t="s">
        <v>795</v>
      </c>
      <c r="B61" s="501"/>
      <c r="C61" s="502"/>
      <c r="D61" s="502"/>
      <c r="E61" s="502"/>
      <c r="F61" s="502"/>
      <c r="G61" s="463"/>
      <c r="H61" s="463"/>
      <c r="I61" s="463"/>
      <c r="J61" s="463"/>
      <c r="K61" s="502"/>
      <c r="L61" s="463"/>
      <c r="M61" s="463"/>
      <c r="N61" s="463"/>
      <c r="O61" s="463"/>
      <c r="P61" s="502"/>
      <c r="Q61" s="463"/>
      <c r="R61" s="463"/>
      <c r="S61" s="463"/>
      <c r="T61" s="463"/>
      <c r="U61" s="502"/>
      <c r="V61" s="458">
        <v>-98</v>
      </c>
      <c r="W61" s="458">
        <v>-93</v>
      </c>
      <c r="X61" s="458">
        <v>-106</v>
      </c>
      <c r="Y61" s="458">
        <f>Z61-SUM(V61,W61,X61)</f>
        <v>-98</v>
      </c>
      <c r="Z61" s="480">
        <v>-395</v>
      </c>
      <c r="AA61" s="458">
        <v>-107</v>
      </c>
      <c r="AB61" s="458">
        <v>-106</v>
      </c>
      <c r="AC61" s="458">
        <v>-130</v>
      </c>
      <c r="AD61" s="458">
        <f>AE61-SUM(AA61,AB61,AC61)</f>
        <v>-115</v>
      </c>
      <c r="AE61" s="480">
        <v>-458</v>
      </c>
      <c r="AF61" s="458">
        <v>-114</v>
      </c>
      <c r="AG61" s="458">
        <v>-102</v>
      </c>
      <c r="AH61" s="458">
        <v>-125</v>
      </c>
      <c r="AI61" s="458">
        <f>AJ61-SUM(AF61,AG61,AH61)</f>
        <v>-107</v>
      </c>
      <c r="AJ61" s="480">
        <v>-448</v>
      </c>
      <c r="AK61" s="458">
        <v>-97</v>
      </c>
      <c r="AL61" s="458">
        <v>-100</v>
      </c>
      <c r="AM61" s="458">
        <v>-111</v>
      </c>
      <c r="AN61" s="458">
        <v>-101</v>
      </c>
      <c r="AO61" s="480">
        <v>-409</v>
      </c>
      <c r="AP61" s="458">
        <v>-116</v>
      </c>
      <c r="AQ61" s="458">
        <v>-123</v>
      </c>
      <c r="AR61" s="458">
        <v>-145</v>
      </c>
      <c r="AS61" s="458">
        <v>-150</v>
      </c>
      <c r="AT61" s="480">
        <v>-534</v>
      </c>
      <c r="AU61" s="774">
        <v>-159</v>
      </c>
      <c r="AV61" s="458">
        <f>AV442</f>
        <v>-122.3652</v>
      </c>
      <c r="AW61" s="458">
        <f>AW442</f>
        <v>-139.55699999999999</v>
      </c>
      <c r="AX61" s="458">
        <f>AX442</f>
        <v>-143.33535000000001</v>
      </c>
      <c r="AY61" s="480">
        <f>SUM(AU61,AV61,AW61,AX61)</f>
        <v>-564.25755000000004</v>
      </c>
      <c r="AZ61" s="458">
        <f>AZ442</f>
        <v>-151.34332499999999</v>
      </c>
      <c r="BA61" s="458">
        <f>BA442</f>
        <v>-130.18349175</v>
      </c>
      <c r="BB61" s="458">
        <f>BB442</f>
        <v>-148.53190799999999</v>
      </c>
      <c r="BC61" s="458">
        <f>BC442</f>
        <v>-152.54807549999998</v>
      </c>
      <c r="BD61" s="480">
        <f>SUM(AZ61,BA61,BB61,BC61)</f>
        <v>-582.60680024999988</v>
      </c>
      <c r="BE61" s="480">
        <f>BE442</f>
        <v>-620.11135622625011</v>
      </c>
      <c r="BF61" s="480">
        <f>BF442</f>
        <v>-660.13474958188124</v>
      </c>
      <c r="BG61" s="480">
        <f>BG442</f>
        <v>-702.85219003245447</v>
      </c>
      <c r="BH61" s="351"/>
    </row>
    <row r="62" spans="1:60" s="69" customFormat="1" x14ac:dyDescent="0.35">
      <c r="A62" s="90" t="s">
        <v>814</v>
      </c>
      <c r="B62" s="518"/>
      <c r="C62" s="519"/>
      <c r="D62" s="519"/>
      <c r="E62" s="519"/>
      <c r="F62" s="519"/>
      <c r="G62" s="520"/>
      <c r="H62" s="520"/>
      <c r="I62" s="520"/>
      <c r="J62" s="520"/>
      <c r="K62" s="519"/>
      <c r="L62" s="520"/>
      <c r="M62" s="520"/>
      <c r="N62" s="520"/>
      <c r="O62" s="520"/>
      <c r="P62" s="519"/>
      <c r="Q62" s="520"/>
      <c r="R62" s="520"/>
      <c r="S62" s="520"/>
      <c r="T62" s="520"/>
      <c r="U62" s="519"/>
      <c r="V62" s="441">
        <f t="shared" ref="V62:AQ62" si="70">SUM(V57:V61)</f>
        <v>1782</v>
      </c>
      <c r="W62" s="441">
        <f t="shared" si="70"/>
        <v>1921</v>
      </c>
      <c r="X62" s="441">
        <f t="shared" si="70"/>
        <v>1921</v>
      </c>
      <c r="Y62" s="441">
        <f t="shared" si="70"/>
        <v>1688</v>
      </c>
      <c r="Z62" s="440">
        <f t="shared" si="70"/>
        <v>7312</v>
      </c>
      <c r="AA62" s="441">
        <f t="shared" si="70"/>
        <v>1826</v>
      </c>
      <c r="AB62" s="441">
        <f t="shared" si="70"/>
        <v>2200</v>
      </c>
      <c r="AC62" s="441">
        <f t="shared" si="70"/>
        <v>2116</v>
      </c>
      <c r="AD62" s="441">
        <f t="shared" si="70"/>
        <v>1917</v>
      </c>
      <c r="AE62" s="440">
        <f t="shared" si="70"/>
        <v>8059</v>
      </c>
      <c r="AF62" s="441">
        <f t="shared" si="70"/>
        <v>2043</v>
      </c>
      <c r="AG62" s="441">
        <f t="shared" si="70"/>
        <v>2601</v>
      </c>
      <c r="AH62" s="441">
        <f t="shared" si="70"/>
        <v>2073</v>
      </c>
      <c r="AI62" s="441">
        <f t="shared" si="70"/>
        <v>1899</v>
      </c>
      <c r="AJ62" s="440">
        <f t="shared" si="70"/>
        <v>8616</v>
      </c>
      <c r="AK62" s="441">
        <f t="shared" si="70"/>
        <v>1761</v>
      </c>
      <c r="AL62" s="441">
        <f t="shared" si="70"/>
        <v>1894</v>
      </c>
      <c r="AM62" s="441">
        <f t="shared" si="70"/>
        <v>1945</v>
      </c>
      <c r="AN62" s="441">
        <f t="shared" si="70"/>
        <v>1712</v>
      </c>
      <c r="AO62" s="440">
        <f t="shared" si="70"/>
        <v>7304</v>
      </c>
      <c r="AP62" s="441">
        <f t="shared" si="70"/>
        <v>1819</v>
      </c>
      <c r="AQ62" s="441">
        <f t="shared" si="70"/>
        <v>1488</v>
      </c>
      <c r="AR62" s="441">
        <f>SUM(AR57:AR61)</f>
        <v>2096</v>
      </c>
      <c r="AS62" s="441">
        <f>SUM(AS57:AS61)</f>
        <v>2123</v>
      </c>
      <c r="AT62" s="440">
        <f>SUM(AT57:AT61)</f>
        <v>7524</v>
      </c>
      <c r="AU62" s="762">
        <f t="shared" ref="AU62" si="71">SUM(AU57:AU61)</f>
        <v>2041</v>
      </c>
      <c r="AV62" s="441">
        <f t="shared" ref="AV62:AY62" si="72">SUM(AV57:AV61)</f>
        <v>1741.9837000000002</v>
      </c>
      <c r="AW62" s="441">
        <f t="shared" si="72"/>
        <v>2090.165</v>
      </c>
      <c r="AX62" s="441">
        <f t="shared" si="72"/>
        <v>2193.9599000000003</v>
      </c>
      <c r="AY62" s="440">
        <f t="shared" si="72"/>
        <v>8067.1085999999996</v>
      </c>
      <c r="AZ62" s="441">
        <f t="shared" ref="AZ62:BG62" si="73">SUM(AZ57:AZ61)</f>
        <v>2315.6512250000005</v>
      </c>
      <c r="BA62" s="441">
        <f t="shared" si="73"/>
        <v>2024.5500372500001</v>
      </c>
      <c r="BB62" s="441">
        <f t="shared" si="73"/>
        <v>2172.7970560000003</v>
      </c>
      <c r="BC62" s="441">
        <f t="shared" si="73"/>
        <v>2397.7631259999998</v>
      </c>
      <c r="BD62" s="440">
        <f t="shared" si="73"/>
        <v>8910.7614442499998</v>
      </c>
      <c r="BE62" s="440">
        <f t="shared" si="73"/>
        <v>9728.7510231542492</v>
      </c>
      <c r="BF62" s="440">
        <f t="shared" si="73"/>
        <v>10615.969276783564</v>
      </c>
      <c r="BG62" s="440">
        <f t="shared" si="73"/>
        <v>11578.110893304316</v>
      </c>
      <c r="BH62" s="79"/>
    </row>
    <row r="63" spans="1:60" s="60" customFormat="1" x14ac:dyDescent="0.35">
      <c r="A63" s="316" t="s">
        <v>794</v>
      </c>
      <c r="B63" s="444"/>
      <c r="C63" s="445"/>
      <c r="D63" s="445"/>
      <c r="E63" s="445"/>
      <c r="F63" s="445"/>
      <c r="G63" s="446"/>
      <c r="H63" s="446"/>
      <c r="I63" s="446"/>
      <c r="J63" s="446"/>
      <c r="K63" s="445"/>
      <c r="L63" s="446"/>
      <c r="M63" s="446"/>
      <c r="N63" s="446"/>
      <c r="O63" s="446"/>
      <c r="P63" s="445"/>
      <c r="Q63" s="446"/>
      <c r="R63" s="446"/>
      <c r="S63" s="446"/>
      <c r="T63" s="446"/>
      <c r="U63" s="445"/>
      <c r="V63" s="446">
        <v>-43</v>
      </c>
      <c r="W63" s="446">
        <v>-104</v>
      </c>
      <c r="X63" s="446">
        <v>-66</v>
      </c>
      <c r="Y63" s="446">
        <f t="shared" si="66"/>
        <v>-72</v>
      </c>
      <c r="Z63" s="445">
        <v>-285</v>
      </c>
      <c r="AA63" s="446">
        <v>-84</v>
      </c>
      <c r="AB63" s="446">
        <v>-47</v>
      </c>
      <c r="AC63" s="446">
        <v>-108</v>
      </c>
      <c r="AD63" s="446">
        <f t="shared" si="67"/>
        <v>-128</v>
      </c>
      <c r="AE63" s="445">
        <v>-367</v>
      </c>
      <c r="AF63" s="446">
        <v>-1036</v>
      </c>
      <c r="AG63" s="446">
        <v>-200</v>
      </c>
      <c r="AH63" s="446">
        <v>-57</v>
      </c>
      <c r="AI63" s="446">
        <f t="shared" si="68"/>
        <v>-116</v>
      </c>
      <c r="AJ63" s="445">
        <v>-1409</v>
      </c>
      <c r="AK63" s="446">
        <v>-625</v>
      </c>
      <c r="AL63" s="446">
        <v>-192</v>
      </c>
      <c r="AM63" s="446">
        <v>66</v>
      </c>
      <c r="AN63" s="446">
        <v>-387</v>
      </c>
      <c r="AO63" s="445">
        <v>-1130</v>
      </c>
      <c r="AP63" s="446">
        <v>-156</v>
      </c>
      <c r="AQ63" s="446">
        <v>252</v>
      </c>
      <c r="AR63" s="446">
        <v>-187</v>
      </c>
      <c r="AS63" s="446">
        <v>-274</v>
      </c>
      <c r="AT63" s="445">
        <v>-363</v>
      </c>
      <c r="AU63" s="767">
        <v>-47</v>
      </c>
      <c r="AV63" s="446">
        <f>AV421</f>
        <v>-46.009315200000003</v>
      </c>
      <c r="AW63" s="446">
        <f>AW421</f>
        <v>-52.473432000000003</v>
      </c>
      <c r="AX63" s="446">
        <f>AX421</f>
        <v>-53.89409160000001</v>
      </c>
      <c r="AY63" s="445">
        <f t="shared" si="69"/>
        <v>-199.37683880000003</v>
      </c>
      <c r="AZ63" s="446">
        <f>AZ421</f>
        <v>-56.905090200000011</v>
      </c>
      <c r="BA63" s="446">
        <f>BA421</f>
        <v>-48.948992898000007</v>
      </c>
      <c r="BB63" s="446">
        <f>BB421</f>
        <v>-55.847997407999998</v>
      </c>
      <c r="BC63" s="446">
        <f>BC421</f>
        <v>-57.358076388000001</v>
      </c>
      <c r="BD63" s="445">
        <f>SUM(AZ63,BA63,BB63,BC63)</f>
        <v>-219.06015689400002</v>
      </c>
      <c r="BE63" s="445">
        <f>BE421</f>
        <v>-233.16186994106994</v>
      </c>
      <c r="BF63" s="445">
        <f>BF421</f>
        <v>-248.21066584278725</v>
      </c>
      <c r="BG63" s="445">
        <f>BG421</f>
        <v>-264.27242345220276</v>
      </c>
      <c r="BH63" s="351"/>
    </row>
    <row r="64" spans="1:60" s="69" customFormat="1" x14ac:dyDescent="0.35">
      <c r="A64" s="89" t="s">
        <v>796</v>
      </c>
      <c r="B64" s="452"/>
      <c r="C64" s="453"/>
      <c r="D64" s="453"/>
      <c r="E64" s="453"/>
      <c r="F64" s="453"/>
      <c r="G64" s="454"/>
      <c r="H64" s="454"/>
      <c r="I64" s="454"/>
      <c r="J64" s="454"/>
      <c r="K64" s="453"/>
      <c r="L64" s="454"/>
      <c r="M64" s="454"/>
      <c r="N64" s="454"/>
      <c r="O64" s="454"/>
      <c r="P64" s="453"/>
      <c r="Q64" s="454"/>
      <c r="R64" s="454"/>
      <c r="S64" s="454"/>
      <c r="T64" s="454"/>
      <c r="U64" s="453"/>
      <c r="V64" s="439">
        <f t="shared" ref="V64:AR64" si="74">SUM(V62:V63)</f>
        <v>1739</v>
      </c>
      <c r="W64" s="439">
        <f t="shared" si="74"/>
        <v>1817</v>
      </c>
      <c r="X64" s="439">
        <f t="shared" si="74"/>
        <v>1855</v>
      </c>
      <c r="Y64" s="439">
        <f t="shared" si="74"/>
        <v>1616</v>
      </c>
      <c r="Z64" s="438">
        <f t="shared" si="74"/>
        <v>7027</v>
      </c>
      <c r="AA64" s="439">
        <f t="shared" si="74"/>
        <v>1742</v>
      </c>
      <c r="AB64" s="439">
        <f t="shared" si="74"/>
        <v>2153</v>
      </c>
      <c r="AC64" s="439">
        <f t="shared" si="74"/>
        <v>2008</v>
      </c>
      <c r="AD64" s="439">
        <f t="shared" si="74"/>
        <v>1789</v>
      </c>
      <c r="AE64" s="438">
        <f t="shared" si="74"/>
        <v>7692</v>
      </c>
      <c r="AF64" s="439">
        <f t="shared" si="74"/>
        <v>1007</v>
      </c>
      <c r="AG64" s="439">
        <f t="shared" si="74"/>
        <v>2401</v>
      </c>
      <c r="AH64" s="439">
        <f t="shared" si="74"/>
        <v>2016</v>
      </c>
      <c r="AI64" s="439">
        <f t="shared" si="74"/>
        <v>1783</v>
      </c>
      <c r="AJ64" s="438">
        <f t="shared" si="74"/>
        <v>7207</v>
      </c>
      <c r="AK64" s="439">
        <f t="shared" si="74"/>
        <v>1136</v>
      </c>
      <c r="AL64" s="439">
        <f t="shared" si="74"/>
        <v>1702</v>
      </c>
      <c r="AM64" s="439">
        <f t="shared" si="74"/>
        <v>2011</v>
      </c>
      <c r="AN64" s="439">
        <f t="shared" si="74"/>
        <v>1325</v>
      </c>
      <c r="AO64" s="438">
        <f t="shared" si="74"/>
        <v>6174</v>
      </c>
      <c r="AP64" s="439">
        <f t="shared" si="74"/>
        <v>1663</v>
      </c>
      <c r="AQ64" s="439">
        <f t="shared" si="74"/>
        <v>1740</v>
      </c>
      <c r="AR64" s="439">
        <f t="shared" si="74"/>
        <v>1909</v>
      </c>
      <c r="AS64" s="439">
        <f>SUM(AS62:AS63)</f>
        <v>1849</v>
      </c>
      <c r="AT64" s="438">
        <f>SUM(AT62:AT63)</f>
        <v>7161</v>
      </c>
      <c r="AU64" s="765">
        <f t="shared" ref="AU64" si="75">SUM(AU62:AU63)</f>
        <v>1994</v>
      </c>
      <c r="AV64" s="439">
        <f t="shared" ref="AV64:AY64" si="76">SUM(AV62:AV63)</f>
        <v>1695.9743848000003</v>
      </c>
      <c r="AW64" s="439">
        <f t="shared" si="76"/>
        <v>2037.691568</v>
      </c>
      <c r="AX64" s="439">
        <f t="shared" si="76"/>
        <v>2140.0658084000002</v>
      </c>
      <c r="AY64" s="438">
        <f t="shared" si="76"/>
        <v>7867.7317611999997</v>
      </c>
      <c r="AZ64" s="439">
        <f t="shared" ref="AZ64:BG64" si="77">SUM(AZ62:AZ63)</f>
        <v>2258.7461348000006</v>
      </c>
      <c r="BA64" s="439">
        <f t="shared" si="77"/>
        <v>1975.6010443520001</v>
      </c>
      <c r="BB64" s="439">
        <f t="shared" si="77"/>
        <v>2116.9490585920003</v>
      </c>
      <c r="BC64" s="439">
        <f t="shared" si="77"/>
        <v>2340.4050496119999</v>
      </c>
      <c r="BD64" s="438">
        <f t="shared" si="77"/>
        <v>8691.7012873559997</v>
      </c>
      <c r="BE64" s="438">
        <f t="shared" si="77"/>
        <v>9495.5891532131791</v>
      </c>
      <c r="BF64" s="438">
        <f t="shared" si="77"/>
        <v>10367.758610940777</v>
      </c>
      <c r="BG64" s="438">
        <f t="shared" si="77"/>
        <v>11313.838469852113</v>
      </c>
      <c r="BH64" s="79"/>
    </row>
    <row r="65" spans="1:60" s="345" customFormat="1" x14ac:dyDescent="0.35">
      <c r="A65" s="91" t="s">
        <v>966</v>
      </c>
      <c r="B65" s="501"/>
      <c r="C65" s="502"/>
      <c r="D65" s="502"/>
      <c r="E65" s="502"/>
      <c r="F65" s="502"/>
      <c r="G65" s="463"/>
      <c r="H65" s="463"/>
      <c r="I65" s="463"/>
      <c r="J65" s="463"/>
      <c r="K65" s="502"/>
      <c r="L65" s="463"/>
      <c r="M65" s="463"/>
      <c r="N65" s="463"/>
      <c r="O65" s="463"/>
      <c r="P65" s="502"/>
      <c r="Q65" s="463"/>
      <c r="R65" s="463"/>
      <c r="S65" s="463"/>
      <c r="T65" s="463"/>
      <c r="U65" s="502"/>
      <c r="V65" s="458">
        <f>-SUM(V749:V754)</f>
        <v>0</v>
      </c>
      <c r="W65" s="458">
        <f t="shared" ref="W65:AR65" si="78">-SUM(W749:W754)</f>
        <v>0</v>
      </c>
      <c r="X65" s="458">
        <f t="shared" si="78"/>
        <v>0</v>
      </c>
      <c r="Y65" s="458">
        <f t="shared" si="78"/>
        <v>0</v>
      </c>
      <c r="Z65" s="480">
        <f t="shared" si="78"/>
        <v>0</v>
      </c>
      <c r="AA65" s="458">
        <f t="shared" si="78"/>
        <v>0</v>
      </c>
      <c r="AB65" s="458">
        <f t="shared" si="78"/>
        <v>0</v>
      </c>
      <c r="AC65" s="458">
        <f t="shared" si="78"/>
        <v>0</v>
      </c>
      <c r="AD65" s="458">
        <f t="shared" si="78"/>
        <v>0</v>
      </c>
      <c r="AE65" s="480">
        <f t="shared" si="78"/>
        <v>0</v>
      </c>
      <c r="AF65" s="458">
        <f t="shared" si="78"/>
        <v>897</v>
      </c>
      <c r="AG65" s="458">
        <f t="shared" si="78"/>
        <v>0</v>
      </c>
      <c r="AH65" s="458">
        <f t="shared" si="78"/>
        <v>0</v>
      </c>
      <c r="AI65" s="458">
        <f t="shared" si="78"/>
        <v>0</v>
      </c>
      <c r="AJ65" s="480">
        <f t="shared" si="78"/>
        <v>897</v>
      </c>
      <c r="AK65" s="458">
        <f t="shared" si="78"/>
        <v>540</v>
      </c>
      <c r="AL65" s="458">
        <f t="shared" si="78"/>
        <v>0</v>
      </c>
      <c r="AM65" s="458">
        <f t="shared" si="78"/>
        <v>-106</v>
      </c>
      <c r="AN65" s="458">
        <f t="shared" si="78"/>
        <v>214</v>
      </c>
      <c r="AO65" s="480">
        <f t="shared" si="78"/>
        <v>648</v>
      </c>
      <c r="AP65" s="458">
        <f t="shared" si="78"/>
        <v>15</v>
      </c>
      <c r="AQ65" s="458">
        <f t="shared" si="78"/>
        <v>-332</v>
      </c>
      <c r="AR65" s="458">
        <f t="shared" si="78"/>
        <v>0</v>
      </c>
      <c r="AS65" s="458">
        <f>-SUM(AS749:AS754)</f>
        <v>0</v>
      </c>
      <c r="AT65" s="480">
        <f>-SUM(AT749:AT754)</f>
        <v>-317</v>
      </c>
      <c r="AU65" s="774">
        <f t="shared" ref="AU65" si="79">-SUM(AU749:AU754)</f>
        <v>0</v>
      </c>
      <c r="AV65" s="458">
        <f>AV143+AV223+AV300+AV378+AV422</f>
        <v>0</v>
      </c>
      <c r="AW65" s="458">
        <f>AW143+AW223+AW300+AW378+AW422</f>
        <v>0</v>
      </c>
      <c r="AX65" s="458">
        <f>AX143+AX223+AX300+AX378+AX422</f>
        <v>0</v>
      </c>
      <c r="AY65" s="480">
        <f>SUM(AU65,AV65,AW65,AX65)</f>
        <v>0</v>
      </c>
      <c r="AZ65" s="458">
        <f>AZ143+AZ223+AZ300+AZ378+AZ422</f>
        <v>0</v>
      </c>
      <c r="BA65" s="458">
        <f>BA143+BA223+BA300+BA378+BA422</f>
        <v>0</v>
      </c>
      <c r="BB65" s="458">
        <f>BB143+BB223+BB300+BB378+BB422</f>
        <v>0</v>
      </c>
      <c r="BC65" s="458">
        <f>BC143+BC223+BC300+BC378+BC422</f>
        <v>0</v>
      </c>
      <c r="BD65" s="480">
        <f>SUM(AZ65,BA65,BB65,BC65)</f>
        <v>0</v>
      </c>
      <c r="BE65" s="480">
        <f>BE143+BE223+BE300+BE378+BE422</f>
        <v>0</v>
      </c>
      <c r="BF65" s="480">
        <f>BF143+BF223+BF300+BF378+BF422</f>
        <v>0</v>
      </c>
      <c r="BG65" s="480">
        <f>BG143+BG223+BG300+BG378+BG422</f>
        <v>0</v>
      </c>
      <c r="BH65" s="351"/>
    </row>
    <row r="66" spans="1:60" s="69" customFormat="1" x14ac:dyDescent="0.35">
      <c r="A66" s="90" t="s">
        <v>967</v>
      </c>
      <c r="B66" s="518"/>
      <c r="C66" s="519"/>
      <c r="D66" s="519"/>
      <c r="E66" s="519"/>
      <c r="F66" s="519"/>
      <c r="G66" s="520"/>
      <c r="H66" s="520"/>
      <c r="I66" s="520"/>
      <c r="J66" s="520"/>
      <c r="K66" s="519"/>
      <c r="L66" s="520"/>
      <c r="M66" s="520"/>
      <c r="N66" s="520"/>
      <c r="O66" s="520"/>
      <c r="P66" s="519"/>
      <c r="Q66" s="520"/>
      <c r="R66" s="520"/>
      <c r="S66" s="520"/>
      <c r="T66" s="520"/>
      <c r="U66" s="519"/>
      <c r="V66" s="441">
        <f>SUM(V64:V65)</f>
        <v>1739</v>
      </c>
      <c r="W66" s="441">
        <f t="shared" ref="W66:AY66" si="80">SUM(W64:W65)</f>
        <v>1817</v>
      </c>
      <c r="X66" s="441">
        <f t="shared" si="80"/>
        <v>1855</v>
      </c>
      <c r="Y66" s="441">
        <f t="shared" si="80"/>
        <v>1616</v>
      </c>
      <c r="Z66" s="440">
        <f t="shared" si="80"/>
        <v>7027</v>
      </c>
      <c r="AA66" s="441">
        <f t="shared" si="80"/>
        <v>1742</v>
      </c>
      <c r="AB66" s="441">
        <f t="shared" si="80"/>
        <v>2153</v>
      </c>
      <c r="AC66" s="441">
        <f t="shared" si="80"/>
        <v>2008</v>
      </c>
      <c r="AD66" s="441">
        <f t="shared" si="80"/>
        <v>1789</v>
      </c>
      <c r="AE66" s="440">
        <f t="shared" si="80"/>
        <v>7692</v>
      </c>
      <c r="AF66" s="441">
        <f t="shared" si="80"/>
        <v>1904</v>
      </c>
      <c r="AG66" s="441">
        <f t="shared" si="80"/>
        <v>2401</v>
      </c>
      <c r="AH66" s="441">
        <f t="shared" si="80"/>
        <v>2016</v>
      </c>
      <c r="AI66" s="441">
        <f t="shared" si="80"/>
        <v>1783</v>
      </c>
      <c r="AJ66" s="440">
        <f t="shared" si="80"/>
        <v>8104</v>
      </c>
      <c r="AK66" s="441">
        <f t="shared" si="80"/>
        <v>1676</v>
      </c>
      <c r="AL66" s="441">
        <f t="shared" si="80"/>
        <v>1702</v>
      </c>
      <c r="AM66" s="441">
        <f t="shared" si="80"/>
        <v>1905</v>
      </c>
      <c r="AN66" s="441">
        <f t="shared" si="80"/>
        <v>1539</v>
      </c>
      <c r="AO66" s="440">
        <f t="shared" si="80"/>
        <v>6822</v>
      </c>
      <c r="AP66" s="441">
        <f t="shared" si="80"/>
        <v>1678</v>
      </c>
      <c r="AQ66" s="441">
        <f t="shared" si="80"/>
        <v>1408</v>
      </c>
      <c r="AR66" s="441">
        <f t="shared" si="80"/>
        <v>1909</v>
      </c>
      <c r="AS66" s="441">
        <f>SUM(AS64:AS65)</f>
        <v>1849</v>
      </c>
      <c r="AT66" s="440">
        <f>SUM(AT64:AT65)</f>
        <v>6844</v>
      </c>
      <c r="AU66" s="762">
        <f t="shared" ref="AU66" si="81">SUM(AU64:AU65)</f>
        <v>1994</v>
      </c>
      <c r="AV66" s="441">
        <f t="shared" si="80"/>
        <v>1695.9743848000003</v>
      </c>
      <c r="AW66" s="441">
        <f t="shared" si="80"/>
        <v>2037.691568</v>
      </c>
      <c r="AX66" s="441">
        <f t="shared" si="80"/>
        <v>2140.0658084000002</v>
      </c>
      <c r="AY66" s="440">
        <f t="shared" si="80"/>
        <v>7867.7317611999997</v>
      </c>
      <c r="AZ66" s="441">
        <f t="shared" ref="AZ66:BG66" si="82">SUM(AZ64:AZ65)</f>
        <v>2258.7461348000006</v>
      </c>
      <c r="BA66" s="441">
        <f t="shared" si="82"/>
        <v>1975.6010443520001</v>
      </c>
      <c r="BB66" s="441">
        <f t="shared" si="82"/>
        <v>2116.9490585920003</v>
      </c>
      <c r="BC66" s="441">
        <f t="shared" si="82"/>
        <v>2340.4050496119999</v>
      </c>
      <c r="BD66" s="440">
        <f t="shared" si="82"/>
        <v>8691.7012873559997</v>
      </c>
      <c r="BE66" s="440">
        <f t="shared" si="82"/>
        <v>9495.5891532131791</v>
      </c>
      <c r="BF66" s="440">
        <f t="shared" si="82"/>
        <v>10367.758610940777</v>
      </c>
      <c r="BG66" s="440">
        <f t="shared" si="82"/>
        <v>11313.838469852113</v>
      </c>
      <c r="BH66" s="79"/>
    </row>
    <row r="67" spans="1:60" s="69" customFormat="1" x14ac:dyDescent="0.35">
      <c r="A67" s="426"/>
      <c r="B67" s="518"/>
      <c r="C67" s="519"/>
      <c r="D67" s="519"/>
      <c r="E67" s="519"/>
      <c r="F67" s="519"/>
      <c r="G67" s="520"/>
      <c r="H67" s="520"/>
      <c r="I67" s="520"/>
      <c r="J67" s="520"/>
      <c r="K67" s="519"/>
      <c r="L67" s="520"/>
      <c r="M67" s="520"/>
      <c r="N67" s="520"/>
      <c r="O67" s="520"/>
      <c r="P67" s="519"/>
      <c r="Q67" s="520"/>
      <c r="R67" s="520"/>
      <c r="S67" s="520"/>
      <c r="T67" s="520"/>
      <c r="U67" s="519"/>
      <c r="V67" s="520"/>
      <c r="W67" s="520"/>
      <c r="X67" s="520"/>
      <c r="Y67" s="520"/>
      <c r="Z67" s="519"/>
      <c r="AA67" s="520"/>
      <c r="AB67" s="520"/>
      <c r="AC67" s="520"/>
      <c r="AD67" s="520"/>
      <c r="AE67" s="519"/>
      <c r="AF67" s="520"/>
      <c r="AG67" s="520"/>
      <c r="AH67" s="520"/>
      <c r="AI67" s="520"/>
      <c r="AJ67" s="519"/>
      <c r="AK67" s="520"/>
      <c r="AL67" s="520"/>
      <c r="AM67" s="520"/>
      <c r="AN67" s="520"/>
      <c r="AO67" s="519"/>
      <c r="AP67" s="520"/>
      <c r="AQ67" s="520"/>
      <c r="AR67" s="520"/>
      <c r="AS67" s="520"/>
      <c r="AT67" s="519"/>
      <c r="AU67" s="766"/>
      <c r="AV67" s="520"/>
      <c r="AW67" s="520"/>
      <c r="AX67" s="520"/>
      <c r="AY67" s="519"/>
      <c r="AZ67" s="520"/>
      <c r="BA67" s="520"/>
      <c r="BB67" s="520"/>
      <c r="BC67" s="520"/>
      <c r="BD67" s="519"/>
      <c r="BE67" s="519"/>
      <c r="BF67" s="519"/>
      <c r="BG67" s="519"/>
      <c r="BH67" s="79"/>
    </row>
    <row r="68" spans="1:60" s="443" customFormat="1" x14ac:dyDescent="0.35">
      <c r="A68" s="173" t="s">
        <v>815</v>
      </c>
      <c r="B68" s="447"/>
      <c r="C68" s="448"/>
      <c r="D68" s="448"/>
      <c r="E68" s="448"/>
      <c r="F68" s="448"/>
      <c r="G68" s="449"/>
      <c r="H68" s="449"/>
      <c r="I68" s="449"/>
      <c r="J68" s="449"/>
      <c r="K68" s="448"/>
      <c r="L68" s="449"/>
      <c r="M68" s="449"/>
      <c r="N68" s="449"/>
      <c r="O68" s="449"/>
      <c r="P68" s="448"/>
      <c r="Q68" s="449"/>
      <c r="R68" s="449"/>
      <c r="S68" s="449"/>
      <c r="T68" s="449"/>
      <c r="U68" s="448"/>
      <c r="V68" s="568">
        <f t="shared" ref="V68:AY68" si="83">V57/SUM(V$57:V$60)</f>
        <v>0.34202127659574466</v>
      </c>
      <c r="W68" s="568">
        <f t="shared" si="83"/>
        <v>0.35600794438927508</v>
      </c>
      <c r="X68" s="568">
        <f t="shared" si="83"/>
        <v>0.32215096201282684</v>
      </c>
      <c r="Y68" s="568">
        <f t="shared" si="83"/>
        <v>0.32362821948488241</v>
      </c>
      <c r="Z68" s="567">
        <f t="shared" si="83"/>
        <v>0.3361878811470092</v>
      </c>
      <c r="AA68" s="568">
        <f t="shared" si="83"/>
        <v>0.34350750129332641</v>
      </c>
      <c r="AB68" s="568">
        <f t="shared" si="83"/>
        <v>0.26843018213356462</v>
      </c>
      <c r="AC68" s="568">
        <f t="shared" si="83"/>
        <v>0.32413178984861979</v>
      </c>
      <c r="AD68" s="568">
        <f t="shared" si="83"/>
        <v>0.29133858267716534</v>
      </c>
      <c r="AE68" s="567">
        <f t="shared" si="83"/>
        <v>0.30562404602559584</v>
      </c>
      <c r="AF68" s="568">
        <f t="shared" si="83"/>
        <v>0.35744089012517383</v>
      </c>
      <c r="AG68" s="568">
        <f t="shared" si="83"/>
        <v>0.47539770625231226</v>
      </c>
      <c r="AH68" s="568">
        <f t="shared" si="83"/>
        <v>0.31710646041856233</v>
      </c>
      <c r="AI68" s="568">
        <f t="shared" si="83"/>
        <v>0.33399800598205381</v>
      </c>
      <c r="AJ68" s="567">
        <f t="shared" si="83"/>
        <v>0.37764783759929393</v>
      </c>
      <c r="AK68" s="568">
        <f t="shared" si="83"/>
        <v>0.34284176533907429</v>
      </c>
      <c r="AL68" s="568">
        <f t="shared" si="83"/>
        <v>0.32447342026078235</v>
      </c>
      <c r="AM68" s="568">
        <f t="shared" si="83"/>
        <v>0.31468871595330739</v>
      </c>
      <c r="AN68" s="568">
        <f t="shared" si="83"/>
        <v>0.31936017650303367</v>
      </c>
      <c r="AO68" s="567">
        <f t="shared" si="83"/>
        <v>0.32542460780500454</v>
      </c>
      <c r="AP68" s="568">
        <f t="shared" si="83"/>
        <v>0.37519379844961243</v>
      </c>
      <c r="AQ68" s="568">
        <f t="shared" si="83"/>
        <v>0.39478584729981381</v>
      </c>
      <c r="AR68" s="568">
        <f t="shared" si="83"/>
        <v>0.36724676483712626</v>
      </c>
      <c r="AS68" s="568">
        <f t="shared" ref="AS68:AT71" si="84">AS57/SUM(AS$57:AS$60)</f>
        <v>0.38231412230532336</v>
      </c>
      <c r="AT68" s="567">
        <f t="shared" si="84"/>
        <v>0.37900223380491438</v>
      </c>
      <c r="AU68" s="769">
        <f t="shared" ref="AU68" si="85">AU57/SUM(AU$57:AU$60)</f>
        <v>0.36863636363636365</v>
      </c>
      <c r="AV68" s="568">
        <f t="shared" si="83"/>
        <v>0.39564225344301157</v>
      </c>
      <c r="AW68" s="568">
        <f t="shared" si="83"/>
        <v>0.3731742342767394</v>
      </c>
      <c r="AX68" s="568">
        <f t="shared" si="83"/>
        <v>0.41219781711360604</v>
      </c>
      <c r="AY68" s="567">
        <f t="shared" si="83"/>
        <v>0.38743785652054624</v>
      </c>
      <c r="AZ68" s="568">
        <f t="shared" ref="AZ68:BG71" si="86">AZ57/SUM(AZ$57:AZ$60)</f>
        <v>0.36618196015066184</v>
      </c>
      <c r="BA68" s="568">
        <f t="shared" si="86"/>
        <v>0.39463818451585436</v>
      </c>
      <c r="BB68" s="568">
        <f t="shared" si="86"/>
        <v>0.36116698020918669</v>
      </c>
      <c r="BC68" s="568">
        <f t="shared" si="86"/>
        <v>0.41830887907818337</v>
      </c>
      <c r="BD68" s="567">
        <f t="shared" si="86"/>
        <v>0.38541791762052413</v>
      </c>
      <c r="BE68" s="567">
        <f t="shared" si="86"/>
        <v>0.38537390677126188</v>
      </c>
      <c r="BF68" s="567">
        <f t="shared" si="86"/>
        <v>0.38538289151380734</v>
      </c>
      <c r="BG68" s="567">
        <f t="shared" si="86"/>
        <v>0.38543822246288584</v>
      </c>
      <c r="BH68" s="442"/>
    </row>
    <row r="69" spans="1:60" s="443" customFormat="1" x14ac:dyDescent="0.35">
      <c r="A69" s="173" t="s">
        <v>816</v>
      </c>
      <c r="B69" s="447"/>
      <c r="C69" s="448"/>
      <c r="D69" s="448"/>
      <c r="E69" s="448"/>
      <c r="F69" s="448"/>
      <c r="G69" s="449"/>
      <c r="H69" s="449"/>
      <c r="I69" s="449"/>
      <c r="J69" s="449"/>
      <c r="K69" s="448"/>
      <c r="L69" s="449"/>
      <c r="M69" s="449"/>
      <c r="N69" s="449"/>
      <c r="O69" s="449"/>
      <c r="P69" s="448"/>
      <c r="Q69" s="449"/>
      <c r="R69" s="449"/>
      <c r="S69" s="449"/>
      <c r="T69" s="449"/>
      <c r="U69" s="448"/>
      <c r="V69" s="568">
        <f t="shared" ref="V69:AY69" si="87">V58/SUM(V$57:V$60)</f>
        <v>0.26755319148936169</v>
      </c>
      <c r="W69" s="568">
        <f t="shared" si="87"/>
        <v>0.25571002979145979</v>
      </c>
      <c r="X69" s="568">
        <f t="shared" si="87"/>
        <v>0.29501726689689195</v>
      </c>
      <c r="Y69" s="568">
        <f t="shared" si="87"/>
        <v>0.30907054871220607</v>
      </c>
      <c r="Z69" s="567">
        <f t="shared" si="87"/>
        <v>0.28130271182042299</v>
      </c>
      <c r="AA69" s="568">
        <f t="shared" si="87"/>
        <v>0.2943610967408174</v>
      </c>
      <c r="AB69" s="568">
        <f t="shared" si="87"/>
        <v>0.45099739809193407</v>
      </c>
      <c r="AC69" s="568">
        <f t="shared" si="87"/>
        <v>0.30943900267141583</v>
      </c>
      <c r="AD69" s="568">
        <f t="shared" si="87"/>
        <v>0.33562992125984253</v>
      </c>
      <c r="AE69" s="567">
        <f t="shared" si="87"/>
        <v>0.35059293178349182</v>
      </c>
      <c r="AF69" s="568">
        <f t="shared" si="87"/>
        <v>0.30412610106629578</v>
      </c>
      <c r="AG69" s="568">
        <f t="shared" si="87"/>
        <v>0.24750277469478357</v>
      </c>
      <c r="AH69" s="568">
        <f t="shared" si="87"/>
        <v>0.33030027297543219</v>
      </c>
      <c r="AI69" s="568">
        <f t="shared" si="87"/>
        <v>0.29810568295114653</v>
      </c>
      <c r="AJ69" s="567">
        <f t="shared" si="87"/>
        <v>0.29225507502206532</v>
      </c>
      <c r="AK69" s="568">
        <f t="shared" si="87"/>
        <v>0.28094725511302476</v>
      </c>
      <c r="AL69" s="568">
        <f t="shared" si="87"/>
        <v>0.29638916750250754</v>
      </c>
      <c r="AM69" s="568">
        <f t="shared" si="87"/>
        <v>0.30982490272373542</v>
      </c>
      <c r="AN69" s="568">
        <f t="shared" si="87"/>
        <v>0.26144511858797576</v>
      </c>
      <c r="AO69" s="567">
        <f t="shared" si="87"/>
        <v>0.28795539997406977</v>
      </c>
      <c r="AP69" s="568">
        <f t="shared" si="87"/>
        <v>0.25012919896640828</v>
      </c>
      <c r="AQ69" s="568">
        <f t="shared" si="87"/>
        <v>0.23711980136561142</v>
      </c>
      <c r="AR69" s="568">
        <f t="shared" si="87"/>
        <v>0.24631860776439091</v>
      </c>
      <c r="AS69" s="568">
        <f t="shared" si="84"/>
        <v>0.22481302243730752</v>
      </c>
      <c r="AT69" s="567">
        <f t="shared" si="84"/>
        <v>0.23914122611069744</v>
      </c>
      <c r="AU69" s="769">
        <f t="shared" ref="AU69" si="88">AU58/SUM(AU$57:AU$60)</f>
        <v>0.26863636363636362</v>
      </c>
      <c r="AV69" s="568">
        <f t="shared" si="87"/>
        <v>0.23250991271000832</v>
      </c>
      <c r="AW69" s="568">
        <f t="shared" si="87"/>
        <v>0.27857786755478936</v>
      </c>
      <c r="AX69" s="568">
        <f t="shared" si="87"/>
        <v>0.2469223346943438</v>
      </c>
      <c r="AY69" s="567">
        <f t="shared" si="87"/>
        <v>0.25752136583847735</v>
      </c>
      <c r="AZ69" s="568">
        <f t="shared" si="86"/>
        <v>0.26980797343066687</v>
      </c>
      <c r="BA69" s="568">
        <f t="shared" si="86"/>
        <v>0.22775490769281109</v>
      </c>
      <c r="BB69" s="568">
        <f t="shared" si="86"/>
        <v>0.30061822465590016</v>
      </c>
      <c r="BC69" s="568">
        <f t="shared" si="86"/>
        <v>0.25509485415637034</v>
      </c>
      <c r="BD69" s="567">
        <f t="shared" si="86"/>
        <v>0.26384428871714144</v>
      </c>
      <c r="BE69" s="567">
        <f t="shared" si="86"/>
        <v>0.26683267918432813</v>
      </c>
      <c r="BF69" s="567">
        <f t="shared" si="86"/>
        <v>0.26987076442784996</v>
      </c>
      <c r="BG69" s="567">
        <f t="shared" si="86"/>
        <v>0.27295596094247354</v>
      </c>
      <c r="BH69" s="442"/>
    </row>
    <row r="70" spans="1:60" s="443" customFormat="1" x14ac:dyDescent="0.35">
      <c r="A70" s="173" t="s">
        <v>817</v>
      </c>
      <c r="B70" s="447"/>
      <c r="C70" s="448"/>
      <c r="D70" s="448"/>
      <c r="E70" s="448"/>
      <c r="F70" s="448"/>
      <c r="G70" s="449"/>
      <c r="H70" s="449"/>
      <c r="I70" s="449"/>
      <c r="J70" s="449"/>
      <c r="K70" s="448"/>
      <c r="L70" s="449"/>
      <c r="M70" s="449"/>
      <c r="N70" s="449"/>
      <c r="O70" s="449"/>
      <c r="P70" s="448"/>
      <c r="Q70" s="449"/>
      <c r="R70" s="449"/>
      <c r="S70" s="449"/>
      <c r="T70" s="449"/>
      <c r="U70" s="448"/>
      <c r="V70" s="568">
        <f t="shared" ref="V70:AY70" si="89">V59/SUM(V$57:V$60)</f>
        <v>0.25797872340425532</v>
      </c>
      <c r="W70" s="568">
        <f t="shared" si="89"/>
        <v>0.24280039721946375</v>
      </c>
      <c r="X70" s="568">
        <f t="shared" si="89"/>
        <v>0.222496299950666</v>
      </c>
      <c r="Y70" s="568">
        <f t="shared" si="89"/>
        <v>0.23908174692049272</v>
      </c>
      <c r="Z70" s="567">
        <f t="shared" si="89"/>
        <v>0.24030102504216946</v>
      </c>
      <c r="AA70" s="568">
        <f t="shared" si="89"/>
        <v>0.23952405587170203</v>
      </c>
      <c r="AB70" s="568">
        <f t="shared" si="89"/>
        <v>0.18777103209019949</v>
      </c>
      <c r="AC70" s="568">
        <f t="shared" si="89"/>
        <v>0.22261798753339271</v>
      </c>
      <c r="AD70" s="568">
        <f t="shared" si="89"/>
        <v>0.23671259842519685</v>
      </c>
      <c r="AE70" s="567">
        <f t="shared" si="89"/>
        <v>0.22038276388399672</v>
      </c>
      <c r="AF70" s="568">
        <f t="shared" si="89"/>
        <v>0.23087621696801114</v>
      </c>
      <c r="AG70" s="568">
        <f t="shared" si="89"/>
        <v>0.17388087310395856</v>
      </c>
      <c r="AH70" s="568">
        <f t="shared" si="89"/>
        <v>0.21610555050045496</v>
      </c>
      <c r="AI70" s="568">
        <f t="shared" si="89"/>
        <v>0.23828514456630109</v>
      </c>
      <c r="AJ70" s="567">
        <f t="shared" si="89"/>
        <v>0.21193733451015004</v>
      </c>
      <c r="AK70" s="568">
        <f t="shared" si="89"/>
        <v>0.24973089343379978</v>
      </c>
      <c r="AL70" s="568">
        <f t="shared" si="89"/>
        <v>0.24222668004012035</v>
      </c>
      <c r="AM70" s="568">
        <f t="shared" si="89"/>
        <v>0.2232490272373541</v>
      </c>
      <c r="AN70" s="568">
        <f t="shared" si="89"/>
        <v>0.25206839492553779</v>
      </c>
      <c r="AO70" s="567">
        <f t="shared" si="89"/>
        <v>0.24089200051860496</v>
      </c>
      <c r="AP70" s="568">
        <f t="shared" si="89"/>
        <v>0.23565891472868217</v>
      </c>
      <c r="AQ70" s="568">
        <f t="shared" si="89"/>
        <v>0.18994413407821228</v>
      </c>
      <c r="AR70" s="568">
        <f t="shared" si="89"/>
        <v>0.22668451584114235</v>
      </c>
      <c r="AS70" s="568">
        <f t="shared" si="84"/>
        <v>0.2454905411350638</v>
      </c>
      <c r="AT70" s="567">
        <f t="shared" si="84"/>
        <v>0.22685529908165797</v>
      </c>
      <c r="AU70" s="769">
        <f t="shared" ref="AU70" si="90">AU59/SUM(AU$57:AU$60)</f>
        <v>0.23136363636363635</v>
      </c>
      <c r="AV70" s="568">
        <f t="shared" si="89"/>
        <v>0.22612451993293742</v>
      </c>
      <c r="AW70" s="568">
        <f t="shared" si="89"/>
        <v>0.22581111008457558</v>
      </c>
      <c r="AX70" s="568">
        <f t="shared" si="89"/>
        <v>0.22407817326458862</v>
      </c>
      <c r="AY70" s="567">
        <f t="shared" si="89"/>
        <v>0.22682479412601445</v>
      </c>
      <c r="AZ70" s="568">
        <f t="shared" si="86"/>
        <v>0.23577595661895556</v>
      </c>
      <c r="BA70" s="568">
        <f t="shared" si="86"/>
        <v>0.25212253287399417</v>
      </c>
      <c r="BB70" s="568">
        <f t="shared" si="86"/>
        <v>0.23287427520333132</v>
      </c>
      <c r="BC70" s="568">
        <f t="shared" si="86"/>
        <v>0.22538704969100226</v>
      </c>
      <c r="BD70" s="567">
        <f t="shared" si="86"/>
        <v>0.23598576762235277</v>
      </c>
      <c r="BE70" s="567">
        <f t="shared" si="86"/>
        <v>0.23667895511927975</v>
      </c>
      <c r="BF70" s="567">
        <f t="shared" si="86"/>
        <v>0.23711391232553691</v>
      </c>
      <c r="BG70" s="567">
        <f t="shared" si="86"/>
        <v>0.23731015673688619</v>
      </c>
      <c r="BH70" s="442"/>
    </row>
    <row r="71" spans="1:60" s="443" customFormat="1" x14ac:dyDescent="0.35">
      <c r="A71" s="654" t="s">
        <v>818</v>
      </c>
      <c r="B71" s="674"/>
      <c r="C71" s="731"/>
      <c r="D71" s="731"/>
      <c r="E71" s="731"/>
      <c r="F71" s="731"/>
      <c r="G71" s="675"/>
      <c r="H71" s="675"/>
      <c r="I71" s="675"/>
      <c r="J71" s="675"/>
      <c r="K71" s="731"/>
      <c r="L71" s="675"/>
      <c r="M71" s="675"/>
      <c r="N71" s="675"/>
      <c r="O71" s="675"/>
      <c r="P71" s="731"/>
      <c r="Q71" s="675"/>
      <c r="R71" s="675"/>
      <c r="S71" s="675"/>
      <c r="T71" s="675"/>
      <c r="U71" s="731"/>
      <c r="V71" s="656">
        <f t="shared" ref="V71:AY71" si="91">V60/SUM(V$57:V$60)</f>
        <v>0.13244680851063831</v>
      </c>
      <c r="W71" s="656">
        <f t="shared" si="91"/>
        <v>0.14548162859980138</v>
      </c>
      <c r="X71" s="656">
        <f t="shared" si="91"/>
        <v>0.16033547113961519</v>
      </c>
      <c r="Y71" s="656">
        <f t="shared" si="91"/>
        <v>0.1282194848824188</v>
      </c>
      <c r="Z71" s="655">
        <f t="shared" si="91"/>
        <v>0.14220838199039834</v>
      </c>
      <c r="AA71" s="656">
        <f t="shared" si="91"/>
        <v>0.12260734609415416</v>
      </c>
      <c r="AB71" s="656">
        <f t="shared" si="91"/>
        <v>9.2801387684301823E-2</v>
      </c>
      <c r="AC71" s="656">
        <f t="shared" si="91"/>
        <v>0.14381121994657167</v>
      </c>
      <c r="AD71" s="656">
        <f t="shared" si="91"/>
        <v>0.13631889763779528</v>
      </c>
      <c r="AE71" s="655">
        <f t="shared" si="91"/>
        <v>0.12340025830691558</v>
      </c>
      <c r="AF71" s="656">
        <f t="shared" si="91"/>
        <v>0.10755679184051924</v>
      </c>
      <c r="AG71" s="656">
        <f t="shared" si="91"/>
        <v>0.10321864594894561</v>
      </c>
      <c r="AH71" s="656">
        <f t="shared" si="91"/>
        <v>0.13648771610555049</v>
      </c>
      <c r="AI71" s="656">
        <f t="shared" si="91"/>
        <v>0.1296111665004985</v>
      </c>
      <c r="AJ71" s="655">
        <f t="shared" si="91"/>
        <v>0.11815975286849073</v>
      </c>
      <c r="AK71" s="656">
        <f t="shared" si="91"/>
        <v>0.12648008611410119</v>
      </c>
      <c r="AL71" s="656">
        <f t="shared" si="91"/>
        <v>0.13691073219658978</v>
      </c>
      <c r="AM71" s="656">
        <f t="shared" si="91"/>
        <v>0.1522373540856031</v>
      </c>
      <c r="AN71" s="656">
        <f t="shared" si="91"/>
        <v>0.16712630998345285</v>
      </c>
      <c r="AO71" s="655">
        <f t="shared" si="91"/>
        <v>0.14572799170232076</v>
      </c>
      <c r="AP71" s="656">
        <f t="shared" si="91"/>
        <v>0.13901808785529715</v>
      </c>
      <c r="AQ71" s="656">
        <f t="shared" si="91"/>
        <v>0.17815021725636251</v>
      </c>
      <c r="AR71" s="656">
        <f t="shared" si="91"/>
        <v>0.15975011155734048</v>
      </c>
      <c r="AS71" s="656">
        <f t="shared" si="84"/>
        <v>0.14738231412230532</v>
      </c>
      <c r="AT71" s="655">
        <f t="shared" si="84"/>
        <v>0.15500124100273022</v>
      </c>
      <c r="AU71" s="770">
        <f t="shared" ref="AU71" si="92">AU60/SUM(AU$57:AU$60)</f>
        <v>0.13136363636363638</v>
      </c>
      <c r="AV71" s="656">
        <f t="shared" si="91"/>
        <v>0.14572331391404258</v>
      </c>
      <c r="AW71" s="656">
        <f t="shared" si="91"/>
        <v>0.12243678808389567</v>
      </c>
      <c r="AX71" s="656">
        <f t="shared" si="91"/>
        <v>0.11680167492746156</v>
      </c>
      <c r="AY71" s="655">
        <f t="shared" si="91"/>
        <v>0.12821598351496188</v>
      </c>
      <c r="AZ71" s="656">
        <f t="shared" si="86"/>
        <v>0.12823410979971558</v>
      </c>
      <c r="BA71" s="656">
        <f t="shared" si="86"/>
        <v>0.12548437491734041</v>
      </c>
      <c r="BB71" s="656">
        <f t="shared" si="86"/>
        <v>0.10534051993158174</v>
      </c>
      <c r="BC71" s="656">
        <f t="shared" si="86"/>
        <v>0.10120921707444418</v>
      </c>
      <c r="BD71" s="655">
        <f t="shared" si="86"/>
        <v>0.11475202603998176</v>
      </c>
      <c r="BE71" s="655">
        <f t="shared" si="86"/>
        <v>0.11111445892513021</v>
      </c>
      <c r="BF71" s="655">
        <f t="shared" si="86"/>
        <v>0.10763243173280576</v>
      </c>
      <c r="BG71" s="655">
        <f t="shared" si="86"/>
        <v>0.10429565985775445</v>
      </c>
      <c r="BH71" s="442"/>
    </row>
    <row r="72" spans="1:60" s="660" customFormat="1" x14ac:dyDescent="0.35">
      <c r="A72" s="657" t="s">
        <v>869</v>
      </c>
      <c r="B72" s="676"/>
      <c r="C72" s="732"/>
      <c r="D72" s="732"/>
      <c r="E72" s="732"/>
      <c r="F72" s="732"/>
      <c r="G72" s="677"/>
      <c r="H72" s="677"/>
      <c r="I72" s="677"/>
      <c r="J72" s="677"/>
      <c r="K72" s="732"/>
      <c r="L72" s="677"/>
      <c r="M72" s="677"/>
      <c r="N72" s="677"/>
      <c r="O72" s="677"/>
      <c r="P72" s="732"/>
      <c r="Q72" s="677"/>
      <c r="R72" s="677"/>
      <c r="S72" s="677"/>
      <c r="T72" s="677"/>
      <c r="U72" s="732"/>
      <c r="V72" s="659">
        <f>SUM(V68:V71)</f>
        <v>0.99999999999999989</v>
      </c>
      <c r="W72" s="659">
        <f t="shared" ref="W72:AY72" si="93">SUM(W68:W71)</f>
        <v>1</v>
      </c>
      <c r="X72" s="659">
        <f t="shared" si="93"/>
        <v>1</v>
      </c>
      <c r="Y72" s="659">
        <f t="shared" si="93"/>
        <v>1</v>
      </c>
      <c r="Z72" s="658">
        <f t="shared" si="93"/>
        <v>0.99999999999999989</v>
      </c>
      <c r="AA72" s="659">
        <f t="shared" si="93"/>
        <v>1</v>
      </c>
      <c r="AB72" s="659">
        <f t="shared" si="93"/>
        <v>1</v>
      </c>
      <c r="AC72" s="659">
        <f t="shared" si="93"/>
        <v>0.99999999999999989</v>
      </c>
      <c r="AD72" s="659">
        <f t="shared" si="93"/>
        <v>1</v>
      </c>
      <c r="AE72" s="658">
        <f t="shared" si="93"/>
        <v>0.99999999999999989</v>
      </c>
      <c r="AF72" s="659">
        <f t="shared" si="93"/>
        <v>1</v>
      </c>
      <c r="AG72" s="659">
        <f t="shared" si="93"/>
        <v>0.99999999999999989</v>
      </c>
      <c r="AH72" s="659">
        <f t="shared" si="93"/>
        <v>1</v>
      </c>
      <c r="AI72" s="659">
        <f t="shared" si="93"/>
        <v>1</v>
      </c>
      <c r="AJ72" s="658">
        <f t="shared" si="93"/>
        <v>1</v>
      </c>
      <c r="AK72" s="659">
        <f t="shared" si="93"/>
        <v>1</v>
      </c>
      <c r="AL72" s="659">
        <f t="shared" si="93"/>
        <v>1</v>
      </c>
      <c r="AM72" s="659">
        <f t="shared" si="93"/>
        <v>1</v>
      </c>
      <c r="AN72" s="659">
        <f t="shared" si="93"/>
        <v>1</v>
      </c>
      <c r="AO72" s="658">
        <f t="shared" si="93"/>
        <v>1</v>
      </c>
      <c r="AP72" s="659">
        <f t="shared" si="93"/>
        <v>1</v>
      </c>
      <c r="AQ72" s="659">
        <f t="shared" si="93"/>
        <v>1</v>
      </c>
      <c r="AR72" s="659">
        <f t="shared" si="93"/>
        <v>1</v>
      </c>
      <c r="AS72" s="659">
        <f>SUM(AS68:AS71)</f>
        <v>0.99999999999999989</v>
      </c>
      <c r="AT72" s="658">
        <f>SUM(AT68:AT71)</f>
        <v>1</v>
      </c>
      <c r="AU72" s="771">
        <f t="shared" ref="AU72" si="94">SUM(AU68:AU71)</f>
        <v>0.99999999999999989</v>
      </c>
      <c r="AV72" s="659">
        <f t="shared" si="93"/>
        <v>0.99999999999999978</v>
      </c>
      <c r="AW72" s="659">
        <f t="shared" si="93"/>
        <v>1</v>
      </c>
      <c r="AX72" s="659">
        <f t="shared" si="93"/>
        <v>0.99999999999999989</v>
      </c>
      <c r="AY72" s="658">
        <f t="shared" si="93"/>
        <v>0.99999999999999989</v>
      </c>
      <c r="AZ72" s="659">
        <f t="shared" ref="AZ72:BG72" si="95">SUM(AZ68:AZ71)</f>
        <v>0.99999999999999989</v>
      </c>
      <c r="BA72" s="659">
        <f t="shared" si="95"/>
        <v>1</v>
      </c>
      <c r="BB72" s="659">
        <f t="shared" si="95"/>
        <v>1</v>
      </c>
      <c r="BC72" s="659">
        <f t="shared" si="95"/>
        <v>1</v>
      </c>
      <c r="BD72" s="658">
        <f t="shared" si="95"/>
        <v>1.0000000000000002</v>
      </c>
      <c r="BE72" s="658">
        <f t="shared" si="95"/>
        <v>0.99999999999999989</v>
      </c>
      <c r="BF72" s="658">
        <f t="shared" si="95"/>
        <v>1</v>
      </c>
      <c r="BG72" s="658">
        <f t="shared" si="95"/>
        <v>1</v>
      </c>
      <c r="BH72" s="359"/>
    </row>
    <row r="73" spans="1:60" s="262" customFormat="1" x14ac:dyDescent="0.35">
      <c r="A73" s="311"/>
      <c r="B73" s="312"/>
      <c r="C73" s="105"/>
      <c r="D73" s="105"/>
      <c r="E73" s="105"/>
      <c r="F73" s="105"/>
      <c r="G73" s="200"/>
      <c r="H73" s="200"/>
      <c r="I73" s="200"/>
      <c r="J73" s="200"/>
      <c r="K73" s="105"/>
      <c r="L73" s="200"/>
      <c r="M73" s="200"/>
      <c r="N73" s="200"/>
      <c r="O73" s="200"/>
      <c r="P73" s="105"/>
      <c r="Q73" s="200"/>
      <c r="R73" s="200"/>
      <c r="S73" s="200"/>
      <c r="T73" s="200"/>
      <c r="U73" s="105"/>
      <c r="V73" s="200"/>
      <c r="W73" s="200"/>
      <c r="X73" s="200"/>
      <c r="Y73" s="200"/>
      <c r="Z73" s="105"/>
      <c r="AA73" s="200"/>
      <c r="AB73" s="200"/>
      <c r="AC73" s="200"/>
      <c r="AD73" s="200"/>
      <c r="AE73" s="105"/>
      <c r="AF73" s="200"/>
      <c r="AG73" s="200"/>
      <c r="AH73" s="200"/>
      <c r="AI73" s="200"/>
      <c r="AJ73" s="105"/>
      <c r="AK73" s="200"/>
      <c r="AL73" s="200"/>
      <c r="AM73" s="200"/>
      <c r="AN73" s="200"/>
      <c r="AO73" s="105"/>
      <c r="AP73" s="200"/>
      <c r="AQ73" s="200"/>
      <c r="AR73" s="200"/>
      <c r="AS73" s="200"/>
      <c r="AT73" s="105"/>
      <c r="AU73" s="761"/>
      <c r="AV73" s="200"/>
      <c r="AW73" s="200"/>
      <c r="AX73" s="200"/>
      <c r="AY73" s="105"/>
      <c r="AZ73" s="200"/>
      <c r="BA73" s="200"/>
      <c r="BB73" s="200"/>
      <c r="BC73" s="200"/>
      <c r="BD73" s="105"/>
      <c r="BE73" s="105"/>
      <c r="BF73" s="105"/>
      <c r="BG73" s="105"/>
      <c r="BH73" s="363"/>
    </row>
    <row r="74" spans="1:60" s="595" customFormat="1" x14ac:dyDescent="0.35">
      <c r="A74" s="592" t="s">
        <v>800</v>
      </c>
      <c r="B74" s="678"/>
      <c r="C74" s="116"/>
      <c r="D74" s="116"/>
      <c r="E74" s="116"/>
      <c r="F74" s="116"/>
      <c r="G74" s="299"/>
      <c r="H74" s="299"/>
      <c r="I74" s="299"/>
      <c r="J74" s="299"/>
      <c r="K74" s="116"/>
      <c r="L74" s="299"/>
      <c r="M74" s="299"/>
      <c r="N74" s="299"/>
      <c r="O74" s="299"/>
      <c r="P74" s="116"/>
      <c r="Q74" s="299"/>
      <c r="R74" s="299"/>
      <c r="S74" s="299"/>
      <c r="T74" s="299"/>
      <c r="U74" s="116"/>
      <c r="V74" s="94">
        <f>V62/V42</f>
        <v>0.2405182885679579</v>
      </c>
      <c r="W74" s="94">
        <f t="shared" ref="W74:AY74" si="96">W62/W42</f>
        <v>0.25071782824327854</v>
      </c>
      <c r="X74" s="94">
        <f t="shared" si="96"/>
        <v>0.24918925930730315</v>
      </c>
      <c r="Y74" s="94">
        <f t="shared" si="96"/>
        <v>0.23031791513166872</v>
      </c>
      <c r="Z74" s="16">
        <f t="shared" si="96"/>
        <v>0.24285097479159057</v>
      </c>
      <c r="AA74" s="94">
        <f t="shared" si="96"/>
        <v>0.23760572543916722</v>
      </c>
      <c r="AB74" s="94">
        <f t="shared" si="96"/>
        <v>0.28169014084507044</v>
      </c>
      <c r="AC74" s="94">
        <f t="shared" si="96"/>
        <v>0.25893294175232501</v>
      </c>
      <c r="AD74" s="94">
        <f t="shared" si="96"/>
        <v>0.23992490613266584</v>
      </c>
      <c r="AE74" s="16">
        <f t="shared" si="96"/>
        <v>0.25457244843162652</v>
      </c>
      <c r="AF74" s="94">
        <f t="shared" si="96"/>
        <v>0.24679874365788837</v>
      </c>
      <c r="AG74" s="94">
        <f t="shared" si="96"/>
        <v>0.31001191895113228</v>
      </c>
      <c r="AH74" s="94">
        <f t="shared" si="96"/>
        <v>0.25429342492639845</v>
      </c>
      <c r="AI74" s="94">
        <f t="shared" si="96"/>
        <v>0.23901825047199496</v>
      </c>
      <c r="AJ74" s="16">
        <f t="shared" si="96"/>
        <v>0.26296352815504348</v>
      </c>
      <c r="AK74" s="94">
        <f t="shared" si="96"/>
        <v>0.22396032048836323</v>
      </c>
      <c r="AL74" s="94">
        <f t="shared" si="96"/>
        <v>0.23179537388324561</v>
      </c>
      <c r="AM74" s="94">
        <f t="shared" si="96"/>
        <v>0.24339882367663621</v>
      </c>
      <c r="AN74" s="94">
        <f t="shared" si="96"/>
        <v>0.21107138453951424</v>
      </c>
      <c r="AO74" s="16">
        <f t="shared" si="96"/>
        <v>0.22728404281802339</v>
      </c>
      <c r="AP74" s="94">
        <f t="shared" si="96"/>
        <v>0.22526315789473683</v>
      </c>
      <c r="AQ74" s="94">
        <f t="shared" si="96"/>
        <v>0.20735785953177258</v>
      </c>
      <c r="AR74" s="94">
        <f t="shared" si="96"/>
        <v>0.25101796407185628</v>
      </c>
      <c r="AS74" s="94">
        <f>AS62/AS42</f>
        <v>0.24734941162763602</v>
      </c>
      <c r="AT74" s="16">
        <f>AT62/AT42</f>
        <v>0.23378076062639822</v>
      </c>
      <c r="AU74" s="775">
        <f t="shared" ref="AU74" si="97">AU62/AU42</f>
        <v>0.23059541294768954</v>
      </c>
      <c r="AV74" s="594">
        <f t="shared" si="96"/>
        <v>0.22716926245405192</v>
      </c>
      <c r="AW74" s="594">
        <f t="shared" si="96"/>
        <v>0.23899694611170086</v>
      </c>
      <c r="AX74" s="594">
        <f t="shared" si="96"/>
        <v>0.24425236624639574</v>
      </c>
      <c r="AY74" s="593">
        <f t="shared" si="96"/>
        <v>0.23555568865345072</v>
      </c>
      <c r="AZ74" s="594">
        <f t="shared" ref="AZ74:BG74" si="98">AZ62/AZ42</f>
        <v>0.24415930633214253</v>
      </c>
      <c r="BA74" s="594">
        <f t="shared" si="98"/>
        <v>0.24816241365399622</v>
      </c>
      <c r="BB74" s="594">
        <f t="shared" si="98"/>
        <v>0.23343330004761345</v>
      </c>
      <c r="BC74" s="594">
        <f t="shared" si="98"/>
        <v>0.25082045392669139</v>
      </c>
      <c r="BD74" s="593">
        <f t="shared" si="98"/>
        <v>0.24406340899030174</v>
      </c>
      <c r="BE74" s="593">
        <f t="shared" si="98"/>
        <v>0.25035185278655869</v>
      </c>
      <c r="BF74" s="593">
        <f t="shared" si="98"/>
        <v>0.25661997821256116</v>
      </c>
      <c r="BG74" s="593">
        <f t="shared" si="98"/>
        <v>0.26286762898812338</v>
      </c>
      <c r="BH74" s="594"/>
    </row>
    <row r="75" spans="1:60" s="597" customFormat="1" x14ac:dyDescent="0.35">
      <c r="A75" s="637" t="s">
        <v>798</v>
      </c>
      <c r="B75" s="635"/>
      <c r="C75" s="163"/>
      <c r="D75" s="163"/>
      <c r="E75" s="163"/>
      <c r="F75" s="163"/>
      <c r="G75" s="164"/>
      <c r="H75" s="164"/>
      <c r="I75" s="164"/>
      <c r="J75" s="164"/>
      <c r="K75" s="163"/>
      <c r="L75" s="164"/>
      <c r="M75" s="164"/>
      <c r="N75" s="164"/>
      <c r="O75" s="164"/>
      <c r="P75" s="163"/>
      <c r="Q75" s="164"/>
      <c r="R75" s="164"/>
      <c r="S75" s="164"/>
      <c r="T75" s="164"/>
      <c r="U75" s="163"/>
      <c r="V75" s="164"/>
      <c r="W75" s="164"/>
      <c r="X75" s="164"/>
      <c r="Y75" s="164"/>
      <c r="Z75" s="163"/>
      <c r="AA75" s="573">
        <f t="shared" ref="AA75:AO75" si="99">(AA74-V74)*10000</f>
        <v>-29.125631287906796</v>
      </c>
      <c r="AB75" s="573">
        <f t="shared" si="99"/>
        <v>309.72312601791896</v>
      </c>
      <c r="AC75" s="573">
        <f t="shared" si="99"/>
        <v>97.436824450218566</v>
      </c>
      <c r="AD75" s="573">
        <f t="shared" si="99"/>
        <v>96.069910009971281</v>
      </c>
      <c r="AE75" s="638">
        <f t="shared" si="99"/>
        <v>117.21473640035951</v>
      </c>
      <c r="AF75" s="573">
        <f t="shared" si="99"/>
        <v>91.9301821872115</v>
      </c>
      <c r="AG75" s="573">
        <f t="shared" si="99"/>
        <v>283.21778106061845</v>
      </c>
      <c r="AH75" s="573">
        <f t="shared" si="99"/>
        <v>-46.395168259265596</v>
      </c>
      <c r="AI75" s="573">
        <f t="shared" si="99"/>
        <v>-9.0665566067088541</v>
      </c>
      <c r="AJ75" s="638">
        <f t="shared" si="99"/>
        <v>83.910797234169607</v>
      </c>
      <c r="AK75" s="573">
        <f t="shared" si="99"/>
        <v>-228.3842316952514</v>
      </c>
      <c r="AL75" s="573">
        <f t="shared" si="99"/>
        <v>-782.1654506788667</v>
      </c>
      <c r="AM75" s="573">
        <f t="shared" si="99"/>
        <v>-108.94601249762242</v>
      </c>
      <c r="AN75" s="573">
        <f t="shared" si="99"/>
        <v>-279.46865932480716</v>
      </c>
      <c r="AO75" s="638">
        <f t="shared" si="99"/>
        <v>-356.79485337020088</v>
      </c>
      <c r="AP75" s="573">
        <f>(AP74-AK74)*10000</f>
        <v>13.028374063736026</v>
      </c>
      <c r="AQ75" s="164">
        <f t="shared" ref="AQ75:AY75" si="100">(AQ74-AL74)*10000</f>
        <v>-244.37514351473038</v>
      </c>
      <c r="AR75" s="164">
        <f t="shared" si="100"/>
        <v>76.191403952200758</v>
      </c>
      <c r="AS75" s="573">
        <f>(AS74-AN74)*10000</f>
        <v>362.7802708812178</v>
      </c>
      <c r="AT75" s="638">
        <f>(AT74-AO74)*10000</f>
        <v>64.967178083748252</v>
      </c>
      <c r="AU75" s="776">
        <f>(AU74-AP74)*10000</f>
        <v>53.322550529527057</v>
      </c>
      <c r="AV75" s="639">
        <f t="shared" si="100"/>
        <v>198.11402922279342</v>
      </c>
      <c r="AW75" s="639">
        <f t="shared" si="100"/>
        <v>-120.21017960155422</v>
      </c>
      <c r="AX75" s="639">
        <f t="shared" si="100"/>
        <v>-30.97045381240282</v>
      </c>
      <c r="AY75" s="636">
        <f t="shared" si="100"/>
        <v>17.74928027052508</v>
      </c>
      <c r="AZ75" s="639">
        <f>(AZ74-AU74)*10000</f>
        <v>135.6389338445299</v>
      </c>
      <c r="BA75" s="639">
        <f>(BA74-AV74)*10000</f>
        <v>209.93151199944299</v>
      </c>
      <c r="BB75" s="639">
        <f>(BB74-AW74)*10000</f>
        <v>-55.636460640874077</v>
      </c>
      <c r="BC75" s="639">
        <f>(BC74-AX74)*10000</f>
        <v>65.680876802956533</v>
      </c>
      <c r="BD75" s="636">
        <f>(BD74-AY74)*10000</f>
        <v>85.077203368510155</v>
      </c>
      <c r="BE75" s="636">
        <f>(BE74-BD74)*10000</f>
        <v>62.884437962569542</v>
      </c>
      <c r="BF75" s="636">
        <f>(BF74-BE74)*10000</f>
        <v>62.681254260024687</v>
      </c>
      <c r="BG75" s="636">
        <f>(BG74-BF74)*10000</f>
        <v>62.476507755622194</v>
      </c>
      <c r="BH75" s="596"/>
    </row>
    <row r="76" spans="1:60" s="602" customFormat="1" x14ac:dyDescent="0.35">
      <c r="A76" s="598" t="s">
        <v>799</v>
      </c>
      <c r="B76" s="679"/>
      <c r="C76" s="182"/>
      <c r="D76" s="182"/>
      <c r="E76" s="182"/>
      <c r="F76" s="182"/>
      <c r="G76" s="183"/>
      <c r="H76" s="183"/>
      <c r="I76" s="183"/>
      <c r="J76" s="183"/>
      <c r="K76" s="182"/>
      <c r="L76" s="183"/>
      <c r="M76" s="183"/>
      <c r="N76" s="183"/>
      <c r="O76" s="183"/>
      <c r="P76" s="182"/>
      <c r="Q76" s="183"/>
      <c r="R76" s="183"/>
      <c r="S76" s="183"/>
      <c r="T76" s="183"/>
      <c r="U76" s="182"/>
      <c r="V76" s="183"/>
      <c r="W76" s="183"/>
      <c r="X76" s="183"/>
      <c r="Y76" s="183"/>
      <c r="Z76" s="182"/>
      <c r="AA76" s="442">
        <f t="shared" ref="AA76:AY76" si="101">IFERROR((AA62-V62)/(AA42-V42),"N/A")</f>
        <v>0.15942028985507245</v>
      </c>
      <c r="AB76" s="442">
        <f t="shared" si="101"/>
        <v>1.8851351351351351</v>
      </c>
      <c r="AC76" s="442">
        <f t="shared" si="101"/>
        <v>0.42116630669546434</v>
      </c>
      <c r="AD76" s="442">
        <f t="shared" si="101"/>
        <v>0.34644478063540091</v>
      </c>
      <c r="AE76" s="623">
        <f t="shared" si="101"/>
        <v>0.48255813953488375</v>
      </c>
      <c r="AF76" s="442">
        <f t="shared" si="101"/>
        <v>0.36593591905564926</v>
      </c>
      <c r="AG76" s="442">
        <f t="shared" si="101"/>
        <v>0.69137931034482758</v>
      </c>
      <c r="AH76" s="442">
        <f t="shared" si="101"/>
        <v>2.15</v>
      </c>
      <c r="AI76" s="442">
        <f t="shared" si="101"/>
        <v>0.4</v>
      </c>
      <c r="AJ76" s="623">
        <f t="shared" si="101"/>
        <v>0.50270758122743686</v>
      </c>
      <c r="AK76" s="442">
        <f t="shared" si="101"/>
        <v>0.67951807228915662</v>
      </c>
      <c r="AL76" s="442">
        <f t="shared" si="101"/>
        <v>3.2283105022831049</v>
      </c>
      <c r="AM76" s="442">
        <f t="shared" si="101"/>
        <v>0.79503105590062106</v>
      </c>
      <c r="AN76" s="442">
        <f t="shared" si="101"/>
        <v>-1.1265060240963856</v>
      </c>
      <c r="AO76" s="623">
        <f t="shared" si="101"/>
        <v>2.0858505564387917</v>
      </c>
      <c r="AP76" s="442">
        <f t="shared" si="101"/>
        <v>0.27358490566037735</v>
      </c>
      <c r="AQ76" s="183">
        <f t="shared" si="101"/>
        <v>0.40804020100502514</v>
      </c>
      <c r="AR76" s="183">
        <f t="shared" si="101"/>
        <v>0.42061281337047352</v>
      </c>
      <c r="AS76" s="442">
        <f>IFERROR((AS62-AN62)/(AS42-AN42),"N/A")</f>
        <v>0.87076271186440679</v>
      </c>
      <c r="AT76" s="623">
        <f>IFERROR((AT62-AO62)/(AT42-AO42),"N/A")</f>
        <v>4.583333333333333</v>
      </c>
      <c r="AU76" s="777">
        <f t="shared" si="101"/>
        <v>0.28608247422680411</v>
      </c>
      <c r="AV76" s="600">
        <f t="shared" si="101"/>
        <v>0.51599714111111472</v>
      </c>
      <c r="AW76" s="600">
        <f t="shared" si="101"/>
        <v>-1.4750791259239872E-2</v>
      </c>
      <c r="AX76" s="600">
        <f t="shared" si="101"/>
        <v>0.17768911672658946</v>
      </c>
      <c r="AY76" s="601">
        <f t="shared" si="101"/>
        <v>0.2632437220201948</v>
      </c>
      <c r="AZ76" s="600">
        <f>IFERROR((AZ62-AU62)/(AZ42-AU42),"N/A")</f>
        <v>0.43376368110449193</v>
      </c>
      <c r="BA76" s="600">
        <f>IFERROR((BA62-AV62)/(BA42-AV42),"N/A")</f>
        <v>0.57672921921115938</v>
      </c>
      <c r="BB76" s="600">
        <f>IFERROR((BB62-AW62)/(BB42-AW42),"N/A")</f>
        <v>0.14692035152871544</v>
      </c>
      <c r="BC76" s="600">
        <f>IFERROR((BC62-AX62)/(BC42-AX42),"N/A")</f>
        <v>0.35300944745372803</v>
      </c>
      <c r="BD76" s="601">
        <f>IFERROR((BD62-AY62)/(BD42-AY42),"N/A")</f>
        <v>0.37282157127458876</v>
      </c>
      <c r="BE76" s="601">
        <f>IFERROR((BE62-BD62)/(BE42-BD42),"N/A")</f>
        <v>0.3480383877507181</v>
      </c>
      <c r="BF76" s="601">
        <f>IFERROR((BF62-BE62)/(BF42-BE42),"N/A")</f>
        <v>0.35373657510820566</v>
      </c>
      <c r="BG76" s="601">
        <f>IFERROR((BG62-BF62)/(BG42-BF42),"N/A")</f>
        <v>0.35941581485082486</v>
      </c>
      <c r="BH76" s="599"/>
    </row>
    <row r="77" spans="1:60" s="602" customFormat="1" x14ac:dyDescent="0.35">
      <c r="A77" s="680"/>
      <c r="B77" s="679"/>
      <c r="C77" s="182"/>
      <c r="D77" s="182"/>
      <c r="E77" s="182"/>
      <c r="F77" s="182"/>
      <c r="G77" s="183"/>
      <c r="H77" s="183"/>
      <c r="I77" s="183"/>
      <c r="J77" s="183"/>
      <c r="K77" s="182"/>
      <c r="L77" s="183"/>
      <c r="M77" s="183"/>
      <c r="N77" s="183"/>
      <c r="O77" s="183"/>
      <c r="P77" s="182"/>
      <c r="Q77" s="183"/>
      <c r="R77" s="183"/>
      <c r="S77" s="183"/>
      <c r="T77" s="183"/>
      <c r="U77" s="182"/>
      <c r="V77" s="183"/>
      <c r="W77" s="183"/>
      <c r="X77" s="183"/>
      <c r="Y77" s="183"/>
      <c r="Z77" s="182"/>
      <c r="AA77" s="183"/>
      <c r="AB77" s="183"/>
      <c r="AC77" s="183"/>
      <c r="AD77" s="183"/>
      <c r="AE77" s="182"/>
      <c r="AF77" s="183"/>
      <c r="AG77" s="183"/>
      <c r="AH77" s="183"/>
      <c r="AI77" s="183"/>
      <c r="AJ77" s="182"/>
      <c r="AK77" s="183"/>
      <c r="AL77" s="183"/>
      <c r="AM77" s="183"/>
      <c r="AN77" s="183"/>
      <c r="AO77" s="182"/>
      <c r="AP77" s="183"/>
      <c r="AQ77" s="183"/>
      <c r="AR77" s="183"/>
      <c r="AS77" s="183"/>
      <c r="AT77" s="182"/>
      <c r="AU77" s="778"/>
      <c r="AV77" s="600"/>
      <c r="AW77" s="600"/>
      <c r="AX77" s="600"/>
      <c r="AY77" s="601"/>
      <c r="AZ77" s="600"/>
      <c r="BA77" s="600"/>
      <c r="BB77" s="600"/>
      <c r="BC77" s="600"/>
      <c r="BD77" s="601"/>
      <c r="BE77" s="601"/>
      <c r="BF77" s="601"/>
      <c r="BG77" s="601"/>
      <c r="BH77" s="599"/>
    </row>
    <row r="78" spans="1:60" s="595" customFormat="1" x14ac:dyDescent="0.35">
      <c r="A78" s="592" t="s">
        <v>803</v>
      </c>
      <c r="B78" s="678"/>
      <c r="C78" s="116"/>
      <c r="D78" s="116"/>
      <c r="E78" s="116"/>
      <c r="F78" s="116"/>
      <c r="G78" s="299"/>
      <c r="H78" s="299"/>
      <c r="I78" s="299"/>
      <c r="J78" s="299"/>
      <c r="K78" s="116"/>
      <c r="L78" s="299"/>
      <c r="M78" s="299"/>
      <c r="N78" s="299"/>
      <c r="O78" s="299"/>
      <c r="P78" s="116"/>
      <c r="Q78" s="299"/>
      <c r="R78" s="299"/>
      <c r="S78" s="299"/>
      <c r="T78" s="299"/>
      <c r="U78" s="116"/>
      <c r="V78" s="94">
        <f t="shared" ref="V78:AY78" si="102">V64/V42</f>
        <v>0.23471453637467946</v>
      </c>
      <c r="W78" s="94">
        <f t="shared" si="102"/>
        <v>0.23714434873401199</v>
      </c>
      <c r="X78" s="94">
        <f t="shared" si="102"/>
        <v>0.24062783759242443</v>
      </c>
      <c r="Y78" s="94">
        <f t="shared" si="102"/>
        <v>0.22049392823031791</v>
      </c>
      <c r="Z78" s="16">
        <f t="shared" si="102"/>
        <v>0.23338536650171046</v>
      </c>
      <c r="AA78" s="94">
        <f t="shared" si="102"/>
        <v>0.22667534157449576</v>
      </c>
      <c r="AB78" s="94">
        <f t="shared" si="102"/>
        <v>0.27567221510883483</v>
      </c>
      <c r="AC78" s="94">
        <f t="shared" si="102"/>
        <v>0.24571708272148801</v>
      </c>
      <c r="AD78" s="94">
        <f t="shared" si="102"/>
        <v>0.22390488110137671</v>
      </c>
      <c r="AE78" s="16">
        <f t="shared" si="102"/>
        <v>0.24297943582777901</v>
      </c>
      <c r="AF78" s="94">
        <f t="shared" si="102"/>
        <v>0.1216477410002416</v>
      </c>
      <c r="AG78" s="94">
        <f t="shared" si="102"/>
        <v>0.28617401668653158</v>
      </c>
      <c r="AH78" s="94">
        <f t="shared" si="102"/>
        <v>0.24730127576054955</v>
      </c>
      <c r="AI78" s="94">
        <f t="shared" si="102"/>
        <v>0.22441787287602266</v>
      </c>
      <c r="AJ78" s="16">
        <f t="shared" si="102"/>
        <v>0.21996032351594688</v>
      </c>
      <c r="AK78" s="94">
        <f t="shared" si="102"/>
        <v>0.14447411929289075</v>
      </c>
      <c r="AL78" s="94">
        <f t="shared" si="102"/>
        <v>0.20829763798800635</v>
      </c>
      <c r="AM78" s="94">
        <f t="shared" si="102"/>
        <v>0.25165811537980226</v>
      </c>
      <c r="AN78" s="94">
        <f t="shared" si="102"/>
        <v>0.16335840216989272</v>
      </c>
      <c r="AO78" s="16">
        <f t="shared" si="102"/>
        <v>0.19212098581030621</v>
      </c>
      <c r="AP78" s="94">
        <f t="shared" si="102"/>
        <v>0.20594427244582042</v>
      </c>
      <c r="AQ78" s="94">
        <f t="shared" si="102"/>
        <v>0.24247491638795987</v>
      </c>
      <c r="AR78" s="94">
        <f t="shared" si="102"/>
        <v>0.22862275449101796</v>
      </c>
      <c r="AS78" s="94">
        <f>AS64/AS42</f>
        <v>0.21542584178026331</v>
      </c>
      <c r="AT78" s="16">
        <f>AT64/AT42</f>
        <v>0.22250186428038776</v>
      </c>
      <c r="AU78" s="775">
        <f t="shared" ref="AU78" si="103">AU64/AU42</f>
        <v>0.22528527849960456</v>
      </c>
      <c r="AV78" s="594">
        <f t="shared" si="102"/>
        <v>0.22116926245405194</v>
      </c>
      <c r="AW78" s="594">
        <f t="shared" si="102"/>
        <v>0.23299694611170085</v>
      </c>
      <c r="AX78" s="594">
        <f t="shared" si="102"/>
        <v>0.23825236624639573</v>
      </c>
      <c r="AY78" s="593">
        <f t="shared" si="102"/>
        <v>0.22973398091480912</v>
      </c>
      <c r="AZ78" s="594">
        <f t="shared" ref="AZ78:BG78" si="104">AZ64/AZ42</f>
        <v>0.23815930633214255</v>
      </c>
      <c r="BA78" s="594">
        <f t="shared" si="104"/>
        <v>0.24216241365399624</v>
      </c>
      <c r="BB78" s="594">
        <f t="shared" si="104"/>
        <v>0.22743330004761345</v>
      </c>
      <c r="BC78" s="594">
        <f t="shared" si="104"/>
        <v>0.24482045392669138</v>
      </c>
      <c r="BD78" s="593">
        <f t="shared" si="104"/>
        <v>0.23806340899030176</v>
      </c>
      <c r="BE78" s="593">
        <f t="shared" si="104"/>
        <v>0.24435185278655866</v>
      </c>
      <c r="BF78" s="593">
        <f t="shared" si="104"/>
        <v>0.25061997821256116</v>
      </c>
      <c r="BG78" s="593">
        <f t="shared" si="104"/>
        <v>0.25686762898812343</v>
      </c>
      <c r="BH78" s="594"/>
    </row>
    <row r="79" spans="1:60" s="597" customFormat="1" x14ac:dyDescent="0.35">
      <c r="A79" s="637" t="s">
        <v>801</v>
      </c>
      <c r="B79" s="635"/>
      <c r="C79" s="163"/>
      <c r="D79" s="163"/>
      <c r="E79" s="163"/>
      <c r="F79" s="163"/>
      <c r="G79" s="164"/>
      <c r="H79" s="164"/>
      <c r="I79" s="164"/>
      <c r="J79" s="164"/>
      <c r="K79" s="163"/>
      <c r="L79" s="164"/>
      <c r="M79" s="164"/>
      <c r="N79" s="164"/>
      <c r="O79" s="164"/>
      <c r="P79" s="163"/>
      <c r="Q79" s="164"/>
      <c r="R79" s="164"/>
      <c r="S79" s="164"/>
      <c r="T79" s="164"/>
      <c r="U79" s="163"/>
      <c r="V79" s="164"/>
      <c r="W79" s="164"/>
      <c r="X79" s="164"/>
      <c r="Y79" s="164"/>
      <c r="Z79" s="163"/>
      <c r="AA79" s="573">
        <f t="shared" ref="AA79" si="105">(AA78-V78)*10000</f>
        <v>-80.391948001836965</v>
      </c>
      <c r="AB79" s="573">
        <f t="shared" ref="AB79" si="106">(AB78-W78)*10000</f>
        <v>385.27866374822833</v>
      </c>
      <c r="AC79" s="573">
        <f t="shared" ref="AC79" si="107">(AC78-X78)*10000</f>
        <v>50.892451290635854</v>
      </c>
      <c r="AD79" s="573">
        <f t="shared" ref="AD79" si="108">(AD78-Y78)*10000</f>
        <v>34.10952871058803</v>
      </c>
      <c r="AE79" s="638">
        <f t="shared" ref="AE79" si="109">(AE78-Z78)*10000</f>
        <v>95.940693260685435</v>
      </c>
      <c r="AF79" s="573">
        <f t="shared" ref="AF79" si="110">(AF78-AA78)*10000</f>
        <v>-1050.2760057425417</v>
      </c>
      <c r="AG79" s="573">
        <f t="shared" ref="AG79" si="111">(AG78-AB78)*10000</f>
        <v>105.01801577696756</v>
      </c>
      <c r="AH79" s="573">
        <f t="shared" ref="AH79" si="112">(AH78-AC78)*10000</f>
        <v>15.841930390615433</v>
      </c>
      <c r="AI79" s="573">
        <f t="shared" ref="AI79" si="113">(AI78-AD78)*10000</f>
        <v>5.1299177464594887</v>
      </c>
      <c r="AJ79" s="638">
        <f t="shared" ref="AJ79" si="114">(AJ78-AE78)*10000</f>
        <v>-230.19112311832123</v>
      </c>
      <c r="AK79" s="573">
        <f t="shared" ref="AK79" si="115">(AK78-AF78)*10000</f>
        <v>228.2637829264915</v>
      </c>
      <c r="AL79" s="573">
        <f t="shared" ref="AL79" si="116">(AL78-AG78)*10000</f>
        <v>-778.7637869852523</v>
      </c>
      <c r="AM79" s="573">
        <f t="shared" ref="AM79" si="117">(AM78-AH78)*10000</f>
        <v>43.568396192527061</v>
      </c>
      <c r="AN79" s="573">
        <f t="shared" ref="AN79" si="118">(AN78-AI78)*10000</f>
        <v>-610.59470706129935</v>
      </c>
      <c r="AO79" s="638">
        <f t="shared" ref="AO79" si="119">(AO78-AJ78)*10000</f>
        <v>-278.39337705640679</v>
      </c>
      <c r="AP79" s="573">
        <f>(AP78-AK78)*10000</f>
        <v>614.70153152929663</v>
      </c>
      <c r="AQ79" s="164">
        <f t="shared" ref="AQ79" si="120">(AQ78-AL78)*10000</f>
        <v>341.77278399953519</v>
      </c>
      <c r="AR79" s="164">
        <f t="shared" ref="AR79" si="121">(AR78-AM78)*10000</f>
        <v>-230.353608887843</v>
      </c>
      <c r="AS79" s="573">
        <f>(AS78-AN78)*10000</f>
        <v>520.67439610370582</v>
      </c>
      <c r="AT79" s="638">
        <f>(AT78-AO78)*10000</f>
        <v>303.80878470081558</v>
      </c>
      <c r="AU79" s="776">
        <f>(AU78-AP78)*10000</f>
        <v>193.41006053784139</v>
      </c>
      <c r="AV79" s="639">
        <f t="shared" ref="AV79" si="122">(AV78-AQ78)*10000</f>
        <v>-213.05653933907931</v>
      </c>
      <c r="AW79" s="639">
        <f t="shared" ref="AW79" si="123">(AW78-AR78)*10000</f>
        <v>43.741916206828932</v>
      </c>
      <c r="AX79" s="639">
        <f t="shared" ref="AX79" si="124">(AX78-AS78)*10000</f>
        <v>228.26524466132426</v>
      </c>
      <c r="AY79" s="636">
        <f t="shared" ref="AY79" si="125">(AY78-AT78)*10000</f>
        <v>72.321166344213594</v>
      </c>
      <c r="AZ79" s="639">
        <f>(AZ78-AU78)*10000</f>
        <v>128.74027832537993</v>
      </c>
      <c r="BA79" s="639">
        <f>(BA78-AV78)*10000</f>
        <v>209.93151199944299</v>
      </c>
      <c r="BB79" s="639">
        <f>(BB78-AW78)*10000</f>
        <v>-55.636460640874077</v>
      </c>
      <c r="BC79" s="639">
        <f>(BC78-AX78)*10000</f>
        <v>65.680876802956533</v>
      </c>
      <c r="BD79" s="636">
        <f>(BD78-AY78)*10000</f>
        <v>83.294280754926405</v>
      </c>
      <c r="BE79" s="636">
        <f>(BE78-BD78)*10000</f>
        <v>62.884437962568981</v>
      </c>
      <c r="BF79" s="636">
        <f>(BF78-BE78)*10000</f>
        <v>62.681254260024964</v>
      </c>
      <c r="BG79" s="636">
        <f>(BG78-BF78)*10000</f>
        <v>62.476507755622748</v>
      </c>
      <c r="BH79" s="596"/>
    </row>
    <row r="80" spans="1:60" s="602" customFormat="1" x14ac:dyDescent="0.35">
      <c r="A80" s="598" t="s">
        <v>802</v>
      </c>
      <c r="B80" s="679"/>
      <c r="C80" s="182"/>
      <c r="D80" s="182"/>
      <c r="E80" s="182"/>
      <c r="F80" s="182"/>
      <c r="G80" s="183"/>
      <c r="H80" s="183"/>
      <c r="I80" s="183"/>
      <c r="J80" s="183"/>
      <c r="K80" s="182"/>
      <c r="L80" s="183"/>
      <c r="M80" s="183"/>
      <c r="N80" s="183"/>
      <c r="O80" s="183"/>
      <c r="P80" s="182"/>
      <c r="Q80" s="183"/>
      <c r="R80" s="183"/>
      <c r="S80" s="183"/>
      <c r="T80" s="183"/>
      <c r="U80" s="182"/>
      <c r="V80" s="183"/>
      <c r="W80" s="183"/>
      <c r="X80" s="183"/>
      <c r="Y80" s="183"/>
      <c r="Z80" s="182"/>
      <c r="AA80" s="442">
        <f t="shared" ref="AA80:AY80" si="126">IFERROR((AA64-V64)/(AA42-V42),"N/A")</f>
        <v>1.0869565217391304E-2</v>
      </c>
      <c r="AB80" s="442">
        <f t="shared" si="126"/>
        <v>2.2702702702702702</v>
      </c>
      <c r="AC80" s="442">
        <f t="shared" si="126"/>
        <v>0.33045356371490281</v>
      </c>
      <c r="AD80" s="442">
        <f t="shared" si="126"/>
        <v>0.26172465960665658</v>
      </c>
      <c r="AE80" s="623">
        <f t="shared" si="126"/>
        <v>0.42958656330749356</v>
      </c>
      <c r="AF80" s="442">
        <f t="shared" si="126"/>
        <v>-1.239460370994941</v>
      </c>
      <c r="AG80" s="442">
        <f t="shared" si="126"/>
        <v>0.42758620689655175</v>
      </c>
      <c r="AH80" s="442">
        <f t="shared" si="126"/>
        <v>-0.4</v>
      </c>
      <c r="AI80" s="442">
        <f t="shared" si="126"/>
        <v>0.13333333333333333</v>
      </c>
      <c r="AJ80" s="623">
        <f t="shared" si="126"/>
        <v>-0.43772563176895307</v>
      </c>
      <c r="AK80" s="442">
        <f t="shared" si="126"/>
        <v>-0.31084337349397589</v>
      </c>
      <c r="AL80" s="442">
        <f t="shared" si="126"/>
        <v>3.1917808219178081</v>
      </c>
      <c r="AM80" s="442">
        <f t="shared" si="126"/>
        <v>3.1055900621118012E-2</v>
      </c>
      <c r="AN80" s="442">
        <f t="shared" si="126"/>
        <v>-2.7590361445783134</v>
      </c>
      <c r="AO80" s="623">
        <f t="shared" si="126"/>
        <v>1.6422893481717011</v>
      </c>
      <c r="AP80" s="442">
        <f t="shared" si="126"/>
        <v>2.4858490566037736</v>
      </c>
      <c r="AQ80" s="183">
        <f t="shared" si="126"/>
        <v>-3.819095477386935E-2</v>
      </c>
      <c r="AR80" s="183">
        <f t="shared" si="126"/>
        <v>-0.28412256267409469</v>
      </c>
      <c r="AS80" s="442">
        <f>IFERROR((AS64-AN64)/(AS42-AN42),"N/A")</f>
        <v>1.1101694915254237</v>
      </c>
      <c r="AT80" s="623">
        <f>IFERROR((AT64-AO64)/(AT42-AO42),"N/A")</f>
        <v>20.5625</v>
      </c>
      <c r="AU80" s="777">
        <f t="shared" si="126"/>
        <v>0.4265463917525773</v>
      </c>
      <c r="AV80" s="600">
        <f t="shared" si="126"/>
        <v>-8.9443108273711547E-2</v>
      </c>
      <c r="AW80" s="600">
        <f t="shared" si="126"/>
        <v>0.32533032671675427</v>
      </c>
      <c r="AX80" s="600">
        <f t="shared" si="126"/>
        <v>0.7288514555954354</v>
      </c>
      <c r="AY80" s="601">
        <f t="shared" si="126"/>
        <v>0.34255156204150616</v>
      </c>
      <c r="AZ80" s="600">
        <f>IFERROR((AZ64-AU64)/(AZ42-AU42),"N/A")</f>
        <v>0.41812031964916263</v>
      </c>
      <c r="BA80" s="600">
        <f>IFERROR((BA64-AV64)/(BA42-AV42),"N/A")</f>
        <v>0.57072921921115938</v>
      </c>
      <c r="BB80" s="600">
        <f>IFERROR((BB64-AW64)/(BB42-AW42),"N/A")</f>
        <v>0.14092035152871527</v>
      </c>
      <c r="BC80" s="600">
        <f>IFERROR((BC64-AX64)/(BC42-AX42),"N/A")</f>
        <v>0.3470094474537283</v>
      </c>
      <c r="BD80" s="601">
        <f>IFERROR((BD64-AY64)/(BD42-AY42),"N/A")</f>
        <v>0.36412324751533393</v>
      </c>
      <c r="BE80" s="601">
        <f>IFERROR((BE64-BD64)/(BE42-BD42),"N/A")</f>
        <v>0.3420383877507181</v>
      </c>
      <c r="BF80" s="601">
        <f>IFERROR((BF64-BE64)/(BF42-BE42),"N/A")</f>
        <v>0.34773657510820571</v>
      </c>
      <c r="BG80" s="601">
        <f>IFERROR((BG64-BF64)/(BG42-BF42),"N/A")</f>
        <v>0.35341581485082491</v>
      </c>
      <c r="BH80" s="599"/>
    </row>
    <row r="81" spans="1:60" s="602" customFormat="1" x14ac:dyDescent="0.35">
      <c r="A81" s="680"/>
      <c r="B81" s="679"/>
      <c r="C81" s="182"/>
      <c r="D81" s="182"/>
      <c r="E81" s="182"/>
      <c r="F81" s="182"/>
      <c r="G81" s="183"/>
      <c r="H81" s="183"/>
      <c r="I81" s="183"/>
      <c r="J81" s="183"/>
      <c r="K81" s="182"/>
      <c r="L81" s="183"/>
      <c r="M81" s="183"/>
      <c r="N81" s="183"/>
      <c r="O81" s="183"/>
      <c r="P81" s="182"/>
      <c r="Q81" s="183"/>
      <c r="R81" s="183"/>
      <c r="S81" s="183"/>
      <c r="T81" s="183"/>
      <c r="U81" s="182"/>
      <c r="V81" s="183"/>
      <c r="W81" s="183"/>
      <c r="X81" s="183"/>
      <c r="Y81" s="183"/>
      <c r="Z81" s="182"/>
      <c r="AA81" s="183"/>
      <c r="AB81" s="183"/>
      <c r="AC81" s="183"/>
      <c r="AD81" s="183"/>
      <c r="AE81" s="182"/>
      <c r="AF81" s="183"/>
      <c r="AG81" s="183"/>
      <c r="AH81" s="183"/>
      <c r="AI81" s="183"/>
      <c r="AJ81" s="182"/>
      <c r="AK81" s="183"/>
      <c r="AL81" s="183"/>
      <c r="AM81" s="183"/>
      <c r="AN81" s="183"/>
      <c r="AO81" s="182"/>
      <c r="AP81" s="183"/>
      <c r="AQ81" s="183"/>
      <c r="AR81" s="183"/>
      <c r="AS81" s="183"/>
      <c r="AT81" s="182"/>
      <c r="AU81" s="778"/>
      <c r="AV81" s="600"/>
      <c r="AW81" s="600"/>
      <c r="AX81" s="600"/>
      <c r="AY81" s="601"/>
      <c r="AZ81" s="600"/>
      <c r="BA81" s="600"/>
      <c r="BB81" s="600"/>
      <c r="BC81" s="600"/>
      <c r="BD81" s="601"/>
      <c r="BE81" s="601"/>
      <c r="BF81" s="601"/>
      <c r="BG81" s="601"/>
      <c r="BH81" s="599"/>
    </row>
    <row r="82" spans="1:60" s="595" customFormat="1" x14ac:dyDescent="0.35">
      <c r="A82" s="592" t="s">
        <v>970</v>
      </c>
      <c r="B82" s="678"/>
      <c r="C82" s="116"/>
      <c r="D82" s="116"/>
      <c r="E82" s="116"/>
      <c r="F82" s="116"/>
      <c r="G82" s="299"/>
      <c r="H82" s="299"/>
      <c r="I82" s="299"/>
      <c r="J82" s="299"/>
      <c r="K82" s="116"/>
      <c r="L82" s="299"/>
      <c r="M82" s="299"/>
      <c r="N82" s="299"/>
      <c r="O82" s="299"/>
      <c r="P82" s="116"/>
      <c r="Q82" s="299"/>
      <c r="R82" s="299"/>
      <c r="S82" s="299"/>
      <c r="T82" s="299"/>
      <c r="U82" s="116"/>
      <c r="V82" s="94">
        <f t="shared" ref="V82:AY82" si="127">V66/V42</f>
        <v>0.23471453637467946</v>
      </c>
      <c r="W82" s="94">
        <f t="shared" si="127"/>
        <v>0.23714434873401199</v>
      </c>
      <c r="X82" s="94">
        <f t="shared" si="127"/>
        <v>0.24062783759242443</v>
      </c>
      <c r="Y82" s="94">
        <f t="shared" si="127"/>
        <v>0.22049392823031791</v>
      </c>
      <c r="Z82" s="16">
        <f t="shared" si="127"/>
        <v>0.23338536650171046</v>
      </c>
      <c r="AA82" s="94">
        <f t="shared" si="127"/>
        <v>0.22667534157449576</v>
      </c>
      <c r="AB82" s="94">
        <f t="shared" si="127"/>
        <v>0.27567221510883483</v>
      </c>
      <c r="AC82" s="94">
        <f t="shared" si="127"/>
        <v>0.24571708272148801</v>
      </c>
      <c r="AD82" s="94">
        <f t="shared" si="127"/>
        <v>0.22390488110137671</v>
      </c>
      <c r="AE82" s="16">
        <f t="shared" si="127"/>
        <v>0.24297943582777901</v>
      </c>
      <c r="AF82" s="94">
        <f t="shared" si="127"/>
        <v>0.23000724812756704</v>
      </c>
      <c r="AG82" s="94">
        <f t="shared" si="127"/>
        <v>0.28617401668653158</v>
      </c>
      <c r="AH82" s="94">
        <f t="shared" si="127"/>
        <v>0.24730127576054955</v>
      </c>
      <c r="AI82" s="94">
        <f t="shared" si="127"/>
        <v>0.22441787287602266</v>
      </c>
      <c r="AJ82" s="16">
        <f t="shared" si="127"/>
        <v>0.24733709751258964</v>
      </c>
      <c r="AK82" s="94">
        <f t="shared" si="127"/>
        <v>0.21315019712577896</v>
      </c>
      <c r="AL82" s="94">
        <f t="shared" si="127"/>
        <v>0.20829763798800635</v>
      </c>
      <c r="AM82" s="94">
        <f t="shared" si="127"/>
        <v>0.23839319234138406</v>
      </c>
      <c r="AN82" s="94">
        <f t="shared" si="127"/>
        <v>0.189742325237332</v>
      </c>
      <c r="AO82" s="16">
        <f t="shared" si="127"/>
        <v>0.21228528752800596</v>
      </c>
      <c r="AP82" s="94">
        <f t="shared" si="127"/>
        <v>0.20780185758513933</v>
      </c>
      <c r="AQ82" s="94">
        <f t="shared" si="127"/>
        <v>0.19620958751393533</v>
      </c>
      <c r="AR82" s="94">
        <f t="shared" si="127"/>
        <v>0.22862275449101796</v>
      </c>
      <c r="AS82" s="94">
        <f>AS66/AS42</f>
        <v>0.21542584178026331</v>
      </c>
      <c r="AT82" s="16">
        <f>AT66/AT42</f>
        <v>0.21265224956500126</v>
      </c>
      <c r="AU82" s="775">
        <f t="shared" ref="AU82" si="128">AU66/AU42</f>
        <v>0.22528527849960456</v>
      </c>
      <c r="AV82" s="594">
        <f t="shared" si="127"/>
        <v>0.22116926245405194</v>
      </c>
      <c r="AW82" s="594">
        <f t="shared" si="127"/>
        <v>0.23299694611170085</v>
      </c>
      <c r="AX82" s="594">
        <f t="shared" si="127"/>
        <v>0.23825236624639573</v>
      </c>
      <c r="AY82" s="593">
        <f t="shared" si="127"/>
        <v>0.22973398091480912</v>
      </c>
      <c r="AZ82" s="594">
        <f t="shared" ref="AZ82:BG82" si="129">AZ66/AZ42</f>
        <v>0.23815930633214255</v>
      </c>
      <c r="BA82" s="594">
        <f t="shared" si="129"/>
        <v>0.24216241365399624</v>
      </c>
      <c r="BB82" s="594">
        <f t="shared" si="129"/>
        <v>0.22743330004761345</v>
      </c>
      <c r="BC82" s="594">
        <f t="shared" si="129"/>
        <v>0.24482045392669138</v>
      </c>
      <c r="BD82" s="593">
        <f t="shared" si="129"/>
        <v>0.23806340899030176</v>
      </c>
      <c r="BE82" s="593">
        <f t="shared" si="129"/>
        <v>0.24435185278655866</v>
      </c>
      <c r="BF82" s="593">
        <f t="shared" si="129"/>
        <v>0.25061997821256116</v>
      </c>
      <c r="BG82" s="593">
        <f t="shared" si="129"/>
        <v>0.25686762898812343</v>
      </c>
      <c r="BH82" s="594"/>
    </row>
    <row r="83" spans="1:60" s="597" customFormat="1" x14ac:dyDescent="0.35">
      <c r="A83" s="637" t="s">
        <v>968</v>
      </c>
      <c r="B83" s="635"/>
      <c r="C83" s="163"/>
      <c r="D83" s="163"/>
      <c r="E83" s="163"/>
      <c r="F83" s="163"/>
      <c r="G83" s="164"/>
      <c r="H83" s="164"/>
      <c r="I83" s="164"/>
      <c r="J83" s="164"/>
      <c r="K83" s="163"/>
      <c r="L83" s="164"/>
      <c r="M83" s="164"/>
      <c r="N83" s="164"/>
      <c r="O83" s="164"/>
      <c r="P83" s="163"/>
      <c r="Q83" s="164"/>
      <c r="R83" s="164"/>
      <c r="S83" s="164"/>
      <c r="T83" s="164"/>
      <c r="U83" s="163"/>
      <c r="V83" s="164"/>
      <c r="W83" s="164"/>
      <c r="X83" s="164"/>
      <c r="Y83" s="164"/>
      <c r="Z83" s="163"/>
      <c r="AA83" s="573">
        <f t="shared" ref="AA83" si="130">(AA82-V82)*10000</f>
        <v>-80.391948001836965</v>
      </c>
      <c r="AB83" s="573">
        <f t="shared" ref="AB83" si="131">(AB82-W82)*10000</f>
        <v>385.27866374822833</v>
      </c>
      <c r="AC83" s="573">
        <f t="shared" ref="AC83" si="132">(AC82-X82)*10000</f>
        <v>50.892451290635854</v>
      </c>
      <c r="AD83" s="573">
        <f t="shared" ref="AD83" si="133">(AD82-Y82)*10000</f>
        <v>34.10952871058803</v>
      </c>
      <c r="AE83" s="638">
        <f t="shared" ref="AE83" si="134">(AE82-Z82)*10000</f>
        <v>95.940693260685435</v>
      </c>
      <c r="AF83" s="573">
        <f t="shared" ref="AF83" si="135">(AF82-AA82)*10000</f>
        <v>33.319065530712791</v>
      </c>
      <c r="AG83" s="573">
        <f t="shared" ref="AG83" si="136">(AG82-AB82)*10000</f>
        <v>105.01801577696756</v>
      </c>
      <c r="AH83" s="573">
        <f t="shared" ref="AH83" si="137">(AH82-AC82)*10000</f>
        <v>15.841930390615433</v>
      </c>
      <c r="AI83" s="573">
        <f t="shared" ref="AI83" si="138">(AI82-AD82)*10000</f>
        <v>5.1299177464594887</v>
      </c>
      <c r="AJ83" s="638">
        <f t="shared" ref="AJ83" si="139">(AJ82-AE82)*10000</f>
        <v>43.576616848106376</v>
      </c>
      <c r="AK83" s="573">
        <f t="shared" ref="AK83" si="140">(AK82-AF82)*10000</f>
        <v>-168.57051001788082</v>
      </c>
      <c r="AL83" s="573">
        <f t="shared" ref="AL83" si="141">(AL82-AG82)*10000</f>
        <v>-778.7637869852523</v>
      </c>
      <c r="AM83" s="573">
        <f t="shared" ref="AM83" si="142">(AM82-AH82)*10000</f>
        <v>-89.080834191654915</v>
      </c>
      <c r="AN83" s="573">
        <f t="shared" ref="AN83" si="143">(AN82-AI82)*10000</f>
        <v>-346.75547638690659</v>
      </c>
      <c r="AO83" s="638">
        <f t="shared" ref="AO83" si="144">(AO82-AJ82)*10000</f>
        <v>-350.51809984583684</v>
      </c>
      <c r="AP83" s="573">
        <f>(AP82-AK82)*10000</f>
        <v>-53.483395406396241</v>
      </c>
      <c r="AQ83" s="164">
        <f t="shared" ref="AQ83" si="145">(AQ82-AL82)*10000</f>
        <v>-120.88050474071022</v>
      </c>
      <c r="AR83" s="164">
        <f t="shared" ref="AR83" si="146">(AR82-AM82)*10000</f>
        <v>-97.704378503661033</v>
      </c>
      <c r="AS83" s="573">
        <f>(AS82-AN82)*10000</f>
        <v>256.83516542931301</v>
      </c>
      <c r="AT83" s="638">
        <f>(AT82-AO82)*10000</f>
        <v>3.6696203699529417</v>
      </c>
      <c r="AU83" s="776">
        <f>(AU82-AP82)*10000</f>
        <v>174.83420914465225</v>
      </c>
      <c r="AV83" s="639">
        <f t="shared" ref="AV83" si="147">(AV82-AQ82)*10000</f>
        <v>249.59674940116611</v>
      </c>
      <c r="AW83" s="639">
        <f t="shared" ref="AW83" si="148">(AW82-AR82)*10000</f>
        <v>43.741916206828932</v>
      </c>
      <c r="AX83" s="639">
        <f t="shared" ref="AX83" si="149">(AX82-AS82)*10000</f>
        <v>228.26524466132426</v>
      </c>
      <c r="AY83" s="636">
        <f t="shared" ref="AY83" si="150">(AY82-AT82)*10000</f>
        <v>170.81731349807865</v>
      </c>
      <c r="AZ83" s="639">
        <f>(AZ82-AU82)*10000</f>
        <v>128.74027832537993</v>
      </c>
      <c r="BA83" s="639">
        <f>(BA82-AV82)*10000</f>
        <v>209.93151199944299</v>
      </c>
      <c r="BB83" s="639">
        <f>(BB82-AW82)*10000</f>
        <v>-55.636460640874077</v>
      </c>
      <c r="BC83" s="639">
        <f>(BC82-AX82)*10000</f>
        <v>65.680876802956533</v>
      </c>
      <c r="BD83" s="636">
        <f>(BD82-AY82)*10000</f>
        <v>83.294280754926405</v>
      </c>
      <c r="BE83" s="636">
        <f>(BE82-BD82)*10000</f>
        <v>62.884437962568981</v>
      </c>
      <c r="BF83" s="636">
        <f>(BF82-BE82)*10000</f>
        <v>62.681254260024964</v>
      </c>
      <c r="BG83" s="636">
        <f>(BG82-BF82)*10000</f>
        <v>62.476507755622748</v>
      </c>
      <c r="BH83" s="596"/>
    </row>
    <row r="84" spans="1:60" s="602" customFormat="1" x14ac:dyDescent="0.35">
      <c r="A84" s="598" t="s">
        <v>969</v>
      </c>
      <c r="B84" s="679"/>
      <c r="C84" s="182"/>
      <c r="D84" s="182"/>
      <c r="E84" s="182"/>
      <c r="F84" s="182"/>
      <c r="G84" s="183"/>
      <c r="H84" s="183"/>
      <c r="I84" s="183"/>
      <c r="J84" s="183"/>
      <c r="K84" s="182"/>
      <c r="L84" s="183"/>
      <c r="M84" s="183"/>
      <c r="N84" s="183"/>
      <c r="O84" s="183"/>
      <c r="P84" s="182"/>
      <c r="Q84" s="183"/>
      <c r="R84" s="183"/>
      <c r="S84" s="183"/>
      <c r="T84" s="183"/>
      <c r="U84" s="182"/>
      <c r="V84" s="183"/>
      <c r="W84" s="183"/>
      <c r="X84" s="183"/>
      <c r="Y84" s="183"/>
      <c r="Z84" s="182"/>
      <c r="AA84" s="442">
        <f t="shared" ref="AA84:AY84" si="151">IFERROR((AA66-V66)/(AA42-V42),"N/A")</f>
        <v>1.0869565217391304E-2</v>
      </c>
      <c r="AB84" s="442">
        <f t="shared" si="151"/>
        <v>2.2702702702702702</v>
      </c>
      <c r="AC84" s="442">
        <f t="shared" si="151"/>
        <v>0.33045356371490281</v>
      </c>
      <c r="AD84" s="442">
        <f t="shared" si="151"/>
        <v>0.26172465960665658</v>
      </c>
      <c r="AE84" s="623">
        <f t="shared" si="151"/>
        <v>0.42958656330749356</v>
      </c>
      <c r="AF84" s="442">
        <f t="shared" si="151"/>
        <v>0.27318718381112983</v>
      </c>
      <c r="AG84" s="442">
        <f t="shared" si="151"/>
        <v>0.42758620689655175</v>
      </c>
      <c r="AH84" s="442">
        <f t="shared" si="151"/>
        <v>-0.4</v>
      </c>
      <c r="AI84" s="442">
        <f t="shared" si="151"/>
        <v>0.13333333333333333</v>
      </c>
      <c r="AJ84" s="623">
        <f t="shared" si="151"/>
        <v>0.37184115523465705</v>
      </c>
      <c r="AK84" s="442">
        <f t="shared" si="151"/>
        <v>0.54939759036144575</v>
      </c>
      <c r="AL84" s="442">
        <f t="shared" si="151"/>
        <v>3.1917808219178081</v>
      </c>
      <c r="AM84" s="442">
        <f t="shared" si="151"/>
        <v>0.68944099378881984</v>
      </c>
      <c r="AN84" s="442">
        <f t="shared" si="151"/>
        <v>-1.4698795180722892</v>
      </c>
      <c r="AO84" s="623">
        <f t="shared" si="151"/>
        <v>2.0381558028616853</v>
      </c>
      <c r="AP84" s="442">
        <f t="shared" si="151"/>
        <v>9.433962264150943E-3</v>
      </c>
      <c r="AQ84" s="183">
        <f t="shared" si="151"/>
        <v>0.29547738693467335</v>
      </c>
      <c r="AR84" s="183">
        <f t="shared" si="151"/>
        <v>1.1142061281337047E-2</v>
      </c>
      <c r="AS84" s="442">
        <f>IFERROR((AS66-AN66)/(AS42-AN42),"N/A")</f>
        <v>0.65677966101694918</v>
      </c>
      <c r="AT84" s="623">
        <f>IFERROR((AT66-AO66)/(AT42-AO42),"N/A")</f>
        <v>0.45833333333333331</v>
      </c>
      <c r="AU84" s="777">
        <f t="shared" si="151"/>
        <v>0.40721649484536082</v>
      </c>
      <c r="AV84" s="600">
        <f t="shared" si="151"/>
        <v>0.58505313242555357</v>
      </c>
      <c r="AW84" s="600">
        <f t="shared" si="151"/>
        <v>0.32533032671675427</v>
      </c>
      <c r="AX84" s="600">
        <f t="shared" si="151"/>
        <v>0.7288514555954354</v>
      </c>
      <c r="AY84" s="601">
        <f t="shared" si="151"/>
        <v>0.49620086879231406</v>
      </c>
      <c r="AZ84" s="600">
        <f>IFERROR((AZ66-AU66)/(AZ42-AU42),"N/A")</f>
        <v>0.41812031964916263</v>
      </c>
      <c r="BA84" s="600">
        <f>IFERROR((BA66-AV66)/(BA42-AV42),"N/A")</f>
        <v>0.57072921921115938</v>
      </c>
      <c r="BB84" s="600">
        <f>IFERROR((BB66-AW66)/(BB42-AW42),"N/A")</f>
        <v>0.14092035152871527</v>
      </c>
      <c r="BC84" s="600">
        <f>IFERROR((BC66-AX66)/(BC42-AX42),"N/A")</f>
        <v>0.3470094474537283</v>
      </c>
      <c r="BD84" s="601">
        <f>IFERROR((BD66-AY66)/(BD42-AY42),"N/A")</f>
        <v>0.36412324751533393</v>
      </c>
      <c r="BE84" s="601">
        <f>IFERROR((BE66-BD66)/(BE42-BD42),"N/A")</f>
        <v>0.3420383877507181</v>
      </c>
      <c r="BF84" s="601">
        <f>IFERROR((BF66-BE66)/(BF42-BE42),"N/A")</f>
        <v>0.34773657510820571</v>
      </c>
      <c r="BG84" s="601">
        <f>IFERROR((BG66-BF66)/(BG42-BF42),"N/A")</f>
        <v>0.35341581485082491</v>
      </c>
      <c r="BH84" s="599"/>
    </row>
    <row r="85" spans="1:60" s="69" customFormat="1" x14ac:dyDescent="0.35">
      <c r="A85" s="426"/>
      <c r="B85" s="518"/>
      <c r="C85" s="519"/>
      <c r="D85" s="519"/>
      <c r="E85" s="519"/>
      <c r="F85" s="519"/>
      <c r="G85" s="520"/>
      <c r="H85" s="520"/>
      <c r="I85" s="520"/>
      <c r="J85" s="520"/>
      <c r="K85" s="519"/>
      <c r="L85" s="520"/>
      <c r="M85" s="520"/>
      <c r="N85" s="520"/>
      <c r="O85" s="520"/>
      <c r="P85" s="519"/>
      <c r="Q85" s="520"/>
      <c r="R85" s="520"/>
      <c r="S85" s="520"/>
      <c r="T85" s="520"/>
      <c r="U85" s="519"/>
      <c r="V85" s="520"/>
      <c r="W85" s="520"/>
      <c r="X85" s="520"/>
      <c r="Y85" s="520"/>
      <c r="Z85" s="519"/>
      <c r="AA85" s="520"/>
      <c r="AB85" s="520"/>
      <c r="AC85" s="520"/>
      <c r="AD85" s="520"/>
      <c r="AE85" s="519"/>
      <c r="AF85" s="520"/>
      <c r="AG85" s="520"/>
      <c r="AH85" s="520"/>
      <c r="AI85" s="520"/>
      <c r="AJ85" s="519"/>
      <c r="AK85" s="520"/>
      <c r="AL85" s="520"/>
      <c r="AM85" s="520"/>
      <c r="AN85" s="520"/>
      <c r="AO85" s="519"/>
      <c r="AP85" s="520"/>
      <c r="AQ85" s="520"/>
      <c r="AR85" s="520"/>
      <c r="AS85" s="520"/>
      <c r="AT85" s="519"/>
      <c r="AU85" s="766"/>
      <c r="AV85" s="520"/>
      <c r="AW85" s="520"/>
      <c r="AX85" s="520"/>
      <c r="AY85" s="519"/>
      <c r="AZ85" s="520"/>
      <c r="BA85" s="520"/>
      <c r="BB85" s="520"/>
      <c r="BC85" s="520"/>
      <c r="BD85" s="519"/>
      <c r="BE85" s="519"/>
      <c r="BF85" s="519"/>
      <c r="BG85" s="519"/>
      <c r="BH85" s="79"/>
    </row>
    <row r="86" spans="1:60" s="69" customFormat="1" x14ac:dyDescent="0.35">
      <c r="A86" s="746" t="s">
        <v>957</v>
      </c>
      <c r="B86" s="746"/>
      <c r="C86" s="874"/>
      <c r="D86" s="874"/>
      <c r="E86" s="874"/>
      <c r="F86" s="874"/>
      <c r="G86" s="874"/>
      <c r="H86" s="874"/>
      <c r="I86" s="874"/>
      <c r="J86" s="874"/>
      <c r="K86" s="874"/>
      <c r="L86" s="874"/>
      <c r="M86" s="874"/>
      <c r="N86" s="874"/>
      <c r="O86" s="874"/>
      <c r="P86" s="874"/>
      <c r="Q86" s="874"/>
      <c r="R86" s="874"/>
      <c r="S86" s="874"/>
      <c r="T86" s="874"/>
      <c r="U86" s="874"/>
      <c r="V86" s="874"/>
      <c r="W86" s="874"/>
      <c r="X86" s="874"/>
      <c r="Y86" s="874"/>
      <c r="Z86" s="874"/>
      <c r="AA86" s="874"/>
      <c r="AB86" s="874"/>
      <c r="AC86" s="874"/>
      <c r="AD86" s="874"/>
      <c r="AE86" s="874"/>
      <c r="AF86" s="874"/>
      <c r="AG86" s="874"/>
      <c r="AH86" s="874"/>
      <c r="AI86" s="874"/>
      <c r="AJ86" s="874"/>
      <c r="AK86" s="874"/>
      <c r="AL86" s="874"/>
      <c r="AM86" s="874"/>
      <c r="AN86" s="874"/>
      <c r="AO86" s="874"/>
      <c r="AP86" s="874"/>
      <c r="AQ86" s="874"/>
      <c r="AR86" s="874"/>
      <c r="AS86" s="874"/>
      <c r="AT86" s="874"/>
      <c r="AU86" s="875"/>
      <c r="AV86" s="874"/>
      <c r="AW86" s="874"/>
      <c r="AX86" s="874"/>
      <c r="AY86" s="874"/>
      <c r="AZ86" s="874"/>
      <c r="BA86" s="874"/>
      <c r="BB86" s="874"/>
      <c r="BC86" s="874"/>
      <c r="BD86" s="874"/>
      <c r="BE86" s="874"/>
      <c r="BF86" s="874"/>
      <c r="BG86" s="874"/>
      <c r="BH86" s="79"/>
    </row>
    <row r="87" spans="1:60" s="345" customFormat="1" x14ac:dyDescent="0.35">
      <c r="A87" s="350" t="s">
        <v>946</v>
      </c>
      <c r="B87" s="444"/>
      <c r="C87" s="445"/>
      <c r="D87" s="445"/>
      <c r="E87" s="445"/>
      <c r="F87" s="445"/>
      <c r="G87" s="446"/>
      <c r="H87" s="446"/>
      <c r="I87" s="446"/>
      <c r="J87" s="446"/>
      <c r="K87" s="445"/>
      <c r="L87" s="446"/>
      <c r="M87" s="446"/>
      <c r="N87" s="446"/>
      <c r="O87" s="446"/>
      <c r="P87" s="445"/>
      <c r="Q87" s="446"/>
      <c r="R87" s="446"/>
      <c r="S87" s="446"/>
      <c r="T87" s="446"/>
      <c r="U87" s="445"/>
      <c r="V87" s="446"/>
      <c r="W87" s="446"/>
      <c r="X87" s="446"/>
      <c r="Y87" s="446"/>
      <c r="Z87" s="445"/>
      <c r="AA87" s="446"/>
      <c r="AB87" s="446"/>
      <c r="AC87" s="446"/>
      <c r="AD87" s="446"/>
      <c r="AE87" s="445"/>
      <c r="AF87" s="446"/>
      <c r="AG87" s="446"/>
      <c r="AH87" s="446"/>
      <c r="AI87" s="446"/>
      <c r="AJ87" s="445"/>
      <c r="AK87" s="437">
        <f>AK146</f>
        <v>737</v>
      </c>
      <c r="AL87" s="437">
        <f t="shared" ref="AL87:AO87" si="152">AL146</f>
        <v>753</v>
      </c>
      <c r="AM87" s="437">
        <f t="shared" si="152"/>
        <v>753</v>
      </c>
      <c r="AN87" s="437">
        <f t="shared" si="152"/>
        <v>714</v>
      </c>
      <c r="AO87" s="436">
        <f t="shared" si="152"/>
        <v>3019</v>
      </c>
      <c r="AP87" s="437">
        <f>AP146</f>
        <v>825</v>
      </c>
      <c r="AQ87" s="437">
        <f t="shared" ref="AQ87:AR87" si="153">AQ146</f>
        <v>761</v>
      </c>
      <c r="AR87" s="437">
        <f t="shared" si="153"/>
        <v>956</v>
      </c>
      <c r="AS87" s="437">
        <f t="shared" ref="AS87:AT87" si="154">AS146</f>
        <v>1014</v>
      </c>
      <c r="AT87" s="436">
        <f t="shared" si="154"/>
        <v>3616</v>
      </c>
      <c r="AU87" s="763">
        <f>AU146</f>
        <v>952</v>
      </c>
      <c r="AV87" s="437">
        <f t="shared" ref="AV87:AX87" si="155">AV146</f>
        <v>867.61519999999996</v>
      </c>
      <c r="AW87" s="437">
        <f t="shared" si="155"/>
        <v>962.07479999999987</v>
      </c>
      <c r="AX87" s="437">
        <f t="shared" si="155"/>
        <v>1093.4280000000001</v>
      </c>
      <c r="AY87" s="436">
        <f t="shared" ref="AY87:AY92" si="156">SUM(AU87,AV87,AW87,AX87)</f>
        <v>3875.1179999999995</v>
      </c>
      <c r="AZ87" s="437">
        <f>AZ146</f>
        <v>1033.3688999999999</v>
      </c>
      <c r="BA87" s="437">
        <f>BA146</f>
        <v>980.34012800000005</v>
      </c>
      <c r="BB87" s="437">
        <f>BB146</f>
        <v>968.38737199999991</v>
      </c>
      <c r="BC87" s="437">
        <f>BC146</f>
        <v>1196.81782</v>
      </c>
      <c r="BD87" s="436">
        <f t="shared" ref="BD87:BD92" si="157">SUM(AZ87,BA87,BB87,BC87)</f>
        <v>4178.9142199999997</v>
      </c>
      <c r="BE87" s="436">
        <f>BE146</f>
        <v>4508.1815257800008</v>
      </c>
      <c r="BF87" s="436">
        <f>BF146</f>
        <v>4865.6175746912004</v>
      </c>
      <c r="BG87" s="436">
        <f>BG146</f>
        <v>5253.5525809736464</v>
      </c>
      <c r="BH87" s="351"/>
    </row>
    <row r="88" spans="1:60" s="345" customFormat="1" x14ac:dyDescent="0.35">
      <c r="A88" s="350" t="s">
        <v>948</v>
      </c>
      <c r="B88" s="444"/>
      <c r="C88" s="445"/>
      <c r="D88" s="445"/>
      <c r="E88" s="445"/>
      <c r="F88" s="445"/>
      <c r="G88" s="446"/>
      <c r="H88" s="446"/>
      <c r="I88" s="446"/>
      <c r="J88" s="446"/>
      <c r="K88" s="445"/>
      <c r="L88" s="446"/>
      <c r="M88" s="446"/>
      <c r="N88" s="446"/>
      <c r="O88" s="446"/>
      <c r="P88" s="445"/>
      <c r="Q88" s="446"/>
      <c r="R88" s="446"/>
      <c r="S88" s="446"/>
      <c r="T88" s="446"/>
      <c r="U88" s="445"/>
      <c r="V88" s="446"/>
      <c r="W88" s="446"/>
      <c r="X88" s="446"/>
      <c r="Y88" s="446"/>
      <c r="Z88" s="445"/>
      <c r="AA88" s="446"/>
      <c r="AB88" s="446"/>
      <c r="AC88" s="446"/>
      <c r="AD88" s="446"/>
      <c r="AE88" s="445"/>
      <c r="AF88" s="446"/>
      <c r="AG88" s="446"/>
      <c r="AH88" s="446"/>
      <c r="AI88" s="446"/>
      <c r="AJ88" s="445"/>
      <c r="AK88" s="437">
        <f>AK226</f>
        <v>596</v>
      </c>
      <c r="AL88" s="437">
        <f t="shared" ref="AL88:AO88" si="158">AL226</f>
        <v>670</v>
      </c>
      <c r="AM88" s="437">
        <f t="shared" si="158"/>
        <v>716</v>
      </c>
      <c r="AN88" s="437">
        <f t="shared" si="158"/>
        <v>576</v>
      </c>
      <c r="AO88" s="436">
        <f t="shared" si="158"/>
        <v>2622</v>
      </c>
      <c r="AP88" s="437">
        <f>AP226</f>
        <v>559</v>
      </c>
      <c r="AQ88" s="437">
        <f t="shared" ref="AQ88:AR88" si="159">AQ226</f>
        <v>471</v>
      </c>
      <c r="AR88" s="437">
        <f t="shared" si="159"/>
        <v>643</v>
      </c>
      <c r="AS88" s="437">
        <f t="shared" ref="AS88:AT88" si="160">AS226</f>
        <v>624</v>
      </c>
      <c r="AT88" s="436">
        <f t="shared" si="160"/>
        <v>2356</v>
      </c>
      <c r="AU88" s="763">
        <f>AU226</f>
        <v>690</v>
      </c>
      <c r="AV88" s="437">
        <f t="shared" ref="AV88:AX88" si="161">AV226</f>
        <v>523.47960000000012</v>
      </c>
      <c r="AW88" s="437">
        <f t="shared" si="161"/>
        <v>711.15120000000002</v>
      </c>
      <c r="AX88" s="437">
        <f t="shared" si="161"/>
        <v>667.13040000000001</v>
      </c>
      <c r="AY88" s="436">
        <f t="shared" si="156"/>
        <v>2591.7611999999999</v>
      </c>
      <c r="AZ88" s="437">
        <f>AZ226</f>
        <v>755.61480000000006</v>
      </c>
      <c r="BA88" s="437">
        <f>BA226</f>
        <v>580.75113600000009</v>
      </c>
      <c r="BB88" s="437">
        <f>BB226</f>
        <v>787.83379200000002</v>
      </c>
      <c r="BC88" s="437">
        <f>BC226</f>
        <v>740.57126400000004</v>
      </c>
      <c r="BD88" s="436">
        <f t="shared" si="157"/>
        <v>2864.7709920000002</v>
      </c>
      <c r="BE88" s="436">
        <f>BE226</f>
        <v>3121.4146751999997</v>
      </c>
      <c r="BF88" s="436">
        <f>BF226</f>
        <v>3403.0908133631992</v>
      </c>
      <c r="BG88" s="436">
        <f>BG226</f>
        <v>3712.1620797112309</v>
      </c>
      <c r="BH88" s="351"/>
    </row>
    <row r="89" spans="1:60" s="345" customFormat="1" x14ac:dyDescent="0.35">
      <c r="A89" s="350" t="s">
        <v>951</v>
      </c>
      <c r="B89" s="444"/>
      <c r="C89" s="445"/>
      <c r="D89" s="445"/>
      <c r="E89" s="445"/>
      <c r="F89" s="445"/>
      <c r="G89" s="446"/>
      <c r="H89" s="446"/>
      <c r="I89" s="446"/>
      <c r="J89" s="446"/>
      <c r="K89" s="445"/>
      <c r="L89" s="446"/>
      <c r="M89" s="446"/>
      <c r="N89" s="446"/>
      <c r="O89" s="446"/>
      <c r="P89" s="445"/>
      <c r="Q89" s="446"/>
      <c r="R89" s="446"/>
      <c r="S89" s="446"/>
      <c r="T89" s="446"/>
      <c r="U89" s="445"/>
      <c r="V89" s="446"/>
      <c r="W89" s="446"/>
      <c r="X89" s="446"/>
      <c r="Y89" s="446"/>
      <c r="Z89" s="445"/>
      <c r="AA89" s="446"/>
      <c r="AB89" s="446"/>
      <c r="AC89" s="446"/>
      <c r="AD89" s="446"/>
      <c r="AE89" s="445"/>
      <c r="AF89" s="446"/>
      <c r="AG89" s="446"/>
      <c r="AH89" s="446"/>
      <c r="AI89" s="446"/>
      <c r="AJ89" s="445"/>
      <c r="AK89" s="437">
        <f>AK303</f>
        <v>513</v>
      </c>
      <c r="AL89" s="437">
        <f t="shared" ref="AL89:AO89" si="162">AL303</f>
        <v>539</v>
      </c>
      <c r="AM89" s="437">
        <f t="shared" si="162"/>
        <v>512</v>
      </c>
      <c r="AN89" s="437">
        <f t="shared" si="162"/>
        <v>615</v>
      </c>
      <c r="AO89" s="436">
        <f t="shared" si="162"/>
        <v>2250</v>
      </c>
      <c r="AP89" s="437">
        <f>AP303</f>
        <v>584</v>
      </c>
      <c r="AQ89" s="437">
        <f t="shared" ref="AQ89:AR89" si="163">AQ303</f>
        <v>439</v>
      </c>
      <c r="AR89" s="437">
        <f t="shared" si="163"/>
        <v>644</v>
      </c>
      <c r="AS89" s="437">
        <f t="shared" ref="AS89:AT89" si="164">AS303</f>
        <v>716</v>
      </c>
      <c r="AT89" s="436">
        <f t="shared" si="164"/>
        <v>2454</v>
      </c>
      <c r="AU89" s="763">
        <f>AU303</f>
        <v>667</v>
      </c>
      <c r="AV89" s="437">
        <f t="shared" ref="AV89:AX89" si="165">AV303</f>
        <v>556.57500000000005</v>
      </c>
      <c r="AW89" s="437">
        <f t="shared" si="165"/>
        <v>638.49599999999998</v>
      </c>
      <c r="AX89" s="437">
        <f t="shared" si="165"/>
        <v>658.73685</v>
      </c>
      <c r="AY89" s="436">
        <f t="shared" si="156"/>
        <v>2520.8078500000001</v>
      </c>
      <c r="AZ89" s="437">
        <f>AZ303</f>
        <v>716.6579999999999</v>
      </c>
      <c r="BA89" s="437">
        <f>BA303</f>
        <v>678.25687500000004</v>
      </c>
      <c r="BB89" s="437">
        <f>BB303</f>
        <v>675.57780000000002</v>
      </c>
      <c r="BC89" s="437">
        <f>BC303</f>
        <v>709.80711750000012</v>
      </c>
      <c r="BD89" s="436">
        <f t="shared" si="157"/>
        <v>2780.2997925</v>
      </c>
      <c r="BE89" s="436">
        <f>BE303</f>
        <v>2989.3579346249999</v>
      </c>
      <c r="BF89" s="436">
        <f>BF303</f>
        <v>3213.72114148125</v>
      </c>
      <c r="BG89" s="436">
        <f>BG303</f>
        <v>3454.3972741865618</v>
      </c>
      <c r="BH89" s="351"/>
    </row>
    <row r="90" spans="1:60" s="345" customFormat="1" x14ac:dyDescent="0.35">
      <c r="A90" s="350" t="s">
        <v>954</v>
      </c>
      <c r="B90" s="444"/>
      <c r="C90" s="445"/>
      <c r="D90" s="445"/>
      <c r="E90" s="445"/>
      <c r="F90" s="445"/>
      <c r="G90" s="446"/>
      <c r="H90" s="446"/>
      <c r="I90" s="446"/>
      <c r="J90" s="446"/>
      <c r="K90" s="445"/>
      <c r="L90" s="446"/>
      <c r="M90" s="446"/>
      <c r="N90" s="446"/>
      <c r="O90" s="446"/>
      <c r="P90" s="445"/>
      <c r="Q90" s="446"/>
      <c r="R90" s="446"/>
      <c r="S90" s="446"/>
      <c r="T90" s="446"/>
      <c r="U90" s="445"/>
      <c r="V90" s="446"/>
      <c r="W90" s="446"/>
      <c r="X90" s="446"/>
      <c r="Y90" s="446"/>
      <c r="Z90" s="445"/>
      <c r="AA90" s="446"/>
      <c r="AB90" s="446"/>
      <c r="AC90" s="446"/>
      <c r="AD90" s="446"/>
      <c r="AE90" s="445"/>
      <c r="AF90" s="446"/>
      <c r="AG90" s="446"/>
      <c r="AH90" s="446"/>
      <c r="AI90" s="446"/>
      <c r="AJ90" s="445"/>
      <c r="AK90" s="437">
        <f>AK381</f>
        <v>258</v>
      </c>
      <c r="AL90" s="437">
        <f t="shared" ref="AL90:AO90" si="166">AL381</f>
        <v>297</v>
      </c>
      <c r="AM90" s="437">
        <f t="shared" si="166"/>
        <v>337</v>
      </c>
      <c r="AN90" s="437">
        <f t="shared" si="166"/>
        <v>338</v>
      </c>
      <c r="AO90" s="436">
        <f t="shared" si="166"/>
        <v>1258</v>
      </c>
      <c r="AP90" s="437">
        <f>AP381</f>
        <v>285</v>
      </c>
      <c r="AQ90" s="437">
        <f t="shared" ref="AQ90:AR90" si="167">AQ381</f>
        <v>313</v>
      </c>
      <c r="AR90" s="437">
        <f t="shared" si="167"/>
        <v>383</v>
      </c>
      <c r="AS90" s="437">
        <f t="shared" ref="AS90:AT90" si="168">AS381</f>
        <v>371</v>
      </c>
      <c r="AT90" s="436">
        <f t="shared" si="168"/>
        <v>1389</v>
      </c>
      <c r="AU90" s="763">
        <f>AU381</f>
        <v>323</v>
      </c>
      <c r="AV90" s="437">
        <f t="shared" ref="AV90:AX90" si="169">AV381</f>
        <v>296.67910000000001</v>
      </c>
      <c r="AW90" s="437">
        <f t="shared" si="169"/>
        <v>298</v>
      </c>
      <c r="AX90" s="437">
        <f t="shared" si="169"/>
        <v>298</v>
      </c>
      <c r="AY90" s="436">
        <f t="shared" si="156"/>
        <v>1215.6791000000001</v>
      </c>
      <c r="AZ90" s="437">
        <f>AZ381</f>
        <v>341.35284999999999</v>
      </c>
      <c r="BA90" s="437">
        <f>BA381</f>
        <v>295.38538999999997</v>
      </c>
      <c r="BB90" s="437">
        <f>BB381</f>
        <v>269.52999999999997</v>
      </c>
      <c r="BC90" s="437">
        <f>BC381</f>
        <v>283.11500000000001</v>
      </c>
      <c r="BD90" s="436">
        <f t="shared" si="157"/>
        <v>1189.3832399999999</v>
      </c>
      <c r="BE90" s="436">
        <f>BE381</f>
        <v>1249.9082437754998</v>
      </c>
      <c r="BF90" s="436">
        <f>BF381</f>
        <v>1313.6744968297949</v>
      </c>
      <c r="BG90" s="436">
        <f>BG381</f>
        <v>1380.8511484653311</v>
      </c>
      <c r="BH90" s="351"/>
    </row>
    <row r="91" spans="1:60" s="345" customFormat="1" x14ac:dyDescent="0.35">
      <c r="A91" s="350" t="s">
        <v>958</v>
      </c>
      <c r="B91" s="444"/>
      <c r="C91" s="445"/>
      <c r="D91" s="445"/>
      <c r="E91" s="445"/>
      <c r="F91" s="445"/>
      <c r="G91" s="446"/>
      <c r="H91" s="446"/>
      <c r="I91" s="446"/>
      <c r="J91" s="446"/>
      <c r="K91" s="445"/>
      <c r="L91" s="446"/>
      <c r="M91" s="446"/>
      <c r="N91" s="446"/>
      <c r="O91" s="446"/>
      <c r="P91" s="445"/>
      <c r="Q91" s="446"/>
      <c r="R91" s="446"/>
      <c r="S91" s="446"/>
      <c r="T91" s="446"/>
      <c r="U91" s="445"/>
      <c r="V91" s="446"/>
      <c r="W91" s="446"/>
      <c r="X91" s="446"/>
      <c r="Y91" s="446"/>
      <c r="Z91" s="445"/>
      <c r="AA91" s="446"/>
      <c r="AB91" s="446"/>
      <c r="AC91" s="446"/>
      <c r="AD91" s="446"/>
      <c r="AE91" s="445"/>
      <c r="AF91" s="446"/>
      <c r="AG91" s="446"/>
      <c r="AH91" s="446"/>
      <c r="AI91" s="446"/>
      <c r="AJ91" s="445"/>
      <c r="AK91" s="437">
        <v>-97</v>
      </c>
      <c r="AL91" s="437">
        <v>-100</v>
      </c>
      <c r="AM91" s="437">
        <v>-111</v>
      </c>
      <c r="AN91" s="437">
        <v>-101</v>
      </c>
      <c r="AO91" s="436">
        <v>-409</v>
      </c>
      <c r="AP91" s="437">
        <v>-116</v>
      </c>
      <c r="AQ91" s="437">
        <v>-123</v>
      </c>
      <c r="AR91" s="437">
        <v>-145</v>
      </c>
      <c r="AS91" s="437">
        <v>-145</v>
      </c>
      <c r="AT91" s="436">
        <v>-534</v>
      </c>
      <c r="AU91" s="763">
        <f>AU61</f>
        <v>-159</v>
      </c>
      <c r="AV91" s="437">
        <f>AV61</f>
        <v>-122.3652</v>
      </c>
      <c r="AW91" s="437">
        <f>AW61</f>
        <v>-139.55699999999999</v>
      </c>
      <c r="AX91" s="437">
        <f>AX61</f>
        <v>-143.33535000000001</v>
      </c>
      <c r="AY91" s="436">
        <f t="shared" si="156"/>
        <v>-564.25755000000004</v>
      </c>
      <c r="AZ91" s="437">
        <f>AZ61</f>
        <v>-151.34332499999999</v>
      </c>
      <c r="BA91" s="437">
        <f>BA61</f>
        <v>-130.18349175</v>
      </c>
      <c r="BB91" s="437">
        <f>BB61</f>
        <v>-148.53190799999999</v>
      </c>
      <c r="BC91" s="437">
        <f>BC61</f>
        <v>-152.54807549999998</v>
      </c>
      <c r="BD91" s="436">
        <f t="shared" si="157"/>
        <v>-582.60680024999988</v>
      </c>
      <c r="BE91" s="436">
        <f>BE61</f>
        <v>-620.11135622625011</v>
      </c>
      <c r="BF91" s="436">
        <f>BF61</f>
        <v>-660.13474958188124</v>
      </c>
      <c r="BG91" s="436">
        <f>BG61</f>
        <v>-702.85219003245447</v>
      </c>
      <c r="BH91" s="351"/>
    </row>
    <row r="92" spans="1:60" s="345" customFormat="1" x14ac:dyDescent="0.35">
      <c r="A92" s="466" t="s">
        <v>959</v>
      </c>
      <c r="B92" s="501"/>
      <c r="C92" s="502"/>
      <c r="D92" s="502"/>
      <c r="E92" s="502"/>
      <c r="F92" s="502"/>
      <c r="G92" s="463"/>
      <c r="H92" s="463"/>
      <c r="I92" s="463"/>
      <c r="J92" s="463"/>
      <c r="K92" s="502"/>
      <c r="L92" s="463"/>
      <c r="M92" s="463"/>
      <c r="N92" s="463"/>
      <c r="O92" s="463"/>
      <c r="P92" s="502"/>
      <c r="Q92" s="463"/>
      <c r="R92" s="463"/>
      <c r="S92" s="463"/>
      <c r="T92" s="463"/>
      <c r="U92" s="502"/>
      <c r="V92" s="463"/>
      <c r="W92" s="463"/>
      <c r="X92" s="463"/>
      <c r="Y92" s="463"/>
      <c r="Z92" s="502"/>
      <c r="AA92" s="463"/>
      <c r="AB92" s="463"/>
      <c r="AC92" s="463"/>
      <c r="AD92" s="463"/>
      <c r="AE92" s="502"/>
      <c r="AF92" s="463"/>
      <c r="AG92" s="463"/>
      <c r="AH92" s="463"/>
      <c r="AI92" s="463"/>
      <c r="AJ92" s="502"/>
      <c r="AK92" s="458">
        <f>AK425</f>
        <v>44</v>
      </c>
      <c r="AL92" s="458">
        <f t="shared" ref="AL92:AO92" si="170">AL425</f>
        <v>-81</v>
      </c>
      <c r="AM92" s="458">
        <f t="shared" si="170"/>
        <v>77</v>
      </c>
      <c r="AN92" s="458">
        <f t="shared" si="170"/>
        <v>-140</v>
      </c>
      <c r="AO92" s="480">
        <f t="shared" si="170"/>
        <v>-325</v>
      </c>
      <c r="AP92" s="458">
        <f>AP425</f>
        <v>-19</v>
      </c>
      <c r="AQ92" s="458">
        <f t="shared" ref="AQ92:AR92" si="171">AQ425</f>
        <v>39</v>
      </c>
      <c r="AR92" s="458">
        <f t="shared" si="171"/>
        <v>-91</v>
      </c>
      <c r="AS92" s="458">
        <f t="shared" ref="AS92:AT92" si="172">AS425</f>
        <v>-228</v>
      </c>
      <c r="AT92" s="480">
        <f t="shared" si="172"/>
        <v>-526</v>
      </c>
      <c r="AU92" s="774">
        <f>AU425</f>
        <v>-19</v>
      </c>
      <c r="AV92" s="458">
        <f t="shared" ref="AV92:AX92" si="173">AV425</f>
        <v>-1.0093152000000032</v>
      </c>
      <c r="AW92" s="458">
        <f t="shared" si="173"/>
        <v>-7.4734320000000025</v>
      </c>
      <c r="AX92" s="458">
        <f t="shared" si="173"/>
        <v>-8.8940916000000101</v>
      </c>
      <c r="AY92" s="480">
        <f t="shared" si="156"/>
        <v>-36.376838800000016</v>
      </c>
      <c r="AZ92" s="458">
        <f>AZ425</f>
        <v>-11.905090200000011</v>
      </c>
      <c r="BA92" s="458">
        <f>BA425</f>
        <v>-3.9489928980000073</v>
      </c>
      <c r="BB92" s="458">
        <f>BB425</f>
        <v>-10.847997407999998</v>
      </c>
      <c r="BC92" s="458">
        <f>BC425</f>
        <v>-12.358076388000001</v>
      </c>
      <c r="BD92" s="480">
        <f t="shared" si="157"/>
        <v>-39.060156894000016</v>
      </c>
      <c r="BE92" s="480">
        <f>BE425</f>
        <v>-53.161869941069938</v>
      </c>
      <c r="BF92" s="480">
        <f>BF425</f>
        <v>-68.21066584278725</v>
      </c>
      <c r="BG92" s="480">
        <f>BG425</f>
        <v>-84.272423452202759</v>
      </c>
      <c r="BH92" s="351"/>
    </row>
    <row r="93" spans="1:60" s="69" customFormat="1" x14ac:dyDescent="0.35">
      <c r="A93" s="89" t="s">
        <v>960</v>
      </c>
      <c r="B93" s="452"/>
      <c r="C93" s="453"/>
      <c r="D93" s="453"/>
      <c r="E93" s="453"/>
      <c r="F93" s="453"/>
      <c r="G93" s="454"/>
      <c r="H93" s="454"/>
      <c r="I93" s="454"/>
      <c r="J93" s="454"/>
      <c r="K93" s="453"/>
      <c r="L93" s="454"/>
      <c r="M93" s="454"/>
      <c r="N93" s="454"/>
      <c r="O93" s="454"/>
      <c r="P93" s="453"/>
      <c r="Q93" s="454"/>
      <c r="R93" s="454"/>
      <c r="S93" s="454"/>
      <c r="T93" s="454"/>
      <c r="U93" s="453"/>
      <c r="V93" s="454"/>
      <c r="W93" s="454"/>
      <c r="X93" s="454"/>
      <c r="Y93" s="454"/>
      <c r="Z93" s="453"/>
      <c r="AA93" s="454"/>
      <c r="AB93" s="454"/>
      <c r="AC93" s="454"/>
      <c r="AD93" s="454"/>
      <c r="AE93" s="453"/>
      <c r="AF93" s="454"/>
      <c r="AG93" s="454"/>
      <c r="AH93" s="454"/>
      <c r="AI93" s="454"/>
      <c r="AJ93" s="453"/>
      <c r="AK93" s="439">
        <f>SUM(AK87:AK92)</f>
        <v>2051</v>
      </c>
      <c r="AL93" s="439">
        <f t="shared" ref="AL93:AO93" si="174">SUM(AL87:AL92)</f>
        <v>2078</v>
      </c>
      <c r="AM93" s="439">
        <f t="shared" si="174"/>
        <v>2284</v>
      </c>
      <c r="AN93" s="439">
        <f t="shared" si="174"/>
        <v>2002</v>
      </c>
      <c r="AO93" s="438">
        <f t="shared" si="174"/>
        <v>8415</v>
      </c>
      <c r="AP93" s="439">
        <f>SUM(AP87:AP92)</f>
        <v>2118</v>
      </c>
      <c r="AQ93" s="439">
        <f t="shared" ref="AQ93:AT93" si="175">SUM(AQ87:AQ92)</f>
        <v>1900</v>
      </c>
      <c r="AR93" s="439">
        <f t="shared" si="175"/>
        <v>2390</v>
      </c>
      <c r="AS93" s="439">
        <f t="shared" si="175"/>
        <v>2352</v>
      </c>
      <c r="AT93" s="438">
        <f t="shared" si="175"/>
        <v>8755</v>
      </c>
      <c r="AU93" s="765">
        <f>SUM(AU87:AU92)</f>
        <v>2454</v>
      </c>
      <c r="AV93" s="439">
        <f t="shared" ref="AV93" si="176">SUM(AV87:AV92)</f>
        <v>2120.9743847999998</v>
      </c>
      <c r="AW93" s="439">
        <f t="shared" ref="AW93" si="177">SUM(AW87:AW92)</f>
        <v>2462.6915680000002</v>
      </c>
      <c r="AX93" s="439">
        <f t="shared" ref="AX93" si="178">SUM(AX87:AX92)</f>
        <v>2565.0658084000002</v>
      </c>
      <c r="AY93" s="438">
        <f t="shared" ref="AY93" si="179">SUM(AY87:AY92)</f>
        <v>9602.7317611999988</v>
      </c>
      <c r="AZ93" s="439">
        <f t="shared" ref="AZ93:BG93" si="180">SUM(AZ87:AZ92)</f>
        <v>2683.7461348000006</v>
      </c>
      <c r="BA93" s="439">
        <f t="shared" si="180"/>
        <v>2400.6010443519999</v>
      </c>
      <c r="BB93" s="439">
        <f t="shared" si="180"/>
        <v>2541.9490585920003</v>
      </c>
      <c r="BC93" s="439">
        <f t="shared" si="180"/>
        <v>2765.4050496119999</v>
      </c>
      <c r="BD93" s="438">
        <f t="shared" si="180"/>
        <v>10391.701287356</v>
      </c>
      <c r="BE93" s="438">
        <f t="shared" si="180"/>
        <v>11195.589153213179</v>
      </c>
      <c r="BF93" s="438">
        <f t="shared" si="180"/>
        <v>12067.758610940777</v>
      </c>
      <c r="BG93" s="438">
        <f t="shared" si="180"/>
        <v>13013.838469852113</v>
      </c>
      <c r="BH93" s="79"/>
    </row>
    <row r="94" spans="1:60" s="345" customFormat="1" x14ac:dyDescent="0.35">
      <c r="A94" s="537"/>
      <c r="B94" s="444"/>
      <c r="C94" s="445"/>
      <c r="D94" s="445"/>
      <c r="E94" s="445"/>
      <c r="F94" s="445"/>
      <c r="G94" s="446"/>
      <c r="H94" s="446"/>
      <c r="I94" s="446"/>
      <c r="J94" s="446"/>
      <c r="K94" s="445"/>
      <c r="L94" s="446"/>
      <c r="M94" s="446"/>
      <c r="N94" s="446"/>
      <c r="O94" s="446"/>
      <c r="P94" s="445"/>
      <c r="Q94" s="446"/>
      <c r="R94" s="446"/>
      <c r="S94" s="446"/>
      <c r="T94" s="446"/>
      <c r="U94" s="445"/>
      <c r="V94" s="446"/>
      <c r="W94" s="446"/>
      <c r="X94" s="446"/>
      <c r="Y94" s="446"/>
      <c r="Z94" s="445"/>
      <c r="AA94" s="446"/>
      <c r="AB94" s="446"/>
      <c r="AC94" s="446"/>
      <c r="AD94" s="446"/>
      <c r="AE94" s="445"/>
      <c r="AF94" s="446"/>
      <c r="AG94" s="446"/>
      <c r="AH94" s="446"/>
      <c r="AI94" s="446"/>
      <c r="AJ94" s="445"/>
      <c r="AK94" s="446"/>
      <c r="AL94" s="446"/>
      <c r="AM94" s="446"/>
      <c r="AN94" s="446"/>
      <c r="AO94" s="445"/>
      <c r="AP94" s="446"/>
      <c r="AQ94" s="446"/>
      <c r="AR94" s="446"/>
      <c r="AS94" s="446"/>
      <c r="AT94" s="445"/>
      <c r="AU94" s="767"/>
      <c r="AV94" s="446"/>
      <c r="AW94" s="446"/>
      <c r="AX94" s="446"/>
      <c r="AY94" s="445"/>
      <c r="AZ94" s="446"/>
      <c r="BA94" s="446"/>
      <c r="BB94" s="446"/>
      <c r="BC94" s="446"/>
      <c r="BD94" s="445"/>
      <c r="BE94" s="445"/>
      <c r="BF94" s="445"/>
      <c r="BG94" s="445"/>
      <c r="BH94" s="351"/>
    </row>
    <row r="95" spans="1:60" s="262" customFormat="1" x14ac:dyDescent="0.35">
      <c r="A95" s="154" t="s">
        <v>961</v>
      </c>
      <c r="B95" s="312"/>
      <c r="C95" s="105"/>
      <c r="D95" s="105"/>
      <c r="E95" s="105"/>
      <c r="F95" s="105"/>
      <c r="G95" s="200"/>
      <c r="H95" s="200"/>
      <c r="I95" s="200"/>
      <c r="J95" s="200"/>
      <c r="K95" s="105"/>
      <c r="L95" s="200"/>
      <c r="M95" s="200"/>
      <c r="N95" s="200"/>
      <c r="O95" s="200"/>
      <c r="P95" s="105"/>
      <c r="Q95" s="200"/>
      <c r="R95" s="200"/>
      <c r="S95" s="200"/>
      <c r="T95" s="200"/>
      <c r="U95" s="105"/>
      <c r="V95" s="200"/>
      <c r="W95" s="200"/>
      <c r="X95" s="200"/>
      <c r="Y95" s="200"/>
      <c r="Z95" s="105"/>
      <c r="AA95" s="200"/>
      <c r="AB95" s="200"/>
      <c r="AC95" s="200"/>
      <c r="AD95" s="200"/>
      <c r="AE95" s="105"/>
      <c r="AF95" s="200"/>
      <c r="AG95" s="200"/>
      <c r="AH95" s="200"/>
      <c r="AI95" s="200"/>
      <c r="AJ95" s="105"/>
      <c r="AK95" s="78">
        <f>AK87/SUM(AK$87:AK$90)</f>
        <v>0.35028517110266161</v>
      </c>
      <c r="AL95" s="78">
        <f t="shared" ref="AL95:AM95" si="181">AL87/SUM(AL$87:AL$90)</f>
        <v>0.33333333333333331</v>
      </c>
      <c r="AM95" s="78">
        <f t="shared" si="181"/>
        <v>0.32484900776531495</v>
      </c>
      <c r="AN95" s="78">
        <f t="shared" ref="AN95:AO95" si="182">AN87/SUM(AN$87:AN$90)</f>
        <v>0.31832367365135977</v>
      </c>
      <c r="AO95" s="47">
        <f t="shared" si="182"/>
        <v>0.32998141873428788</v>
      </c>
      <c r="AP95" s="78">
        <f>AP87/SUM(AP$87:AP$90)</f>
        <v>0.36617842876165113</v>
      </c>
      <c r="AQ95" s="78">
        <f t="shared" ref="AQ95:AR95" si="183">AQ87/SUM(AQ$87:AQ$90)</f>
        <v>0.38356854838709675</v>
      </c>
      <c r="AR95" s="78">
        <f t="shared" si="183"/>
        <v>0.36405178979436403</v>
      </c>
      <c r="AS95" s="78">
        <f t="shared" ref="AS95:AT95" si="184">AS87/SUM(AS$87:AS$90)</f>
        <v>0.37211009174311926</v>
      </c>
      <c r="AT95" s="47">
        <f t="shared" si="184"/>
        <v>0.36841569026999493</v>
      </c>
      <c r="AU95" s="759">
        <f>AU87/SUM(AU$87:AU$90)</f>
        <v>0.36170212765957449</v>
      </c>
      <c r="AV95" s="78">
        <f t="shared" ref="AV95:AY95" si="185">AV87/SUM(AV$87:AV$90)</f>
        <v>0.38657768406685789</v>
      </c>
      <c r="AW95" s="78">
        <f t="shared" si="185"/>
        <v>0.36865030068336779</v>
      </c>
      <c r="AX95" s="78">
        <f t="shared" si="185"/>
        <v>0.40239572788418926</v>
      </c>
      <c r="AY95" s="47">
        <f t="shared" si="185"/>
        <v>0.37978819372271566</v>
      </c>
      <c r="AZ95" s="78">
        <f t="shared" ref="AZ95:BG98" si="186">AZ87/SUM(AZ$87:AZ$90)</f>
        <v>0.36296834498682123</v>
      </c>
      <c r="BA95" s="78">
        <f t="shared" si="186"/>
        <v>0.38676259921758427</v>
      </c>
      <c r="BB95" s="78">
        <f t="shared" si="186"/>
        <v>0.35848553986037218</v>
      </c>
      <c r="BC95" s="78">
        <f t="shared" si="186"/>
        <v>0.40842686585211829</v>
      </c>
      <c r="BD95" s="47">
        <f t="shared" si="186"/>
        <v>0.37944016101404043</v>
      </c>
      <c r="BE95" s="47">
        <f t="shared" si="186"/>
        <v>0.37983265638094854</v>
      </c>
      <c r="BF95" s="47">
        <f t="shared" si="186"/>
        <v>0.38024210843128098</v>
      </c>
      <c r="BG95" s="47">
        <f t="shared" si="186"/>
        <v>0.38066564987169377</v>
      </c>
      <c r="BH95" s="363"/>
    </row>
    <row r="96" spans="1:60" s="262" customFormat="1" x14ac:dyDescent="0.35">
      <c r="A96" s="154" t="s">
        <v>962</v>
      </c>
      <c r="B96" s="312"/>
      <c r="C96" s="105"/>
      <c r="D96" s="105"/>
      <c r="E96" s="105"/>
      <c r="F96" s="105"/>
      <c r="G96" s="200"/>
      <c r="H96" s="200"/>
      <c r="I96" s="200"/>
      <c r="J96" s="200"/>
      <c r="K96" s="105"/>
      <c r="L96" s="200"/>
      <c r="M96" s="200"/>
      <c r="N96" s="200"/>
      <c r="O96" s="200"/>
      <c r="P96" s="105"/>
      <c r="Q96" s="200"/>
      <c r="R96" s="200"/>
      <c r="S96" s="200"/>
      <c r="T96" s="200"/>
      <c r="U96" s="105"/>
      <c r="V96" s="200"/>
      <c r="W96" s="200"/>
      <c r="X96" s="200"/>
      <c r="Y96" s="200"/>
      <c r="Z96" s="105"/>
      <c r="AA96" s="200"/>
      <c r="AB96" s="200"/>
      <c r="AC96" s="200"/>
      <c r="AD96" s="200"/>
      <c r="AE96" s="105"/>
      <c r="AF96" s="200"/>
      <c r="AG96" s="200"/>
      <c r="AH96" s="200"/>
      <c r="AI96" s="200"/>
      <c r="AJ96" s="105"/>
      <c r="AK96" s="78">
        <f t="shared" ref="AK96:AO96" si="187">AK88/SUM(AK$87:AK$90)</f>
        <v>0.28326996197718629</v>
      </c>
      <c r="AL96" s="78">
        <f t="shared" si="187"/>
        <v>0.29659141212926071</v>
      </c>
      <c r="AM96" s="78">
        <f t="shared" si="187"/>
        <v>0.30888697152717859</v>
      </c>
      <c r="AN96" s="78">
        <f t="shared" si="187"/>
        <v>0.2567989300044583</v>
      </c>
      <c r="AO96" s="47">
        <f t="shared" si="187"/>
        <v>0.28658869821838451</v>
      </c>
      <c r="AP96" s="78">
        <f t="shared" ref="AP96:AR98" si="188">AP88/SUM(AP$87:AP$90)</f>
        <v>0.24811362627607633</v>
      </c>
      <c r="AQ96" s="78">
        <f t="shared" si="188"/>
        <v>0.23739919354838709</v>
      </c>
      <c r="AR96" s="78">
        <f t="shared" si="188"/>
        <v>0.24485910129474486</v>
      </c>
      <c r="AS96" s="78">
        <f t="shared" ref="AS96:AU96" si="189">AS88/SUM(AS$87:AS$90)</f>
        <v>0.22899082568807339</v>
      </c>
      <c r="AT96" s="47">
        <f t="shared" si="189"/>
        <v>0.24004075394803873</v>
      </c>
      <c r="AU96" s="759">
        <f t="shared" si="189"/>
        <v>0.2621580547112462</v>
      </c>
      <c r="AV96" s="78">
        <f t="shared" ref="AV96:AY96" si="190">AV88/SUM(AV$87:AV$90)</f>
        <v>0.23324341415900179</v>
      </c>
      <c r="AW96" s="78">
        <f t="shared" si="190"/>
        <v>0.27250074912193717</v>
      </c>
      <c r="AX96" s="78">
        <f t="shared" si="190"/>
        <v>0.24551266558170298</v>
      </c>
      <c r="AY96" s="47">
        <f t="shared" si="190"/>
        <v>0.25401040812398956</v>
      </c>
      <c r="AZ96" s="78">
        <f t="shared" si="186"/>
        <v>0.26540788425464318</v>
      </c>
      <c r="BA96" s="78">
        <f t="shared" si="186"/>
        <v>0.22911723435840503</v>
      </c>
      <c r="BB96" s="78">
        <f t="shared" si="186"/>
        <v>0.2916467422143999</v>
      </c>
      <c r="BC96" s="78">
        <f t="shared" si="186"/>
        <v>0.25272785485067534</v>
      </c>
      <c r="BD96" s="47">
        <f t="shared" si="186"/>
        <v>0.26011760693016389</v>
      </c>
      <c r="BE96" s="47">
        <f t="shared" si="186"/>
        <v>0.26299190060732031</v>
      </c>
      <c r="BF96" s="47">
        <f t="shared" si="186"/>
        <v>0.26594741699124808</v>
      </c>
      <c r="BG96" s="47">
        <f t="shared" si="186"/>
        <v>0.26897848050860168</v>
      </c>
      <c r="BH96" s="363"/>
    </row>
    <row r="97" spans="1:60" s="262" customFormat="1" x14ac:dyDescent="0.35">
      <c r="A97" s="154" t="s">
        <v>963</v>
      </c>
      <c r="B97" s="312"/>
      <c r="C97" s="105"/>
      <c r="D97" s="105"/>
      <c r="E97" s="105"/>
      <c r="F97" s="105"/>
      <c r="G97" s="200"/>
      <c r="H97" s="200"/>
      <c r="I97" s="200"/>
      <c r="J97" s="200"/>
      <c r="K97" s="105"/>
      <c r="L97" s="200"/>
      <c r="M97" s="200"/>
      <c r="N97" s="200"/>
      <c r="O97" s="200"/>
      <c r="P97" s="105"/>
      <c r="Q97" s="200"/>
      <c r="R97" s="200"/>
      <c r="S97" s="200"/>
      <c r="T97" s="200"/>
      <c r="U97" s="105"/>
      <c r="V97" s="200"/>
      <c r="W97" s="200"/>
      <c r="X97" s="200"/>
      <c r="Y97" s="200"/>
      <c r="Z97" s="105"/>
      <c r="AA97" s="200"/>
      <c r="AB97" s="200"/>
      <c r="AC97" s="200"/>
      <c r="AD97" s="200"/>
      <c r="AE97" s="105"/>
      <c r="AF97" s="200"/>
      <c r="AG97" s="200"/>
      <c r="AH97" s="200"/>
      <c r="AI97" s="200"/>
      <c r="AJ97" s="105"/>
      <c r="AK97" s="78">
        <f t="shared" ref="AK97:AO97" si="191">AK89/SUM(AK$87:AK$90)</f>
        <v>0.24382129277566539</v>
      </c>
      <c r="AL97" s="78">
        <f t="shared" si="191"/>
        <v>0.23860115095174855</v>
      </c>
      <c r="AM97" s="78">
        <f t="shared" si="191"/>
        <v>0.22088006902502158</v>
      </c>
      <c r="AN97" s="78">
        <f t="shared" si="191"/>
        <v>0.27418635755684351</v>
      </c>
      <c r="AO97" s="47">
        <f t="shared" si="191"/>
        <v>0.24592851677778993</v>
      </c>
      <c r="AP97" s="78">
        <f t="shared" si="188"/>
        <v>0.25920994229915667</v>
      </c>
      <c r="AQ97" s="78">
        <f t="shared" si="188"/>
        <v>0.22127016129032259</v>
      </c>
      <c r="AR97" s="78">
        <f t="shared" si="188"/>
        <v>0.24523990860624523</v>
      </c>
      <c r="AS97" s="78">
        <f t="shared" ref="AS97:AU97" si="192">AS89/SUM(AS$87:AS$90)</f>
        <v>0.26275229357798163</v>
      </c>
      <c r="AT97" s="47">
        <f t="shared" si="192"/>
        <v>0.25002547121752422</v>
      </c>
      <c r="AU97" s="759">
        <f t="shared" si="192"/>
        <v>0.25341945288753798</v>
      </c>
      <c r="AV97" s="78">
        <f t="shared" ref="AV97:AY97" si="193">AV89/SUM(AV$87:AV$90)</f>
        <v>0.24798951713791026</v>
      </c>
      <c r="AW97" s="78">
        <f t="shared" si="193"/>
        <v>0.24466054238727344</v>
      </c>
      <c r="AX97" s="78">
        <f t="shared" si="193"/>
        <v>0.24242372999400782</v>
      </c>
      <c r="AY97" s="47">
        <f t="shared" si="193"/>
        <v>0.24705649223418294</v>
      </c>
      <c r="AZ97" s="78">
        <f t="shared" si="186"/>
        <v>0.2517244017906532</v>
      </c>
      <c r="BA97" s="78">
        <f t="shared" si="186"/>
        <v>0.26758508034080614</v>
      </c>
      <c r="BB97" s="78">
        <f t="shared" si="186"/>
        <v>0.25009090303449616</v>
      </c>
      <c r="BC97" s="78">
        <f t="shared" si="186"/>
        <v>0.24222926122544811</v>
      </c>
      <c r="BD97" s="47">
        <f t="shared" si="186"/>
        <v>0.25244772814061334</v>
      </c>
      <c r="BE97" s="47">
        <f t="shared" si="186"/>
        <v>0.25186558231716816</v>
      </c>
      <c r="BF97" s="47">
        <f t="shared" si="186"/>
        <v>0.25114840695727469</v>
      </c>
      <c r="BG97" s="47">
        <f t="shared" si="186"/>
        <v>0.25030117487651193</v>
      </c>
      <c r="BH97" s="363"/>
    </row>
    <row r="98" spans="1:60" s="262" customFormat="1" x14ac:dyDescent="0.35">
      <c r="A98" s="589" t="s">
        <v>964</v>
      </c>
      <c r="B98" s="465"/>
      <c r="C98" s="479"/>
      <c r="D98" s="479"/>
      <c r="E98" s="479"/>
      <c r="F98" s="479"/>
      <c r="G98" s="457"/>
      <c r="H98" s="457"/>
      <c r="I98" s="457"/>
      <c r="J98" s="457"/>
      <c r="K98" s="479"/>
      <c r="L98" s="457"/>
      <c r="M98" s="457"/>
      <c r="N98" s="457"/>
      <c r="O98" s="457"/>
      <c r="P98" s="479"/>
      <c r="Q98" s="457"/>
      <c r="R98" s="457"/>
      <c r="S98" s="457"/>
      <c r="T98" s="457"/>
      <c r="U98" s="479"/>
      <c r="V98" s="457"/>
      <c r="W98" s="457"/>
      <c r="X98" s="457"/>
      <c r="Y98" s="457"/>
      <c r="Z98" s="479"/>
      <c r="AA98" s="457"/>
      <c r="AB98" s="457"/>
      <c r="AC98" s="457"/>
      <c r="AD98" s="457"/>
      <c r="AE98" s="479"/>
      <c r="AF98" s="457"/>
      <c r="AG98" s="457"/>
      <c r="AH98" s="457"/>
      <c r="AI98" s="457"/>
      <c r="AJ98" s="479"/>
      <c r="AK98" s="604">
        <f t="shared" ref="AK98:AO98" si="194">AK90/SUM(AK$87:AK$90)</f>
        <v>0.12262357414448669</v>
      </c>
      <c r="AL98" s="604">
        <f t="shared" si="194"/>
        <v>0.13147410358565736</v>
      </c>
      <c r="AM98" s="604">
        <f t="shared" si="194"/>
        <v>0.14538395168248491</v>
      </c>
      <c r="AN98" s="604">
        <f t="shared" si="194"/>
        <v>0.15069103878733839</v>
      </c>
      <c r="AO98" s="603">
        <f t="shared" si="194"/>
        <v>0.13750136626953766</v>
      </c>
      <c r="AP98" s="604">
        <f t="shared" si="188"/>
        <v>0.12649800266311584</v>
      </c>
      <c r="AQ98" s="604">
        <f t="shared" si="188"/>
        <v>0.15776209677419356</v>
      </c>
      <c r="AR98" s="604">
        <f t="shared" si="188"/>
        <v>0.14584920030464585</v>
      </c>
      <c r="AS98" s="604">
        <f t="shared" ref="AS98:AU98" si="195">AS90/SUM(AS$87:AS$90)</f>
        <v>0.13614678899082569</v>
      </c>
      <c r="AT98" s="603">
        <f t="shared" si="195"/>
        <v>0.14151808456444218</v>
      </c>
      <c r="AU98" s="772">
        <f t="shared" si="195"/>
        <v>0.12272036474164134</v>
      </c>
      <c r="AV98" s="604">
        <f t="shared" ref="AV98:AY98" si="196">AV90/SUM(AV$87:AV$90)</f>
        <v>0.13218938463623015</v>
      </c>
      <c r="AW98" s="604">
        <f t="shared" si="196"/>
        <v>0.11418840780742165</v>
      </c>
      <c r="AX98" s="604">
        <f t="shared" si="196"/>
        <v>0.10966787654009993</v>
      </c>
      <c r="AY98" s="603">
        <f t="shared" si="196"/>
        <v>0.11914490591911181</v>
      </c>
      <c r="AZ98" s="604">
        <f t="shared" si="186"/>
        <v>0.11989936896788227</v>
      </c>
      <c r="BA98" s="604">
        <f t="shared" si="186"/>
        <v>0.11653508608320459</v>
      </c>
      <c r="BB98" s="604">
        <f t="shared" si="186"/>
        <v>9.977681489073166E-2</v>
      </c>
      <c r="BC98" s="604">
        <f t="shared" si="186"/>
        <v>9.6616018071758389E-2</v>
      </c>
      <c r="BD98" s="603">
        <f t="shared" si="186"/>
        <v>0.10799450391518232</v>
      </c>
      <c r="BE98" s="603">
        <f t="shared" si="186"/>
        <v>0.10530986069456298</v>
      </c>
      <c r="BF98" s="603">
        <f t="shared" si="186"/>
        <v>0.10266206762019625</v>
      </c>
      <c r="BG98" s="603">
        <f t="shared" si="186"/>
        <v>0.10005469474319263</v>
      </c>
      <c r="BH98" s="363"/>
    </row>
    <row r="99" spans="1:60" s="225" customFormat="1" x14ac:dyDescent="0.35">
      <c r="A99" s="227" t="s">
        <v>965</v>
      </c>
      <c r="B99" s="176"/>
      <c r="C99" s="113"/>
      <c r="D99" s="113"/>
      <c r="E99" s="113"/>
      <c r="F99" s="113"/>
      <c r="G99" s="177"/>
      <c r="H99" s="177"/>
      <c r="I99" s="177"/>
      <c r="J99" s="177"/>
      <c r="K99" s="113"/>
      <c r="L99" s="177"/>
      <c r="M99" s="177"/>
      <c r="N99" s="177"/>
      <c r="O99" s="177"/>
      <c r="P99" s="113"/>
      <c r="Q99" s="177"/>
      <c r="R99" s="177"/>
      <c r="S99" s="177"/>
      <c r="T99" s="177"/>
      <c r="U99" s="113"/>
      <c r="V99" s="177"/>
      <c r="W99" s="177"/>
      <c r="X99" s="177"/>
      <c r="Y99" s="177"/>
      <c r="Z99" s="113"/>
      <c r="AA99" s="177"/>
      <c r="AB99" s="177"/>
      <c r="AC99" s="177"/>
      <c r="AD99" s="177"/>
      <c r="AE99" s="113"/>
      <c r="AF99" s="177"/>
      <c r="AG99" s="177"/>
      <c r="AH99" s="177"/>
      <c r="AI99" s="177"/>
      <c r="AJ99" s="113"/>
      <c r="AK99" s="226">
        <f>SUM(AK95:AK98)</f>
        <v>0.99999999999999989</v>
      </c>
      <c r="AL99" s="226">
        <f t="shared" ref="AL99:AO99" si="197">SUM(AL95:AL98)</f>
        <v>0.99999999999999989</v>
      </c>
      <c r="AM99" s="226">
        <f t="shared" si="197"/>
        <v>1</v>
      </c>
      <c r="AN99" s="226">
        <f t="shared" si="197"/>
        <v>1</v>
      </c>
      <c r="AO99" s="223">
        <f t="shared" si="197"/>
        <v>1</v>
      </c>
      <c r="AP99" s="226">
        <f>SUM(AP95:AP98)</f>
        <v>0.99999999999999989</v>
      </c>
      <c r="AQ99" s="226">
        <f t="shared" ref="AQ99:AR99" si="198">SUM(AQ95:AQ98)</f>
        <v>1</v>
      </c>
      <c r="AR99" s="226">
        <f t="shared" si="198"/>
        <v>1</v>
      </c>
      <c r="AS99" s="226">
        <f t="shared" ref="AS99:AT99" si="199">SUM(AS95:AS98)</f>
        <v>1</v>
      </c>
      <c r="AT99" s="223">
        <f t="shared" si="199"/>
        <v>1</v>
      </c>
      <c r="AU99" s="773">
        <f>SUM(AU95:AU98)</f>
        <v>1</v>
      </c>
      <c r="AV99" s="226">
        <f t="shared" ref="AV99" si="200">SUM(AV95:AV98)</f>
        <v>1</v>
      </c>
      <c r="AW99" s="226">
        <f t="shared" ref="AW99" si="201">SUM(AW95:AW98)</f>
        <v>1</v>
      </c>
      <c r="AX99" s="226">
        <f t="shared" ref="AX99" si="202">SUM(AX95:AX98)</f>
        <v>1</v>
      </c>
      <c r="AY99" s="223">
        <f t="shared" ref="AY99" si="203">SUM(AY95:AY98)</f>
        <v>1</v>
      </c>
      <c r="AZ99" s="226">
        <f t="shared" ref="AZ99:BG99" si="204">SUM(AZ95:AZ98)</f>
        <v>0.99999999999999978</v>
      </c>
      <c r="BA99" s="226">
        <f t="shared" si="204"/>
        <v>1</v>
      </c>
      <c r="BB99" s="226">
        <f t="shared" si="204"/>
        <v>1</v>
      </c>
      <c r="BC99" s="226">
        <f t="shared" si="204"/>
        <v>1.0000000000000002</v>
      </c>
      <c r="BD99" s="223">
        <f t="shared" si="204"/>
        <v>1</v>
      </c>
      <c r="BE99" s="223">
        <f t="shared" si="204"/>
        <v>1</v>
      </c>
      <c r="BF99" s="223">
        <f t="shared" si="204"/>
        <v>1</v>
      </c>
      <c r="BG99" s="223">
        <f t="shared" si="204"/>
        <v>1</v>
      </c>
      <c r="BH99" s="94"/>
    </row>
    <row r="100" spans="1:60" s="69" customFormat="1" x14ac:dyDescent="0.35">
      <c r="A100" s="426"/>
      <c r="B100" s="518"/>
      <c r="C100" s="519"/>
      <c r="D100" s="519"/>
      <c r="E100" s="519"/>
      <c r="F100" s="519"/>
      <c r="G100" s="520"/>
      <c r="H100" s="520"/>
      <c r="I100" s="520"/>
      <c r="J100" s="520"/>
      <c r="K100" s="519"/>
      <c r="L100" s="520"/>
      <c r="M100" s="520"/>
      <c r="N100" s="520"/>
      <c r="O100" s="520"/>
      <c r="P100" s="519"/>
      <c r="Q100" s="520"/>
      <c r="R100" s="520"/>
      <c r="S100" s="520"/>
      <c r="T100" s="520"/>
      <c r="U100" s="519"/>
      <c r="V100" s="520"/>
      <c r="W100" s="520"/>
      <c r="X100" s="520"/>
      <c r="Y100" s="520"/>
      <c r="Z100" s="519"/>
      <c r="AA100" s="520"/>
      <c r="AB100" s="520"/>
      <c r="AC100" s="520"/>
      <c r="AD100" s="520"/>
      <c r="AE100" s="519"/>
      <c r="AF100" s="520"/>
      <c r="AG100" s="520"/>
      <c r="AH100" s="520"/>
      <c r="AI100" s="520"/>
      <c r="AJ100" s="519"/>
      <c r="AK100" s="520"/>
      <c r="AL100" s="520"/>
      <c r="AM100" s="520"/>
      <c r="AN100" s="520"/>
      <c r="AO100" s="519"/>
      <c r="AP100" s="520"/>
      <c r="AQ100" s="520"/>
      <c r="AR100" s="520"/>
      <c r="AS100" s="520"/>
      <c r="AT100" s="519"/>
      <c r="AU100" s="766"/>
      <c r="AV100" s="520"/>
      <c r="AW100" s="520"/>
      <c r="AX100" s="520"/>
      <c r="AY100" s="519"/>
      <c r="AZ100" s="520"/>
      <c r="BA100" s="520"/>
      <c r="BB100" s="520"/>
      <c r="BC100" s="520"/>
      <c r="BD100" s="519"/>
      <c r="BE100" s="519"/>
      <c r="BF100" s="519"/>
      <c r="BG100" s="519"/>
      <c r="BH100" s="79"/>
    </row>
    <row r="101" spans="1:60" s="21" customFormat="1" x14ac:dyDescent="0.35">
      <c r="A101" s="746" t="s">
        <v>914</v>
      </c>
      <c r="B101" s="746"/>
      <c r="C101" s="874"/>
      <c r="D101" s="874"/>
      <c r="E101" s="874"/>
      <c r="F101" s="874"/>
      <c r="G101" s="874"/>
      <c r="H101" s="874"/>
      <c r="I101" s="874"/>
      <c r="J101" s="874"/>
      <c r="K101" s="874"/>
      <c r="L101" s="874"/>
      <c r="M101" s="874"/>
      <c r="N101" s="874"/>
      <c r="O101" s="874"/>
      <c r="P101" s="874"/>
      <c r="Q101" s="874"/>
      <c r="R101" s="874"/>
      <c r="S101" s="874"/>
      <c r="T101" s="874"/>
      <c r="U101" s="874"/>
      <c r="V101" s="874"/>
      <c r="W101" s="874"/>
      <c r="X101" s="874"/>
      <c r="Y101" s="874"/>
      <c r="Z101" s="874"/>
      <c r="AA101" s="874"/>
      <c r="AB101" s="874"/>
      <c r="AC101" s="874"/>
      <c r="AD101" s="874"/>
      <c r="AE101" s="874"/>
      <c r="AF101" s="874"/>
      <c r="AG101" s="874"/>
      <c r="AH101" s="874"/>
      <c r="AI101" s="874"/>
      <c r="AJ101" s="874"/>
      <c r="AK101" s="874"/>
      <c r="AL101" s="874"/>
      <c r="AM101" s="874"/>
      <c r="AN101" s="874"/>
      <c r="AO101" s="874"/>
      <c r="AP101" s="874"/>
      <c r="AQ101" s="874"/>
      <c r="AR101" s="874"/>
      <c r="AS101" s="874"/>
      <c r="AT101" s="874"/>
      <c r="AU101" s="875"/>
      <c r="AV101" s="874"/>
      <c r="AW101" s="874"/>
      <c r="AX101" s="874"/>
      <c r="AY101" s="874"/>
      <c r="AZ101" s="874"/>
      <c r="BA101" s="874"/>
      <c r="BB101" s="874"/>
      <c r="BC101" s="874"/>
      <c r="BD101" s="874"/>
      <c r="BE101" s="874"/>
      <c r="BF101" s="874"/>
      <c r="BG101" s="874"/>
      <c r="BH101" s="651"/>
    </row>
    <row r="102" spans="1:60" s="262" customFormat="1" hidden="1" outlineLevel="2" x14ac:dyDescent="0.35">
      <c r="A102" s="530" t="s">
        <v>445</v>
      </c>
      <c r="B102" s="312"/>
      <c r="C102" s="105"/>
      <c r="D102" s="105"/>
      <c r="E102" s="105"/>
      <c r="F102" s="105"/>
      <c r="G102" s="200"/>
      <c r="H102" s="200"/>
      <c r="I102" s="200"/>
      <c r="J102" s="200"/>
      <c r="K102" s="105"/>
      <c r="L102" s="200"/>
      <c r="M102" s="200"/>
      <c r="N102" s="200"/>
      <c r="O102" s="200"/>
      <c r="P102" s="105"/>
      <c r="Q102" s="200"/>
      <c r="R102" s="200"/>
      <c r="S102" s="200"/>
      <c r="T102" s="200"/>
      <c r="U102" s="105"/>
      <c r="V102" s="200"/>
      <c r="W102" s="200"/>
      <c r="X102" s="200"/>
      <c r="Y102" s="200"/>
      <c r="Z102" s="105"/>
      <c r="AA102" s="200"/>
      <c r="AB102" s="200"/>
      <c r="AC102" s="200"/>
      <c r="AD102" s="200"/>
      <c r="AE102" s="105"/>
      <c r="AF102" s="200"/>
      <c r="AG102" s="200"/>
      <c r="AH102" s="200"/>
      <c r="AI102" s="200"/>
      <c r="AJ102" s="105"/>
      <c r="AK102" s="200"/>
      <c r="AL102" s="78">
        <v>-6.7000000000000004E-2</v>
      </c>
      <c r="AM102" s="78">
        <v>-4.2000000000000003E-2</v>
      </c>
      <c r="AN102" s="78">
        <v>-0.04</v>
      </c>
      <c r="AO102" s="47">
        <v>-4.3999999999999997E-2</v>
      </c>
      <c r="AP102" s="200"/>
      <c r="AQ102" s="200"/>
      <c r="AR102" s="200"/>
      <c r="AS102" s="200"/>
      <c r="AT102" s="105"/>
      <c r="AU102" s="761"/>
      <c r="AV102" s="200"/>
      <c r="AW102" s="200"/>
      <c r="AX102" s="200"/>
      <c r="AY102" s="105"/>
      <c r="AZ102" s="200"/>
      <c r="BA102" s="200"/>
      <c r="BB102" s="200"/>
      <c r="BC102" s="200"/>
      <c r="BD102" s="105"/>
      <c r="BE102" s="105"/>
      <c r="BF102" s="105"/>
      <c r="BG102" s="105"/>
      <c r="BH102" s="363"/>
    </row>
    <row r="103" spans="1:60" s="262" customFormat="1" hidden="1" outlineLevel="2" x14ac:dyDescent="0.35">
      <c r="A103" s="606" t="s">
        <v>875</v>
      </c>
      <c r="B103" s="465"/>
      <c r="C103" s="479"/>
      <c r="D103" s="479"/>
      <c r="E103" s="479"/>
      <c r="F103" s="479"/>
      <c r="G103" s="457"/>
      <c r="H103" s="457"/>
      <c r="I103" s="457"/>
      <c r="J103" s="457"/>
      <c r="K103" s="479"/>
      <c r="L103" s="457"/>
      <c r="M103" s="457"/>
      <c r="N103" s="457"/>
      <c r="O103" s="457"/>
      <c r="P103" s="479"/>
      <c r="Q103" s="457"/>
      <c r="R103" s="457"/>
      <c r="S103" s="457"/>
      <c r="T103" s="457"/>
      <c r="U103" s="479"/>
      <c r="V103" s="457"/>
      <c r="W103" s="457"/>
      <c r="X103" s="457"/>
      <c r="Y103" s="457"/>
      <c r="Z103" s="479"/>
      <c r="AA103" s="457"/>
      <c r="AB103" s="457"/>
      <c r="AC103" s="457"/>
      <c r="AD103" s="457"/>
      <c r="AE103" s="479"/>
      <c r="AF103" s="457"/>
      <c r="AG103" s="457"/>
      <c r="AH103" s="457"/>
      <c r="AI103" s="457"/>
      <c r="AJ103" s="479"/>
      <c r="AK103" s="457"/>
      <c r="AL103" s="457"/>
      <c r="AM103" s="457"/>
      <c r="AN103" s="457"/>
      <c r="AO103" s="479"/>
      <c r="AP103" s="457"/>
      <c r="AQ103" s="457"/>
      <c r="AR103" s="457"/>
      <c r="AS103" s="457"/>
      <c r="AT103" s="479"/>
      <c r="AU103" s="779"/>
      <c r="AV103" s="457"/>
      <c r="AW103" s="457"/>
      <c r="AX103" s="457"/>
      <c r="AY103" s="479"/>
      <c r="AZ103" s="457"/>
      <c r="BA103" s="457"/>
      <c r="BB103" s="457"/>
      <c r="BC103" s="457"/>
      <c r="BD103" s="479"/>
      <c r="BE103" s="479"/>
      <c r="BF103" s="479"/>
      <c r="BG103" s="479"/>
      <c r="BH103" s="363"/>
    </row>
    <row r="104" spans="1:60" s="262" customFormat="1" hidden="1" outlineLevel="2" x14ac:dyDescent="0.35">
      <c r="A104" s="513" t="s">
        <v>867</v>
      </c>
      <c r="B104" s="312"/>
      <c r="C104" s="105"/>
      <c r="D104" s="105"/>
      <c r="E104" s="105"/>
      <c r="F104" s="105"/>
      <c r="G104" s="200"/>
      <c r="H104" s="200"/>
      <c r="I104" s="200"/>
      <c r="J104" s="200"/>
      <c r="K104" s="105"/>
      <c r="L104" s="200"/>
      <c r="M104" s="200"/>
      <c r="N104" s="200"/>
      <c r="O104" s="200"/>
      <c r="P104" s="105"/>
      <c r="Q104" s="200"/>
      <c r="R104" s="200"/>
      <c r="S104" s="200"/>
      <c r="T104" s="200"/>
      <c r="U104" s="105"/>
      <c r="V104" s="200"/>
      <c r="W104" s="200"/>
      <c r="X104" s="200"/>
      <c r="Y104" s="200"/>
      <c r="Z104" s="105"/>
      <c r="AA104" s="200"/>
      <c r="AB104" s="200"/>
      <c r="AC104" s="200"/>
      <c r="AD104" s="200"/>
      <c r="AE104" s="47">
        <f>AE134/Z134-1</f>
        <v>4.9692272623660827E-2</v>
      </c>
      <c r="AF104" s="200"/>
      <c r="AG104" s="200"/>
      <c r="AH104" s="200"/>
      <c r="AI104" s="200"/>
      <c r="AJ104" s="47">
        <f t="shared" ref="AJ104" si="205">AJ134/AE134-1</f>
        <v>6.8621064060803372E-2</v>
      </c>
      <c r="AK104" s="200"/>
      <c r="AL104" s="200"/>
      <c r="AM104" s="200"/>
      <c r="AN104" s="200"/>
      <c r="AO104" s="105"/>
      <c r="AP104" s="200"/>
      <c r="AQ104" s="200"/>
      <c r="AR104" s="200"/>
      <c r="AS104" s="200"/>
      <c r="AT104" s="105"/>
      <c r="AU104" s="761"/>
      <c r="AV104" s="200"/>
      <c r="AW104" s="200"/>
      <c r="AX104" s="200"/>
      <c r="AY104" s="105"/>
      <c r="AZ104" s="200"/>
      <c r="BA104" s="200"/>
      <c r="BB104" s="200"/>
      <c r="BC104" s="200"/>
      <c r="BD104" s="105"/>
      <c r="BE104" s="105"/>
      <c r="BF104" s="105"/>
      <c r="BG104" s="105"/>
      <c r="BH104" s="363"/>
    </row>
    <row r="105" spans="1:60" s="262" customFormat="1" hidden="1" outlineLevel="2" x14ac:dyDescent="0.35">
      <c r="A105" s="530" t="s">
        <v>448</v>
      </c>
      <c r="B105" s="312"/>
      <c r="C105" s="105"/>
      <c r="D105" s="105"/>
      <c r="E105" s="105"/>
      <c r="F105" s="105"/>
      <c r="G105" s="200"/>
      <c r="H105" s="200"/>
      <c r="I105" s="200"/>
      <c r="J105" s="200"/>
      <c r="K105" s="105"/>
      <c r="L105" s="200"/>
      <c r="M105" s="200"/>
      <c r="N105" s="200"/>
      <c r="O105" s="200"/>
      <c r="P105" s="105"/>
      <c r="Q105" s="200"/>
      <c r="R105" s="200"/>
      <c r="S105" s="200"/>
      <c r="T105" s="200"/>
      <c r="U105" s="105"/>
      <c r="V105" s="200"/>
      <c r="W105" s="200"/>
      <c r="X105" s="200"/>
      <c r="Y105" s="200"/>
      <c r="Z105" s="105"/>
      <c r="AA105" s="200"/>
      <c r="AB105" s="200"/>
      <c r="AC105" s="200"/>
      <c r="AD105" s="200"/>
      <c r="AE105" s="105"/>
      <c r="AF105" s="200"/>
      <c r="AG105" s="200"/>
      <c r="AH105" s="200"/>
      <c r="AI105" s="200"/>
      <c r="AJ105" s="105"/>
      <c r="AK105" s="200"/>
      <c r="AL105" s="78">
        <v>6.0000000000000001E-3</v>
      </c>
      <c r="AM105" s="78">
        <v>1.0999999999999999E-2</v>
      </c>
      <c r="AN105" s="78">
        <v>0.01</v>
      </c>
      <c r="AO105" s="47">
        <v>6.0000000000000001E-3</v>
      </c>
      <c r="AP105" s="200"/>
      <c r="AQ105" s="200"/>
      <c r="AR105" s="200"/>
      <c r="AS105" s="200"/>
      <c r="AT105" s="105"/>
      <c r="AU105" s="761"/>
      <c r="AV105" s="200"/>
      <c r="AW105" s="200"/>
      <c r="AX105" s="200"/>
      <c r="AY105" s="105"/>
      <c r="AZ105" s="200"/>
      <c r="BA105" s="200"/>
      <c r="BB105" s="200"/>
      <c r="BC105" s="200"/>
      <c r="BD105" s="105"/>
      <c r="BE105" s="105"/>
      <c r="BF105" s="105"/>
      <c r="BG105" s="105"/>
      <c r="BH105" s="363"/>
    </row>
    <row r="106" spans="1:60" s="262" customFormat="1" hidden="1" outlineLevel="2" x14ac:dyDescent="0.35">
      <c r="A106" s="606" t="s">
        <v>871</v>
      </c>
      <c r="B106" s="465"/>
      <c r="C106" s="479"/>
      <c r="D106" s="479"/>
      <c r="E106" s="479"/>
      <c r="F106" s="479"/>
      <c r="G106" s="457"/>
      <c r="H106" s="457"/>
      <c r="I106" s="457"/>
      <c r="J106" s="457"/>
      <c r="K106" s="479"/>
      <c r="L106" s="457"/>
      <c r="M106" s="457"/>
      <c r="N106" s="457"/>
      <c r="O106" s="457"/>
      <c r="P106" s="479"/>
      <c r="Q106" s="457"/>
      <c r="R106" s="457"/>
      <c r="S106" s="457"/>
      <c r="T106" s="457"/>
      <c r="U106" s="479"/>
      <c r="V106" s="457"/>
      <c r="W106" s="457"/>
      <c r="X106" s="457"/>
      <c r="Y106" s="457"/>
      <c r="Z106" s="479"/>
      <c r="AA106" s="457"/>
      <c r="AB106" s="457"/>
      <c r="AC106" s="457"/>
      <c r="AD106" s="457"/>
      <c r="AE106" s="479"/>
      <c r="AF106" s="457"/>
      <c r="AG106" s="457"/>
      <c r="AH106" s="457"/>
      <c r="AI106" s="457"/>
      <c r="AJ106" s="479"/>
      <c r="AK106" s="457"/>
      <c r="AL106" s="457"/>
      <c r="AM106" s="457"/>
      <c r="AN106" s="457"/>
      <c r="AO106" s="479"/>
      <c r="AP106" s="457"/>
      <c r="AQ106" s="457"/>
      <c r="AR106" s="457"/>
      <c r="AS106" s="457"/>
      <c r="AT106" s="479"/>
      <c r="AU106" s="779"/>
      <c r="AV106" s="457"/>
      <c r="AW106" s="457"/>
      <c r="AX106" s="457"/>
      <c r="AY106" s="479"/>
      <c r="AZ106" s="457"/>
      <c r="BA106" s="457"/>
      <c r="BB106" s="457"/>
      <c r="BC106" s="457"/>
      <c r="BD106" s="479"/>
      <c r="BE106" s="479"/>
      <c r="BF106" s="479"/>
      <c r="BG106" s="479"/>
      <c r="BH106" s="363"/>
    </row>
    <row r="107" spans="1:60" s="262" customFormat="1" hidden="1" outlineLevel="2" x14ac:dyDescent="0.35">
      <c r="A107" s="513" t="s">
        <v>872</v>
      </c>
      <c r="B107" s="312"/>
      <c r="C107" s="105"/>
      <c r="D107" s="105"/>
      <c r="E107" s="105"/>
      <c r="F107" s="105"/>
      <c r="G107" s="200"/>
      <c r="H107" s="200"/>
      <c r="I107" s="200"/>
      <c r="J107" s="200"/>
      <c r="K107" s="105"/>
      <c r="L107" s="200"/>
      <c r="M107" s="200"/>
      <c r="N107" s="200"/>
      <c r="O107" s="200"/>
      <c r="P107" s="105"/>
      <c r="Q107" s="200"/>
      <c r="R107" s="200"/>
      <c r="S107" s="200"/>
      <c r="T107" s="200"/>
      <c r="U107" s="105"/>
      <c r="V107" s="200"/>
      <c r="W107" s="200"/>
      <c r="X107" s="200"/>
      <c r="Y107" s="200"/>
      <c r="Z107" s="105"/>
      <c r="AA107" s="200"/>
      <c r="AB107" s="200"/>
      <c r="AC107" s="200"/>
      <c r="AD107" s="200"/>
      <c r="AE107" s="47">
        <f>AE135/Z135-1</f>
        <v>5.2002810962754831E-2</v>
      </c>
      <c r="AF107" s="200"/>
      <c r="AG107" s="200"/>
      <c r="AH107" s="200"/>
      <c r="AI107" s="200"/>
      <c r="AJ107" s="47">
        <f t="shared" ref="AJ107" si="206">AJ135/AE135-1</f>
        <v>-1.4028056112224463E-2</v>
      </c>
      <c r="AK107" s="200"/>
      <c r="AL107" s="200"/>
      <c r="AM107" s="200"/>
      <c r="AN107" s="200"/>
      <c r="AO107" s="105"/>
      <c r="AP107" s="200"/>
      <c r="AQ107" s="200"/>
      <c r="AR107" s="200"/>
      <c r="AS107" s="200"/>
      <c r="AT107" s="105"/>
      <c r="AU107" s="761"/>
      <c r="AV107" s="200"/>
      <c r="AW107" s="200"/>
      <c r="AX107" s="200"/>
      <c r="AY107" s="105"/>
      <c r="AZ107" s="200"/>
      <c r="BA107" s="200"/>
      <c r="BB107" s="200"/>
      <c r="BC107" s="200"/>
      <c r="BD107" s="105"/>
      <c r="BE107" s="105"/>
      <c r="BF107" s="105"/>
      <c r="BG107" s="105"/>
      <c r="BH107" s="363"/>
    </row>
    <row r="108" spans="1:60" s="262" customFormat="1" hidden="1" outlineLevel="2" collapsed="1" x14ac:dyDescent="0.35">
      <c r="A108" s="513" t="s">
        <v>730</v>
      </c>
      <c r="B108" s="312"/>
      <c r="C108" s="105"/>
      <c r="D108" s="105"/>
      <c r="E108" s="105"/>
      <c r="F108" s="105"/>
      <c r="G108" s="200"/>
      <c r="H108" s="200"/>
      <c r="I108" s="200"/>
      <c r="J108" s="200"/>
      <c r="K108" s="105"/>
      <c r="L108" s="200"/>
      <c r="M108" s="200"/>
      <c r="N108" s="200"/>
      <c r="O108" s="200"/>
      <c r="P108" s="105"/>
      <c r="Q108" s="200"/>
      <c r="R108" s="200"/>
      <c r="S108" s="200"/>
      <c r="T108" s="200"/>
      <c r="U108" s="105"/>
      <c r="V108" s="200"/>
      <c r="W108" s="200"/>
      <c r="X108" s="200"/>
      <c r="Y108" s="200"/>
      <c r="Z108" s="105"/>
      <c r="AA108" s="200"/>
      <c r="AB108" s="200"/>
      <c r="AC108" s="200"/>
      <c r="AD108" s="200"/>
      <c r="AE108" s="105"/>
      <c r="AF108" s="200"/>
      <c r="AG108" s="200"/>
      <c r="AH108" s="200"/>
      <c r="AI108" s="200"/>
      <c r="AJ108" s="105"/>
      <c r="AK108" s="200"/>
      <c r="AL108" s="200"/>
      <c r="AM108" s="200"/>
      <c r="AN108" s="200"/>
      <c r="AO108" s="105"/>
      <c r="AP108" s="78">
        <v>4.2999999999999997E-2</v>
      </c>
      <c r="AQ108" s="78">
        <v>-0.09</v>
      </c>
      <c r="AR108" s="78">
        <v>0.11</v>
      </c>
      <c r="AS108" s="78">
        <v>0.15</v>
      </c>
      <c r="AT108" s="47">
        <v>0.05</v>
      </c>
      <c r="AU108" s="759">
        <v>0.12</v>
      </c>
      <c r="AV108" s="200"/>
      <c r="AW108" s="200"/>
      <c r="AX108" s="200"/>
      <c r="AY108" s="105"/>
      <c r="AZ108" s="200"/>
      <c r="BA108" s="200"/>
      <c r="BB108" s="200"/>
      <c r="BC108" s="200"/>
      <c r="BD108" s="105"/>
      <c r="BE108" s="105"/>
      <c r="BF108" s="105"/>
      <c r="BG108" s="105"/>
      <c r="BH108" s="363"/>
    </row>
    <row r="109" spans="1:60" s="262" customFormat="1" hidden="1" outlineLevel="2" x14ac:dyDescent="0.35">
      <c r="A109" s="605" t="s">
        <v>876</v>
      </c>
      <c r="B109" s="465"/>
      <c r="C109" s="479"/>
      <c r="D109" s="479"/>
      <c r="E109" s="479"/>
      <c r="F109" s="479"/>
      <c r="G109" s="457"/>
      <c r="H109" s="457"/>
      <c r="I109" s="457"/>
      <c r="J109" s="457"/>
      <c r="K109" s="479"/>
      <c r="L109" s="457"/>
      <c r="M109" s="457"/>
      <c r="N109" s="457"/>
      <c r="O109" s="457"/>
      <c r="P109" s="479"/>
      <c r="Q109" s="457"/>
      <c r="R109" s="457"/>
      <c r="S109" s="457"/>
      <c r="T109" s="457"/>
      <c r="U109" s="479"/>
      <c r="V109" s="457"/>
      <c r="W109" s="457"/>
      <c r="X109" s="457"/>
      <c r="Y109" s="457"/>
      <c r="Z109" s="479"/>
      <c r="AA109" s="457"/>
      <c r="AB109" s="457"/>
      <c r="AC109" s="457"/>
      <c r="AD109" s="457"/>
      <c r="AE109" s="479"/>
      <c r="AF109" s="457"/>
      <c r="AG109" s="457"/>
      <c r="AH109" s="457"/>
      <c r="AI109" s="457"/>
      <c r="AJ109" s="479"/>
      <c r="AK109" s="457"/>
      <c r="AL109" s="457"/>
      <c r="AM109" s="457"/>
      <c r="AN109" s="457"/>
      <c r="AO109" s="479"/>
      <c r="AP109" s="604">
        <f>AP110-AP108</f>
        <v>-2.0792732166890884E-2</v>
      </c>
      <c r="AQ109" s="604">
        <f t="shared" ref="AQ109:AR109" si="207">AQ110-AQ108</f>
        <v>-2.7495158166559092E-2</v>
      </c>
      <c r="AR109" s="604">
        <f t="shared" si="207"/>
        <v>-2.5831663326653223E-2</v>
      </c>
      <c r="AS109" s="604">
        <f t="shared" ref="AS109:AT109" si="208">AS110-AS108</f>
        <v>-1.9918699186991823E-2</v>
      </c>
      <c r="AT109" s="603">
        <f t="shared" si="208"/>
        <v>-2.1870838881491397E-2</v>
      </c>
      <c r="AU109" s="779">
        <f>AU110-AU108</f>
        <v>-2.8176431863068396E-3</v>
      </c>
      <c r="AV109" s="457"/>
      <c r="AW109" s="457"/>
      <c r="AX109" s="457"/>
      <c r="AY109" s="479"/>
      <c r="AZ109" s="457"/>
      <c r="BA109" s="457"/>
      <c r="BB109" s="457"/>
      <c r="BC109" s="457"/>
      <c r="BD109" s="479"/>
      <c r="BE109" s="479"/>
      <c r="BF109" s="479"/>
      <c r="BG109" s="479"/>
      <c r="BH109" s="363"/>
    </row>
    <row r="110" spans="1:60" s="262" customFormat="1" hidden="1" outlineLevel="1" x14ac:dyDescent="0.35">
      <c r="A110" s="154" t="s">
        <v>873</v>
      </c>
      <c r="B110" s="312"/>
      <c r="C110" s="105"/>
      <c r="D110" s="105"/>
      <c r="E110" s="105"/>
      <c r="F110" s="105"/>
      <c r="G110" s="200"/>
      <c r="H110" s="200"/>
      <c r="I110" s="200"/>
      <c r="J110" s="200"/>
      <c r="K110" s="105"/>
      <c r="L110" s="200"/>
      <c r="M110" s="200"/>
      <c r="N110" s="200"/>
      <c r="O110" s="200"/>
      <c r="P110" s="105"/>
      <c r="Q110" s="200"/>
      <c r="R110" s="200"/>
      <c r="S110" s="200"/>
      <c r="T110" s="200"/>
      <c r="U110" s="105"/>
      <c r="V110" s="200"/>
      <c r="W110" s="200"/>
      <c r="X110" s="200"/>
      <c r="Y110" s="200"/>
      <c r="Z110" s="105"/>
      <c r="AA110" s="200"/>
      <c r="AB110" s="200"/>
      <c r="AC110" s="200"/>
      <c r="AD110" s="200"/>
      <c r="AE110" s="47">
        <f>AE136/Z136-1</f>
        <v>5.025817555938028E-2</v>
      </c>
      <c r="AF110" s="200"/>
      <c r="AG110" s="200"/>
      <c r="AH110" s="200"/>
      <c r="AI110" s="200"/>
      <c r="AJ110" s="47">
        <f t="shared" ref="AJ110" si="209">AJ136/AE136-1</f>
        <v>4.8344804981973022E-2</v>
      </c>
      <c r="AK110" s="78">
        <f t="shared" ref="AK110" si="210">AK136/AF136-1</f>
        <v>-6.9505322479649356E-2</v>
      </c>
      <c r="AL110" s="78">
        <f t="shared" ref="AL110" si="211">AL136/AG136-1</f>
        <v>-8.1257413997627537E-2</v>
      </c>
      <c r="AM110" s="78">
        <f t="shared" ref="AM110" si="212">AM136/AH136-1</f>
        <v>-4.5889101338432159E-2</v>
      </c>
      <c r="AN110" s="78">
        <f t="shared" ref="AN110" si="213">AN136/AI136-1</f>
        <v>-4.4660194174757306E-2</v>
      </c>
      <c r="AO110" s="47">
        <f t="shared" ref="AO110" si="214">AO136/AJ136-1</f>
        <v>-6.0809754572455854E-2</v>
      </c>
      <c r="AP110" s="78">
        <f t="shared" ref="AP110" si="215">AP136/AK136-1</f>
        <v>2.2207267833109112E-2</v>
      </c>
      <c r="AQ110" s="78">
        <f t="shared" ref="AQ110" si="216">AQ136/AL136-1</f>
        <v>-0.11749515816655909</v>
      </c>
      <c r="AR110" s="78">
        <f t="shared" ref="AR110" si="217">AR136/AM136-1</f>
        <v>8.4168336673346777E-2</v>
      </c>
      <c r="AS110" s="78">
        <f t="shared" ref="AS110" si="218">AS136/AN136-1</f>
        <v>0.13008130081300817</v>
      </c>
      <c r="AT110" s="47">
        <f t="shared" ref="AT110:AU110" si="219">AT136/AO136-1</f>
        <v>2.8129161118508605E-2</v>
      </c>
      <c r="AU110" s="761">
        <f t="shared" si="219"/>
        <v>0.11718235681369316</v>
      </c>
      <c r="AV110" s="200"/>
      <c r="AW110" s="200"/>
      <c r="AX110" s="200"/>
      <c r="AY110" s="105"/>
      <c r="AZ110" s="200"/>
      <c r="BA110" s="200"/>
      <c r="BB110" s="200"/>
      <c r="BC110" s="200"/>
      <c r="BD110" s="105"/>
      <c r="BE110" s="105"/>
      <c r="BF110" s="105"/>
      <c r="BG110" s="105"/>
      <c r="BH110" s="363"/>
    </row>
    <row r="111" spans="1:60" s="262" customFormat="1" hidden="1" outlineLevel="2" x14ac:dyDescent="0.35">
      <c r="A111" s="513" t="s">
        <v>446</v>
      </c>
      <c r="B111" s="312"/>
      <c r="C111" s="105"/>
      <c r="D111" s="105"/>
      <c r="E111" s="105"/>
      <c r="F111" s="105"/>
      <c r="G111" s="200"/>
      <c r="H111" s="200"/>
      <c r="I111" s="200"/>
      <c r="J111" s="200"/>
      <c r="K111" s="105"/>
      <c r="L111" s="200"/>
      <c r="M111" s="200"/>
      <c r="N111" s="200"/>
      <c r="O111" s="200"/>
      <c r="P111" s="105"/>
      <c r="Q111" s="200"/>
      <c r="R111" s="200"/>
      <c r="S111" s="200"/>
      <c r="T111" s="200"/>
      <c r="U111" s="105"/>
      <c r="V111" s="200"/>
      <c r="W111" s="200"/>
      <c r="X111" s="200"/>
      <c r="Y111" s="200"/>
      <c r="Z111" s="105"/>
      <c r="AA111" s="200"/>
      <c r="AB111" s="200"/>
      <c r="AC111" s="200"/>
      <c r="AD111" s="200"/>
      <c r="AE111" s="105"/>
      <c r="AF111" s="200"/>
      <c r="AG111" s="200"/>
      <c r="AH111" s="200"/>
      <c r="AI111" s="200"/>
      <c r="AJ111" s="105"/>
      <c r="AK111" s="200"/>
      <c r="AL111" s="78">
        <v>-3.9E-2</v>
      </c>
      <c r="AM111" s="78">
        <v>-8.2000000000000003E-2</v>
      </c>
      <c r="AN111" s="78">
        <v>-0.02</v>
      </c>
      <c r="AO111" s="47">
        <v>-4.2999999999999997E-2</v>
      </c>
      <c r="AP111" s="78">
        <v>-2.3E-2</v>
      </c>
      <c r="AQ111" s="78">
        <v>-0.04</v>
      </c>
      <c r="AR111" s="78">
        <v>-0.02</v>
      </c>
      <c r="AS111" s="78">
        <v>0.02</v>
      </c>
      <c r="AT111" s="47">
        <v>-1.4999999999999999E-2</v>
      </c>
      <c r="AU111" s="759">
        <v>0.09</v>
      </c>
      <c r="AV111" s="200"/>
      <c r="AW111" s="200"/>
      <c r="AX111" s="200"/>
      <c r="AY111" s="105"/>
      <c r="AZ111" s="200"/>
      <c r="BA111" s="200"/>
      <c r="BB111" s="200"/>
      <c r="BC111" s="200"/>
      <c r="BD111" s="105"/>
      <c r="BE111" s="105"/>
      <c r="BF111" s="105"/>
      <c r="BG111" s="105"/>
      <c r="BH111" s="363"/>
    </row>
    <row r="112" spans="1:60" s="262" customFormat="1" hidden="1" outlineLevel="2" x14ac:dyDescent="0.35">
      <c r="A112" s="605" t="s">
        <v>874</v>
      </c>
      <c r="B112" s="465"/>
      <c r="C112" s="479"/>
      <c r="D112" s="479"/>
      <c r="E112" s="479"/>
      <c r="F112" s="479"/>
      <c r="G112" s="457"/>
      <c r="H112" s="457"/>
      <c r="I112" s="457"/>
      <c r="J112" s="457"/>
      <c r="K112" s="479"/>
      <c r="L112" s="457"/>
      <c r="M112" s="457"/>
      <c r="N112" s="457"/>
      <c r="O112" s="457"/>
      <c r="P112" s="479"/>
      <c r="Q112" s="457"/>
      <c r="R112" s="457"/>
      <c r="S112" s="457"/>
      <c r="T112" s="457"/>
      <c r="U112" s="479"/>
      <c r="V112" s="457"/>
      <c r="W112" s="457"/>
      <c r="X112" s="457"/>
      <c r="Y112" s="457"/>
      <c r="Z112" s="479"/>
      <c r="AA112" s="457"/>
      <c r="AB112" s="457"/>
      <c r="AC112" s="457"/>
      <c r="AD112" s="457"/>
      <c r="AE112" s="479"/>
      <c r="AF112" s="457"/>
      <c r="AG112" s="457"/>
      <c r="AH112" s="457"/>
      <c r="AI112" s="457"/>
      <c r="AJ112" s="479"/>
      <c r="AK112" s="457"/>
      <c r="AL112" s="604">
        <f t="shared" ref="AL112" si="220">AL113-AL111</f>
        <v>-5.1909090909090939E-2</v>
      </c>
      <c r="AM112" s="604">
        <f t="shared" ref="AM112" si="221">AM113-AM111</f>
        <v>-2.2060913705583787E-2</v>
      </c>
      <c r="AN112" s="604">
        <f t="shared" ref="AN112" si="222">AN113-AN111</f>
        <v>-1.2763532763532721E-2</v>
      </c>
      <c r="AO112" s="603">
        <f t="shared" ref="AO112" si="223">AO113-AO111</f>
        <v>-3.9284607938044488E-2</v>
      </c>
      <c r="AP112" s="604">
        <f t="shared" ref="AP112" si="224">AP113-AP111</f>
        <v>-2.970092226613965E-2</v>
      </c>
      <c r="AQ112" s="604">
        <f t="shared" ref="AQ112" si="225">AQ113-AQ111</f>
        <v>-2.4285714285714279E-2</v>
      </c>
      <c r="AR112" s="604">
        <f t="shared" ref="AR112:AT112" si="226">AR113-AR111</f>
        <v>0.02</v>
      </c>
      <c r="AS112" s="604">
        <f t="shared" si="226"/>
        <v>4.7746686303387312E-2</v>
      </c>
      <c r="AT112" s="603">
        <f t="shared" si="226"/>
        <v>1.2869198312236291E-3</v>
      </c>
      <c r="AU112" s="779">
        <f t="shared" ref="AU112" si="227">AU113-AU111</f>
        <v>5.4645340751043076E-2</v>
      </c>
      <c r="AV112" s="457"/>
      <c r="AW112" s="457"/>
      <c r="AX112" s="457"/>
      <c r="AY112" s="479"/>
      <c r="AZ112" s="457"/>
      <c r="BA112" s="457"/>
      <c r="BB112" s="457"/>
      <c r="BC112" s="457"/>
      <c r="BD112" s="479"/>
      <c r="BE112" s="479"/>
      <c r="BF112" s="479"/>
      <c r="BG112" s="479"/>
      <c r="BH112" s="363"/>
    </row>
    <row r="113" spans="1:60" s="262" customFormat="1" hidden="1" outlineLevel="1" x14ac:dyDescent="0.35">
      <c r="A113" s="154" t="s">
        <v>913</v>
      </c>
      <c r="B113" s="312"/>
      <c r="C113" s="105"/>
      <c r="D113" s="105"/>
      <c r="E113" s="105"/>
      <c r="F113" s="105"/>
      <c r="G113" s="200"/>
      <c r="H113" s="200"/>
      <c r="I113" s="200"/>
      <c r="J113" s="200"/>
      <c r="K113" s="105"/>
      <c r="L113" s="200"/>
      <c r="M113" s="200"/>
      <c r="N113" s="200"/>
      <c r="O113" s="200"/>
      <c r="P113" s="105"/>
      <c r="Q113" s="200"/>
      <c r="R113" s="200"/>
      <c r="S113" s="200"/>
      <c r="T113" s="200"/>
      <c r="U113" s="105"/>
      <c r="V113" s="200"/>
      <c r="W113" s="200"/>
      <c r="X113" s="200"/>
      <c r="Y113" s="200"/>
      <c r="Z113" s="105"/>
      <c r="AA113" s="200"/>
      <c r="AB113" s="200"/>
      <c r="AC113" s="200"/>
      <c r="AD113" s="200"/>
      <c r="AE113" s="47">
        <f>AE137/Z137-1</f>
        <v>8.7162654996353117E-2</v>
      </c>
      <c r="AF113" s="200"/>
      <c r="AG113" s="200"/>
      <c r="AH113" s="200"/>
      <c r="AI113" s="200"/>
      <c r="AJ113" s="47">
        <f t="shared" ref="AJ113" si="228">AJ137/AE137-1</f>
        <v>3.9584032203958452E-2</v>
      </c>
      <c r="AK113" s="78">
        <f t="shared" ref="AK113" si="229">AK137/AF137-1</f>
        <v>-9.5351609058402897E-2</v>
      </c>
      <c r="AL113" s="78">
        <f t="shared" ref="AL113" si="230">AL137/AG137-1</f>
        <v>-9.0909090909090939E-2</v>
      </c>
      <c r="AM113" s="78">
        <f t="shared" ref="AM113" si="231">AM137/AH137-1</f>
        <v>-0.10406091370558379</v>
      </c>
      <c r="AN113" s="78">
        <f t="shared" ref="AN113" si="232">AN137/AI137-1</f>
        <v>-3.2763532763532721E-2</v>
      </c>
      <c r="AO113" s="47">
        <f t="shared" ref="AO113" si="233">AO137/AJ137-1</f>
        <v>-8.2284607938044485E-2</v>
      </c>
      <c r="AP113" s="78">
        <f t="shared" ref="AP113" si="234">AP137/AK137-1</f>
        <v>-5.2700922266139649E-2</v>
      </c>
      <c r="AQ113" s="78">
        <f t="shared" ref="AQ113" si="235">AQ137/AL137-1</f>
        <v>-6.4285714285714279E-2</v>
      </c>
      <c r="AR113" s="78">
        <f t="shared" ref="AR113" si="236">AR137/AM137-1</f>
        <v>0</v>
      </c>
      <c r="AS113" s="78">
        <f t="shared" ref="AS113" si="237">AS137/AN137-1</f>
        <v>6.7746686303387316E-2</v>
      </c>
      <c r="AT113" s="47">
        <f t="shared" ref="AT113:AU113" si="238">AT137/AO137-1</f>
        <v>-1.371308016877637E-2</v>
      </c>
      <c r="AU113" s="761">
        <f t="shared" si="238"/>
        <v>0.14464534075104307</v>
      </c>
      <c r="AV113" s="200"/>
      <c r="AW113" s="200"/>
      <c r="AX113" s="200"/>
      <c r="AY113" s="105"/>
      <c r="AZ113" s="200"/>
      <c r="BA113" s="200"/>
      <c r="BB113" s="200"/>
      <c r="BC113" s="200"/>
      <c r="BD113" s="105"/>
      <c r="BE113" s="105"/>
      <c r="BF113" s="105"/>
      <c r="BG113" s="105"/>
      <c r="BH113" s="363"/>
    </row>
    <row r="114" spans="1:60" s="262" customFormat="1" hidden="1" outlineLevel="2" x14ac:dyDescent="0.35">
      <c r="A114" s="513" t="s">
        <v>447</v>
      </c>
      <c r="B114" s="312"/>
      <c r="C114" s="105"/>
      <c r="D114" s="105"/>
      <c r="E114" s="105"/>
      <c r="F114" s="105"/>
      <c r="G114" s="200"/>
      <c r="H114" s="200"/>
      <c r="I114" s="200"/>
      <c r="J114" s="200"/>
      <c r="K114" s="105"/>
      <c r="L114" s="200"/>
      <c r="M114" s="200"/>
      <c r="N114" s="200"/>
      <c r="O114" s="200"/>
      <c r="P114" s="105"/>
      <c r="Q114" s="200"/>
      <c r="R114" s="200"/>
      <c r="S114" s="200"/>
      <c r="T114" s="200"/>
      <c r="U114" s="105"/>
      <c r="V114" s="200"/>
      <c r="W114" s="200"/>
      <c r="X114" s="200"/>
      <c r="Y114" s="200"/>
      <c r="Z114" s="105"/>
      <c r="AA114" s="200"/>
      <c r="AB114" s="200"/>
      <c r="AC114" s="200"/>
      <c r="AD114" s="200"/>
      <c r="AE114" s="105"/>
      <c r="AF114" s="200"/>
      <c r="AG114" s="200"/>
      <c r="AH114" s="200"/>
      <c r="AI114" s="200"/>
      <c r="AJ114" s="105"/>
      <c r="AK114" s="200"/>
      <c r="AL114" s="78">
        <v>-0.06</v>
      </c>
      <c r="AM114" s="78">
        <v>1.9E-2</v>
      </c>
      <c r="AN114" s="78">
        <v>-0.04</v>
      </c>
      <c r="AO114" s="47">
        <v>-2.4E-2</v>
      </c>
      <c r="AP114" s="78">
        <v>2.8000000000000001E-2</v>
      </c>
      <c r="AQ114" s="78">
        <v>-0.01</v>
      </c>
      <c r="AR114" s="78">
        <v>0.08</v>
      </c>
      <c r="AS114" s="78">
        <v>0.14000000000000001</v>
      </c>
      <c r="AT114" s="47">
        <v>5.6000000000000001E-2</v>
      </c>
      <c r="AU114" s="759">
        <v>7.0000000000000007E-2</v>
      </c>
      <c r="AV114" s="200"/>
      <c r="AW114" s="200"/>
      <c r="AX114" s="200"/>
      <c r="AY114" s="105"/>
      <c r="AZ114" s="200"/>
      <c r="BA114" s="200"/>
      <c r="BB114" s="200"/>
      <c r="BC114" s="200"/>
      <c r="BD114" s="105"/>
      <c r="BE114" s="105"/>
      <c r="BF114" s="105"/>
      <c r="BG114" s="105"/>
      <c r="BH114" s="363"/>
    </row>
    <row r="115" spans="1:60" s="262" customFormat="1" hidden="1" outlineLevel="2" x14ac:dyDescent="0.35">
      <c r="A115" s="605" t="s">
        <v>877</v>
      </c>
      <c r="B115" s="465"/>
      <c r="C115" s="479"/>
      <c r="D115" s="479"/>
      <c r="E115" s="479"/>
      <c r="F115" s="479"/>
      <c r="G115" s="457"/>
      <c r="H115" s="457"/>
      <c r="I115" s="457"/>
      <c r="J115" s="457"/>
      <c r="K115" s="479"/>
      <c r="L115" s="457"/>
      <c r="M115" s="457"/>
      <c r="N115" s="457"/>
      <c r="O115" s="457"/>
      <c r="P115" s="479"/>
      <c r="Q115" s="457"/>
      <c r="R115" s="457"/>
      <c r="S115" s="457"/>
      <c r="T115" s="457"/>
      <c r="U115" s="479"/>
      <c r="V115" s="457"/>
      <c r="W115" s="457"/>
      <c r="X115" s="457"/>
      <c r="Y115" s="457"/>
      <c r="Z115" s="479"/>
      <c r="AA115" s="457"/>
      <c r="AB115" s="457"/>
      <c r="AC115" s="457"/>
      <c r="AD115" s="457"/>
      <c r="AE115" s="479"/>
      <c r="AF115" s="457"/>
      <c r="AG115" s="457"/>
      <c r="AH115" s="457"/>
      <c r="AI115" s="457"/>
      <c r="AJ115" s="479"/>
      <c r="AK115" s="457"/>
      <c r="AL115" s="604">
        <f t="shared" ref="AL115" si="239">AL116-AL114</f>
        <v>-7.7844611528822105E-2</v>
      </c>
      <c r="AM115" s="604">
        <f t="shared" ref="AM115" si="240">AM116-AM114</f>
        <v>-7.7646616541353394E-2</v>
      </c>
      <c r="AN115" s="604">
        <f t="shared" ref="AN115" si="241">AN116-AN114</f>
        <v>-6.2127659574468121E-2</v>
      </c>
      <c r="AO115" s="603">
        <f t="shared" ref="AO115" si="242">AO116-AO114</f>
        <v>-8.7629456847717418E-2</v>
      </c>
      <c r="AP115" s="604">
        <f t="shared" ref="AP115" si="243">AP116-AP114</f>
        <v>-5.7207232267037583E-2</v>
      </c>
      <c r="AQ115" s="604">
        <f t="shared" ref="AQ115" si="244">AQ116-AQ114</f>
        <v>-5.2499999999999998E-2</v>
      </c>
      <c r="AR115" s="604">
        <f t="shared" ref="AR115:AT115" si="245">AR116-AR114</f>
        <v>3.0223642172524004E-2</v>
      </c>
      <c r="AS115" s="604">
        <f t="shared" si="245"/>
        <v>4.9573459715639756E-2</v>
      </c>
      <c r="AT115" s="603">
        <f t="shared" si="245"/>
        <v>-9.1132783195799275E-3</v>
      </c>
      <c r="AU115" s="779">
        <f t="shared" ref="AU115" si="246">AU116-AU114</f>
        <v>8.6160458452722077E-2</v>
      </c>
      <c r="AV115" s="457"/>
      <c r="AW115" s="457"/>
      <c r="AX115" s="457"/>
      <c r="AY115" s="479"/>
      <c r="AZ115" s="457"/>
      <c r="BA115" s="457"/>
      <c r="BB115" s="457"/>
      <c r="BC115" s="457"/>
      <c r="BD115" s="479"/>
      <c r="BE115" s="479"/>
      <c r="BF115" s="479"/>
      <c r="BG115" s="479"/>
      <c r="BH115" s="363"/>
    </row>
    <row r="116" spans="1:60" s="262" customFormat="1" hidden="1" outlineLevel="1" x14ac:dyDescent="0.35">
      <c r="A116" s="589" t="s">
        <v>878</v>
      </c>
      <c r="B116" s="465"/>
      <c r="C116" s="479"/>
      <c r="D116" s="479"/>
      <c r="E116" s="479"/>
      <c r="F116" s="479"/>
      <c r="G116" s="457"/>
      <c r="H116" s="457"/>
      <c r="I116" s="457"/>
      <c r="J116" s="457"/>
      <c r="K116" s="479"/>
      <c r="L116" s="457"/>
      <c r="M116" s="457"/>
      <c r="N116" s="457"/>
      <c r="O116" s="457"/>
      <c r="P116" s="479"/>
      <c r="Q116" s="457"/>
      <c r="R116" s="457"/>
      <c r="S116" s="457"/>
      <c r="T116" s="457"/>
      <c r="U116" s="479"/>
      <c r="V116" s="457"/>
      <c r="W116" s="457"/>
      <c r="X116" s="457"/>
      <c r="Y116" s="457"/>
      <c r="Z116" s="479"/>
      <c r="AA116" s="457"/>
      <c r="AB116" s="457"/>
      <c r="AC116" s="457"/>
      <c r="AD116" s="457"/>
      <c r="AE116" s="603">
        <f>AE138/Z138-1</f>
        <v>7.8977059044753606E-2</v>
      </c>
      <c r="AF116" s="457"/>
      <c r="AG116" s="457"/>
      <c r="AH116" s="457"/>
      <c r="AI116" s="457"/>
      <c r="AJ116" s="603">
        <f t="shared" ref="AJ116" si="247">AJ138/AE138-1</f>
        <v>4.6009062391076938E-2</v>
      </c>
      <c r="AK116" s="604">
        <f t="shared" ref="AK116" si="248">AK138/AF138-1</f>
        <v>-0.13685474189675872</v>
      </c>
      <c r="AL116" s="604">
        <f t="shared" ref="AL116" si="249">AL138/AG138-1</f>
        <v>-0.1378446115288221</v>
      </c>
      <c r="AM116" s="604">
        <f t="shared" ref="AM116" si="250">AM138/AH138-1</f>
        <v>-5.8646616541353391E-2</v>
      </c>
      <c r="AN116" s="604">
        <f t="shared" ref="AN116" si="251">AN138/AI138-1</f>
        <v>-0.10212765957446812</v>
      </c>
      <c r="AO116" s="603">
        <f t="shared" ref="AO116" si="252">AO138/AJ138-1</f>
        <v>-0.11162945684771741</v>
      </c>
      <c r="AP116" s="604">
        <f t="shared" ref="AP116" si="253">AP138/AK138-1</f>
        <v>-2.9207232267037586E-2</v>
      </c>
      <c r="AQ116" s="604">
        <f t="shared" ref="AQ116" si="254">AQ138/AL138-1</f>
        <v>-6.25E-2</v>
      </c>
      <c r="AR116" s="604">
        <f t="shared" ref="AR116" si="255">AR138/AM138-1</f>
        <v>0.11022364217252401</v>
      </c>
      <c r="AS116" s="604">
        <f t="shared" ref="AS116" si="256">AS138/AN138-1</f>
        <v>0.18957345971563977</v>
      </c>
      <c r="AT116" s="603">
        <f t="shared" ref="AT116:AU116" si="257">AT138/AO138-1</f>
        <v>4.6886721680420074E-2</v>
      </c>
      <c r="AU116" s="779">
        <f t="shared" si="257"/>
        <v>0.15616045845272208</v>
      </c>
      <c r="AV116" s="457"/>
      <c r="AW116" s="457"/>
      <c r="AX116" s="457"/>
      <c r="AY116" s="479"/>
      <c r="AZ116" s="457"/>
      <c r="BA116" s="457"/>
      <c r="BB116" s="457"/>
      <c r="BC116" s="457"/>
      <c r="BD116" s="479"/>
      <c r="BE116" s="479"/>
      <c r="BF116" s="479"/>
      <c r="BG116" s="479"/>
      <c r="BH116" s="363"/>
    </row>
    <row r="117" spans="1:60" s="225" customFormat="1" hidden="1" outlineLevel="1" x14ac:dyDescent="0.35">
      <c r="A117" s="227" t="s">
        <v>879</v>
      </c>
      <c r="B117" s="176"/>
      <c r="C117" s="113"/>
      <c r="D117" s="113"/>
      <c r="E117" s="113"/>
      <c r="F117" s="113"/>
      <c r="G117" s="177"/>
      <c r="H117" s="177"/>
      <c r="I117" s="177"/>
      <c r="J117" s="177"/>
      <c r="K117" s="113"/>
      <c r="L117" s="177"/>
      <c r="M117" s="177"/>
      <c r="N117" s="177"/>
      <c r="O117" s="177"/>
      <c r="P117" s="113"/>
      <c r="Q117" s="177"/>
      <c r="R117" s="177"/>
      <c r="S117" s="177"/>
      <c r="T117" s="177"/>
      <c r="U117" s="113"/>
      <c r="V117" s="177"/>
      <c r="W117" s="177"/>
      <c r="X117" s="177"/>
      <c r="Y117" s="177"/>
      <c r="Z117" s="113"/>
      <c r="AA117" s="226">
        <f t="shared" ref="AA117:AO117" si="258">AA140/V140-1</f>
        <v>3.0088495575221197E-2</v>
      </c>
      <c r="AB117" s="226">
        <f t="shared" si="258"/>
        <v>1.3508832698302831E-2</v>
      </c>
      <c r="AC117" s="226">
        <f t="shared" si="258"/>
        <v>6.6666666666666652E-2</v>
      </c>
      <c r="AD117" s="226">
        <f t="shared" si="258"/>
        <v>0.15623829149494184</v>
      </c>
      <c r="AE117" s="223">
        <f t="shared" si="258"/>
        <v>6.5085592011412174E-2</v>
      </c>
      <c r="AF117" s="226">
        <f t="shared" si="258"/>
        <v>0.12302405498281788</v>
      </c>
      <c r="AG117" s="226">
        <f t="shared" si="258"/>
        <v>0.11175666438824328</v>
      </c>
      <c r="AH117" s="226">
        <f t="shared" si="258"/>
        <v>-9.9206349206348854E-4</v>
      </c>
      <c r="AI117" s="226">
        <f t="shared" si="258"/>
        <v>-4.3421905379131598E-2</v>
      </c>
      <c r="AJ117" s="223">
        <f t="shared" si="258"/>
        <v>4.5873095596852487E-2</v>
      </c>
      <c r="AK117" s="226">
        <f t="shared" si="258"/>
        <v>-9.3329253365973086E-2</v>
      </c>
      <c r="AL117" s="226">
        <f t="shared" si="258"/>
        <v>-9.7141100522594503E-2</v>
      </c>
      <c r="AM117" s="226">
        <f t="shared" si="258"/>
        <v>-6.3555114200595786E-2</v>
      </c>
      <c r="AN117" s="226">
        <f t="shared" si="258"/>
        <v>-5.657181571815717E-2</v>
      </c>
      <c r="AO117" s="223">
        <f t="shared" si="258"/>
        <v>-7.8437650072034626E-2</v>
      </c>
      <c r="AP117" s="226">
        <f t="shared" ref="AP117" si="259">AP140/AK140-1</f>
        <v>-9.4498818764765513E-3</v>
      </c>
      <c r="AQ117" s="226">
        <f t="shared" ref="AQ117" si="260">AQ140/AL140-1</f>
        <v>-9.1590057882192766E-2</v>
      </c>
      <c r="AR117" s="226">
        <f t="shared" ref="AR117" si="261">AR140/AM140-1</f>
        <v>6.892895015906686E-2</v>
      </c>
      <c r="AS117" s="226">
        <f t="shared" ref="AS117" si="262">AS140/AN140-1</f>
        <v>0.12746858168761221</v>
      </c>
      <c r="AT117" s="223">
        <f t="shared" ref="AT117" si="263">AT140/AO140-1</f>
        <v>2.197324995657457E-2</v>
      </c>
      <c r="AU117" s="773">
        <f>+AU132/AU126-1</f>
        <v>0.1366586949094637</v>
      </c>
      <c r="AV117" s="177"/>
      <c r="AW117" s="177"/>
      <c r="AX117" s="177"/>
      <c r="AY117" s="113"/>
      <c r="AZ117" s="226">
        <f>AZ140/AU140-1</f>
        <v>7.0000000000000062E-2</v>
      </c>
      <c r="BA117" s="226">
        <f>BA140/AV140-1</f>
        <v>7.0000000000000062E-2</v>
      </c>
      <c r="BB117" s="226">
        <f>BB140/AW140-1</f>
        <v>7.0000000000000062E-2</v>
      </c>
      <c r="BC117" s="226">
        <f>BC140/AX140-1</f>
        <v>6.999999999999984E-2</v>
      </c>
      <c r="BD117" s="223">
        <f>BD140/AY140-1</f>
        <v>7.0000000000000062E-2</v>
      </c>
      <c r="BE117" s="223">
        <f>BE140/BD140-1</f>
        <v>7.0000000000000062E-2</v>
      </c>
      <c r="BF117" s="223">
        <f>BF140/BE140-1</f>
        <v>7.0000000000000062E-2</v>
      </c>
      <c r="BG117" s="223">
        <f>BG140/BF140-1</f>
        <v>7.0000000000000062E-2</v>
      </c>
      <c r="BH117" s="94"/>
    </row>
    <row r="118" spans="1:60" s="262" customFormat="1" hidden="1" outlineLevel="1" x14ac:dyDescent="0.35">
      <c r="A118" s="514"/>
      <c r="B118" s="312"/>
      <c r="C118" s="105"/>
      <c r="D118" s="105"/>
      <c r="E118" s="105"/>
      <c r="F118" s="105"/>
      <c r="G118" s="200"/>
      <c r="H118" s="200"/>
      <c r="I118" s="200"/>
      <c r="J118" s="200"/>
      <c r="K118" s="105"/>
      <c r="L118" s="200"/>
      <c r="M118" s="200"/>
      <c r="N118" s="200"/>
      <c r="O118" s="200"/>
      <c r="P118" s="105"/>
      <c r="Q118" s="200"/>
      <c r="R118" s="200"/>
      <c r="S118" s="200"/>
      <c r="T118" s="200"/>
      <c r="U118" s="105"/>
      <c r="V118" s="200"/>
      <c r="W118" s="200"/>
      <c r="X118" s="200"/>
      <c r="Y118" s="200"/>
      <c r="Z118" s="105"/>
      <c r="AA118" s="200"/>
      <c r="AB118" s="200"/>
      <c r="AC118" s="200"/>
      <c r="AD118" s="200"/>
      <c r="AE118" s="105"/>
      <c r="AF118" s="200"/>
      <c r="AG118" s="200"/>
      <c r="AH118" s="200"/>
      <c r="AI118" s="200"/>
      <c r="AJ118" s="105"/>
      <c r="AK118" s="200"/>
      <c r="AL118" s="200"/>
      <c r="AM118" s="200"/>
      <c r="AN118" s="200"/>
      <c r="AO118" s="105"/>
      <c r="AP118" s="200"/>
      <c r="AQ118" s="200"/>
      <c r="AR118" s="200"/>
      <c r="AS118" s="200"/>
      <c r="AT118" s="105"/>
      <c r="AU118" s="761"/>
      <c r="AV118" s="200"/>
      <c r="AW118" s="200"/>
      <c r="AX118" s="200"/>
      <c r="AY118" s="105"/>
      <c r="AZ118" s="200"/>
      <c r="BA118" s="200"/>
      <c r="BB118" s="200"/>
      <c r="BC118" s="200"/>
      <c r="BD118" s="105"/>
      <c r="BE118" s="105"/>
      <c r="BF118" s="105"/>
      <c r="BG118" s="105"/>
      <c r="BH118" s="363"/>
    </row>
    <row r="119" spans="1:60" s="262" customFormat="1" hidden="1" outlineLevel="1" x14ac:dyDescent="0.35">
      <c r="A119" s="311" t="s">
        <v>395</v>
      </c>
      <c r="B119" s="312"/>
      <c r="C119" s="105"/>
      <c r="D119" s="105"/>
      <c r="E119" s="105"/>
      <c r="F119" s="105"/>
      <c r="G119" s="200"/>
      <c r="H119" s="200"/>
      <c r="I119" s="200"/>
      <c r="J119" s="200"/>
      <c r="K119" s="105"/>
      <c r="L119" s="200"/>
      <c r="M119" s="200"/>
      <c r="N119" s="200"/>
      <c r="O119" s="200"/>
      <c r="P119" s="105"/>
      <c r="Q119" s="200"/>
      <c r="R119" s="200"/>
      <c r="S119" s="200"/>
      <c r="T119" s="200"/>
      <c r="U119" s="105"/>
      <c r="V119" s="200"/>
      <c r="W119" s="200"/>
      <c r="X119" s="200"/>
      <c r="Y119" s="200"/>
      <c r="Z119" s="105"/>
      <c r="AA119" s="200">
        <v>4.5999999999999999E-2</v>
      </c>
      <c r="AB119" s="200">
        <v>2.9000000000000001E-2</v>
      </c>
      <c r="AC119" s="200">
        <v>6.8000000000000005E-2</v>
      </c>
      <c r="AD119" s="200">
        <v>8.2000000000000003E-2</v>
      </c>
      <c r="AE119" s="105">
        <f>AE127/AE$126</f>
        <v>5.5751694008559192E-2</v>
      </c>
      <c r="AF119" s="200">
        <v>2.9000000000000001E-2</v>
      </c>
      <c r="AG119" s="200">
        <v>6.2E-2</v>
      </c>
      <c r="AH119" s="200">
        <v>7.0000000000000001E-3</v>
      </c>
      <c r="AI119" s="200">
        <v>1.6E-2</v>
      </c>
      <c r="AJ119" s="105">
        <f>AJ127/AJ$126</f>
        <v>2.8155533232881301E-2</v>
      </c>
      <c r="AK119" s="200">
        <v>-2.1000000000000001E-2</v>
      </c>
      <c r="AL119" s="200">
        <v>-0.05</v>
      </c>
      <c r="AM119" s="200">
        <v>-3.3000000000000002E-2</v>
      </c>
      <c r="AN119" s="200">
        <v>-2.8000000000000001E-2</v>
      </c>
      <c r="AO119" s="105">
        <f>AO127/AO$126</f>
        <v>-3.310605090443413E-2</v>
      </c>
      <c r="AP119" s="200">
        <v>2.1999999999999999E-2</v>
      </c>
      <c r="AQ119" s="200">
        <v>-6.0999999999999999E-2</v>
      </c>
      <c r="AR119" s="200">
        <v>6.9000000000000006E-2</v>
      </c>
      <c r="AS119" s="200">
        <v>0.114</v>
      </c>
      <c r="AT119" s="105">
        <f>AT127/AT$126</f>
        <v>3.4629147125238839E-2</v>
      </c>
      <c r="AU119" s="761">
        <v>0.10299999999999999</v>
      </c>
      <c r="AV119" s="200"/>
      <c r="AW119" s="200"/>
      <c r="AX119" s="200"/>
      <c r="AY119" s="105"/>
      <c r="AZ119" s="942">
        <f>Drivers!AZ34</f>
        <v>0.05</v>
      </c>
      <c r="BA119" s="942">
        <f>Drivers!BA34</f>
        <v>0.05</v>
      </c>
      <c r="BB119" s="942">
        <f>Drivers!BB34</f>
        <v>0.05</v>
      </c>
      <c r="BC119" s="942">
        <f>Drivers!BC34</f>
        <v>0.05</v>
      </c>
      <c r="BD119" s="105">
        <f>BD127/BD$126</f>
        <v>0.05</v>
      </c>
      <c r="BE119" s="942">
        <f>Drivers!BE34</f>
        <v>0.05</v>
      </c>
      <c r="BF119" s="942">
        <f>Drivers!BF34</f>
        <v>0.05</v>
      </c>
      <c r="BG119" s="942">
        <f>Drivers!BG34</f>
        <v>0.05</v>
      </c>
      <c r="BH119" s="363"/>
    </row>
    <row r="120" spans="1:60" s="262" customFormat="1" hidden="1" outlineLevel="1" x14ac:dyDescent="0.35">
      <c r="A120" s="311" t="s">
        <v>413</v>
      </c>
      <c r="B120" s="312"/>
      <c r="C120" s="105"/>
      <c r="D120" s="105"/>
      <c r="E120" s="105"/>
      <c r="F120" s="105"/>
      <c r="G120" s="200"/>
      <c r="H120" s="200"/>
      <c r="I120" s="200"/>
      <c r="J120" s="200"/>
      <c r="K120" s="105"/>
      <c r="L120" s="200"/>
      <c r="M120" s="200"/>
      <c r="N120" s="200"/>
      <c r="O120" s="200"/>
      <c r="P120" s="105"/>
      <c r="Q120" s="200"/>
      <c r="R120" s="200"/>
      <c r="S120" s="200"/>
      <c r="T120" s="200"/>
      <c r="U120" s="105"/>
      <c r="V120" s="200"/>
      <c r="W120" s="200"/>
      <c r="X120" s="200"/>
      <c r="Y120" s="200"/>
      <c r="Z120" s="105"/>
      <c r="AA120" s="200"/>
      <c r="AB120" s="200"/>
      <c r="AC120" s="200"/>
      <c r="AD120" s="200">
        <v>4.8000000000000001E-2</v>
      </c>
      <c r="AE120" s="105">
        <f>AE128/AE$126</f>
        <v>1.1422253922967189E-2</v>
      </c>
      <c r="AF120" s="200">
        <v>4.9000000000000002E-2</v>
      </c>
      <c r="AG120" s="200">
        <v>5.3999999999999999E-2</v>
      </c>
      <c r="AH120" s="200">
        <v>4.5999999999999999E-2</v>
      </c>
      <c r="AI120" s="200"/>
      <c r="AJ120" s="105">
        <f>AJ128/AJ$126</f>
        <v>3.6807132094424912E-2</v>
      </c>
      <c r="AK120" s="200"/>
      <c r="AL120" s="200"/>
      <c r="AM120" s="200"/>
      <c r="AN120" s="200"/>
      <c r="AO120" s="105">
        <f>AO128/AO$126</f>
        <v>0</v>
      </c>
      <c r="AP120" s="200"/>
      <c r="AQ120" s="200"/>
      <c r="AR120" s="200"/>
      <c r="AS120" s="200"/>
      <c r="AT120" s="105">
        <f>AT128/AT$126</f>
        <v>0</v>
      </c>
      <c r="AU120" s="761"/>
      <c r="AV120" s="200"/>
      <c r="AW120" s="200"/>
      <c r="AX120" s="200"/>
      <c r="AY120" s="105"/>
      <c r="AZ120" s="942">
        <f>Drivers!AZ35</f>
        <v>0</v>
      </c>
      <c r="BA120" s="942">
        <f>Drivers!BA35</f>
        <v>0</v>
      </c>
      <c r="BB120" s="942">
        <f>Drivers!BB35</f>
        <v>0</v>
      </c>
      <c r="BC120" s="942">
        <f>Drivers!BC35</f>
        <v>0</v>
      </c>
      <c r="BD120" s="105">
        <f>BD128/BD$126</f>
        <v>0</v>
      </c>
      <c r="BE120" s="942">
        <f>Drivers!BE35</f>
        <v>0</v>
      </c>
      <c r="BF120" s="942">
        <f>Drivers!BF35</f>
        <v>0</v>
      </c>
      <c r="BG120" s="942">
        <f>Drivers!BG35</f>
        <v>0</v>
      </c>
      <c r="BH120" s="363"/>
    </row>
    <row r="121" spans="1:60" s="262" customFormat="1" hidden="1" outlineLevel="1" x14ac:dyDescent="0.35">
      <c r="A121" s="311" t="s">
        <v>414</v>
      </c>
      <c r="B121" s="312"/>
      <c r="C121" s="105"/>
      <c r="D121" s="105"/>
      <c r="E121" s="105"/>
      <c r="F121" s="105"/>
      <c r="G121" s="200"/>
      <c r="H121" s="200"/>
      <c r="I121" s="200"/>
      <c r="J121" s="200"/>
      <c r="K121" s="105"/>
      <c r="L121" s="200"/>
      <c r="M121" s="200"/>
      <c r="N121" s="200"/>
      <c r="O121" s="200"/>
      <c r="P121" s="105"/>
      <c r="Q121" s="200"/>
      <c r="R121" s="200"/>
      <c r="S121" s="200"/>
      <c r="T121" s="200"/>
      <c r="U121" s="105"/>
      <c r="V121" s="200"/>
      <c r="W121" s="200"/>
      <c r="X121" s="200"/>
      <c r="Y121" s="200"/>
      <c r="Z121" s="105"/>
      <c r="AA121" s="200">
        <v>-1.0999999999999999E-2</v>
      </c>
      <c r="AB121" s="200">
        <v>-0.01</v>
      </c>
      <c r="AC121" s="200">
        <v>-0.01</v>
      </c>
      <c r="AD121" s="200">
        <v>-5.0000000000000001E-3</v>
      </c>
      <c r="AE121" s="105">
        <f>AE129/AE$126</f>
        <v>-9.0620542082738946E-3</v>
      </c>
      <c r="AF121" s="200">
        <v>-2E-3</v>
      </c>
      <c r="AG121" s="200">
        <v>-1.4E-2</v>
      </c>
      <c r="AH121" s="200">
        <v>-3.3000000000000002E-2</v>
      </c>
      <c r="AI121" s="200">
        <v>-3.2000000000000001E-2</v>
      </c>
      <c r="AJ121" s="105">
        <f>AJ129/AJ$126</f>
        <v>-2.0536413862380712E-2</v>
      </c>
      <c r="AK121" s="200">
        <v>-2.7E-2</v>
      </c>
      <c r="AL121" s="200">
        <v>-1.9E-2</v>
      </c>
      <c r="AM121" s="200">
        <v>-8.0000000000000002E-3</v>
      </c>
      <c r="AN121" s="200">
        <v>-1.4E-2</v>
      </c>
      <c r="AO121" s="105">
        <f>AO129/AO$126</f>
        <v>-1.7251400672322715E-2</v>
      </c>
      <c r="AP121" s="200">
        <v>-0.01</v>
      </c>
      <c r="AQ121" s="200">
        <v>-8.9999999999999993E-3</v>
      </c>
      <c r="AR121" s="200">
        <v>-4.0000000000000001E-3</v>
      </c>
      <c r="AS121" s="200">
        <v>0</v>
      </c>
      <c r="AT121" s="105">
        <f>AT129/AT$126</f>
        <v>-5.8519194024665615E-3</v>
      </c>
      <c r="AU121" s="761"/>
      <c r="AV121" s="200"/>
      <c r="AW121" s="200"/>
      <c r="AX121" s="200"/>
      <c r="AY121" s="105"/>
      <c r="AZ121" s="942">
        <f>Drivers!AZ36</f>
        <v>0</v>
      </c>
      <c r="BA121" s="942">
        <f>Drivers!BA36</f>
        <v>0</v>
      </c>
      <c r="BB121" s="942">
        <f>Drivers!BB36</f>
        <v>0</v>
      </c>
      <c r="BC121" s="942">
        <f>Drivers!BC36</f>
        <v>0</v>
      </c>
      <c r="BD121" s="105">
        <f>BD129/BD$126</f>
        <v>0</v>
      </c>
      <c r="BE121" s="942">
        <f>Drivers!BE36</f>
        <v>0</v>
      </c>
      <c r="BF121" s="942">
        <f>Drivers!BF36</f>
        <v>0</v>
      </c>
      <c r="BG121" s="942">
        <f>Drivers!BG36</f>
        <v>0</v>
      </c>
      <c r="BH121" s="363"/>
    </row>
    <row r="122" spans="1:60" s="262" customFormat="1" hidden="1" outlineLevel="1" x14ac:dyDescent="0.35">
      <c r="A122" s="311" t="s">
        <v>415</v>
      </c>
      <c r="B122" s="312"/>
      <c r="C122" s="105"/>
      <c r="D122" s="105"/>
      <c r="E122" s="105"/>
      <c r="F122" s="105"/>
      <c r="G122" s="200"/>
      <c r="H122" s="200"/>
      <c r="I122" s="200"/>
      <c r="J122" s="200"/>
      <c r="K122" s="105"/>
      <c r="L122" s="200"/>
      <c r="M122" s="200"/>
      <c r="N122" s="200"/>
      <c r="O122" s="200"/>
      <c r="P122" s="105"/>
      <c r="Q122" s="200"/>
      <c r="R122" s="200"/>
      <c r="S122" s="200"/>
      <c r="T122" s="200"/>
      <c r="U122" s="105"/>
      <c r="V122" s="200"/>
      <c r="W122" s="200"/>
      <c r="X122" s="200"/>
      <c r="Y122" s="200"/>
      <c r="Z122" s="105"/>
      <c r="AA122" s="200">
        <v>-5.0000000000000001E-3</v>
      </c>
      <c r="AB122" s="200">
        <v>-6.0000000000000001E-3</v>
      </c>
      <c r="AC122" s="200">
        <v>8.9999999999999993E-3</v>
      </c>
      <c r="AD122" s="200">
        <v>3.1E-2</v>
      </c>
      <c r="AE122" s="105">
        <f>AE130/AE$126</f>
        <v>6.8479850213980032E-3</v>
      </c>
      <c r="AF122" s="200">
        <v>4.7E-2</v>
      </c>
      <c r="AG122" s="200">
        <v>0.01</v>
      </c>
      <c r="AH122" s="200">
        <v>-2.1000000000000001E-2</v>
      </c>
      <c r="AI122" s="200">
        <v>-2.7E-2</v>
      </c>
      <c r="AJ122" s="105">
        <f>AJ130/AJ$126</f>
        <v>1.6075673865729109E-3</v>
      </c>
      <c r="AK122" s="200">
        <v>-3.7999999999999999E-2</v>
      </c>
      <c r="AL122" s="200">
        <v>-2.1000000000000001E-2</v>
      </c>
      <c r="AM122" s="200">
        <v>-1.6E-2</v>
      </c>
      <c r="AN122" s="200">
        <v>-6.0000000000000001E-3</v>
      </c>
      <c r="AO122" s="105">
        <f>AO130/AO$126</f>
        <v>-2.0693532895789981E-2</v>
      </c>
      <c r="AP122" s="200">
        <v>-2.1999999999999999E-2</v>
      </c>
      <c r="AQ122" s="200">
        <v>-2.1999999999999999E-2</v>
      </c>
      <c r="AR122" s="200">
        <v>4.0000000000000001E-3</v>
      </c>
      <c r="AS122" s="200">
        <v>1.2999999999999999E-2</v>
      </c>
      <c r="AT122" s="105">
        <f>AT130/AT$126</f>
        <v>-7.1459961785652233E-3</v>
      </c>
      <c r="AU122" s="761">
        <v>3.4000000000000002E-2</v>
      </c>
      <c r="AV122" s="200"/>
      <c r="AW122" s="200"/>
      <c r="AX122" s="200"/>
      <c r="AY122" s="105"/>
      <c r="AZ122" s="942">
        <f>Drivers!AZ37</f>
        <v>0.02</v>
      </c>
      <c r="BA122" s="942">
        <f>Drivers!BA37</f>
        <v>0.02</v>
      </c>
      <c r="BB122" s="942">
        <f>Drivers!BB37</f>
        <v>0.02</v>
      </c>
      <c r="BC122" s="942">
        <f>Drivers!BC37</f>
        <v>0.02</v>
      </c>
      <c r="BD122" s="105">
        <f>BD130/BD$126</f>
        <v>1.9999999999999997E-2</v>
      </c>
      <c r="BE122" s="942">
        <f>Drivers!BE37</f>
        <v>1.9999999999999997E-2</v>
      </c>
      <c r="BF122" s="942">
        <f>Drivers!BF37</f>
        <v>1.9999999999999997E-2</v>
      </c>
      <c r="BG122" s="942">
        <f>Drivers!BG37</f>
        <v>1.9999999999999997E-2</v>
      </c>
      <c r="BH122" s="363"/>
    </row>
    <row r="123" spans="1:60" s="262" customFormat="1" hidden="1" outlineLevel="1" x14ac:dyDescent="0.35">
      <c r="A123" s="311" t="s">
        <v>444</v>
      </c>
      <c r="B123" s="312"/>
      <c r="C123" s="105"/>
      <c r="D123" s="105"/>
      <c r="E123" s="105"/>
      <c r="F123" s="105"/>
      <c r="G123" s="200"/>
      <c r="H123" s="200"/>
      <c r="I123" s="200"/>
      <c r="J123" s="200"/>
      <c r="K123" s="105"/>
      <c r="L123" s="200"/>
      <c r="M123" s="200"/>
      <c r="N123" s="200"/>
      <c r="O123" s="200"/>
      <c r="P123" s="105"/>
      <c r="Q123" s="200"/>
      <c r="R123" s="200"/>
      <c r="S123" s="200"/>
      <c r="T123" s="200"/>
      <c r="U123" s="105"/>
      <c r="V123" s="200"/>
      <c r="W123" s="200"/>
      <c r="X123" s="200"/>
      <c r="Y123" s="200"/>
      <c r="Z123" s="105"/>
      <c r="AA123" s="200">
        <f t="shared" ref="AA123:AJ123" si="264">AA124-SUM(AA119:AA122)</f>
        <v>8.8495575221194528E-5</v>
      </c>
      <c r="AB123" s="200">
        <f t="shared" si="264"/>
        <v>5.0883269830282775E-4</v>
      </c>
      <c r="AC123" s="200">
        <f t="shared" si="264"/>
        <v>-3.3333333333335213E-4</v>
      </c>
      <c r="AD123" s="200">
        <f t="shared" si="264"/>
        <v>2.382914949418391E-4</v>
      </c>
      <c r="AE123" s="105">
        <f t="shared" si="264"/>
        <v>1.2571326676168171E-4</v>
      </c>
      <c r="AF123" s="200">
        <f t="shared" si="264"/>
        <v>2.4054982817878212E-5</v>
      </c>
      <c r="AG123" s="200">
        <f t="shared" si="264"/>
        <v>-2.4333561175671203E-4</v>
      </c>
      <c r="AH123" s="200">
        <f t="shared" si="264"/>
        <v>7.9365079365158187E-6</v>
      </c>
      <c r="AI123" s="200">
        <f t="shared" si="264"/>
        <v>-4.2190537913160131E-4</v>
      </c>
      <c r="AJ123" s="105">
        <f t="shared" si="264"/>
        <v>-1.6072325464592391E-4</v>
      </c>
      <c r="AK123" s="200"/>
      <c r="AL123" s="200"/>
      <c r="AM123" s="200"/>
      <c r="AN123" s="200"/>
      <c r="AO123" s="105"/>
      <c r="AP123" s="200">
        <f t="shared" ref="AP123:AU123" si="265">AP124-SUM(AP119:AP122)</f>
        <v>5.501181235234489E-4</v>
      </c>
      <c r="AQ123" s="200">
        <f t="shared" si="265"/>
        <v>4.0994211780723266E-4</v>
      </c>
      <c r="AR123" s="200">
        <f t="shared" si="265"/>
        <v>-7.1049840933146147E-5</v>
      </c>
      <c r="AS123" s="200">
        <f t="shared" si="265"/>
        <v>4.6858168761221286E-4</v>
      </c>
      <c r="AT123" s="105">
        <f t="shared" si="265"/>
        <v>3.4201841236751462E-4</v>
      </c>
      <c r="AU123" s="761">
        <f t="shared" si="265"/>
        <v>-3.4130509053631464E-4</v>
      </c>
      <c r="AV123" s="200"/>
      <c r="AW123" s="200"/>
      <c r="AX123" s="200"/>
      <c r="AY123" s="105"/>
      <c r="AZ123" s="942">
        <f>Drivers!AZ38</f>
        <v>0</v>
      </c>
      <c r="BA123" s="942">
        <f>Drivers!BA38</f>
        <v>0</v>
      </c>
      <c r="BB123" s="942">
        <f>Drivers!BB38</f>
        <v>0</v>
      </c>
      <c r="BC123" s="942">
        <f>Drivers!BC38</f>
        <v>0</v>
      </c>
      <c r="BD123" s="105">
        <f>BD131/BD$126</f>
        <v>0</v>
      </c>
      <c r="BE123" s="942">
        <f>Drivers!BE38</f>
        <v>0</v>
      </c>
      <c r="BF123" s="942">
        <f>Drivers!BF38</f>
        <v>0</v>
      </c>
      <c r="BG123" s="942">
        <f>Drivers!BG38</f>
        <v>0</v>
      </c>
      <c r="BH123" s="363"/>
    </row>
    <row r="124" spans="1:60" s="225" customFormat="1" hidden="1" outlineLevel="1" x14ac:dyDescent="0.35">
      <c r="A124" s="313" t="s">
        <v>393</v>
      </c>
      <c r="B124" s="180"/>
      <c r="C124" s="107"/>
      <c r="D124" s="107"/>
      <c r="E124" s="107"/>
      <c r="F124" s="107"/>
      <c r="G124" s="106"/>
      <c r="H124" s="106"/>
      <c r="I124" s="106"/>
      <c r="J124" s="106"/>
      <c r="K124" s="107"/>
      <c r="L124" s="106"/>
      <c r="M124" s="106"/>
      <c r="N124" s="106"/>
      <c r="O124" s="106"/>
      <c r="P124" s="107"/>
      <c r="Q124" s="106"/>
      <c r="R124" s="106"/>
      <c r="S124" s="106"/>
      <c r="T124" s="106"/>
      <c r="U124" s="107"/>
      <c r="V124" s="106"/>
      <c r="W124" s="106"/>
      <c r="X124" s="106"/>
      <c r="Y124" s="106"/>
      <c r="Z124" s="107"/>
      <c r="AA124" s="106">
        <f t="shared" ref="AA124:AQ124" si="266">+AA132/AA126-1</f>
        <v>3.0088495575221197E-2</v>
      </c>
      <c r="AB124" s="106">
        <f t="shared" si="266"/>
        <v>1.3508832698302831E-2</v>
      </c>
      <c r="AC124" s="106">
        <f t="shared" si="266"/>
        <v>6.6666666666666652E-2</v>
      </c>
      <c r="AD124" s="106">
        <f t="shared" si="266"/>
        <v>0.15623829149494184</v>
      </c>
      <c r="AE124" s="107">
        <f t="shared" si="266"/>
        <v>6.5085592011412174E-2</v>
      </c>
      <c r="AF124" s="106">
        <f t="shared" si="266"/>
        <v>0.12302405498281788</v>
      </c>
      <c r="AG124" s="106">
        <f t="shared" si="266"/>
        <v>0.11175666438824328</v>
      </c>
      <c r="AH124" s="106">
        <f t="shared" si="266"/>
        <v>-9.9206349206348854E-4</v>
      </c>
      <c r="AI124" s="106">
        <f t="shared" si="266"/>
        <v>-4.3421905379131598E-2</v>
      </c>
      <c r="AJ124" s="107">
        <f t="shared" si="266"/>
        <v>4.5873095596852487E-2</v>
      </c>
      <c r="AK124" s="106">
        <f t="shared" si="266"/>
        <v>-9.3329253365973086E-2</v>
      </c>
      <c r="AL124" s="106">
        <f t="shared" si="266"/>
        <v>-9.7141100522594503E-2</v>
      </c>
      <c r="AM124" s="106">
        <f t="shared" si="266"/>
        <v>-6.3555114200595786E-2</v>
      </c>
      <c r="AN124" s="106">
        <f t="shared" si="266"/>
        <v>-5.657181571815717E-2</v>
      </c>
      <c r="AO124" s="107">
        <f t="shared" si="266"/>
        <v>-7.8437650072034626E-2</v>
      </c>
      <c r="AP124" s="106">
        <f t="shared" si="266"/>
        <v>-9.4498818764765513E-3</v>
      </c>
      <c r="AQ124" s="106">
        <f t="shared" si="266"/>
        <v>-9.1590057882192766E-2</v>
      </c>
      <c r="AR124" s="106">
        <f>+AR132/AR126-1</f>
        <v>6.892895015906686E-2</v>
      </c>
      <c r="AS124" s="106">
        <f>+AS132/AS126-1</f>
        <v>0.12746858168761221</v>
      </c>
      <c r="AT124" s="107">
        <f>+AT132/AT126-1</f>
        <v>2.197324995657457E-2</v>
      </c>
      <c r="AU124" s="760">
        <f t="shared" ref="AU124" si="267">+AU132/AU126-1</f>
        <v>0.1366586949094637</v>
      </c>
      <c r="AV124" s="106"/>
      <c r="AW124" s="106"/>
      <c r="AX124" s="106"/>
      <c r="AY124" s="107"/>
      <c r="AZ124" s="106">
        <f>+AZ140/AU140-1</f>
        <v>7.0000000000000062E-2</v>
      </c>
      <c r="BA124" s="106">
        <f>+BA140/AV140-1</f>
        <v>7.0000000000000062E-2</v>
      </c>
      <c r="BB124" s="106">
        <f>+BB140/AW140-1</f>
        <v>7.0000000000000062E-2</v>
      </c>
      <c r="BC124" s="106">
        <f>+BC140/AX140-1</f>
        <v>6.999999999999984E-2</v>
      </c>
      <c r="BD124" s="107">
        <f>+BD140/AY140-1</f>
        <v>7.0000000000000062E-2</v>
      </c>
      <c r="BE124" s="107">
        <f>+BE140/BD140-1</f>
        <v>7.0000000000000062E-2</v>
      </c>
      <c r="BF124" s="107">
        <f>+BF140/BE140-1</f>
        <v>7.0000000000000062E-2</v>
      </c>
      <c r="BG124" s="107">
        <f>+BG140/BF140-1</f>
        <v>7.0000000000000062E-2</v>
      </c>
      <c r="BH124" s="94"/>
    </row>
    <row r="125" spans="1:60" s="225" customFormat="1" hidden="1" outlineLevel="1" x14ac:dyDescent="0.35">
      <c r="A125" s="538"/>
      <c r="B125" s="176"/>
      <c r="C125" s="113"/>
      <c r="D125" s="113"/>
      <c r="E125" s="113"/>
      <c r="F125" s="113"/>
      <c r="G125" s="177"/>
      <c r="H125" s="177"/>
      <c r="I125" s="177"/>
      <c r="J125" s="177"/>
      <c r="K125" s="113"/>
      <c r="L125" s="177"/>
      <c r="M125" s="177"/>
      <c r="N125" s="177"/>
      <c r="O125" s="177"/>
      <c r="P125" s="113"/>
      <c r="Q125" s="177"/>
      <c r="R125" s="177"/>
      <c r="S125" s="177"/>
      <c r="T125" s="177"/>
      <c r="U125" s="113"/>
      <c r="V125" s="177"/>
      <c r="W125" s="177"/>
      <c r="X125" s="177"/>
      <c r="Y125" s="177"/>
      <c r="Z125" s="113"/>
      <c r="AA125" s="177"/>
      <c r="AB125" s="177"/>
      <c r="AC125" s="177"/>
      <c r="AD125" s="177"/>
      <c r="AE125" s="113"/>
      <c r="AF125" s="177"/>
      <c r="AG125" s="177"/>
      <c r="AH125" s="177"/>
      <c r="AI125" s="177"/>
      <c r="AJ125" s="113"/>
      <c r="AK125" s="177"/>
      <c r="AL125" s="177"/>
      <c r="AM125" s="177"/>
      <c r="AN125" s="177"/>
      <c r="AO125" s="113"/>
      <c r="AP125" s="177"/>
      <c r="AQ125" s="177"/>
      <c r="AR125" s="177"/>
      <c r="AS125" s="177"/>
      <c r="AT125" s="113"/>
      <c r="AU125" s="780"/>
      <c r="AV125" s="177"/>
      <c r="AW125" s="177"/>
      <c r="AX125" s="177"/>
      <c r="AY125" s="113"/>
      <c r="AZ125" s="177"/>
      <c r="BA125" s="177"/>
      <c r="BB125" s="177"/>
      <c r="BC125" s="177"/>
      <c r="BD125" s="113"/>
      <c r="BE125" s="113"/>
      <c r="BF125" s="113"/>
      <c r="BG125" s="113"/>
      <c r="BH125" s="94"/>
    </row>
    <row r="126" spans="1:60" s="69" customFormat="1" hidden="1" outlineLevel="1" x14ac:dyDescent="0.35">
      <c r="A126" s="426" t="s">
        <v>438</v>
      </c>
      <c r="B126" s="518"/>
      <c r="C126" s="519"/>
      <c r="D126" s="519"/>
      <c r="E126" s="519"/>
      <c r="F126" s="519"/>
      <c r="G126" s="520"/>
      <c r="H126" s="520"/>
      <c r="I126" s="520"/>
      <c r="J126" s="520"/>
      <c r="K126" s="519"/>
      <c r="L126" s="520"/>
      <c r="M126" s="520"/>
      <c r="N126" s="520"/>
      <c r="O126" s="520"/>
      <c r="P126" s="519"/>
      <c r="Q126" s="520"/>
      <c r="R126" s="520"/>
      <c r="S126" s="520"/>
      <c r="T126" s="520"/>
      <c r="U126" s="519"/>
      <c r="V126" s="520"/>
      <c r="W126" s="520"/>
      <c r="X126" s="520"/>
      <c r="Y126" s="520"/>
      <c r="Z126" s="519"/>
      <c r="AA126" s="520">
        <f t="shared" ref="AA126:AO126" si="268">V132</f>
        <v>2825</v>
      </c>
      <c r="AB126" s="520">
        <f t="shared" si="268"/>
        <v>2887</v>
      </c>
      <c r="AC126" s="520">
        <f t="shared" si="268"/>
        <v>2835</v>
      </c>
      <c r="AD126" s="520">
        <f t="shared" si="268"/>
        <v>2669</v>
      </c>
      <c r="AE126" s="519">
        <f t="shared" si="268"/>
        <v>11216</v>
      </c>
      <c r="AF126" s="520">
        <f t="shared" si="268"/>
        <v>2910</v>
      </c>
      <c r="AG126" s="520">
        <f t="shared" si="268"/>
        <v>2926</v>
      </c>
      <c r="AH126" s="520">
        <f t="shared" si="268"/>
        <v>3024</v>
      </c>
      <c r="AI126" s="520">
        <f t="shared" si="268"/>
        <v>3086</v>
      </c>
      <c r="AJ126" s="519">
        <f t="shared" si="268"/>
        <v>11946</v>
      </c>
      <c r="AK126" s="520">
        <f t="shared" si="268"/>
        <v>3268</v>
      </c>
      <c r="AL126" s="520">
        <f t="shared" si="268"/>
        <v>3253</v>
      </c>
      <c r="AM126" s="520">
        <f t="shared" si="268"/>
        <v>3021</v>
      </c>
      <c r="AN126" s="520">
        <f t="shared" si="268"/>
        <v>2952</v>
      </c>
      <c r="AO126" s="519">
        <f t="shared" si="268"/>
        <v>12494</v>
      </c>
      <c r="AP126" s="520">
        <f t="shared" ref="AP126" si="269">AK132</f>
        <v>2963</v>
      </c>
      <c r="AQ126" s="520">
        <f t="shared" ref="AQ126" si="270">AL132</f>
        <v>2937</v>
      </c>
      <c r="AR126" s="520">
        <f t="shared" ref="AR126" si="271">AM132</f>
        <v>2829</v>
      </c>
      <c r="AS126" s="520">
        <f t="shared" ref="AS126" si="272">AN132</f>
        <v>2785</v>
      </c>
      <c r="AT126" s="519">
        <f t="shared" ref="AT126" si="273">AO132</f>
        <v>11514</v>
      </c>
      <c r="AU126" s="766">
        <v>2927</v>
      </c>
      <c r="AV126" s="520"/>
      <c r="AW126" s="520"/>
      <c r="AX126" s="520"/>
      <c r="AY126" s="519"/>
      <c r="AZ126" s="520">
        <f>AU132</f>
        <v>3327</v>
      </c>
      <c r="BA126" s="520">
        <f>AV132</f>
        <v>2854.76</v>
      </c>
      <c r="BB126" s="520">
        <f>AW132</f>
        <v>3235.68</v>
      </c>
      <c r="BC126" s="520">
        <f>AX132</f>
        <v>3359.8</v>
      </c>
      <c r="BD126" s="519">
        <f>AY132</f>
        <v>12777.240000000002</v>
      </c>
      <c r="BE126" s="519">
        <f>BD132</f>
        <v>13671.646800000002</v>
      </c>
      <c r="BF126" s="519">
        <f>BE132</f>
        <v>14628.662076000002</v>
      </c>
      <c r="BG126" s="519">
        <f>BF132</f>
        <v>15652.668421320002</v>
      </c>
      <c r="BH126" s="79"/>
    </row>
    <row r="127" spans="1:60" s="345" customFormat="1" hidden="1" outlineLevel="1" x14ac:dyDescent="0.35">
      <c r="A127" s="350" t="s">
        <v>439</v>
      </c>
      <c r="B127" s="444"/>
      <c r="C127" s="445"/>
      <c r="D127" s="445"/>
      <c r="E127" s="445"/>
      <c r="F127" s="445"/>
      <c r="G127" s="446"/>
      <c r="H127" s="446"/>
      <c r="I127" s="446"/>
      <c r="J127" s="446"/>
      <c r="K127" s="445"/>
      <c r="L127" s="446"/>
      <c r="M127" s="446"/>
      <c r="N127" s="446"/>
      <c r="O127" s="446"/>
      <c r="P127" s="445"/>
      <c r="Q127" s="446"/>
      <c r="R127" s="446"/>
      <c r="S127" s="446"/>
      <c r="T127" s="446"/>
      <c r="U127" s="445"/>
      <c r="V127" s="446"/>
      <c r="W127" s="446"/>
      <c r="X127" s="446"/>
      <c r="Y127" s="446"/>
      <c r="Z127" s="445"/>
      <c r="AA127" s="437">
        <f t="shared" ref="AA127:AD131" si="274">AA$126*AA119</f>
        <v>129.94999999999999</v>
      </c>
      <c r="AB127" s="437">
        <f t="shared" si="274"/>
        <v>83.722999999999999</v>
      </c>
      <c r="AC127" s="437">
        <f t="shared" si="274"/>
        <v>192.78</v>
      </c>
      <c r="AD127" s="437">
        <f t="shared" si="274"/>
        <v>218.858</v>
      </c>
      <c r="AE127" s="436">
        <f>SUM(AA127,AB127,AC127,AD127)</f>
        <v>625.31099999999992</v>
      </c>
      <c r="AF127" s="437">
        <f t="shared" ref="AF127:AI131" si="275">AF$126*AF119</f>
        <v>84.39</v>
      </c>
      <c r="AG127" s="437">
        <f t="shared" si="275"/>
        <v>181.41200000000001</v>
      </c>
      <c r="AH127" s="437">
        <f t="shared" si="275"/>
        <v>21.167999999999999</v>
      </c>
      <c r="AI127" s="437">
        <f t="shared" si="275"/>
        <v>49.375999999999998</v>
      </c>
      <c r="AJ127" s="436">
        <f>SUM(AF127,AG127,AH127,AI127)</f>
        <v>336.346</v>
      </c>
      <c r="AK127" s="437">
        <f t="shared" ref="AK127:AN130" si="276">AK$126*AK119</f>
        <v>-68.628</v>
      </c>
      <c r="AL127" s="437">
        <f t="shared" si="276"/>
        <v>-162.65</v>
      </c>
      <c r="AM127" s="437">
        <f t="shared" si="276"/>
        <v>-99.692999999999998</v>
      </c>
      <c r="AN127" s="437">
        <f t="shared" si="276"/>
        <v>-82.656000000000006</v>
      </c>
      <c r="AO127" s="436">
        <f>SUM(AK127,AL127,AM127,AN127)</f>
        <v>-413.62700000000001</v>
      </c>
      <c r="AP127" s="437">
        <f t="shared" ref="AP127:AQ131" si="277">AP$126*AP119</f>
        <v>65.185999999999993</v>
      </c>
      <c r="AQ127" s="437">
        <f t="shared" si="277"/>
        <v>-179.15699999999998</v>
      </c>
      <c r="AR127" s="437">
        <f t="shared" ref="AR127:AS131" si="278">AR$126*AR119</f>
        <v>195.20100000000002</v>
      </c>
      <c r="AS127" s="437">
        <f t="shared" si="278"/>
        <v>317.49</v>
      </c>
      <c r="AT127" s="436">
        <f t="shared" ref="AT127:AT131" si="279">SUM(AP127,AQ127,AR127,AS127)</f>
        <v>398.72</v>
      </c>
      <c r="AU127" s="763">
        <f t="shared" ref="AU127" si="280">AU$126*AU119</f>
        <v>301.48099999999999</v>
      </c>
      <c r="AV127" s="446"/>
      <c r="AW127" s="446"/>
      <c r="AX127" s="446"/>
      <c r="AY127" s="445"/>
      <c r="AZ127" s="437">
        <f t="shared" ref="AZ127:BC131" si="281">AZ$126*AZ119</f>
        <v>166.35000000000002</v>
      </c>
      <c r="BA127" s="437">
        <f t="shared" si="281"/>
        <v>142.73800000000003</v>
      </c>
      <c r="BB127" s="437">
        <f t="shared" si="281"/>
        <v>161.78399999999999</v>
      </c>
      <c r="BC127" s="437">
        <f t="shared" si="281"/>
        <v>167.99</v>
      </c>
      <c r="BD127" s="436">
        <f>SUM(AZ127,BA127,BB127,BC127)</f>
        <v>638.86200000000008</v>
      </c>
      <c r="BE127" s="436">
        <f>BE126*BE119</f>
        <v>683.58234000000016</v>
      </c>
      <c r="BF127" s="436">
        <f>BF126*BF119</f>
        <v>731.43310380000014</v>
      </c>
      <c r="BG127" s="436">
        <f>BG126*BG119</f>
        <v>782.63342106600021</v>
      </c>
      <c r="BH127" s="351"/>
    </row>
    <row r="128" spans="1:60" s="345" customFormat="1" hidden="1" outlineLevel="1" x14ac:dyDescent="0.35">
      <c r="A128" s="350" t="s">
        <v>440</v>
      </c>
      <c r="B128" s="444"/>
      <c r="C128" s="445"/>
      <c r="D128" s="445"/>
      <c r="E128" s="445"/>
      <c r="F128" s="445"/>
      <c r="G128" s="446"/>
      <c r="H128" s="446"/>
      <c r="I128" s="446"/>
      <c r="J128" s="446"/>
      <c r="K128" s="445"/>
      <c r="L128" s="446"/>
      <c r="M128" s="446"/>
      <c r="N128" s="446"/>
      <c r="O128" s="446"/>
      <c r="P128" s="445"/>
      <c r="Q128" s="446"/>
      <c r="R128" s="446"/>
      <c r="S128" s="446"/>
      <c r="T128" s="446"/>
      <c r="U128" s="445"/>
      <c r="V128" s="446"/>
      <c r="W128" s="446"/>
      <c r="X128" s="446"/>
      <c r="Y128" s="446"/>
      <c r="Z128" s="445"/>
      <c r="AA128" s="437">
        <f t="shared" si="274"/>
        <v>0</v>
      </c>
      <c r="AB128" s="437">
        <f t="shared" si="274"/>
        <v>0</v>
      </c>
      <c r="AC128" s="437">
        <f t="shared" si="274"/>
        <v>0</v>
      </c>
      <c r="AD128" s="437">
        <f t="shared" si="274"/>
        <v>128.11199999999999</v>
      </c>
      <c r="AE128" s="436">
        <f>SUM(AA128,AB128,AC128,AD128)</f>
        <v>128.11199999999999</v>
      </c>
      <c r="AF128" s="437">
        <f t="shared" si="275"/>
        <v>142.59</v>
      </c>
      <c r="AG128" s="437">
        <f t="shared" si="275"/>
        <v>158.00399999999999</v>
      </c>
      <c r="AH128" s="437">
        <f t="shared" si="275"/>
        <v>139.10399999999998</v>
      </c>
      <c r="AI128" s="437">
        <f t="shared" si="275"/>
        <v>0</v>
      </c>
      <c r="AJ128" s="436">
        <f>SUM(AF128,AG128,AH128,AI128)</f>
        <v>439.69799999999998</v>
      </c>
      <c r="AK128" s="437">
        <f t="shared" si="276"/>
        <v>0</v>
      </c>
      <c r="AL128" s="437">
        <f t="shared" si="276"/>
        <v>0</v>
      </c>
      <c r="AM128" s="437">
        <f t="shared" si="276"/>
        <v>0</v>
      </c>
      <c r="AN128" s="437">
        <f t="shared" si="276"/>
        <v>0</v>
      </c>
      <c r="AO128" s="436">
        <f>SUM(AK128,AL128,AM128,AN128)</f>
        <v>0</v>
      </c>
      <c r="AP128" s="437">
        <f t="shared" si="277"/>
        <v>0</v>
      </c>
      <c r="AQ128" s="437">
        <f t="shared" si="277"/>
        <v>0</v>
      </c>
      <c r="AR128" s="437">
        <f t="shared" si="278"/>
        <v>0</v>
      </c>
      <c r="AS128" s="437">
        <f t="shared" si="278"/>
        <v>0</v>
      </c>
      <c r="AT128" s="436">
        <f t="shared" si="279"/>
        <v>0</v>
      </c>
      <c r="AU128" s="763">
        <f t="shared" ref="AU128" si="282">AU$126*AU120</f>
        <v>0</v>
      </c>
      <c r="AV128" s="446"/>
      <c r="AW128" s="446"/>
      <c r="AX128" s="446"/>
      <c r="AY128" s="445"/>
      <c r="AZ128" s="437">
        <f t="shared" si="281"/>
        <v>0</v>
      </c>
      <c r="BA128" s="437">
        <f t="shared" si="281"/>
        <v>0</v>
      </c>
      <c r="BB128" s="437">
        <f t="shared" si="281"/>
        <v>0</v>
      </c>
      <c r="BC128" s="437">
        <f t="shared" si="281"/>
        <v>0</v>
      </c>
      <c r="BD128" s="436">
        <f>SUM(AZ128,BA128,BB128,BC128)</f>
        <v>0</v>
      </c>
      <c r="BE128" s="436">
        <f>BE126*BE120</f>
        <v>0</v>
      </c>
      <c r="BF128" s="436">
        <f>BF126*BF120</f>
        <v>0</v>
      </c>
      <c r="BG128" s="436">
        <f>BG126*BG120</f>
        <v>0</v>
      </c>
      <c r="BH128" s="351"/>
    </row>
    <row r="129" spans="1:60" s="345" customFormat="1" hidden="1" outlineLevel="1" x14ac:dyDescent="0.35">
      <c r="A129" s="350" t="s">
        <v>441</v>
      </c>
      <c r="B129" s="444"/>
      <c r="C129" s="445"/>
      <c r="D129" s="445"/>
      <c r="E129" s="445"/>
      <c r="F129" s="445"/>
      <c r="G129" s="446"/>
      <c r="H129" s="446"/>
      <c r="I129" s="446"/>
      <c r="J129" s="446"/>
      <c r="K129" s="445"/>
      <c r="L129" s="446"/>
      <c r="M129" s="446"/>
      <c r="N129" s="446"/>
      <c r="O129" s="446"/>
      <c r="P129" s="445"/>
      <c r="Q129" s="446"/>
      <c r="R129" s="446"/>
      <c r="S129" s="446"/>
      <c r="T129" s="446"/>
      <c r="U129" s="445"/>
      <c r="V129" s="446"/>
      <c r="W129" s="446"/>
      <c r="X129" s="446"/>
      <c r="Y129" s="446"/>
      <c r="Z129" s="445"/>
      <c r="AA129" s="437">
        <f t="shared" si="274"/>
        <v>-31.074999999999999</v>
      </c>
      <c r="AB129" s="437">
        <f t="shared" si="274"/>
        <v>-28.87</v>
      </c>
      <c r="AC129" s="437">
        <f t="shared" si="274"/>
        <v>-28.35</v>
      </c>
      <c r="AD129" s="437">
        <f t="shared" si="274"/>
        <v>-13.345000000000001</v>
      </c>
      <c r="AE129" s="436">
        <f>SUM(AA129,AB129,AC129,AD129)</f>
        <v>-101.64</v>
      </c>
      <c r="AF129" s="437">
        <f t="shared" si="275"/>
        <v>-5.82</v>
      </c>
      <c r="AG129" s="437">
        <f t="shared" si="275"/>
        <v>-40.963999999999999</v>
      </c>
      <c r="AH129" s="437">
        <f t="shared" si="275"/>
        <v>-99.792000000000002</v>
      </c>
      <c r="AI129" s="437">
        <f t="shared" si="275"/>
        <v>-98.751999999999995</v>
      </c>
      <c r="AJ129" s="436">
        <f>SUM(AF129,AG129,AH129,AI129)</f>
        <v>-245.32799999999997</v>
      </c>
      <c r="AK129" s="437">
        <f t="shared" si="276"/>
        <v>-88.236000000000004</v>
      </c>
      <c r="AL129" s="437">
        <f t="shared" si="276"/>
        <v>-61.806999999999995</v>
      </c>
      <c r="AM129" s="437">
        <f t="shared" si="276"/>
        <v>-24.167999999999999</v>
      </c>
      <c r="AN129" s="437">
        <f t="shared" si="276"/>
        <v>-41.328000000000003</v>
      </c>
      <c r="AO129" s="436">
        <f>SUM(AK129,AL129,AM129,AN129)</f>
        <v>-215.53900000000002</v>
      </c>
      <c r="AP129" s="437">
        <f t="shared" si="277"/>
        <v>-29.63</v>
      </c>
      <c r="AQ129" s="437">
        <f t="shared" si="277"/>
        <v>-26.432999999999996</v>
      </c>
      <c r="AR129" s="437">
        <f t="shared" si="278"/>
        <v>-11.316000000000001</v>
      </c>
      <c r="AS129" s="437">
        <f t="shared" si="278"/>
        <v>0</v>
      </c>
      <c r="AT129" s="436">
        <f t="shared" si="279"/>
        <v>-67.378999999999991</v>
      </c>
      <c r="AU129" s="763">
        <f t="shared" ref="AU129" si="283">AU$126*AU121</f>
        <v>0</v>
      </c>
      <c r="AV129" s="446"/>
      <c r="AW129" s="446"/>
      <c r="AX129" s="446"/>
      <c r="AY129" s="445"/>
      <c r="AZ129" s="437">
        <f t="shared" si="281"/>
        <v>0</v>
      </c>
      <c r="BA129" s="437">
        <f t="shared" si="281"/>
        <v>0</v>
      </c>
      <c r="BB129" s="437">
        <f t="shared" si="281"/>
        <v>0</v>
      </c>
      <c r="BC129" s="437">
        <f t="shared" si="281"/>
        <v>0</v>
      </c>
      <c r="BD129" s="436">
        <f>SUM(AZ129,BA129,BB129,BC129)</f>
        <v>0</v>
      </c>
      <c r="BE129" s="436">
        <f>BE126*BE121</f>
        <v>0</v>
      </c>
      <c r="BF129" s="436">
        <f>BF126*BF121</f>
        <v>0</v>
      </c>
      <c r="BG129" s="436">
        <f>BG126*BG121</f>
        <v>0</v>
      </c>
      <c r="BH129" s="351"/>
    </row>
    <row r="130" spans="1:60" s="345" customFormat="1" hidden="1" outlineLevel="1" x14ac:dyDescent="0.35">
      <c r="A130" s="350" t="s">
        <v>442</v>
      </c>
      <c r="B130" s="444"/>
      <c r="C130" s="445"/>
      <c r="D130" s="445"/>
      <c r="E130" s="445"/>
      <c r="F130" s="445"/>
      <c r="G130" s="446"/>
      <c r="H130" s="446"/>
      <c r="I130" s="446"/>
      <c r="J130" s="446"/>
      <c r="K130" s="445"/>
      <c r="L130" s="446"/>
      <c r="M130" s="446"/>
      <c r="N130" s="446"/>
      <c r="O130" s="446"/>
      <c r="P130" s="445"/>
      <c r="Q130" s="446"/>
      <c r="R130" s="446"/>
      <c r="S130" s="446"/>
      <c r="T130" s="446"/>
      <c r="U130" s="445"/>
      <c r="V130" s="446"/>
      <c r="W130" s="446"/>
      <c r="X130" s="446"/>
      <c r="Y130" s="446"/>
      <c r="Z130" s="445"/>
      <c r="AA130" s="437">
        <f t="shared" si="274"/>
        <v>-14.125</v>
      </c>
      <c r="AB130" s="437">
        <f t="shared" si="274"/>
        <v>-17.321999999999999</v>
      </c>
      <c r="AC130" s="437">
        <f t="shared" si="274"/>
        <v>25.514999999999997</v>
      </c>
      <c r="AD130" s="437">
        <f t="shared" si="274"/>
        <v>82.739000000000004</v>
      </c>
      <c r="AE130" s="436">
        <f>SUM(AA130,AB130,AC130,AD130)</f>
        <v>76.807000000000002</v>
      </c>
      <c r="AF130" s="437">
        <f t="shared" si="275"/>
        <v>136.77000000000001</v>
      </c>
      <c r="AG130" s="437">
        <f t="shared" si="275"/>
        <v>29.26</v>
      </c>
      <c r="AH130" s="437">
        <f t="shared" si="275"/>
        <v>-63.504000000000005</v>
      </c>
      <c r="AI130" s="437">
        <f t="shared" si="275"/>
        <v>-83.322000000000003</v>
      </c>
      <c r="AJ130" s="436">
        <f>SUM(AF130,AG130,AH130,AI130)</f>
        <v>19.203999999999994</v>
      </c>
      <c r="AK130" s="437">
        <f t="shared" si="276"/>
        <v>-124.184</v>
      </c>
      <c r="AL130" s="437">
        <f t="shared" si="276"/>
        <v>-68.313000000000002</v>
      </c>
      <c r="AM130" s="437">
        <f t="shared" si="276"/>
        <v>-48.335999999999999</v>
      </c>
      <c r="AN130" s="437">
        <f t="shared" si="276"/>
        <v>-17.712</v>
      </c>
      <c r="AO130" s="436">
        <f>SUM(AK130,AL130,AM130,AN130)</f>
        <v>-258.54500000000002</v>
      </c>
      <c r="AP130" s="437">
        <f t="shared" si="277"/>
        <v>-65.185999999999993</v>
      </c>
      <c r="AQ130" s="437">
        <f t="shared" si="277"/>
        <v>-64.61399999999999</v>
      </c>
      <c r="AR130" s="437">
        <f t="shared" si="278"/>
        <v>11.316000000000001</v>
      </c>
      <c r="AS130" s="437">
        <f t="shared" si="278"/>
        <v>36.204999999999998</v>
      </c>
      <c r="AT130" s="436">
        <f t="shared" si="279"/>
        <v>-82.278999999999982</v>
      </c>
      <c r="AU130" s="763">
        <f t="shared" ref="AU130" si="284">AU$126*AU122</f>
        <v>99.518000000000001</v>
      </c>
      <c r="AV130" s="446"/>
      <c r="AW130" s="446"/>
      <c r="AX130" s="446"/>
      <c r="AY130" s="445"/>
      <c r="AZ130" s="437">
        <f t="shared" si="281"/>
        <v>66.540000000000006</v>
      </c>
      <c r="BA130" s="437">
        <f t="shared" si="281"/>
        <v>57.095200000000006</v>
      </c>
      <c r="BB130" s="437">
        <f t="shared" si="281"/>
        <v>64.7136</v>
      </c>
      <c r="BC130" s="437">
        <f t="shared" si="281"/>
        <v>67.195999999999998</v>
      </c>
      <c r="BD130" s="436">
        <f>SUM(AZ130,BA130,BB130,BC130)</f>
        <v>255.54480000000001</v>
      </c>
      <c r="BE130" s="436">
        <f>BE126*BE122</f>
        <v>273.43293599999998</v>
      </c>
      <c r="BF130" s="436">
        <f>BF126*BF122</f>
        <v>292.57324152000001</v>
      </c>
      <c r="BG130" s="436">
        <f>BG126*BG122</f>
        <v>313.05336842640003</v>
      </c>
      <c r="BH130" s="351"/>
    </row>
    <row r="131" spans="1:60" s="345" customFormat="1" hidden="1" outlineLevel="1" x14ac:dyDescent="0.35">
      <c r="A131" s="350" t="s">
        <v>443</v>
      </c>
      <c r="B131" s="444"/>
      <c r="C131" s="445"/>
      <c r="D131" s="445"/>
      <c r="E131" s="445"/>
      <c r="F131" s="445"/>
      <c r="G131" s="446"/>
      <c r="H131" s="446"/>
      <c r="I131" s="446"/>
      <c r="J131" s="446"/>
      <c r="K131" s="445"/>
      <c r="L131" s="446"/>
      <c r="M131" s="446"/>
      <c r="N131" s="446"/>
      <c r="O131" s="446"/>
      <c r="P131" s="445"/>
      <c r="Q131" s="446"/>
      <c r="R131" s="446"/>
      <c r="S131" s="446"/>
      <c r="T131" s="446"/>
      <c r="U131" s="445"/>
      <c r="V131" s="446"/>
      <c r="W131" s="446"/>
      <c r="X131" s="446"/>
      <c r="Y131" s="446"/>
      <c r="Z131" s="445"/>
      <c r="AA131" s="437">
        <f t="shared" si="274"/>
        <v>0.24999999999987454</v>
      </c>
      <c r="AB131" s="437">
        <f t="shared" si="274"/>
        <v>1.4690000000002637</v>
      </c>
      <c r="AC131" s="437">
        <f t="shared" si="274"/>
        <v>-0.94500000000005335</v>
      </c>
      <c r="AD131" s="437">
        <f t="shared" si="274"/>
        <v>0.63599999999976853</v>
      </c>
      <c r="AE131" s="436">
        <f>SUM(AA131,AB131,AC131,AD131)</f>
        <v>1.4099999999998534</v>
      </c>
      <c r="AF131" s="437">
        <f t="shared" si="275"/>
        <v>7.0000000000025597E-2</v>
      </c>
      <c r="AG131" s="437">
        <f t="shared" si="275"/>
        <v>-0.71200000000013941</v>
      </c>
      <c r="AH131" s="437">
        <f t="shared" si="275"/>
        <v>2.4000000000023836E-2</v>
      </c>
      <c r="AI131" s="437">
        <f t="shared" si="275"/>
        <v>-1.3020000000001217</v>
      </c>
      <c r="AJ131" s="436">
        <f>SUM(AF131,AG131,AH131,AI131)</f>
        <v>-1.9200000000002118</v>
      </c>
      <c r="AK131" s="446"/>
      <c r="AL131" s="446"/>
      <c r="AM131" s="446"/>
      <c r="AN131" s="446"/>
      <c r="AO131" s="445"/>
      <c r="AP131" s="437">
        <f t="shared" si="277"/>
        <v>1.629999999999979</v>
      </c>
      <c r="AQ131" s="437">
        <f t="shared" si="277"/>
        <v>1.2039999999998423</v>
      </c>
      <c r="AR131" s="437">
        <f t="shared" si="278"/>
        <v>-0.20099999999987045</v>
      </c>
      <c r="AS131" s="437">
        <f t="shared" si="278"/>
        <v>1.3050000000000128</v>
      </c>
      <c r="AT131" s="436">
        <f t="shared" si="279"/>
        <v>3.9379999999999633</v>
      </c>
      <c r="AU131" s="763">
        <f t="shared" ref="AU131" si="285">AU$126*AU123</f>
        <v>-0.99899999999979294</v>
      </c>
      <c r="AV131" s="446"/>
      <c r="AW131" s="446"/>
      <c r="AX131" s="446"/>
      <c r="AY131" s="445"/>
      <c r="AZ131" s="437">
        <f t="shared" si="281"/>
        <v>0</v>
      </c>
      <c r="BA131" s="437">
        <f t="shared" si="281"/>
        <v>0</v>
      </c>
      <c r="BB131" s="437">
        <f t="shared" si="281"/>
        <v>0</v>
      </c>
      <c r="BC131" s="437">
        <f t="shared" si="281"/>
        <v>0</v>
      </c>
      <c r="BD131" s="436">
        <f>SUM(AZ131,BA131,BB131,BC131)</f>
        <v>0</v>
      </c>
      <c r="BE131" s="436">
        <f>BE126*BE123</f>
        <v>0</v>
      </c>
      <c r="BF131" s="436">
        <f>BF126*BF123</f>
        <v>0</v>
      </c>
      <c r="BG131" s="436">
        <f>BG126*BG123</f>
        <v>0</v>
      </c>
      <c r="BH131" s="351"/>
    </row>
    <row r="132" spans="1:60" s="69" customFormat="1" hidden="1" outlineLevel="1" x14ac:dyDescent="0.35">
      <c r="A132" s="89" t="s">
        <v>390</v>
      </c>
      <c r="B132" s="452"/>
      <c r="C132" s="453"/>
      <c r="D132" s="453"/>
      <c r="E132" s="453"/>
      <c r="F132" s="453"/>
      <c r="G132" s="454"/>
      <c r="H132" s="454"/>
      <c r="I132" s="454"/>
      <c r="J132" s="454"/>
      <c r="K132" s="453"/>
      <c r="L132" s="454"/>
      <c r="M132" s="454"/>
      <c r="N132" s="454"/>
      <c r="O132" s="454"/>
      <c r="P132" s="453"/>
      <c r="Q132" s="454"/>
      <c r="R132" s="454"/>
      <c r="S132" s="454"/>
      <c r="T132" s="454"/>
      <c r="U132" s="453"/>
      <c r="V132" s="439">
        <f t="shared" ref="V132:AU132" si="286">V140</f>
        <v>2825</v>
      </c>
      <c r="W132" s="439">
        <f t="shared" si="286"/>
        <v>2887</v>
      </c>
      <c r="X132" s="439">
        <f t="shared" si="286"/>
        <v>2835</v>
      </c>
      <c r="Y132" s="439">
        <f t="shared" si="286"/>
        <v>2669</v>
      </c>
      <c r="Z132" s="438">
        <f t="shared" si="286"/>
        <v>11216</v>
      </c>
      <c r="AA132" s="439">
        <f t="shared" si="286"/>
        <v>2910</v>
      </c>
      <c r="AB132" s="439">
        <f t="shared" si="286"/>
        <v>2926</v>
      </c>
      <c r="AC132" s="439">
        <f t="shared" si="286"/>
        <v>3024</v>
      </c>
      <c r="AD132" s="439">
        <f t="shared" si="286"/>
        <v>3086</v>
      </c>
      <c r="AE132" s="438">
        <f t="shared" si="286"/>
        <v>11946</v>
      </c>
      <c r="AF132" s="439">
        <f t="shared" si="286"/>
        <v>3268</v>
      </c>
      <c r="AG132" s="439">
        <f t="shared" si="286"/>
        <v>3253</v>
      </c>
      <c r="AH132" s="439">
        <f t="shared" si="286"/>
        <v>3021</v>
      </c>
      <c r="AI132" s="439">
        <f t="shared" si="286"/>
        <v>2952</v>
      </c>
      <c r="AJ132" s="438">
        <f t="shared" si="286"/>
        <v>12494</v>
      </c>
      <c r="AK132" s="439">
        <f t="shared" si="286"/>
        <v>2963</v>
      </c>
      <c r="AL132" s="439">
        <f t="shared" si="286"/>
        <v>2937</v>
      </c>
      <c r="AM132" s="439">
        <f t="shared" si="286"/>
        <v>2829</v>
      </c>
      <c r="AN132" s="439">
        <f t="shared" si="286"/>
        <v>2785</v>
      </c>
      <c r="AO132" s="438">
        <f t="shared" si="286"/>
        <v>11514</v>
      </c>
      <c r="AP132" s="439">
        <f t="shared" si="286"/>
        <v>2935</v>
      </c>
      <c r="AQ132" s="439">
        <f t="shared" si="286"/>
        <v>2668</v>
      </c>
      <c r="AR132" s="439">
        <f t="shared" si="286"/>
        <v>3024</v>
      </c>
      <c r="AS132" s="439">
        <f t="shared" si="286"/>
        <v>3140</v>
      </c>
      <c r="AT132" s="438">
        <f t="shared" si="286"/>
        <v>11767</v>
      </c>
      <c r="AU132" s="765">
        <f t="shared" si="286"/>
        <v>3327</v>
      </c>
      <c r="AV132" s="944">
        <f>Drivers!AV39</f>
        <v>2854.76</v>
      </c>
      <c r="AW132" s="944">
        <f>Drivers!AW39</f>
        <v>3235.68</v>
      </c>
      <c r="AX132" s="944">
        <f>Drivers!AX39</f>
        <v>3359.8</v>
      </c>
      <c r="AY132" s="438">
        <f>SUM(AU132,AV132,AW132,AX132)</f>
        <v>12777.240000000002</v>
      </c>
      <c r="AZ132" s="439">
        <f t="shared" ref="AZ132:BG132" si="287">SUM(AZ126:AZ131)</f>
        <v>3559.89</v>
      </c>
      <c r="BA132" s="439">
        <f t="shared" si="287"/>
        <v>3054.5932000000003</v>
      </c>
      <c r="BB132" s="439">
        <f t="shared" si="287"/>
        <v>3462.1776</v>
      </c>
      <c r="BC132" s="439">
        <f t="shared" si="287"/>
        <v>3594.9859999999999</v>
      </c>
      <c r="BD132" s="438">
        <f t="shared" si="287"/>
        <v>13671.646800000002</v>
      </c>
      <c r="BE132" s="438">
        <f t="shared" si="287"/>
        <v>14628.662076000002</v>
      </c>
      <c r="BF132" s="438">
        <f t="shared" si="287"/>
        <v>15652.668421320002</v>
      </c>
      <c r="BG132" s="438">
        <f t="shared" si="287"/>
        <v>16748.355210812402</v>
      </c>
      <c r="BH132" s="79"/>
    </row>
    <row r="133" spans="1:60" s="225" customFormat="1" hidden="1" outlineLevel="1" x14ac:dyDescent="0.35">
      <c r="A133" s="538"/>
      <c r="B133" s="176"/>
      <c r="C133" s="113"/>
      <c r="D133" s="113"/>
      <c r="E133" s="113"/>
      <c r="F133" s="113"/>
      <c r="G133" s="177"/>
      <c r="H133" s="177"/>
      <c r="I133" s="177"/>
      <c r="J133" s="177"/>
      <c r="K133" s="113"/>
      <c r="L133" s="177"/>
      <c r="M133" s="177"/>
      <c r="N133" s="177"/>
      <c r="O133" s="177"/>
      <c r="P133" s="113"/>
      <c r="Q133" s="177"/>
      <c r="R133" s="177"/>
      <c r="S133" s="177"/>
      <c r="T133" s="177"/>
      <c r="U133" s="113"/>
      <c r="V133" s="177"/>
      <c r="W133" s="177"/>
      <c r="X133" s="177"/>
      <c r="Y133" s="177"/>
      <c r="Z133" s="113"/>
      <c r="AA133" s="177"/>
      <c r="AB133" s="177"/>
      <c r="AC133" s="177"/>
      <c r="AD133" s="177"/>
      <c r="AE133" s="113"/>
      <c r="AF133" s="177"/>
      <c r="AG133" s="177"/>
      <c r="AH133" s="177"/>
      <c r="AI133" s="177"/>
      <c r="AJ133" s="113"/>
      <c r="AK133" s="177"/>
      <c r="AL133" s="177"/>
      <c r="AM133" s="177"/>
      <c r="AN133" s="177"/>
      <c r="AO133" s="113"/>
      <c r="AP133" s="177"/>
      <c r="AQ133" s="177"/>
      <c r="AR133" s="177"/>
      <c r="AS133" s="177"/>
      <c r="AT133" s="113"/>
      <c r="AU133" s="780"/>
      <c r="AV133" s="177"/>
      <c r="AW133" s="177"/>
      <c r="AX133" s="177"/>
      <c r="AY133" s="113"/>
      <c r="AZ133" s="177"/>
      <c r="BA133" s="177"/>
      <c r="BB133" s="177"/>
      <c r="BC133" s="177"/>
      <c r="BD133" s="113"/>
      <c r="BE133" s="113"/>
      <c r="BF133" s="113"/>
      <c r="BG133" s="113"/>
      <c r="BH133" s="94"/>
    </row>
    <row r="134" spans="1:60" s="345" customFormat="1" hidden="1" outlineLevel="2" x14ac:dyDescent="0.35">
      <c r="A134" s="161" t="s">
        <v>416</v>
      </c>
      <c r="B134" s="444"/>
      <c r="C134" s="445"/>
      <c r="D134" s="445"/>
      <c r="E134" s="445"/>
      <c r="F134" s="445"/>
      <c r="G134" s="446"/>
      <c r="H134" s="446"/>
      <c r="I134" s="446"/>
      <c r="J134" s="446"/>
      <c r="K134" s="445"/>
      <c r="L134" s="446"/>
      <c r="M134" s="446"/>
      <c r="N134" s="446"/>
      <c r="O134" s="446"/>
      <c r="P134" s="445"/>
      <c r="Q134" s="446"/>
      <c r="R134" s="446"/>
      <c r="S134" s="446"/>
      <c r="T134" s="446"/>
      <c r="U134" s="445"/>
      <c r="V134" s="446"/>
      <c r="W134" s="446"/>
      <c r="X134" s="446"/>
      <c r="Y134" s="446"/>
      <c r="Z134" s="436">
        <v>4387</v>
      </c>
      <c r="AA134" s="446"/>
      <c r="AB134" s="446"/>
      <c r="AC134" s="446"/>
      <c r="AD134" s="446"/>
      <c r="AE134" s="436">
        <v>4605</v>
      </c>
      <c r="AF134" s="437">
        <v>1216</v>
      </c>
      <c r="AG134" s="437">
        <v>1302</v>
      </c>
      <c r="AH134" s="437">
        <v>1208</v>
      </c>
      <c r="AI134" s="437">
        <f>AJ134-SUM(AF134,AG134,AH134)</f>
        <v>1195</v>
      </c>
      <c r="AJ134" s="436">
        <v>4921</v>
      </c>
      <c r="AK134" s="446"/>
      <c r="AL134" s="446"/>
      <c r="AM134" s="446"/>
      <c r="AN134" s="446"/>
      <c r="AO134" s="445"/>
      <c r="AP134" s="446"/>
      <c r="AQ134" s="446"/>
      <c r="AR134" s="446"/>
      <c r="AS134" s="446"/>
      <c r="AT134" s="445"/>
      <c r="AU134" s="767"/>
      <c r="AV134" s="446"/>
      <c r="AW134" s="446"/>
      <c r="AX134" s="446"/>
      <c r="AY134" s="445"/>
      <c r="AZ134" s="446"/>
      <c r="BA134" s="446"/>
      <c r="BB134" s="446"/>
      <c r="BC134" s="446"/>
      <c r="BD134" s="445"/>
      <c r="BE134" s="445"/>
      <c r="BF134" s="445"/>
      <c r="BG134" s="445"/>
      <c r="BH134" s="351"/>
    </row>
    <row r="135" spans="1:60" s="345" customFormat="1" hidden="1" outlineLevel="2" x14ac:dyDescent="0.35">
      <c r="A135" s="101" t="s">
        <v>419</v>
      </c>
      <c r="B135" s="501"/>
      <c r="C135" s="502"/>
      <c r="D135" s="502"/>
      <c r="E135" s="502"/>
      <c r="F135" s="502"/>
      <c r="G135" s="463"/>
      <c r="H135" s="463"/>
      <c r="I135" s="463"/>
      <c r="J135" s="463"/>
      <c r="K135" s="502"/>
      <c r="L135" s="463"/>
      <c r="M135" s="463"/>
      <c r="N135" s="463"/>
      <c r="O135" s="463"/>
      <c r="P135" s="502"/>
      <c r="Q135" s="463"/>
      <c r="R135" s="463"/>
      <c r="S135" s="463"/>
      <c r="T135" s="463"/>
      <c r="U135" s="502"/>
      <c r="V135" s="463"/>
      <c r="W135" s="463"/>
      <c r="X135" s="463"/>
      <c r="Y135" s="463"/>
      <c r="Z135" s="480">
        <v>1423</v>
      </c>
      <c r="AA135" s="463"/>
      <c r="AB135" s="463"/>
      <c r="AC135" s="463"/>
      <c r="AD135" s="463"/>
      <c r="AE135" s="480">
        <v>1497</v>
      </c>
      <c r="AF135" s="458">
        <v>381</v>
      </c>
      <c r="AG135" s="458">
        <v>384</v>
      </c>
      <c r="AH135" s="458">
        <v>361</v>
      </c>
      <c r="AI135" s="458">
        <f>AJ135-SUM(AF135,AG135,AH135)</f>
        <v>350</v>
      </c>
      <c r="AJ135" s="480">
        <v>1476</v>
      </c>
      <c r="AK135" s="463"/>
      <c r="AL135" s="463"/>
      <c r="AM135" s="463"/>
      <c r="AN135" s="463"/>
      <c r="AO135" s="502"/>
      <c r="AP135" s="463"/>
      <c r="AQ135" s="463"/>
      <c r="AR135" s="463"/>
      <c r="AS135" s="463"/>
      <c r="AT135" s="502"/>
      <c r="AU135" s="768"/>
      <c r="AV135" s="463"/>
      <c r="AW135" s="463"/>
      <c r="AX135" s="463"/>
      <c r="AY135" s="502"/>
      <c r="AZ135" s="463"/>
      <c r="BA135" s="463"/>
      <c r="BB135" s="463"/>
      <c r="BC135" s="463"/>
      <c r="BD135" s="502"/>
      <c r="BE135" s="502"/>
      <c r="BF135" s="502"/>
      <c r="BG135" s="502"/>
      <c r="BH135" s="351"/>
    </row>
    <row r="136" spans="1:60" s="345" customFormat="1" hidden="1" outlineLevel="1" x14ac:dyDescent="0.35">
      <c r="A136" s="350" t="s">
        <v>731</v>
      </c>
      <c r="B136" s="444"/>
      <c r="C136" s="445"/>
      <c r="D136" s="445"/>
      <c r="E136" s="445"/>
      <c r="F136" s="445"/>
      <c r="G136" s="446"/>
      <c r="H136" s="446"/>
      <c r="I136" s="446"/>
      <c r="J136" s="446"/>
      <c r="K136" s="445"/>
      <c r="L136" s="446"/>
      <c r="M136" s="446"/>
      <c r="N136" s="446"/>
      <c r="O136" s="446"/>
      <c r="P136" s="445"/>
      <c r="Q136" s="446"/>
      <c r="R136" s="446"/>
      <c r="S136" s="446"/>
      <c r="T136" s="446"/>
      <c r="U136" s="445"/>
      <c r="V136" s="446"/>
      <c r="W136" s="446"/>
      <c r="X136" s="446"/>
      <c r="Y136" s="446"/>
      <c r="Z136" s="436">
        <f>SUM(Z134:Z135)</f>
        <v>5810</v>
      </c>
      <c r="AA136" s="446"/>
      <c r="AB136" s="446"/>
      <c r="AC136" s="446"/>
      <c r="AD136" s="446"/>
      <c r="AE136" s="436">
        <f t="shared" ref="AE136:AJ136" si="288">SUM(AE134:AE135)</f>
        <v>6102</v>
      </c>
      <c r="AF136" s="437">
        <f t="shared" si="288"/>
        <v>1597</v>
      </c>
      <c r="AG136" s="437">
        <f t="shared" si="288"/>
        <v>1686</v>
      </c>
      <c r="AH136" s="437">
        <f t="shared" si="288"/>
        <v>1569</v>
      </c>
      <c r="AI136" s="437">
        <f t="shared" si="288"/>
        <v>1545</v>
      </c>
      <c r="AJ136" s="436">
        <f t="shared" si="288"/>
        <v>6397</v>
      </c>
      <c r="AK136" s="437">
        <v>1486</v>
      </c>
      <c r="AL136" s="437">
        <v>1549</v>
      </c>
      <c r="AM136" s="437">
        <v>1497</v>
      </c>
      <c r="AN136" s="437">
        <f>AO136-SUM(AK136,AL136,AM136)</f>
        <v>1476</v>
      </c>
      <c r="AO136" s="436">
        <v>6008</v>
      </c>
      <c r="AP136" s="437">
        <v>1519</v>
      </c>
      <c r="AQ136" s="437">
        <v>1367</v>
      </c>
      <c r="AR136" s="437">
        <v>1623</v>
      </c>
      <c r="AS136" s="437">
        <f>AT136-SUM(AP136,AQ136,AR136)</f>
        <v>1668</v>
      </c>
      <c r="AT136" s="436">
        <v>6177</v>
      </c>
      <c r="AU136" s="767">
        <v>1697</v>
      </c>
      <c r="AV136" s="446"/>
      <c r="AW136" s="446"/>
      <c r="AX136" s="446"/>
      <c r="AY136" s="445"/>
      <c r="AZ136" s="446"/>
      <c r="BA136" s="446"/>
      <c r="BB136" s="446"/>
      <c r="BC136" s="446"/>
      <c r="BD136" s="445"/>
      <c r="BE136" s="445"/>
      <c r="BF136" s="445"/>
      <c r="BG136" s="445"/>
      <c r="BH136" s="351"/>
    </row>
    <row r="137" spans="1:60" s="345" customFormat="1" hidden="1" outlineLevel="1" x14ac:dyDescent="0.35">
      <c r="A137" s="350" t="s">
        <v>417</v>
      </c>
      <c r="B137" s="444"/>
      <c r="C137" s="445"/>
      <c r="D137" s="445"/>
      <c r="E137" s="445"/>
      <c r="F137" s="445"/>
      <c r="G137" s="446"/>
      <c r="H137" s="446"/>
      <c r="I137" s="446"/>
      <c r="J137" s="446"/>
      <c r="K137" s="445"/>
      <c r="L137" s="446"/>
      <c r="M137" s="446"/>
      <c r="N137" s="446"/>
      <c r="O137" s="446"/>
      <c r="P137" s="445"/>
      <c r="Q137" s="446"/>
      <c r="R137" s="446"/>
      <c r="S137" s="446"/>
      <c r="T137" s="446"/>
      <c r="U137" s="445"/>
      <c r="V137" s="446"/>
      <c r="W137" s="446"/>
      <c r="X137" s="446"/>
      <c r="Y137" s="446"/>
      <c r="Z137" s="436">
        <v>2742</v>
      </c>
      <c r="AA137" s="446"/>
      <c r="AB137" s="446"/>
      <c r="AC137" s="446"/>
      <c r="AD137" s="446"/>
      <c r="AE137" s="436">
        <v>2981</v>
      </c>
      <c r="AF137" s="437">
        <v>839</v>
      </c>
      <c r="AG137" s="437">
        <v>770</v>
      </c>
      <c r="AH137" s="437">
        <v>788</v>
      </c>
      <c r="AI137" s="437">
        <f>AJ137-SUM(AF137,AG137,AH137)</f>
        <v>702</v>
      </c>
      <c r="AJ137" s="436">
        <v>3099</v>
      </c>
      <c r="AK137" s="437">
        <v>759</v>
      </c>
      <c r="AL137" s="437">
        <v>700</v>
      </c>
      <c r="AM137" s="437">
        <v>706</v>
      </c>
      <c r="AN137" s="437">
        <f>AO137-SUM(AK137,AL137,AM137)</f>
        <v>679</v>
      </c>
      <c r="AO137" s="436">
        <v>2844</v>
      </c>
      <c r="AP137" s="437">
        <v>719</v>
      </c>
      <c r="AQ137" s="437">
        <v>655</v>
      </c>
      <c r="AR137" s="437">
        <v>706</v>
      </c>
      <c r="AS137" s="437">
        <f>AT137-SUM(AP137,AQ137,AR137)</f>
        <v>725</v>
      </c>
      <c r="AT137" s="436">
        <v>2805</v>
      </c>
      <c r="AU137" s="767">
        <v>823</v>
      </c>
      <c r="AV137" s="446"/>
      <c r="AW137" s="446"/>
      <c r="AX137" s="446"/>
      <c r="AY137" s="445"/>
      <c r="AZ137" s="446"/>
      <c r="BA137" s="446"/>
      <c r="BB137" s="446"/>
      <c r="BC137" s="446"/>
      <c r="BD137" s="445"/>
      <c r="BE137" s="445"/>
      <c r="BF137" s="445"/>
      <c r="BG137" s="445"/>
      <c r="BH137" s="351"/>
    </row>
    <row r="138" spans="1:60" s="345" customFormat="1" hidden="1" outlineLevel="1" x14ac:dyDescent="0.35">
      <c r="A138" s="350" t="s">
        <v>418</v>
      </c>
      <c r="B138" s="444"/>
      <c r="C138" s="445"/>
      <c r="D138" s="445"/>
      <c r="E138" s="445"/>
      <c r="F138" s="445"/>
      <c r="G138" s="446"/>
      <c r="H138" s="446"/>
      <c r="I138" s="446"/>
      <c r="J138" s="446"/>
      <c r="K138" s="445"/>
      <c r="L138" s="446"/>
      <c r="M138" s="446"/>
      <c r="N138" s="446"/>
      <c r="O138" s="446"/>
      <c r="P138" s="445"/>
      <c r="Q138" s="446"/>
      <c r="R138" s="446"/>
      <c r="S138" s="446"/>
      <c r="T138" s="446"/>
      <c r="U138" s="445"/>
      <c r="V138" s="446"/>
      <c r="W138" s="446"/>
      <c r="X138" s="446"/>
      <c r="Y138" s="446"/>
      <c r="Z138" s="436">
        <v>2659</v>
      </c>
      <c r="AA138" s="446"/>
      <c r="AB138" s="446"/>
      <c r="AC138" s="446"/>
      <c r="AD138" s="446"/>
      <c r="AE138" s="436">
        <v>2869</v>
      </c>
      <c r="AF138" s="437">
        <v>833</v>
      </c>
      <c r="AG138" s="437">
        <v>798</v>
      </c>
      <c r="AH138" s="437">
        <v>665</v>
      </c>
      <c r="AI138" s="437">
        <f>AJ138-SUM(AF138,AG138,AH138)</f>
        <v>705</v>
      </c>
      <c r="AJ138" s="436">
        <v>3001</v>
      </c>
      <c r="AK138" s="437">
        <v>719</v>
      </c>
      <c r="AL138" s="437">
        <v>688</v>
      </c>
      <c r="AM138" s="437">
        <v>626</v>
      </c>
      <c r="AN138" s="437">
        <f>AO138-SUM(AK138,AL138,AM138)</f>
        <v>633</v>
      </c>
      <c r="AO138" s="436">
        <v>2666</v>
      </c>
      <c r="AP138" s="437">
        <v>698</v>
      </c>
      <c r="AQ138" s="437">
        <v>645</v>
      </c>
      <c r="AR138" s="437">
        <v>695</v>
      </c>
      <c r="AS138" s="437">
        <f>AT138-SUM(AP138,AQ138,AR138)</f>
        <v>753</v>
      </c>
      <c r="AT138" s="436">
        <v>2791</v>
      </c>
      <c r="AU138" s="767">
        <v>807</v>
      </c>
      <c r="AV138" s="446"/>
      <c r="AW138" s="446"/>
      <c r="AX138" s="446"/>
      <c r="AY138" s="445"/>
      <c r="AZ138" s="446"/>
      <c r="BA138" s="446"/>
      <c r="BB138" s="446"/>
      <c r="BC138" s="446"/>
      <c r="BD138" s="445"/>
      <c r="BE138" s="445"/>
      <c r="BF138" s="445"/>
      <c r="BG138" s="445"/>
      <c r="BH138" s="351"/>
    </row>
    <row r="139" spans="1:60" s="345" customFormat="1" hidden="1" outlineLevel="1" x14ac:dyDescent="0.35">
      <c r="A139" s="350" t="s">
        <v>695</v>
      </c>
      <c r="B139" s="444"/>
      <c r="C139" s="445"/>
      <c r="D139" s="445"/>
      <c r="E139" s="445"/>
      <c r="F139" s="445"/>
      <c r="G139" s="446"/>
      <c r="H139" s="446"/>
      <c r="I139" s="446"/>
      <c r="J139" s="446"/>
      <c r="K139" s="445"/>
      <c r="L139" s="446"/>
      <c r="M139" s="446"/>
      <c r="N139" s="446"/>
      <c r="O139" s="446"/>
      <c r="P139" s="445"/>
      <c r="Q139" s="446"/>
      <c r="R139" s="446"/>
      <c r="S139" s="446"/>
      <c r="T139" s="446"/>
      <c r="U139" s="445"/>
      <c r="V139" s="446"/>
      <c r="W139" s="446"/>
      <c r="X139" s="446"/>
      <c r="Y139" s="446"/>
      <c r="Z139" s="436">
        <v>5</v>
      </c>
      <c r="AA139" s="446"/>
      <c r="AB139" s="446"/>
      <c r="AC139" s="446"/>
      <c r="AD139" s="446"/>
      <c r="AE139" s="436">
        <v>-6</v>
      </c>
      <c r="AF139" s="437">
        <v>-1</v>
      </c>
      <c r="AG139" s="437">
        <v>-1</v>
      </c>
      <c r="AH139" s="437">
        <v>-1</v>
      </c>
      <c r="AI139" s="437">
        <f>AJ139-SUM(AF139,AG139,AH139)</f>
        <v>0</v>
      </c>
      <c r="AJ139" s="436">
        <v>-3</v>
      </c>
      <c r="AK139" s="437">
        <v>-1</v>
      </c>
      <c r="AL139" s="446"/>
      <c r="AM139" s="446"/>
      <c r="AN139" s="437">
        <f>AO139-SUM(AK139,AL139,AM139)</f>
        <v>-3</v>
      </c>
      <c r="AO139" s="436">
        <v>-4</v>
      </c>
      <c r="AP139" s="437">
        <v>-1</v>
      </c>
      <c r="AQ139" s="437">
        <v>1</v>
      </c>
      <c r="AR139" s="446"/>
      <c r="AS139" s="437">
        <f>AT139-SUM(AP139,AQ139,AR139)</f>
        <v>-6</v>
      </c>
      <c r="AT139" s="436">
        <v>-6</v>
      </c>
      <c r="AU139" s="767"/>
      <c r="AV139" s="446"/>
      <c r="AW139" s="446"/>
      <c r="AX139" s="446"/>
      <c r="AY139" s="445"/>
      <c r="AZ139" s="446"/>
      <c r="BA139" s="446"/>
      <c r="BB139" s="446"/>
      <c r="BC139" s="446"/>
      <c r="BD139" s="445"/>
      <c r="BE139" s="445"/>
      <c r="BF139" s="445"/>
      <c r="BG139" s="445"/>
      <c r="BH139" s="351"/>
    </row>
    <row r="140" spans="1:60" s="69" customFormat="1" hidden="1" outlineLevel="1" x14ac:dyDescent="0.35">
      <c r="A140" s="89" t="s">
        <v>390</v>
      </c>
      <c r="B140" s="452"/>
      <c r="C140" s="453"/>
      <c r="D140" s="453"/>
      <c r="E140" s="453"/>
      <c r="F140" s="453"/>
      <c r="G140" s="454"/>
      <c r="H140" s="454"/>
      <c r="I140" s="454"/>
      <c r="J140" s="454"/>
      <c r="K140" s="453"/>
      <c r="L140" s="454"/>
      <c r="M140" s="454"/>
      <c r="N140" s="454"/>
      <c r="O140" s="454"/>
      <c r="P140" s="453"/>
      <c r="Q140" s="454"/>
      <c r="R140" s="454"/>
      <c r="S140" s="454"/>
      <c r="T140" s="454"/>
      <c r="U140" s="453"/>
      <c r="V140" s="439">
        <f>V36</f>
        <v>2825</v>
      </c>
      <c r="W140" s="439">
        <f>W36</f>
        <v>2887</v>
      </c>
      <c r="X140" s="439">
        <f>X36</f>
        <v>2835</v>
      </c>
      <c r="Y140" s="439">
        <f>Y36</f>
        <v>2669</v>
      </c>
      <c r="Z140" s="438">
        <f>SUM(Z136:Z139)</f>
        <v>11216</v>
      </c>
      <c r="AA140" s="439">
        <f>AA36</f>
        <v>2910</v>
      </c>
      <c r="AB140" s="439">
        <f>AB36</f>
        <v>2926</v>
      </c>
      <c r="AC140" s="439">
        <f>AC36</f>
        <v>3024</v>
      </c>
      <c r="AD140" s="439">
        <f>AD36</f>
        <v>3086</v>
      </c>
      <c r="AE140" s="438">
        <f t="shared" ref="AE140:AU140" si="289">SUM(AE136:AE139)</f>
        <v>11946</v>
      </c>
      <c r="AF140" s="439">
        <f t="shared" si="289"/>
        <v>3268</v>
      </c>
      <c r="AG140" s="439">
        <f t="shared" si="289"/>
        <v>3253</v>
      </c>
      <c r="AH140" s="439">
        <f t="shared" si="289"/>
        <v>3021</v>
      </c>
      <c r="AI140" s="439">
        <f t="shared" si="289"/>
        <v>2952</v>
      </c>
      <c r="AJ140" s="438">
        <f t="shared" si="289"/>
        <v>12494</v>
      </c>
      <c r="AK140" s="439">
        <f t="shared" si="289"/>
        <v>2963</v>
      </c>
      <c r="AL140" s="439">
        <f t="shared" si="289"/>
        <v>2937</v>
      </c>
      <c r="AM140" s="439">
        <f t="shared" si="289"/>
        <v>2829</v>
      </c>
      <c r="AN140" s="439">
        <f t="shared" si="289"/>
        <v>2785</v>
      </c>
      <c r="AO140" s="438">
        <f t="shared" si="289"/>
        <v>11514</v>
      </c>
      <c r="AP140" s="439">
        <f t="shared" si="289"/>
        <v>2935</v>
      </c>
      <c r="AQ140" s="439">
        <f t="shared" si="289"/>
        <v>2668</v>
      </c>
      <c r="AR140" s="439">
        <f t="shared" si="289"/>
        <v>3024</v>
      </c>
      <c r="AS140" s="439">
        <f t="shared" si="289"/>
        <v>3140</v>
      </c>
      <c r="AT140" s="438">
        <f t="shared" si="289"/>
        <v>11767</v>
      </c>
      <c r="AU140" s="765">
        <f t="shared" si="289"/>
        <v>3327</v>
      </c>
      <c r="AV140" s="439">
        <f>AV132</f>
        <v>2854.76</v>
      </c>
      <c r="AW140" s="439">
        <f>AW132</f>
        <v>3235.68</v>
      </c>
      <c r="AX140" s="439">
        <f>AX132</f>
        <v>3359.8</v>
      </c>
      <c r="AY140" s="438">
        <f>SUM(AU140,AV140,AW140,AX140)</f>
        <v>12777.240000000002</v>
      </c>
      <c r="AZ140" s="439">
        <f>AZ132</f>
        <v>3559.89</v>
      </c>
      <c r="BA140" s="439">
        <f>BA132</f>
        <v>3054.5932000000003</v>
      </c>
      <c r="BB140" s="439">
        <f>BB132</f>
        <v>3462.1776</v>
      </c>
      <c r="BC140" s="439">
        <f>BC132</f>
        <v>3594.9859999999999</v>
      </c>
      <c r="BD140" s="438">
        <f>SUM(AZ140,BA140,BB140,BC140)</f>
        <v>13671.646800000002</v>
      </c>
      <c r="BE140" s="438">
        <f>BE132</f>
        <v>14628.662076000002</v>
      </c>
      <c r="BF140" s="438">
        <f>BF132</f>
        <v>15652.668421320002</v>
      </c>
      <c r="BG140" s="438">
        <f>BG132</f>
        <v>16748.355210812402</v>
      </c>
      <c r="BH140" s="79"/>
    </row>
    <row r="141" spans="1:60" s="69" customFormat="1" hidden="1" outlineLevel="1" x14ac:dyDescent="0.35">
      <c r="A141" s="426"/>
      <c r="B141" s="518"/>
      <c r="C141" s="519"/>
      <c r="D141" s="519"/>
      <c r="E141" s="519"/>
      <c r="F141" s="519"/>
      <c r="G141" s="520"/>
      <c r="H141" s="520"/>
      <c r="I141" s="520"/>
      <c r="J141" s="520"/>
      <c r="K141" s="519"/>
      <c r="L141" s="520"/>
      <c r="M141" s="520"/>
      <c r="N141" s="520"/>
      <c r="O141" s="520"/>
      <c r="P141" s="519"/>
      <c r="Q141" s="520"/>
      <c r="R141" s="520"/>
      <c r="S141" s="520"/>
      <c r="T141" s="520"/>
      <c r="U141" s="519"/>
      <c r="V141" s="520"/>
      <c r="W141" s="520"/>
      <c r="X141" s="520"/>
      <c r="Y141" s="520"/>
      <c r="Z141" s="519"/>
      <c r="AA141" s="520"/>
      <c r="AB141" s="520"/>
      <c r="AC141" s="520"/>
      <c r="AD141" s="520"/>
      <c r="AE141" s="519"/>
      <c r="AF141" s="520"/>
      <c r="AG141" s="520"/>
      <c r="AH141" s="520"/>
      <c r="AI141" s="520"/>
      <c r="AJ141" s="519"/>
      <c r="AK141" s="520"/>
      <c r="AL141" s="520"/>
      <c r="AM141" s="520"/>
      <c r="AN141" s="520"/>
      <c r="AO141" s="519"/>
      <c r="AP141" s="520"/>
      <c r="AQ141" s="520"/>
      <c r="AR141" s="520"/>
      <c r="AS141" s="520"/>
      <c r="AT141" s="519"/>
      <c r="AU141" s="766"/>
      <c r="AV141" s="520"/>
      <c r="AW141" s="520"/>
      <c r="AX141" s="520"/>
      <c r="AY141" s="519"/>
      <c r="AZ141" s="520"/>
      <c r="BA141" s="520"/>
      <c r="BB141" s="520"/>
      <c r="BC141" s="520"/>
      <c r="BD141" s="519"/>
      <c r="BE141" s="519"/>
      <c r="BF141" s="519"/>
      <c r="BG141" s="519"/>
      <c r="BH141" s="79"/>
    </row>
    <row r="142" spans="1:60" s="69" customFormat="1" hidden="1" outlineLevel="1" x14ac:dyDescent="0.35">
      <c r="A142" s="90" t="s">
        <v>386</v>
      </c>
      <c r="B142" s="518"/>
      <c r="C142" s="519"/>
      <c r="D142" s="519"/>
      <c r="E142" s="519"/>
      <c r="F142" s="519"/>
      <c r="G142" s="520"/>
      <c r="H142" s="520"/>
      <c r="I142" s="520"/>
      <c r="J142" s="520"/>
      <c r="K142" s="519"/>
      <c r="L142" s="520"/>
      <c r="M142" s="520"/>
      <c r="N142" s="520"/>
      <c r="O142" s="520"/>
      <c r="P142" s="519"/>
      <c r="Q142" s="520"/>
      <c r="R142" s="520"/>
      <c r="S142" s="520"/>
      <c r="T142" s="520"/>
      <c r="U142" s="519"/>
      <c r="V142" s="441">
        <f t="shared" ref="V142:AR142" si="290">V57</f>
        <v>643</v>
      </c>
      <c r="W142" s="441">
        <f t="shared" si="290"/>
        <v>717</v>
      </c>
      <c r="X142" s="441">
        <f t="shared" si="290"/>
        <v>653</v>
      </c>
      <c r="Y142" s="441">
        <f t="shared" si="290"/>
        <v>578</v>
      </c>
      <c r="Z142" s="440">
        <f t="shared" si="290"/>
        <v>2591</v>
      </c>
      <c r="AA142" s="441">
        <f t="shared" si="290"/>
        <v>664</v>
      </c>
      <c r="AB142" s="441">
        <f t="shared" si="290"/>
        <v>619</v>
      </c>
      <c r="AC142" s="441">
        <f t="shared" si="290"/>
        <v>728</v>
      </c>
      <c r="AD142" s="441">
        <f t="shared" si="290"/>
        <v>592</v>
      </c>
      <c r="AE142" s="440">
        <f t="shared" si="290"/>
        <v>2603</v>
      </c>
      <c r="AF142" s="441">
        <f t="shared" si="290"/>
        <v>771</v>
      </c>
      <c r="AG142" s="441">
        <f t="shared" si="290"/>
        <v>1285</v>
      </c>
      <c r="AH142" s="441">
        <f t="shared" si="290"/>
        <v>697</v>
      </c>
      <c r="AI142" s="441">
        <f t="shared" si="290"/>
        <v>670</v>
      </c>
      <c r="AJ142" s="440">
        <f t="shared" si="290"/>
        <v>3423</v>
      </c>
      <c r="AK142" s="441">
        <f t="shared" si="290"/>
        <v>637</v>
      </c>
      <c r="AL142" s="441">
        <f t="shared" si="290"/>
        <v>647</v>
      </c>
      <c r="AM142" s="441">
        <f t="shared" si="290"/>
        <v>647</v>
      </c>
      <c r="AN142" s="441">
        <f t="shared" si="290"/>
        <v>579</v>
      </c>
      <c r="AO142" s="440">
        <f t="shared" si="290"/>
        <v>2510</v>
      </c>
      <c r="AP142" s="441">
        <f t="shared" si="290"/>
        <v>726</v>
      </c>
      <c r="AQ142" s="441">
        <f t="shared" si="290"/>
        <v>636</v>
      </c>
      <c r="AR142" s="441">
        <f t="shared" si="290"/>
        <v>823</v>
      </c>
      <c r="AS142" s="441">
        <f>AS57</f>
        <v>869</v>
      </c>
      <c r="AT142" s="440">
        <f>AT57</f>
        <v>3054</v>
      </c>
      <c r="AU142" s="762">
        <f t="shared" ref="AU142" si="291">AU57</f>
        <v>811</v>
      </c>
      <c r="AV142" s="441">
        <f>AV140*AV150</f>
        <v>737.61519999999996</v>
      </c>
      <c r="AW142" s="441">
        <f>AW140*AW150</f>
        <v>832.07479999999987</v>
      </c>
      <c r="AX142" s="441">
        <f>AX140*AX150</f>
        <v>963.42800000000011</v>
      </c>
      <c r="AY142" s="440">
        <f>SUM(AU142,AV142,AW142,AX142)</f>
        <v>3344.1179999999995</v>
      </c>
      <c r="AZ142" s="441">
        <f>AZ140*AZ150</f>
        <v>903.36890000000005</v>
      </c>
      <c r="BA142" s="441">
        <f>BA140*BA150</f>
        <v>850.34012800000005</v>
      </c>
      <c r="BB142" s="441">
        <f>BB140*BB150</f>
        <v>838.38737199999991</v>
      </c>
      <c r="BC142" s="441">
        <f>BC140*BC150</f>
        <v>1066.81782</v>
      </c>
      <c r="BD142" s="440">
        <f>SUM(AZ142,BA142,BB142,BC142)</f>
        <v>3658.9142200000006</v>
      </c>
      <c r="BE142" s="440">
        <f>BE140*BE150</f>
        <v>3988.1815257800004</v>
      </c>
      <c r="BF142" s="440">
        <f>BF140*BF150</f>
        <v>4345.6175746912004</v>
      </c>
      <c r="BG142" s="440">
        <f>BG140*BG150</f>
        <v>4733.5525809736464</v>
      </c>
      <c r="BH142" s="79"/>
    </row>
    <row r="143" spans="1:60" s="345" customFormat="1" hidden="1" outlineLevel="1" x14ac:dyDescent="0.35">
      <c r="A143" s="91" t="s">
        <v>982</v>
      </c>
      <c r="B143" s="501"/>
      <c r="C143" s="502"/>
      <c r="D143" s="502"/>
      <c r="E143" s="502"/>
      <c r="F143" s="502"/>
      <c r="G143" s="463"/>
      <c r="H143" s="463"/>
      <c r="I143" s="463"/>
      <c r="J143" s="463"/>
      <c r="K143" s="502"/>
      <c r="L143" s="463"/>
      <c r="M143" s="463"/>
      <c r="N143" s="463"/>
      <c r="O143" s="463"/>
      <c r="P143" s="502"/>
      <c r="Q143" s="463"/>
      <c r="R143" s="463"/>
      <c r="S143" s="463"/>
      <c r="T143" s="463"/>
      <c r="U143" s="502"/>
      <c r="V143" s="463"/>
      <c r="W143" s="463"/>
      <c r="X143" s="463"/>
      <c r="Y143" s="463"/>
      <c r="Z143" s="502"/>
      <c r="AA143" s="463"/>
      <c r="AB143" s="463"/>
      <c r="AC143" s="463"/>
      <c r="AD143" s="463"/>
      <c r="AE143" s="502"/>
      <c r="AF143" s="463"/>
      <c r="AG143" s="463"/>
      <c r="AH143" s="463"/>
      <c r="AI143" s="463"/>
      <c r="AJ143" s="502"/>
      <c r="AK143" s="463"/>
      <c r="AL143" s="463"/>
      <c r="AM143" s="463"/>
      <c r="AN143" s="463"/>
      <c r="AO143" s="502"/>
      <c r="AP143" s="463"/>
      <c r="AQ143" s="463"/>
      <c r="AR143" s="463"/>
      <c r="AS143" s="463"/>
      <c r="AT143" s="502"/>
      <c r="AU143" s="768"/>
      <c r="AV143" s="463"/>
      <c r="AW143" s="463"/>
      <c r="AX143" s="463"/>
      <c r="AY143" s="480">
        <f>SUM(AU143,AV143,AW143,AX143)</f>
        <v>0</v>
      </c>
      <c r="AZ143" s="463"/>
      <c r="BA143" s="463"/>
      <c r="BB143" s="463"/>
      <c r="BC143" s="463"/>
      <c r="BD143" s="480">
        <f>SUM(AZ143,BA143,BB143,BC143)</f>
        <v>0</v>
      </c>
      <c r="BE143" s="502"/>
      <c r="BF143" s="502"/>
      <c r="BG143" s="502"/>
      <c r="BH143" s="351"/>
    </row>
    <row r="144" spans="1:60" s="69" customFormat="1" hidden="1" outlineLevel="1" x14ac:dyDescent="0.35">
      <c r="A144" s="90" t="s">
        <v>971</v>
      </c>
      <c r="B144" s="518"/>
      <c r="C144" s="519"/>
      <c r="D144" s="519"/>
      <c r="E144" s="519"/>
      <c r="F144" s="519"/>
      <c r="G144" s="520"/>
      <c r="H144" s="520"/>
      <c r="I144" s="520"/>
      <c r="J144" s="520"/>
      <c r="K144" s="519"/>
      <c r="L144" s="520"/>
      <c r="M144" s="520"/>
      <c r="N144" s="520"/>
      <c r="O144" s="520"/>
      <c r="P144" s="519"/>
      <c r="Q144" s="520"/>
      <c r="R144" s="520"/>
      <c r="S144" s="520"/>
      <c r="T144" s="520"/>
      <c r="U144" s="519"/>
      <c r="V144" s="520"/>
      <c r="W144" s="520"/>
      <c r="X144" s="520"/>
      <c r="Y144" s="520"/>
      <c r="Z144" s="519"/>
      <c r="AA144" s="520"/>
      <c r="AB144" s="520"/>
      <c r="AC144" s="520"/>
      <c r="AD144" s="520"/>
      <c r="AE144" s="519"/>
      <c r="AF144" s="520"/>
      <c r="AG144" s="520"/>
      <c r="AH144" s="520"/>
      <c r="AI144" s="520"/>
      <c r="AJ144" s="519"/>
      <c r="AK144" s="441">
        <f t="shared" ref="AK144:AO144" si="292">SUM(AK142:AK143)</f>
        <v>637</v>
      </c>
      <c r="AL144" s="441">
        <f t="shared" si="292"/>
        <v>647</v>
      </c>
      <c r="AM144" s="441">
        <f t="shared" si="292"/>
        <v>647</v>
      </c>
      <c r="AN144" s="441">
        <f t="shared" si="292"/>
        <v>579</v>
      </c>
      <c r="AO144" s="440">
        <f t="shared" si="292"/>
        <v>2510</v>
      </c>
      <c r="AP144" s="441">
        <f t="shared" ref="AP144:AY144" si="293">SUM(AP142:AP143)</f>
        <v>726</v>
      </c>
      <c r="AQ144" s="441">
        <f t="shared" si="293"/>
        <v>636</v>
      </c>
      <c r="AR144" s="441">
        <f t="shared" si="293"/>
        <v>823</v>
      </c>
      <c r="AS144" s="441">
        <f t="shared" si="293"/>
        <v>869</v>
      </c>
      <c r="AT144" s="440">
        <f t="shared" si="293"/>
        <v>3054</v>
      </c>
      <c r="AU144" s="762">
        <f t="shared" ref="AU144" si="294">SUM(AU142:AU143)</f>
        <v>811</v>
      </c>
      <c r="AV144" s="441">
        <f t="shared" si="293"/>
        <v>737.61519999999996</v>
      </c>
      <c r="AW144" s="441">
        <f t="shared" si="293"/>
        <v>832.07479999999987</v>
      </c>
      <c r="AX144" s="441">
        <f t="shared" si="293"/>
        <v>963.42800000000011</v>
      </c>
      <c r="AY144" s="440">
        <f t="shared" si="293"/>
        <v>3344.1179999999995</v>
      </c>
      <c r="AZ144" s="441">
        <f t="shared" ref="AZ144:BG144" si="295">SUM(AZ142:AZ143)</f>
        <v>903.36890000000005</v>
      </c>
      <c r="BA144" s="441">
        <f t="shared" si="295"/>
        <v>850.34012800000005</v>
      </c>
      <c r="BB144" s="441">
        <f t="shared" si="295"/>
        <v>838.38737199999991</v>
      </c>
      <c r="BC144" s="441">
        <f t="shared" si="295"/>
        <v>1066.81782</v>
      </c>
      <c r="BD144" s="440">
        <f t="shared" si="295"/>
        <v>3658.9142200000006</v>
      </c>
      <c r="BE144" s="440">
        <f t="shared" si="295"/>
        <v>3988.1815257800004</v>
      </c>
      <c r="BF144" s="440">
        <f t="shared" si="295"/>
        <v>4345.6175746912004</v>
      </c>
      <c r="BG144" s="440">
        <f t="shared" si="295"/>
        <v>4733.5525809736464</v>
      </c>
      <c r="BH144" s="79"/>
    </row>
    <row r="145" spans="1:60" s="345" customFormat="1" hidden="1" outlineLevel="1" x14ac:dyDescent="0.35">
      <c r="A145" s="466" t="s">
        <v>945</v>
      </c>
      <c r="B145" s="501"/>
      <c r="C145" s="502"/>
      <c r="D145" s="502"/>
      <c r="E145" s="502"/>
      <c r="F145" s="502"/>
      <c r="G145" s="463"/>
      <c r="H145" s="463"/>
      <c r="I145" s="463"/>
      <c r="J145" s="463"/>
      <c r="K145" s="502"/>
      <c r="L145" s="463"/>
      <c r="M145" s="463"/>
      <c r="N145" s="463"/>
      <c r="O145" s="463"/>
      <c r="P145" s="502"/>
      <c r="Q145" s="463"/>
      <c r="R145" s="463"/>
      <c r="S145" s="463"/>
      <c r="T145" s="463"/>
      <c r="U145" s="502"/>
      <c r="V145" s="463"/>
      <c r="W145" s="463"/>
      <c r="X145" s="463"/>
      <c r="Y145" s="463"/>
      <c r="Z145" s="502"/>
      <c r="AA145" s="463"/>
      <c r="AB145" s="463"/>
      <c r="AC145" s="463"/>
      <c r="AD145" s="463"/>
      <c r="AE145" s="502"/>
      <c r="AF145" s="463"/>
      <c r="AG145" s="463"/>
      <c r="AH145" s="463"/>
      <c r="AI145" s="463"/>
      <c r="AJ145" s="502"/>
      <c r="AK145" s="463">
        <v>100</v>
      </c>
      <c r="AL145" s="463">
        <v>106</v>
      </c>
      <c r="AM145" s="463">
        <v>106</v>
      </c>
      <c r="AN145" s="463">
        <v>135</v>
      </c>
      <c r="AO145" s="502">
        <v>509</v>
      </c>
      <c r="AP145" s="463">
        <v>99</v>
      </c>
      <c r="AQ145" s="463">
        <v>125</v>
      </c>
      <c r="AR145" s="463">
        <v>133</v>
      </c>
      <c r="AS145" s="463">
        <v>145</v>
      </c>
      <c r="AT145" s="502">
        <v>562</v>
      </c>
      <c r="AU145" s="768">
        <v>141</v>
      </c>
      <c r="AV145" s="945">
        <f>Drivers!AV40</f>
        <v>130</v>
      </c>
      <c r="AW145" s="945">
        <f>Drivers!AW40</f>
        <v>130</v>
      </c>
      <c r="AX145" s="945">
        <f>Drivers!AX40</f>
        <v>130</v>
      </c>
      <c r="AY145" s="502">
        <f>SUM(AU145,AV145,AW145,AX145)</f>
        <v>531</v>
      </c>
      <c r="AZ145" s="945">
        <f>Drivers!AZ40</f>
        <v>130</v>
      </c>
      <c r="BA145" s="945">
        <f>Drivers!BA40</f>
        <v>130</v>
      </c>
      <c r="BB145" s="945">
        <f>Drivers!BB40</f>
        <v>130</v>
      </c>
      <c r="BC145" s="945">
        <f>Drivers!BC40</f>
        <v>130</v>
      </c>
      <c r="BD145" s="502">
        <f>SUM(AZ145,BA145,BB145,BC145)</f>
        <v>520</v>
      </c>
      <c r="BE145" s="945">
        <f>Drivers!BE40</f>
        <v>520</v>
      </c>
      <c r="BF145" s="945">
        <f>Drivers!BF40</f>
        <v>520</v>
      </c>
      <c r="BG145" s="945">
        <f>Drivers!BG40</f>
        <v>520</v>
      </c>
      <c r="BH145" s="351"/>
    </row>
    <row r="146" spans="1:60" s="69" customFormat="1" hidden="1" outlineLevel="1" x14ac:dyDescent="0.35">
      <c r="A146" s="90" t="s">
        <v>946</v>
      </c>
      <c r="B146" s="518"/>
      <c r="C146" s="519"/>
      <c r="D146" s="519"/>
      <c r="E146" s="519"/>
      <c r="F146" s="519"/>
      <c r="G146" s="520"/>
      <c r="H146" s="520"/>
      <c r="I146" s="520"/>
      <c r="J146" s="520"/>
      <c r="K146" s="519"/>
      <c r="L146" s="520"/>
      <c r="M146" s="520"/>
      <c r="N146" s="520"/>
      <c r="O146" s="520"/>
      <c r="P146" s="519"/>
      <c r="Q146" s="520"/>
      <c r="R146" s="520"/>
      <c r="S146" s="520"/>
      <c r="T146" s="520"/>
      <c r="U146" s="519"/>
      <c r="V146" s="520"/>
      <c r="W146" s="520"/>
      <c r="X146" s="520"/>
      <c r="Y146" s="520"/>
      <c r="Z146" s="519"/>
      <c r="AA146" s="520"/>
      <c r="AB146" s="520"/>
      <c r="AC146" s="520"/>
      <c r="AD146" s="520"/>
      <c r="AE146" s="519"/>
      <c r="AF146" s="520"/>
      <c r="AG146" s="520"/>
      <c r="AH146" s="520"/>
      <c r="AI146" s="520"/>
      <c r="AJ146" s="519"/>
      <c r="AK146" s="441">
        <f>SUM(AK144:AK145)</f>
        <v>737</v>
      </c>
      <c r="AL146" s="441">
        <f t="shared" ref="AL146:AO146" si="296">SUM(AL144:AL145)</f>
        <v>753</v>
      </c>
      <c r="AM146" s="441">
        <f t="shared" si="296"/>
        <v>753</v>
      </c>
      <c r="AN146" s="441">
        <f t="shared" si="296"/>
        <v>714</v>
      </c>
      <c r="AO146" s="440">
        <f t="shared" si="296"/>
        <v>3019</v>
      </c>
      <c r="AP146" s="441">
        <f>SUM(AP144:AP145)</f>
        <v>825</v>
      </c>
      <c r="AQ146" s="441">
        <f t="shared" ref="AQ146:AY146" si="297">SUM(AQ144:AQ145)</f>
        <v>761</v>
      </c>
      <c r="AR146" s="441">
        <f t="shared" si="297"/>
        <v>956</v>
      </c>
      <c r="AS146" s="441">
        <f t="shared" si="297"/>
        <v>1014</v>
      </c>
      <c r="AT146" s="440">
        <f t="shared" si="297"/>
        <v>3616</v>
      </c>
      <c r="AU146" s="762">
        <f>SUM(AU144:AU145)</f>
        <v>952</v>
      </c>
      <c r="AV146" s="441">
        <f t="shared" si="297"/>
        <v>867.61519999999996</v>
      </c>
      <c r="AW146" s="441">
        <f t="shared" si="297"/>
        <v>962.07479999999987</v>
      </c>
      <c r="AX146" s="441">
        <f t="shared" si="297"/>
        <v>1093.4280000000001</v>
      </c>
      <c r="AY146" s="440">
        <f t="shared" si="297"/>
        <v>3875.1179999999995</v>
      </c>
      <c r="AZ146" s="441">
        <f t="shared" ref="AZ146:BG146" si="298">SUM(AZ144:AZ145)</f>
        <v>1033.3688999999999</v>
      </c>
      <c r="BA146" s="441">
        <f t="shared" si="298"/>
        <v>980.34012800000005</v>
      </c>
      <c r="BB146" s="441">
        <f t="shared" si="298"/>
        <v>968.38737199999991</v>
      </c>
      <c r="BC146" s="441">
        <f t="shared" si="298"/>
        <v>1196.81782</v>
      </c>
      <c r="BD146" s="440">
        <f t="shared" si="298"/>
        <v>4178.9142200000006</v>
      </c>
      <c r="BE146" s="440">
        <f t="shared" si="298"/>
        <v>4508.1815257800008</v>
      </c>
      <c r="BF146" s="440">
        <f t="shared" si="298"/>
        <v>4865.6175746912004</v>
      </c>
      <c r="BG146" s="440">
        <f t="shared" si="298"/>
        <v>5253.5525809736464</v>
      </c>
      <c r="BH146" s="79"/>
    </row>
    <row r="147" spans="1:60" s="69" customFormat="1" hidden="1" outlineLevel="1" x14ac:dyDescent="0.35">
      <c r="A147" s="426"/>
      <c r="B147" s="518"/>
      <c r="C147" s="519"/>
      <c r="D147" s="519"/>
      <c r="E147" s="519"/>
      <c r="F147" s="519"/>
      <c r="G147" s="520"/>
      <c r="H147" s="520"/>
      <c r="I147" s="520"/>
      <c r="J147" s="520"/>
      <c r="K147" s="519"/>
      <c r="L147" s="520"/>
      <c r="M147" s="520"/>
      <c r="N147" s="520"/>
      <c r="O147" s="520"/>
      <c r="P147" s="519"/>
      <c r="Q147" s="520"/>
      <c r="R147" s="520"/>
      <c r="S147" s="520"/>
      <c r="T147" s="520"/>
      <c r="U147" s="519"/>
      <c r="V147" s="520"/>
      <c r="W147" s="520"/>
      <c r="X147" s="520"/>
      <c r="Y147" s="520"/>
      <c r="Z147" s="519"/>
      <c r="AA147" s="520"/>
      <c r="AB147" s="520"/>
      <c r="AC147" s="520"/>
      <c r="AD147" s="520"/>
      <c r="AE147" s="519"/>
      <c r="AF147" s="520"/>
      <c r="AG147" s="520"/>
      <c r="AH147" s="520"/>
      <c r="AI147" s="520"/>
      <c r="AJ147" s="519"/>
      <c r="AK147" s="520"/>
      <c r="AL147" s="520"/>
      <c r="AM147" s="520"/>
      <c r="AN147" s="520"/>
      <c r="AO147" s="519"/>
      <c r="AP147" s="520"/>
      <c r="AQ147" s="520"/>
      <c r="AR147" s="520"/>
      <c r="AS147" s="520"/>
      <c r="AT147" s="519"/>
      <c r="AU147" s="766"/>
      <c r="AV147" s="520"/>
      <c r="AW147" s="520"/>
      <c r="AX147" s="520"/>
      <c r="AY147" s="519"/>
      <c r="AZ147" s="520"/>
      <c r="BA147" s="520"/>
      <c r="BB147" s="520"/>
      <c r="BC147" s="520"/>
      <c r="BD147" s="519"/>
      <c r="BE147" s="519"/>
      <c r="BF147" s="519"/>
      <c r="BG147" s="519"/>
      <c r="BH147" s="79"/>
    </row>
    <row r="148" spans="1:60" s="225" customFormat="1" hidden="1" outlineLevel="1" x14ac:dyDescent="0.35">
      <c r="A148" s="538" t="s">
        <v>947</v>
      </c>
      <c r="B148" s="176"/>
      <c r="C148" s="113"/>
      <c r="D148" s="113"/>
      <c r="E148" s="113"/>
      <c r="F148" s="113"/>
      <c r="G148" s="177"/>
      <c r="H148" s="177"/>
      <c r="I148" s="177"/>
      <c r="J148" s="177"/>
      <c r="K148" s="113"/>
      <c r="L148" s="177"/>
      <c r="M148" s="177"/>
      <c r="N148" s="177"/>
      <c r="O148" s="177"/>
      <c r="P148" s="113"/>
      <c r="Q148" s="177"/>
      <c r="R148" s="177"/>
      <c r="S148" s="177"/>
      <c r="T148" s="177"/>
      <c r="U148" s="113"/>
      <c r="V148" s="177"/>
      <c r="W148" s="177"/>
      <c r="X148" s="177"/>
      <c r="Y148" s="177"/>
      <c r="Z148" s="113"/>
      <c r="AA148" s="177"/>
      <c r="AB148" s="177"/>
      <c r="AC148" s="177"/>
      <c r="AD148" s="177"/>
      <c r="AE148" s="113"/>
      <c r="AF148" s="177"/>
      <c r="AG148" s="177"/>
      <c r="AH148" s="177"/>
      <c r="AI148" s="177"/>
      <c r="AJ148" s="113"/>
      <c r="AK148" s="226">
        <f t="shared" ref="AK148:AO148" si="299">AK146/AK140</f>
        <v>0.24873439082011475</v>
      </c>
      <c r="AL148" s="226">
        <f t="shared" si="299"/>
        <v>0.25638406537282943</v>
      </c>
      <c r="AM148" s="226">
        <f t="shared" si="299"/>
        <v>0.26617179215270415</v>
      </c>
      <c r="AN148" s="226">
        <f t="shared" si="299"/>
        <v>0.2563734290843806</v>
      </c>
      <c r="AO148" s="223">
        <f t="shared" si="299"/>
        <v>0.26220253604307797</v>
      </c>
      <c r="AP148" s="226">
        <f t="shared" ref="AP148:AY148" si="300">AP146/AP140</f>
        <v>0.28109028960817717</v>
      </c>
      <c r="AQ148" s="226">
        <f t="shared" si="300"/>
        <v>0.28523238380809596</v>
      </c>
      <c r="AR148" s="226">
        <f t="shared" si="300"/>
        <v>0.31613756613756616</v>
      </c>
      <c r="AS148" s="226">
        <f t="shared" ref="AS148:AU148" si="301">AS146/AS140</f>
        <v>0.32292993630573247</v>
      </c>
      <c r="AT148" s="223">
        <f t="shared" si="301"/>
        <v>0.30730007648508539</v>
      </c>
      <c r="AU148" s="773">
        <f t="shared" si="301"/>
        <v>0.28614367297865945</v>
      </c>
      <c r="AV148" s="226">
        <f t="shared" si="300"/>
        <v>0.30391878826941665</v>
      </c>
      <c r="AW148" s="226">
        <f t="shared" si="300"/>
        <v>0.29733311081441921</v>
      </c>
      <c r="AX148" s="226">
        <f t="shared" si="300"/>
        <v>0.32544437168879103</v>
      </c>
      <c r="AY148" s="223">
        <f t="shared" si="300"/>
        <v>0.30328286860073062</v>
      </c>
      <c r="AZ148" s="226">
        <f t="shared" ref="AZ148:BG148" si="302">AZ146/AZ140</f>
        <v>0.29028113228217728</v>
      </c>
      <c r="BA148" s="226">
        <f t="shared" si="302"/>
        <v>0.32093966816923442</v>
      </c>
      <c r="BB148" s="226">
        <f t="shared" si="302"/>
        <v>0.2797047072339674</v>
      </c>
      <c r="BC148" s="226">
        <f t="shared" si="302"/>
        <v>0.33291306836799922</v>
      </c>
      <c r="BD148" s="223">
        <f t="shared" si="302"/>
        <v>0.30566282768510372</v>
      </c>
      <c r="BE148" s="223">
        <f t="shared" si="302"/>
        <v>0.30817456185389569</v>
      </c>
      <c r="BF148" s="223">
        <f t="shared" si="302"/>
        <v>0.3108490797686545</v>
      </c>
      <c r="BG148" s="223">
        <f t="shared" si="302"/>
        <v>0.31367573202543841</v>
      </c>
      <c r="BH148" s="94"/>
    </row>
    <row r="149" spans="1:60" s="225" customFormat="1" hidden="1" outlineLevel="1" x14ac:dyDescent="0.35">
      <c r="A149" s="538" t="s">
        <v>972</v>
      </c>
      <c r="B149" s="176"/>
      <c r="C149" s="113"/>
      <c r="D149" s="113"/>
      <c r="E149" s="113"/>
      <c r="F149" s="113"/>
      <c r="G149" s="177"/>
      <c r="H149" s="177"/>
      <c r="I149" s="177"/>
      <c r="J149" s="177"/>
      <c r="K149" s="113"/>
      <c r="L149" s="177"/>
      <c r="M149" s="177"/>
      <c r="N149" s="177"/>
      <c r="O149" s="177"/>
      <c r="P149" s="113"/>
      <c r="Q149" s="177"/>
      <c r="R149" s="177"/>
      <c r="S149" s="177"/>
      <c r="T149" s="177"/>
      <c r="U149" s="113"/>
      <c r="V149" s="177"/>
      <c r="W149" s="177"/>
      <c r="X149" s="177"/>
      <c r="Y149" s="177"/>
      <c r="Z149" s="113"/>
      <c r="AA149" s="177"/>
      <c r="AB149" s="177"/>
      <c r="AC149" s="177"/>
      <c r="AD149" s="177"/>
      <c r="AE149" s="113"/>
      <c r="AF149" s="177"/>
      <c r="AG149" s="177"/>
      <c r="AH149" s="177"/>
      <c r="AI149" s="177"/>
      <c r="AJ149" s="113"/>
      <c r="AK149" s="226">
        <f t="shared" ref="AK149:AO149" si="303">AK144/AK140</f>
        <v>0.21498481268984138</v>
      </c>
      <c r="AL149" s="226">
        <f t="shared" si="303"/>
        <v>0.22029281579843377</v>
      </c>
      <c r="AM149" s="226">
        <f t="shared" si="303"/>
        <v>0.22870272180982679</v>
      </c>
      <c r="AN149" s="226">
        <f t="shared" si="303"/>
        <v>0.20789946140035906</v>
      </c>
      <c r="AO149" s="223">
        <f t="shared" si="303"/>
        <v>0.21799548375890221</v>
      </c>
      <c r="AP149" s="226">
        <f t="shared" ref="AP149:AY149" si="304">AP144/AP140</f>
        <v>0.24735945485519592</v>
      </c>
      <c r="AQ149" s="226">
        <f t="shared" si="304"/>
        <v>0.23838080959520239</v>
      </c>
      <c r="AR149" s="226">
        <f t="shared" si="304"/>
        <v>0.27215608465608465</v>
      </c>
      <c r="AS149" s="226">
        <f t="shared" ref="AS149:AU149" si="305">AS144/AS140</f>
        <v>0.27675159235668789</v>
      </c>
      <c r="AT149" s="223">
        <f t="shared" si="305"/>
        <v>0.25953938981898528</v>
      </c>
      <c r="AU149" s="773">
        <f t="shared" si="305"/>
        <v>0.24376314998497145</v>
      </c>
      <c r="AV149" s="226">
        <f>AV144/AV140</f>
        <v>0.25838080959520238</v>
      </c>
      <c r="AW149" s="226">
        <f t="shared" si="304"/>
        <v>0.25715608465608464</v>
      </c>
      <c r="AX149" s="226">
        <f t="shared" si="304"/>
        <v>0.2867515923566879</v>
      </c>
      <c r="AY149" s="223">
        <f t="shared" si="304"/>
        <v>0.26172459780046387</v>
      </c>
      <c r="AZ149" s="226">
        <f t="shared" ref="AZ149:BG149" si="306">AZ144/AZ140</f>
        <v>0.25376314998497146</v>
      </c>
      <c r="BA149" s="226">
        <f t="shared" si="306"/>
        <v>0.27838080959520239</v>
      </c>
      <c r="BB149" s="226">
        <f t="shared" si="306"/>
        <v>0.24215608465608462</v>
      </c>
      <c r="BC149" s="226">
        <f t="shared" si="306"/>
        <v>0.29675159235668791</v>
      </c>
      <c r="BD149" s="223">
        <f t="shared" si="306"/>
        <v>0.2676279071223519</v>
      </c>
      <c r="BE149" s="223">
        <f t="shared" si="306"/>
        <v>0.27262790712235191</v>
      </c>
      <c r="BF149" s="223">
        <f t="shared" si="306"/>
        <v>0.27762790712235191</v>
      </c>
      <c r="BG149" s="223">
        <f t="shared" si="306"/>
        <v>0.28262790712235192</v>
      </c>
      <c r="BH149" s="94"/>
    </row>
    <row r="150" spans="1:60" s="249" customFormat="1" hidden="1" outlineLevel="1" x14ac:dyDescent="0.35">
      <c r="A150" s="538" t="s">
        <v>398</v>
      </c>
      <c r="B150" s="607"/>
      <c r="C150" s="522"/>
      <c r="D150" s="522"/>
      <c r="E150" s="522"/>
      <c r="F150" s="522"/>
      <c r="G150" s="234"/>
      <c r="H150" s="234"/>
      <c r="I150" s="234"/>
      <c r="J150" s="234"/>
      <c r="K150" s="522"/>
      <c r="L150" s="234"/>
      <c r="M150" s="234"/>
      <c r="N150" s="234"/>
      <c r="O150" s="234"/>
      <c r="P150" s="522"/>
      <c r="Q150" s="234"/>
      <c r="R150" s="234"/>
      <c r="S150" s="234"/>
      <c r="T150" s="234"/>
      <c r="U150" s="522"/>
      <c r="V150" s="234">
        <f t="shared" ref="V150:AU150" si="307">V142/V140</f>
        <v>0.22761061946902655</v>
      </c>
      <c r="W150" s="234">
        <f t="shared" si="307"/>
        <v>0.24835469345341185</v>
      </c>
      <c r="X150" s="234">
        <f t="shared" si="307"/>
        <v>0.23033509700176366</v>
      </c>
      <c r="Y150" s="234">
        <f t="shared" si="307"/>
        <v>0.21656050955414013</v>
      </c>
      <c r="Z150" s="522">
        <f t="shared" si="307"/>
        <v>0.23100927246790298</v>
      </c>
      <c r="AA150" s="234">
        <f t="shared" si="307"/>
        <v>0.2281786941580756</v>
      </c>
      <c r="AB150" s="234">
        <f t="shared" si="307"/>
        <v>0.21155160628844841</v>
      </c>
      <c r="AC150" s="234">
        <f t="shared" si="307"/>
        <v>0.24074074074074073</v>
      </c>
      <c r="AD150" s="234">
        <f t="shared" si="307"/>
        <v>0.19183408943616331</v>
      </c>
      <c r="AE150" s="522">
        <f t="shared" si="307"/>
        <v>0.2178972040850494</v>
      </c>
      <c r="AF150" s="234">
        <f t="shared" si="307"/>
        <v>0.23592411260709914</v>
      </c>
      <c r="AG150" s="234">
        <f t="shared" si="307"/>
        <v>0.39501998155548723</v>
      </c>
      <c r="AH150" s="234">
        <f t="shared" si="307"/>
        <v>0.23071830519695466</v>
      </c>
      <c r="AI150" s="234">
        <f t="shared" si="307"/>
        <v>0.22696476964769649</v>
      </c>
      <c r="AJ150" s="522">
        <f t="shared" si="307"/>
        <v>0.27397150632303507</v>
      </c>
      <c r="AK150" s="234">
        <f t="shared" si="307"/>
        <v>0.21498481268984138</v>
      </c>
      <c r="AL150" s="234">
        <f t="shared" si="307"/>
        <v>0.22029281579843377</v>
      </c>
      <c r="AM150" s="234">
        <f t="shared" si="307"/>
        <v>0.22870272180982679</v>
      </c>
      <c r="AN150" s="234">
        <f t="shared" si="307"/>
        <v>0.20789946140035906</v>
      </c>
      <c r="AO150" s="522">
        <f t="shared" si="307"/>
        <v>0.21799548375890221</v>
      </c>
      <c r="AP150" s="234">
        <f t="shared" si="307"/>
        <v>0.24735945485519592</v>
      </c>
      <c r="AQ150" s="234">
        <f t="shared" si="307"/>
        <v>0.23838080959520239</v>
      </c>
      <c r="AR150" s="234">
        <f t="shared" si="307"/>
        <v>0.27215608465608465</v>
      </c>
      <c r="AS150" s="234">
        <f t="shared" si="307"/>
        <v>0.27675159235668789</v>
      </c>
      <c r="AT150" s="522">
        <f t="shared" si="307"/>
        <v>0.25953938981898528</v>
      </c>
      <c r="AU150" s="781">
        <f t="shared" si="307"/>
        <v>0.24376314998497145</v>
      </c>
      <c r="AV150" s="946">
        <f>Drivers!AV41</f>
        <v>0.25838080959520238</v>
      </c>
      <c r="AW150" s="946">
        <f>Drivers!AW41</f>
        <v>0.25715608465608464</v>
      </c>
      <c r="AX150" s="946">
        <f>Drivers!AX41</f>
        <v>0.2867515923566879</v>
      </c>
      <c r="AY150" s="522">
        <f>AY142/AY140</f>
        <v>0.26172459780046387</v>
      </c>
      <c r="AZ150" s="234">
        <f>AU150+AZ151/10000</f>
        <v>0.25376314998497146</v>
      </c>
      <c r="BA150" s="234">
        <f>AV150+BA151/10000</f>
        <v>0.27838080959520239</v>
      </c>
      <c r="BB150" s="234">
        <f>AW150+BB151/10000</f>
        <v>0.24215608465608462</v>
      </c>
      <c r="BC150" s="234">
        <f>AX150+BC151/10000</f>
        <v>0.29675159235668791</v>
      </c>
      <c r="BD150" s="522">
        <f>BD142/BD140</f>
        <v>0.2676279071223519</v>
      </c>
      <c r="BE150" s="522">
        <f>BD150+BE151/10000</f>
        <v>0.27262790712235191</v>
      </c>
      <c r="BF150" s="522">
        <f>BE150+BF151/10000</f>
        <v>0.27762790712235191</v>
      </c>
      <c r="BG150" s="522">
        <f>BF150+BG151/10000</f>
        <v>0.28262790712235192</v>
      </c>
      <c r="BH150" s="235"/>
    </row>
    <row r="151" spans="1:60" s="597" customFormat="1" hidden="1" outlineLevel="1" x14ac:dyDescent="0.35">
      <c r="A151" s="634" t="s">
        <v>822</v>
      </c>
      <c r="B151" s="635"/>
      <c r="C151" s="163"/>
      <c r="D151" s="163"/>
      <c r="E151" s="163"/>
      <c r="F151" s="163"/>
      <c r="G151" s="164"/>
      <c r="H151" s="164"/>
      <c r="I151" s="164"/>
      <c r="J151" s="164"/>
      <c r="K151" s="163"/>
      <c r="L151" s="164"/>
      <c r="M151" s="164"/>
      <c r="N151" s="164"/>
      <c r="O151" s="164"/>
      <c r="P151" s="163"/>
      <c r="Q151" s="164"/>
      <c r="R151" s="164"/>
      <c r="S151" s="164"/>
      <c r="T151" s="164"/>
      <c r="U151" s="163"/>
      <c r="V151" s="164"/>
      <c r="W151" s="164"/>
      <c r="X151" s="164"/>
      <c r="Y151" s="164"/>
      <c r="Z151" s="163"/>
      <c r="AA151" s="164">
        <f t="shared" ref="AA151:AU151" si="308">(AA150-V150)*10000</f>
        <v>5.6807468904904184</v>
      </c>
      <c r="AB151" s="164">
        <f t="shared" si="308"/>
        <v>-368.03087164963443</v>
      </c>
      <c r="AC151" s="164">
        <f t="shared" si="308"/>
        <v>104.05643738977066</v>
      </c>
      <c r="AD151" s="164">
        <f t="shared" si="308"/>
        <v>-247.26420117976821</v>
      </c>
      <c r="AE151" s="163">
        <f t="shared" si="308"/>
        <v>-131.12068382853587</v>
      </c>
      <c r="AF151" s="164">
        <f t="shared" si="308"/>
        <v>77.454184490235448</v>
      </c>
      <c r="AG151" s="164">
        <f t="shared" si="308"/>
        <v>1834.6837526703882</v>
      </c>
      <c r="AH151" s="164">
        <f t="shared" si="308"/>
        <v>-100.22435543786068</v>
      </c>
      <c r="AI151" s="164">
        <f t="shared" si="308"/>
        <v>351.30680211533178</v>
      </c>
      <c r="AJ151" s="163">
        <f t="shared" si="308"/>
        <v>560.74302237985682</v>
      </c>
      <c r="AK151" s="164">
        <f t="shared" si="308"/>
        <v>-209.39299917257765</v>
      </c>
      <c r="AL151" s="164">
        <f t="shared" si="308"/>
        <v>-1747.2716575705347</v>
      </c>
      <c r="AM151" s="164">
        <f t="shared" si="308"/>
        <v>-20.155833871278727</v>
      </c>
      <c r="AN151" s="164">
        <f t="shared" si="308"/>
        <v>-190.65308247337433</v>
      </c>
      <c r="AO151" s="163">
        <f t="shared" si="308"/>
        <v>-559.7602256413287</v>
      </c>
      <c r="AP151" s="164">
        <f t="shared" si="308"/>
        <v>323.74642165354544</v>
      </c>
      <c r="AQ151" s="164">
        <f t="shared" si="308"/>
        <v>180.8799379676862</v>
      </c>
      <c r="AR151" s="164">
        <f t="shared" si="308"/>
        <v>434.53362846257863</v>
      </c>
      <c r="AS151" s="164">
        <f t="shared" si="308"/>
        <v>688.52130956328836</v>
      </c>
      <c r="AT151" s="163">
        <f t="shared" si="308"/>
        <v>415.43906060083071</v>
      </c>
      <c r="AU151" s="782">
        <f t="shared" si="308"/>
        <v>-35.963048702244706</v>
      </c>
      <c r="AV151" s="639"/>
      <c r="AW151" s="639"/>
      <c r="AX151" s="639"/>
      <c r="AY151" s="636"/>
      <c r="AZ151" s="950">
        <f>Drivers!AZ42</f>
        <v>100</v>
      </c>
      <c r="BA151" s="950">
        <f>Drivers!BA42</f>
        <v>200</v>
      </c>
      <c r="BB151" s="950">
        <f>Drivers!BB42</f>
        <v>-150</v>
      </c>
      <c r="BC151" s="950">
        <f>Drivers!BC42</f>
        <v>100</v>
      </c>
      <c r="BD151" s="636">
        <f>(BD150-AY150)*10000</f>
        <v>59.033093218880396</v>
      </c>
      <c r="BE151" s="950">
        <f>Drivers!BE42</f>
        <v>50</v>
      </c>
      <c r="BF151" s="950">
        <f>Drivers!BF42</f>
        <v>50</v>
      </c>
      <c r="BG151" s="950">
        <f>Drivers!BG42</f>
        <v>50</v>
      </c>
      <c r="BH151" s="596"/>
    </row>
    <row r="152" spans="1:60" s="602" customFormat="1" hidden="1" outlineLevel="1" x14ac:dyDescent="0.35">
      <c r="A152" s="598" t="s">
        <v>823</v>
      </c>
      <c r="B152" s="679"/>
      <c r="C152" s="182"/>
      <c r="D152" s="182"/>
      <c r="E152" s="182"/>
      <c r="F152" s="182"/>
      <c r="G152" s="183"/>
      <c r="H152" s="183"/>
      <c r="I152" s="183"/>
      <c r="J152" s="183"/>
      <c r="K152" s="182"/>
      <c r="L152" s="183"/>
      <c r="M152" s="183"/>
      <c r="N152" s="183"/>
      <c r="O152" s="183"/>
      <c r="P152" s="182"/>
      <c r="Q152" s="183"/>
      <c r="R152" s="183"/>
      <c r="S152" s="183"/>
      <c r="T152" s="183"/>
      <c r="U152" s="182"/>
      <c r="V152" s="183"/>
      <c r="W152" s="183"/>
      <c r="X152" s="183"/>
      <c r="Y152" s="183"/>
      <c r="Z152" s="182"/>
      <c r="AA152" s="442">
        <f t="shared" ref="AA152:AU152" si="309">IFERROR((AA142-V142)/(AA140-V140),"N/A")</f>
        <v>0.24705882352941178</v>
      </c>
      <c r="AB152" s="442">
        <f t="shared" si="309"/>
        <v>-2.5128205128205128</v>
      </c>
      <c r="AC152" s="442">
        <f t="shared" si="309"/>
        <v>0.3968253968253968</v>
      </c>
      <c r="AD152" s="442">
        <f t="shared" si="309"/>
        <v>3.3573141486810551E-2</v>
      </c>
      <c r="AE152" s="623">
        <f t="shared" si="309"/>
        <v>1.643835616438356E-2</v>
      </c>
      <c r="AF152" s="442">
        <f t="shared" si="309"/>
        <v>0.2988826815642458</v>
      </c>
      <c r="AG152" s="442">
        <f t="shared" si="309"/>
        <v>2.0366972477064218</v>
      </c>
      <c r="AH152" s="442">
        <f t="shared" si="309"/>
        <v>10.333333333333334</v>
      </c>
      <c r="AI152" s="442">
        <f t="shared" si="309"/>
        <v>-0.58208955223880599</v>
      </c>
      <c r="AJ152" s="623">
        <f t="shared" si="309"/>
        <v>1.4963503649635037</v>
      </c>
      <c r="AK152" s="442">
        <f t="shared" si="309"/>
        <v>0.43934426229508194</v>
      </c>
      <c r="AL152" s="442">
        <f t="shared" si="309"/>
        <v>2.018987341772152</v>
      </c>
      <c r="AM152" s="442">
        <f t="shared" si="309"/>
        <v>0.26041666666666669</v>
      </c>
      <c r="AN152" s="442">
        <f t="shared" si="309"/>
        <v>0.54491017964071853</v>
      </c>
      <c r="AO152" s="623">
        <f t="shared" si="309"/>
        <v>0.93163265306122445</v>
      </c>
      <c r="AP152" s="442">
        <f t="shared" si="309"/>
        <v>-3.1785714285714284</v>
      </c>
      <c r="AQ152" s="183">
        <f t="shared" si="309"/>
        <v>4.0892193308550186E-2</v>
      </c>
      <c r="AR152" s="183">
        <f t="shared" si="309"/>
        <v>0.90256410256410258</v>
      </c>
      <c r="AS152" s="442">
        <f>IFERROR((AS142-AN142)/(AS140-AN140),"N/A")</f>
        <v>0.81690140845070425</v>
      </c>
      <c r="AT152" s="623">
        <f>IFERROR((AT142-AO142)/(AT140-AO140),"N/A")</f>
        <v>2.150197628458498</v>
      </c>
      <c r="AU152" s="777">
        <f t="shared" si="309"/>
        <v>0.21683673469387754</v>
      </c>
      <c r="AV152" s="600"/>
      <c r="AW152" s="600"/>
      <c r="AX152" s="600"/>
      <c r="AY152" s="601"/>
      <c r="AZ152" s="600">
        <f>IFERROR((AZ142-AU142)/(AZ140-AU140),"N/A")</f>
        <v>0.39662029284211475</v>
      </c>
      <c r="BA152" s="600">
        <f>IFERROR((BA142-AV142)/(BA140-AV140),"N/A")</f>
        <v>0.56409509530948843</v>
      </c>
      <c r="BB152" s="600">
        <f>IFERROR((BB142-AW142)/(BB140-AW140),"N/A")</f>
        <v>2.7870370370370552E-2</v>
      </c>
      <c r="BC152" s="600">
        <f>IFERROR((BC142-AX142)/(BC140-AX140),"N/A")</f>
        <v>0.43960873521383076</v>
      </c>
      <c r="BD152" s="601">
        <f>IFERROR((BD142-AY142)/(BD140-AY140),"N/A")</f>
        <v>0.35196089743503833</v>
      </c>
      <c r="BE152" s="601">
        <f>IFERROR((BE142-BD142)/(BE140-BD140),"N/A")</f>
        <v>0.34405647855092308</v>
      </c>
      <c r="BF152" s="601">
        <f>IFERROR((BF142-BE142)/(BF140-BE140),"N/A")</f>
        <v>0.34905647855092337</v>
      </c>
      <c r="BG152" s="601">
        <f>IFERROR((BG142-BF142)/(BG140-BF140),"N/A")</f>
        <v>0.35405647855092343</v>
      </c>
      <c r="BH152" s="599"/>
    </row>
    <row r="153" spans="1:60" s="69" customFormat="1" hidden="1" outlineLevel="1" x14ac:dyDescent="0.35">
      <c r="A153" s="426"/>
      <c r="B153" s="518"/>
      <c r="C153" s="519"/>
      <c r="D153" s="519"/>
      <c r="E153" s="519"/>
      <c r="F153" s="519"/>
      <c r="G153" s="520"/>
      <c r="H153" s="520"/>
      <c r="I153" s="520"/>
      <c r="J153" s="520"/>
      <c r="K153" s="519"/>
      <c r="L153" s="520"/>
      <c r="M153" s="520"/>
      <c r="N153" s="520"/>
      <c r="O153" s="520"/>
      <c r="P153" s="519"/>
      <c r="Q153" s="520"/>
      <c r="R153" s="520"/>
      <c r="S153" s="520"/>
      <c r="T153" s="520"/>
      <c r="U153" s="519"/>
      <c r="V153" s="520"/>
      <c r="W153" s="520"/>
      <c r="X153" s="520"/>
      <c r="Y153" s="520"/>
      <c r="Z153" s="519"/>
      <c r="AA153" s="520"/>
      <c r="AB153" s="520"/>
      <c r="AC153" s="520"/>
      <c r="AD153" s="520"/>
      <c r="AE153" s="519"/>
      <c r="AF153" s="520"/>
      <c r="AG153" s="520"/>
      <c r="AH153" s="520"/>
      <c r="AI153" s="520"/>
      <c r="AJ153" s="519"/>
      <c r="AK153" s="520"/>
      <c r="AL153" s="520"/>
      <c r="AM153" s="520"/>
      <c r="AN153" s="520"/>
      <c r="AO153" s="519"/>
      <c r="AP153" s="520"/>
      <c r="AQ153" s="520"/>
      <c r="AR153" s="520"/>
      <c r="AS153" s="520"/>
      <c r="AT153" s="519"/>
      <c r="AU153" s="766"/>
      <c r="AV153" s="520"/>
      <c r="AW153" s="520"/>
      <c r="AX153" s="520"/>
      <c r="AY153" s="519"/>
      <c r="AZ153" s="520"/>
      <c r="BA153" s="520"/>
      <c r="BB153" s="520"/>
      <c r="BC153" s="520"/>
      <c r="BD153" s="519"/>
      <c r="BE153" s="519"/>
      <c r="BF153" s="519"/>
      <c r="BG153" s="519"/>
      <c r="BH153" s="79"/>
    </row>
    <row r="154" spans="1:60" s="262" customFormat="1" hidden="1" outlineLevel="2" x14ac:dyDescent="0.35">
      <c r="A154" s="513" t="s">
        <v>845</v>
      </c>
      <c r="B154" s="312"/>
      <c r="C154" s="105"/>
      <c r="D154" s="105"/>
      <c r="E154" s="105"/>
      <c r="F154" s="105"/>
      <c r="G154" s="200"/>
      <c r="H154" s="200"/>
      <c r="I154" s="200"/>
      <c r="J154" s="200"/>
      <c r="K154" s="105"/>
      <c r="L154" s="200"/>
      <c r="M154" s="200"/>
      <c r="N154" s="200"/>
      <c r="O154" s="200"/>
      <c r="P154" s="105"/>
      <c r="Q154" s="200"/>
      <c r="R154" s="200"/>
      <c r="S154" s="200"/>
      <c r="T154" s="200"/>
      <c r="U154" s="105"/>
      <c r="V154" s="200"/>
      <c r="W154" s="200"/>
      <c r="X154" s="200"/>
      <c r="Y154" s="200"/>
      <c r="Z154" s="47">
        <f t="shared" ref="Z154:Z159" si="310">Z134/Z$140</f>
        <v>0.39113766048502141</v>
      </c>
      <c r="AA154" s="200"/>
      <c r="AB154" s="200"/>
      <c r="AC154" s="200"/>
      <c r="AD154" s="200"/>
      <c r="AE154" s="47">
        <f t="shared" ref="AE154:AJ154" si="311">AE134/AE$140</f>
        <v>0.38548468106479156</v>
      </c>
      <c r="AF154" s="78">
        <f t="shared" si="311"/>
        <v>0.37209302325581395</v>
      </c>
      <c r="AG154" s="78">
        <f t="shared" si="311"/>
        <v>0.40024592683676607</v>
      </c>
      <c r="AH154" s="78">
        <f t="shared" si="311"/>
        <v>0.39986759351208206</v>
      </c>
      <c r="AI154" s="78">
        <f t="shared" si="311"/>
        <v>0.40481029810298103</v>
      </c>
      <c r="AJ154" s="47">
        <f t="shared" si="311"/>
        <v>0.39386905714743076</v>
      </c>
      <c r="AK154" s="200"/>
      <c r="AL154" s="200"/>
      <c r="AM154" s="200"/>
      <c r="AN154" s="200"/>
      <c r="AO154" s="105"/>
      <c r="AP154" s="200"/>
      <c r="AQ154" s="200"/>
      <c r="AR154" s="200"/>
      <c r="AS154" s="200"/>
      <c r="AT154" s="105"/>
      <c r="AU154" s="761"/>
      <c r="AV154" s="200"/>
      <c r="AW154" s="200"/>
      <c r="AX154" s="200"/>
      <c r="AY154" s="105"/>
      <c r="AZ154" s="200"/>
      <c r="BA154" s="200"/>
      <c r="BB154" s="200"/>
      <c r="BC154" s="200"/>
      <c r="BD154" s="105"/>
      <c r="BE154" s="105"/>
      <c r="BF154" s="105"/>
      <c r="BG154" s="105"/>
      <c r="BH154" s="363"/>
    </row>
    <row r="155" spans="1:60" s="262" customFormat="1" hidden="1" outlineLevel="2" x14ac:dyDescent="0.35">
      <c r="A155" s="605" t="s">
        <v>839</v>
      </c>
      <c r="B155" s="465"/>
      <c r="C155" s="479"/>
      <c r="D155" s="479"/>
      <c r="E155" s="479"/>
      <c r="F155" s="479"/>
      <c r="G155" s="457"/>
      <c r="H155" s="457"/>
      <c r="I155" s="457"/>
      <c r="J155" s="457"/>
      <c r="K155" s="479"/>
      <c r="L155" s="457"/>
      <c r="M155" s="457"/>
      <c r="N155" s="457"/>
      <c r="O155" s="457"/>
      <c r="P155" s="479"/>
      <c r="Q155" s="457"/>
      <c r="R155" s="457"/>
      <c r="S155" s="457"/>
      <c r="T155" s="457"/>
      <c r="U155" s="479"/>
      <c r="V155" s="457"/>
      <c r="W155" s="457"/>
      <c r="X155" s="457"/>
      <c r="Y155" s="457"/>
      <c r="Z155" s="603">
        <f t="shared" si="310"/>
        <v>0.12687232524964337</v>
      </c>
      <c r="AA155" s="457"/>
      <c r="AB155" s="457"/>
      <c r="AC155" s="457"/>
      <c r="AD155" s="457"/>
      <c r="AE155" s="603">
        <f t="shared" ref="AE155:AJ155" si="312">AE135/AE$140</f>
        <v>0.12531391260673028</v>
      </c>
      <c r="AF155" s="604">
        <f t="shared" si="312"/>
        <v>0.11658506731946144</v>
      </c>
      <c r="AG155" s="604">
        <f t="shared" si="312"/>
        <v>0.11804488164770981</v>
      </c>
      <c r="AH155" s="604">
        <f t="shared" si="312"/>
        <v>0.11949685534591195</v>
      </c>
      <c r="AI155" s="604">
        <f t="shared" si="312"/>
        <v>0.11856368563685638</v>
      </c>
      <c r="AJ155" s="603">
        <f t="shared" si="312"/>
        <v>0.11813670561869698</v>
      </c>
      <c r="AK155" s="457"/>
      <c r="AL155" s="457"/>
      <c r="AM155" s="457"/>
      <c r="AN155" s="457"/>
      <c r="AO155" s="479"/>
      <c r="AP155" s="457"/>
      <c r="AQ155" s="457"/>
      <c r="AR155" s="457"/>
      <c r="AS155" s="457"/>
      <c r="AT155" s="479"/>
      <c r="AU155" s="779"/>
      <c r="AV155" s="457"/>
      <c r="AW155" s="457"/>
      <c r="AX155" s="457"/>
      <c r="AY155" s="479"/>
      <c r="AZ155" s="457"/>
      <c r="BA155" s="457"/>
      <c r="BB155" s="457"/>
      <c r="BC155" s="457"/>
      <c r="BD155" s="479"/>
      <c r="BE155" s="479"/>
      <c r="BF155" s="479"/>
      <c r="BG155" s="479"/>
      <c r="BH155" s="363"/>
    </row>
    <row r="156" spans="1:60" s="262" customFormat="1" hidden="1" outlineLevel="1" x14ac:dyDescent="0.35">
      <c r="A156" s="154" t="s">
        <v>840</v>
      </c>
      <c r="B156" s="312"/>
      <c r="C156" s="105"/>
      <c r="D156" s="105"/>
      <c r="E156" s="105"/>
      <c r="F156" s="105"/>
      <c r="G156" s="200"/>
      <c r="H156" s="200"/>
      <c r="I156" s="200"/>
      <c r="J156" s="200"/>
      <c r="K156" s="105"/>
      <c r="L156" s="200"/>
      <c r="M156" s="200"/>
      <c r="N156" s="200"/>
      <c r="O156" s="200"/>
      <c r="P156" s="105"/>
      <c r="Q156" s="200"/>
      <c r="R156" s="200"/>
      <c r="S156" s="200"/>
      <c r="T156" s="200"/>
      <c r="U156" s="105"/>
      <c r="V156" s="200"/>
      <c r="W156" s="200"/>
      <c r="X156" s="200"/>
      <c r="Y156" s="200"/>
      <c r="Z156" s="47">
        <f t="shared" si="310"/>
        <v>0.51800998573466472</v>
      </c>
      <c r="AA156" s="200"/>
      <c r="AB156" s="200"/>
      <c r="AC156" s="200"/>
      <c r="AD156" s="200"/>
      <c r="AE156" s="47">
        <f t="shared" ref="AE156:AO156" si="313">AE136/AE$140</f>
        <v>0.51079859367152181</v>
      </c>
      <c r="AF156" s="78">
        <f t="shared" si="313"/>
        <v>0.48867809057527539</v>
      </c>
      <c r="AG156" s="78">
        <f t="shared" si="313"/>
        <v>0.51829080848447584</v>
      </c>
      <c r="AH156" s="78">
        <f t="shared" si="313"/>
        <v>0.51936444885799404</v>
      </c>
      <c r="AI156" s="78">
        <f t="shared" si="313"/>
        <v>0.52337398373983735</v>
      </c>
      <c r="AJ156" s="47">
        <f t="shared" si="313"/>
        <v>0.51200576276612775</v>
      </c>
      <c r="AK156" s="78">
        <f t="shared" si="313"/>
        <v>0.50151873101586231</v>
      </c>
      <c r="AL156" s="78">
        <f t="shared" si="313"/>
        <v>0.52740892066734768</v>
      </c>
      <c r="AM156" s="78">
        <f t="shared" si="313"/>
        <v>0.52916224814422053</v>
      </c>
      <c r="AN156" s="78">
        <f t="shared" si="313"/>
        <v>0.52998204667863558</v>
      </c>
      <c r="AO156" s="47">
        <f t="shared" si="313"/>
        <v>0.52179954837589027</v>
      </c>
      <c r="AP156" s="78">
        <f t="shared" ref="AP156:AT159" si="314">AP136/AP$140</f>
        <v>0.51754684838160137</v>
      </c>
      <c r="AQ156" s="78">
        <f t="shared" si="314"/>
        <v>0.51236881559220393</v>
      </c>
      <c r="AR156" s="78">
        <f t="shared" si="314"/>
        <v>0.53670634920634919</v>
      </c>
      <c r="AS156" s="78">
        <f t="shared" si="314"/>
        <v>0.53121019108280254</v>
      </c>
      <c r="AT156" s="47">
        <f t="shared" si="314"/>
        <v>0.52494263618594372</v>
      </c>
      <c r="AU156" s="761">
        <f t="shared" ref="AU156" si="315">AU136/AU$140</f>
        <v>0.51006913134956422</v>
      </c>
      <c r="AV156" s="200"/>
      <c r="AW156" s="200"/>
      <c r="AX156" s="200"/>
      <c r="AY156" s="105"/>
      <c r="AZ156" s="200"/>
      <c r="BA156" s="200"/>
      <c r="BB156" s="200"/>
      <c r="BC156" s="200"/>
      <c r="BD156" s="105"/>
      <c r="BE156" s="105"/>
      <c r="BF156" s="105"/>
      <c r="BG156" s="105"/>
      <c r="BH156" s="363"/>
    </row>
    <row r="157" spans="1:60" s="262" customFormat="1" hidden="1" outlineLevel="1" x14ac:dyDescent="0.35">
      <c r="A157" s="154" t="s">
        <v>841</v>
      </c>
      <c r="B157" s="312"/>
      <c r="C157" s="105"/>
      <c r="D157" s="105"/>
      <c r="E157" s="105"/>
      <c r="F157" s="105"/>
      <c r="G157" s="200"/>
      <c r="H157" s="200"/>
      <c r="I157" s="200"/>
      <c r="J157" s="200"/>
      <c r="K157" s="105"/>
      <c r="L157" s="200"/>
      <c r="M157" s="200"/>
      <c r="N157" s="200"/>
      <c r="O157" s="200"/>
      <c r="P157" s="105"/>
      <c r="Q157" s="200"/>
      <c r="R157" s="200"/>
      <c r="S157" s="200"/>
      <c r="T157" s="200"/>
      <c r="U157" s="105"/>
      <c r="V157" s="200"/>
      <c r="W157" s="200"/>
      <c r="X157" s="200"/>
      <c r="Y157" s="200"/>
      <c r="Z157" s="47">
        <f t="shared" si="310"/>
        <v>0.24447218259629103</v>
      </c>
      <c r="AA157" s="200"/>
      <c r="AB157" s="200"/>
      <c r="AC157" s="200"/>
      <c r="AD157" s="200"/>
      <c r="AE157" s="47">
        <f t="shared" ref="AE157:AO157" si="316">AE137/AE$140</f>
        <v>0.24953959484346225</v>
      </c>
      <c r="AF157" s="78">
        <f t="shared" si="316"/>
        <v>0.25673194614443084</v>
      </c>
      <c r="AG157" s="78">
        <f t="shared" si="316"/>
        <v>0.23670458038733477</v>
      </c>
      <c r="AH157" s="78">
        <f t="shared" si="316"/>
        <v>0.26084078119827869</v>
      </c>
      <c r="AI157" s="78">
        <f t="shared" si="316"/>
        <v>0.23780487804878048</v>
      </c>
      <c r="AJ157" s="47">
        <f t="shared" si="316"/>
        <v>0.24803905874819915</v>
      </c>
      <c r="AK157" s="78">
        <f t="shared" si="316"/>
        <v>0.2561592980087749</v>
      </c>
      <c r="AL157" s="78">
        <f t="shared" si="316"/>
        <v>0.23833844058563158</v>
      </c>
      <c r="AM157" s="78">
        <f t="shared" si="316"/>
        <v>0.24955814775539059</v>
      </c>
      <c r="AN157" s="78">
        <f t="shared" si="316"/>
        <v>0.2438061041292639</v>
      </c>
      <c r="AO157" s="47">
        <f t="shared" si="316"/>
        <v>0.24700364773319436</v>
      </c>
      <c r="AP157" s="78">
        <f t="shared" si="314"/>
        <v>0.24497444633730836</v>
      </c>
      <c r="AQ157" s="78">
        <f t="shared" si="314"/>
        <v>0.24550224887556221</v>
      </c>
      <c r="AR157" s="78">
        <f t="shared" si="314"/>
        <v>0.23346560846560846</v>
      </c>
      <c r="AS157" s="78">
        <f t="shared" si="314"/>
        <v>0.23089171974522293</v>
      </c>
      <c r="AT157" s="47">
        <f t="shared" si="314"/>
        <v>0.23837851618934308</v>
      </c>
      <c r="AU157" s="761">
        <f t="shared" ref="AU157" si="317">AU137/AU$140</f>
        <v>0.24737000300571085</v>
      </c>
      <c r="AV157" s="200"/>
      <c r="AW157" s="200"/>
      <c r="AX157" s="200"/>
      <c r="AY157" s="105"/>
      <c r="AZ157" s="200"/>
      <c r="BA157" s="200"/>
      <c r="BB157" s="200"/>
      <c r="BC157" s="200"/>
      <c r="BD157" s="105"/>
      <c r="BE157" s="105"/>
      <c r="BF157" s="105"/>
      <c r="BG157" s="105"/>
      <c r="BH157" s="363"/>
    </row>
    <row r="158" spans="1:60" s="262" customFormat="1" hidden="1" outlineLevel="1" x14ac:dyDescent="0.35">
      <c r="A158" s="154" t="s">
        <v>842</v>
      </c>
      <c r="B158" s="312"/>
      <c r="C158" s="105"/>
      <c r="D158" s="105"/>
      <c r="E158" s="105"/>
      <c r="F158" s="105"/>
      <c r="G158" s="200"/>
      <c r="H158" s="200"/>
      <c r="I158" s="200"/>
      <c r="J158" s="200"/>
      <c r="K158" s="105"/>
      <c r="L158" s="200"/>
      <c r="M158" s="200"/>
      <c r="N158" s="200"/>
      <c r="O158" s="200"/>
      <c r="P158" s="105"/>
      <c r="Q158" s="200"/>
      <c r="R158" s="200"/>
      <c r="S158" s="200"/>
      <c r="T158" s="200"/>
      <c r="U158" s="105"/>
      <c r="V158" s="200"/>
      <c r="W158" s="200"/>
      <c r="X158" s="200"/>
      <c r="Y158" s="200"/>
      <c r="Z158" s="47">
        <f t="shared" si="310"/>
        <v>0.23707203994293866</v>
      </c>
      <c r="AA158" s="200"/>
      <c r="AB158" s="200"/>
      <c r="AC158" s="200"/>
      <c r="AD158" s="200"/>
      <c r="AE158" s="47">
        <f t="shared" ref="AE158:AO158" si="318">AE138/AE$140</f>
        <v>0.24016407165578435</v>
      </c>
      <c r="AF158" s="78">
        <f t="shared" si="318"/>
        <v>0.25489596083231336</v>
      </c>
      <c r="AG158" s="78">
        <f t="shared" si="318"/>
        <v>0.24531201967414695</v>
      </c>
      <c r="AH158" s="78">
        <f t="shared" si="318"/>
        <v>0.22012578616352202</v>
      </c>
      <c r="AI158" s="78">
        <f t="shared" si="318"/>
        <v>0.23882113821138212</v>
      </c>
      <c r="AJ158" s="47">
        <f t="shared" si="318"/>
        <v>0.24019529374099569</v>
      </c>
      <c r="AK158" s="78">
        <f t="shared" si="318"/>
        <v>0.24265946675666555</v>
      </c>
      <c r="AL158" s="78">
        <f t="shared" si="318"/>
        <v>0.23425263874702076</v>
      </c>
      <c r="AM158" s="78">
        <f t="shared" si="318"/>
        <v>0.22127960410038883</v>
      </c>
      <c r="AN158" s="78">
        <f t="shared" si="318"/>
        <v>0.22728904847396769</v>
      </c>
      <c r="AO158" s="47">
        <f t="shared" si="318"/>
        <v>0.23154420705228418</v>
      </c>
      <c r="AP158" s="78">
        <f t="shared" si="314"/>
        <v>0.23781942078364565</v>
      </c>
      <c r="AQ158" s="78">
        <f t="shared" si="314"/>
        <v>0.24175412293853074</v>
      </c>
      <c r="AR158" s="78">
        <f t="shared" si="314"/>
        <v>0.22982804232804233</v>
      </c>
      <c r="AS158" s="78">
        <f t="shared" si="314"/>
        <v>0.23980891719745223</v>
      </c>
      <c r="AT158" s="47">
        <f t="shared" si="314"/>
        <v>0.23718874819410216</v>
      </c>
      <c r="AU158" s="761">
        <f t="shared" ref="AU158" si="319">AU138/AU$140</f>
        <v>0.24256086564472498</v>
      </c>
      <c r="AV158" s="200"/>
      <c r="AW158" s="200"/>
      <c r="AX158" s="200"/>
      <c r="AY158" s="105"/>
      <c r="AZ158" s="200"/>
      <c r="BA158" s="200"/>
      <c r="BB158" s="200"/>
      <c r="BC158" s="200"/>
      <c r="BD158" s="105"/>
      <c r="BE158" s="105"/>
      <c r="BF158" s="105"/>
      <c r="BG158" s="105"/>
      <c r="BH158" s="363"/>
    </row>
    <row r="159" spans="1:60" s="262" customFormat="1" hidden="1" outlineLevel="1" x14ac:dyDescent="0.35">
      <c r="A159" s="589" t="s">
        <v>843</v>
      </c>
      <c r="B159" s="465"/>
      <c r="C159" s="479"/>
      <c r="D159" s="479"/>
      <c r="E159" s="479"/>
      <c r="F159" s="479"/>
      <c r="G159" s="457"/>
      <c r="H159" s="457"/>
      <c r="I159" s="457"/>
      <c r="J159" s="457"/>
      <c r="K159" s="479"/>
      <c r="L159" s="457"/>
      <c r="M159" s="457"/>
      <c r="N159" s="457"/>
      <c r="O159" s="457"/>
      <c r="P159" s="479"/>
      <c r="Q159" s="457"/>
      <c r="R159" s="457"/>
      <c r="S159" s="457"/>
      <c r="T159" s="457"/>
      <c r="U159" s="479"/>
      <c r="V159" s="457"/>
      <c r="W159" s="457"/>
      <c r="X159" s="457"/>
      <c r="Y159" s="457"/>
      <c r="Z159" s="603">
        <f t="shared" si="310"/>
        <v>4.4579172610556349E-4</v>
      </c>
      <c r="AA159" s="457"/>
      <c r="AB159" s="457"/>
      <c r="AC159" s="457"/>
      <c r="AD159" s="457"/>
      <c r="AE159" s="603">
        <f t="shared" ref="AE159:AO159" si="320">AE139/AE$140</f>
        <v>-5.0226017076845811E-4</v>
      </c>
      <c r="AF159" s="604">
        <f t="shared" si="320"/>
        <v>-3.0599755201958382E-4</v>
      </c>
      <c r="AG159" s="604">
        <f t="shared" si="320"/>
        <v>-3.074085459575776E-4</v>
      </c>
      <c r="AH159" s="604">
        <f t="shared" si="320"/>
        <v>-3.3101621979476995E-4</v>
      </c>
      <c r="AI159" s="604">
        <f t="shared" si="320"/>
        <v>0</v>
      </c>
      <c r="AJ159" s="603">
        <f t="shared" si="320"/>
        <v>-2.4011525532255482E-4</v>
      </c>
      <c r="AK159" s="604">
        <f t="shared" si="320"/>
        <v>-3.3749578130273371E-4</v>
      </c>
      <c r="AL159" s="604">
        <f t="shared" si="320"/>
        <v>0</v>
      </c>
      <c r="AM159" s="604">
        <f t="shared" si="320"/>
        <v>0</v>
      </c>
      <c r="AN159" s="604">
        <f t="shared" si="320"/>
        <v>-1.0771992818671453E-3</v>
      </c>
      <c r="AO159" s="603">
        <f t="shared" si="320"/>
        <v>-3.4740316136876848E-4</v>
      </c>
      <c r="AP159" s="604">
        <f t="shared" si="314"/>
        <v>-3.4071550255536625E-4</v>
      </c>
      <c r="AQ159" s="604">
        <f t="shared" si="314"/>
        <v>3.7481259370314841E-4</v>
      </c>
      <c r="AR159" s="604">
        <f t="shared" si="314"/>
        <v>0</v>
      </c>
      <c r="AS159" s="604">
        <f t="shared" si="314"/>
        <v>-1.910828025477707E-3</v>
      </c>
      <c r="AT159" s="603">
        <f t="shared" si="314"/>
        <v>-5.0990056938896911E-4</v>
      </c>
      <c r="AU159" s="779">
        <f t="shared" ref="AU159" si="321">AU139/AU$140</f>
        <v>0</v>
      </c>
      <c r="AV159" s="457"/>
      <c r="AW159" s="457"/>
      <c r="AX159" s="457"/>
      <c r="AY159" s="479"/>
      <c r="AZ159" s="457"/>
      <c r="BA159" s="457"/>
      <c r="BB159" s="457"/>
      <c r="BC159" s="457"/>
      <c r="BD159" s="479"/>
      <c r="BE159" s="479"/>
      <c r="BF159" s="479"/>
      <c r="BG159" s="479"/>
      <c r="BH159" s="363"/>
    </row>
    <row r="160" spans="1:60" s="225" customFormat="1" hidden="1" outlineLevel="1" x14ac:dyDescent="0.35">
      <c r="A160" s="227" t="s">
        <v>844</v>
      </c>
      <c r="B160" s="176"/>
      <c r="C160" s="113"/>
      <c r="D160" s="113"/>
      <c r="E160" s="113"/>
      <c r="F160" s="113"/>
      <c r="G160" s="177"/>
      <c r="H160" s="177"/>
      <c r="I160" s="177"/>
      <c r="J160" s="177"/>
      <c r="K160" s="113"/>
      <c r="L160" s="177"/>
      <c r="M160" s="177"/>
      <c r="N160" s="177"/>
      <c r="O160" s="177"/>
      <c r="P160" s="113"/>
      <c r="Q160" s="177"/>
      <c r="R160" s="177"/>
      <c r="S160" s="177"/>
      <c r="T160" s="177"/>
      <c r="U160" s="113"/>
      <c r="V160" s="177"/>
      <c r="W160" s="177"/>
      <c r="X160" s="177"/>
      <c r="Y160" s="177"/>
      <c r="Z160" s="223">
        <f>SUM(Z156:Z159)</f>
        <v>1</v>
      </c>
      <c r="AA160" s="177"/>
      <c r="AB160" s="177"/>
      <c r="AC160" s="177"/>
      <c r="AD160" s="177"/>
      <c r="AE160" s="223">
        <f t="shared" ref="AE160:AR160" si="322">SUM(AE156:AE159)</f>
        <v>1</v>
      </c>
      <c r="AF160" s="226">
        <f t="shared" si="322"/>
        <v>1</v>
      </c>
      <c r="AG160" s="226">
        <f t="shared" si="322"/>
        <v>1</v>
      </c>
      <c r="AH160" s="226">
        <f t="shared" si="322"/>
        <v>0.99999999999999989</v>
      </c>
      <c r="AI160" s="226">
        <f t="shared" si="322"/>
        <v>1</v>
      </c>
      <c r="AJ160" s="223">
        <f t="shared" si="322"/>
        <v>1</v>
      </c>
      <c r="AK160" s="226">
        <f t="shared" si="322"/>
        <v>1</v>
      </c>
      <c r="AL160" s="226">
        <f t="shared" si="322"/>
        <v>1</v>
      </c>
      <c r="AM160" s="226">
        <f t="shared" si="322"/>
        <v>1</v>
      </c>
      <c r="AN160" s="226">
        <f t="shared" si="322"/>
        <v>0.99999999999999989</v>
      </c>
      <c r="AO160" s="223">
        <f t="shared" si="322"/>
        <v>1</v>
      </c>
      <c r="AP160" s="226">
        <f t="shared" si="322"/>
        <v>1</v>
      </c>
      <c r="AQ160" s="226">
        <f t="shared" si="322"/>
        <v>1</v>
      </c>
      <c r="AR160" s="226">
        <f t="shared" si="322"/>
        <v>1</v>
      </c>
      <c r="AS160" s="226">
        <f t="shared" ref="AS160:AU160" si="323">SUM(AS156:AS159)</f>
        <v>0.99999999999999989</v>
      </c>
      <c r="AT160" s="223">
        <f t="shared" si="323"/>
        <v>1</v>
      </c>
      <c r="AU160" s="780">
        <f t="shared" si="323"/>
        <v>1</v>
      </c>
      <c r="AV160" s="177"/>
      <c r="AW160" s="177"/>
      <c r="AX160" s="177"/>
      <c r="AY160" s="113"/>
      <c r="AZ160" s="177"/>
      <c r="BA160" s="177"/>
      <c r="BB160" s="177"/>
      <c r="BC160" s="177"/>
      <c r="BD160" s="113"/>
      <c r="BE160" s="113"/>
      <c r="BF160" s="113"/>
      <c r="BG160" s="113"/>
      <c r="BH160" s="94"/>
    </row>
    <row r="161" spans="1:60" s="69" customFormat="1" hidden="1" outlineLevel="1" x14ac:dyDescent="0.35">
      <c r="A161" s="426"/>
      <c r="B161" s="518"/>
      <c r="C161" s="519"/>
      <c r="D161" s="519"/>
      <c r="E161" s="519"/>
      <c r="F161" s="519"/>
      <c r="G161" s="520"/>
      <c r="H161" s="520"/>
      <c r="I161" s="520"/>
      <c r="J161" s="520"/>
      <c r="K161" s="519"/>
      <c r="L161" s="520"/>
      <c r="M161" s="520"/>
      <c r="N161" s="520"/>
      <c r="O161" s="520"/>
      <c r="P161" s="519"/>
      <c r="Q161" s="520"/>
      <c r="R161" s="520"/>
      <c r="S161" s="520"/>
      <c r="T161" s="520"/>
      <c r="U161" s="519"/>
      <c r="V161" s="520"/>
      <c r="W161" s="520"/>
      <c r="X161" s="520"/>
      <c r="Y161" s="520"/>
      <c r="Z161" s="519"/>
      <c r="AA161" s="520"/>
      <c r="AB161" s="520"/>
      <c r="AC161" s="520"/>
      <c r="AD161" s="520"/>
      <c r="AE161" s="519"/>
      <c r="AF161" s="520"/>
      <c r="AG161" s="520"/>
      <c r="AH161" s="520"/>
      <c r="AI161" s="520"/>
      <c r="AJ161" s="519"/>
      <c r="AK161" s="520"/>
      <c r="AL161" s="520"/>
      <c r="AM161" s="520"/>
      <c r="AN161" s="520"/>
      <c r="AO161" s="519"/>
      <c r="AP161" s="520"/>
      <c r="AQ161" s="520"/>
      <c r="AR161" s="520"/>
      <c r="AS161" s="520"/>
      <c r="AT161" s="519"/>
      <c r="AU161" s="766"/>
      <c r="AV161" s="520"/>
      <c r="AW161" s="520"/>
      <c r="AX161" s="520"/>
      <c r="AY161" s="519"/>
      <c r="AZ161" s="520"/>
      <c r="BA161" s="520"/>
      <c r="BB161" s="520"/>
      <c r="BC161" s="520"/>
      <c r="BD161" s="519"/>
      <c r="BE161" s="519"/>
      <c r="BF161" s="519"/>
      <c r="BG161" s="519"/>
      <c r="BH161" s="79"/>
    </row>
    <row r="162" spans="1:60" s="345" customFormat="1" hidden="1" outlineLevel="1" x14ac:dyDescent="0.35">
      <c r="A162" s="350" t="s">
        <v>421</v>
      </c>
      <c r="B162" s="444"/>
      <c r="C162" s="445"/>
      <c r="D162" s="445"/>
      <c r="E162" s="445"/>
      <c r="F162" s="445"/>
      <c r="G162" s="446"/>
      <c r="H162" s="446"/>
      <c r="I162" s="446"/>
      <c r="J162" s="446"/>
      <c r="K162" s="445"/>
      <c r="L162" s="446"/>
      <c r="M162" s="446"/>
      <c r="N162" s="446"/>
      <c r="O162" s="446"/>
      <c r="P162" s="445"/>
      <c r="Q162" s="446"/>
      <c r="R162" s="446"/>
      <c r="S162" s="446"/>
      <c r="T162" s="446"/>
      <c r="U162" s="445"/>
      <c r="V162" s="446"/>
      <c r="W162" s="446"/>
      <c r="X162" s="446"/>
      <c r="Y162" s="446"/>
      <c r="Z162" s="436">
        <v>1416</v>
      </c>
      <c r="AA162" s="446"/>
      <c r="AB162" s="446"/>
      <c r="AC162" s="446"/>
      <c r="AD162" s="446"/>
      <c r="AE162" s="436">
        <v>1498</v>
      </c>
      <c r="AF162" s="437">
        <v>409</v>
      </c>
      <c r="AG162" s="437">
        <v>400</v>
      </c>
      <c r="AH162" s="437">
        <v>362</v>
      </c>
      <c r="AI162" s="437">
        <f t="shared" ref="AI162:AI170" si="324">AJ162-SUM(AF162,AG162,AH162)</f>
        <v>362</v>
      </c>
      <c r="AJ162" s="436">
        <v>1533</v>
      </c>
      <c r="AK162" s="437">
        <v>363</v>
      </c>
      <c r="AL162" s="437">
        <v>358</v>
      </c>
      <c r="AM162" s="437">
        <v>338</v>
      </c>
      <c r="AN162" s="437">
        <f t="shared" ref="AN162:AN170" si="325">AO162-SUM(AK162,AL162,AM162)</f>
        <v>328</v>
      </c>
      <c r="AO162" s="436">
        <v>1387</v>
      </c>
      <c r="AP162" s="437">
        <v>330</v>
      </c>
      <c r="AQ162" s="437">
        <v>243</v>
      </c>
      <c r="AR162" s="437">
        <v>290</v>
      </c>
      <c r="AS162" s="437">
        <v>317</v>
      </c>
      <c r="AT162" s="436">
        <f t="shared" ref="AT162:AT170" si="326">SUM(AP162,AQ162,AR162,AS162)</f>
        <v>1180</v>
      </c>
      <c r="AU162" s="763">
        <v>352</v>
      </c>
      <c r="AV162" s="446"/>
      <c r="AW162" s="446"/>
      <c r="AX162" s="446"/>
      <c r="AY162" s="445"/>
      <c r="AZ162" s="446"/>
      <c r="BA162" s="446"/>
      <c r="BB162" s="446"/>
      <c r="BC162" s="446"/>
      <c r="BD162" s="445"/>
      <c r="BE162" s="445"/>
      <c r="BF162" s="445"/>
      <c r="BG162" s="445"/>
      <c r="BH162" s="351"/>
    </row>
    <row r="163" spans="1:60" s="345" customFormat="1" hidden="1" outlineLevel="1" x14ac:dyDescent="0.35">
      <c r="A163" s="350" t="s">
        <v>423</v>
      </c>
      <c r="B163" s="444"/>
      <c r="C163" s="445"/>
      <c r="D163" s="445"/>
      <c r="E163" s="445"/>
      <c r="F163" s="445"/>
      <c r="G163" s="446"/>
      <c r="H163" s="446"/>
      <c r="I163" s="446"/>
      <c r="J163" s="446"/>
      <c r="K163" s="445"/>
      <c r="L163" s="446"/>
      <c r="M163" s="446"/>
      <c r="N163" s="446"/>
      <c r="O163" s="446"/>
      <c r="P163" s="445"/>
      <c r="Q163" s="446"/>
      <c r="R163" s="446"/>
      <c r="S163" s="446"/>
      <c r="T163" s="446"/>
      <c r="U163" s="445"/>
      <c r="V163" s="446"/>
      <c r="W163" s="446"/>
      <c r="X163" s="446"/>
      <c r="Y163" s="446"/>
      <c r="Z163" s="436">
        <v>1346</v>
      </c>
      <c r="AA163" s="446"/>
      <c r="AB163" s="446"/>
      <c r="AC163" s="446"/>
      <c r="AD163" s="446"/>
      <c r="AE163" s="436">
        <v>1388</v>
      </c>
      <c r="AF163" s="437">
        <v>349</v>
      </c>
      <c r="AG163" s="437">
        <v>355</v>
      </c>
      <c r="AH163" s="437">
        <v>334</v>
      </c>
      <c r="AI163" s="437">
        <f>AJ163-SUM(AF163,AG163,AH163)</f>
        <v>336</v>
      </c>
      <c r="AJ163" s="436">
        <v>1374</v>
      </c>
      <c r="AK163" s="437">
        <v>306</v>
      </c>
      <c r="AL163" s="437">
        <v>304</v>
      </c>
      <c r="AM163" s="437">
        <v>307</v>
      </c>
      <c r="AN163" s="437">
        <f>AO163-SUM(AK163,AL163,AM163)</f>
        <v>312</v>
      </c>
      <c r="AO163" s="436">
        <v>1229</v>
      </c>
      <c r="AP163" s="437">
        <v>284</v>
      </c>
      <c r="AQ163" s="437">
        <v>203</v>
      </c>
      <c r="AR163" s="437">
        <v>309</v>
      </c>
      <c r="AS163" s="437">
        <v>306</v>
      </c>
      <c r="AT163" s="436">
        <f>SUM(AP163,AQ163,AR163,AS163)</f>
        <v>1102</v>
      </c>
      <c r="AU163" s="763">
        <v>312</v>
      </c>
      <c r="AV163" s="446"/>
      <c r="AW163" s="446"/>
      <c r="AX163" s="446"/>
      <c r="AY163" s="445"/>
      <c r="AZ163" s="446"/>
      <c r="BA163" s="446"/>
      <c r="BB163" s="446"/>
      <c r="BC163" s="446"/>
      <c r="BD163" s="445"/>
      <c r="BE163" s="445"/>
      <c r="BF163" s="445"/>
      <c r="BG163" s="445"/>
      <c r="BH163" s="351"/>
    </row>
    <row r="164" spans="1:60" s="345" customFormat="1" hidden="1" outlineLevel="1" x14ac:dyDescent="0.35">
      <c r="A164" s="350" t="s">
        <v>424</v>
      </c>
      <c r="B164" s="444"/>
      <c r="C164" s="445"/>
      <c r="D164" s="445"/>
      <c r="E164" s="445"/>
      <c r="F164" s="445"/>
      <c r="G164" s="446"/>
      <c r="H164" s="446"/>
      <c r="I164" s="446"/>
      <c r="J164" s="446"/>
      <c r="K164" s="445"/>
      <c r="L164" s="446"/>
      <c r="M164" s="446"/>
      <c r="N164" s="446"/>
      <c r="O164" s="446"/>
      <c r="P164" s="445"/>
      <c r="Q164" s="446"/>
      <c r="R164" s="446"/>
      <c r="S164" s="446"/>
      <c r="T164" s="446"/>
      <c r="U164" s="445"/>
      <c r="V164" s="446"/>
      <c r="W164" s="446"/>
      <c r="X164" s="446"/>
      <c r="Y164" s="446"/>
      <c r="Z164" s="436">
        <v>1262</v>
      </c>
      <c r="AA164" s="446"/>
      <c r="AB164" s="446"/>
      <c r="AC164" s="446"/>
      <c r="AD164" s="446"/>
      <c r="AE164" s="436">
        <v>1259</v>
      </c>
      <c r="AF164" s="437">
        <v>307</v>
      </c>
      <c r="AG164" s="437">
        <v>313</v>
      </c>
      <c r="AH164" s="437">
        <v>300</v>
      </c>
      <c r="AI164" s="437">
        <f>AJ164-SUM(AF164,AG164,AH164)</f>
        <v>304</v>
      </c>
      <c r="AJ164" s="436">
        <v>1224</v>
      </c>
      <c r="AK164" s="437">
        <v>278</v>
      </c>
      <c r="AL164" s="437">
        <v>275</v>
      </c>
      <c r="AM164" s="437">
        <v>282</v>
      </c>
      <c r="AN164" s="437">
        <f>AO164-SUM(AK164,AL164,AM164)</f>
        <v>276</v>
      </c>
      <c r="AO164" s="436">
        <v>1111</v>
      </c>
      <c r="AP164" s="437">
        <v>268</v>
      </c>
      <c r="AQ164" s="437">
        <v>235</v>
      </c>
      <c r="AR164" s="437">
        <v>242</v>
      </c>
      <c r="AS164" s="437">
        <v>248</v>
      </c>
      <c r="AT164" s="436">
        <f>SUM(AP164,AQ164,AR164,AS164)</f>
        <v>993</v>
      </c>
      <c r="AU164" s="763">
        <v>243</v>
      </c>
      <c r="AV164" s="446"/>
      <c r="AW164" s="446"/>
      <c r="AX164" s="446"/>
      <c r="AY164" s="445"/>
      <c r="AZ164" s="446"/>
      <c r="BA164" s="446"/>
      <c r="BB164" s="446"/>
      <c r="BC164" s="446"/>
      <c r="BD164" s="445"/>
      <c r="BE164" s="445"/>
      <c r="BF164" s="445"/>
      <c r="BG164" s="445"/>
      <c r="BH164" s="351"/>
    </row>
    <row r="165" spans="1:60" s="345" customFormat="1" hidden="1" outlineLevel="1" x14ac:dyDescent="0.35">
      <c r="A165" s="350" t="s">
        <v>426</v>
      </c>
      <c r="B165" s="444"/>
      <c r="C165" s="445"/>
      <c r="D165" s="445"/>
      <c r="E165" s="445"/>
      <c r="F165" s="445"/>
      <c r="G165" s="446"/>
      <c r="H165" s="446"/>
      <c r="I165" s="446"/>
      <c r="J165" s="446"/>
      <c r="K165" s="445"/>
      <c r="L165" s="446"/>
      <c r="M165" s="446"/>
      <c r="N165" s="446"/>
      <c r="O165" s="446"/>
      <c r="P165" s="445"/>
      <c r="Q165" s="446"/>
      <c r="R165" s="446"/>
      <c r="S165" s="446"/>
      <c r="T165" s="446"/>
      <c r="U165" s="445"/>
      <c r="V165" s="446"/>
      <c r="W165" s="446"/>
      <c r="X165" s="446"/>
      <c r="Y165" s="446"/>
      <c r="Z165" s="436">
        <v>1159</v>
      </c>
      <c r="AA165" s="446"/>
      <c r="AB165" s="446"/>
      <c r="AC165" s="446"/>
      <c r="AD165" s="446"/>
      <c r="AE165" s="436">
        <v>1196</v>
      </c>
      <c r="AF165" s="437">
        <v>309</v>
      </c>
      <c r="AG165" s="437">
        <v>325</v>
      </c>
      <c r="AH165" s="437">
        <v>315</v>
      </c>
      <c r="AI165" s="437">
        <f>AJ165-SUM(AF165,AG165,AH165)</f>
        <v>294</v>
      </c>
      <c r="AJ165" s="436">
        <v>1243</v>
      </c>
      <c r="AK165" s="437">
        <v>311</v>
      </c>
      <c r="AL165" s="437">
        <v>302</v>
      </c>
      <c r="AM165" s="437">
        <v>299</v>
      </c>
      <c r="AN165" s="437">
        <f>AO165-SUM(AK165,AL165,AM165)</f>
        <v>288</v>
      </c>
      <c r="AO165" s="436">
        <v>1200</v>
      </c>
      <c r="AP165" s="437">
        <v>291</v>
      </c>
      <c r="AQ165" s="437">
        <v>253</v>
      </c>
      <c r="AR165" s="437">
        <v>285</v>
      </c>
      <c r="AS165" s="437">
        <v>292</v>
      </c>
      <c r="AT165" s="436">
        <f>SUM(AP165,AQ165,AR165,AS165)</f>
        <v>1121</v>
      </c>
      <c r="AU165" s="763">
        <v>307</v>
      </c>
      <c r="AV165" s="446"/>
      <c r="AW165" s="446"/>
      <c r="AX165" s="446"/>
      <c r="AY165" s="445"/>
      <c r="AZ165" s="446"/>
      <c r="BA165" s="446"/>
      <c r="BB165" s="446"/>
      <c r="BC165" s="446"/>
      <c r="BD165" s="445"/>
      <c r="BE165" s="445"/>
      <c r="BF165" s="445"/>
      <c r="BG165" s="445"/>
      <c r="BH165" s="351"/>
    </row>
    <row r="166" spans="1:60" s="345" customFormat="1" hidden="1" outlineLevel="1" x14ac:dyDescent="0.35">
      <c r="A166" s="350" t="s">
        <v>422</v>
      </c>
      <c r="B166" s="444"/>
      <c r="C166" s="445"/>
      <c r="D166" s="445"/>
      <c r="E166" s="445"/>
      <c r="F166" s="445"/>
      <c r="G166" s="446"/>
      <c r="H166" s="446"/>
      <c r="I166" s="446"/>
      <c r="J166" s="446"/>
      <c r="K166" s="445"/>
      <c r="L166" s="446"/>
      <c r="M166" s="446"/>
      <c r="N166" s="446"/>
      <c r="O166" s="446"/>
      <c r="P166" s="445"/>
      <c r="Q166" s="446"/>
      <c r="R166" s="446"/>
      <c r="S166" s="446"/>
      <c r="T166" s="446"/>
      <c r="U166" s="445"/>
      <c r="V166" s="446"/>
      <c r="W166" s="446"/>
      <c r="X166" s="446"/>
      <c r="Y166" s="446"/>
      <c r="Z166" s="436">
        <v>2632</v>
      </c>
      <c r="AA166" s="446"/>
      <c r="AB166" s="446"/>
      <c r="AC166" s="446"/>
      <c r="AD166" s="446"/>
      <c r="AE166" s="436">
        <v>2773</v>
      </c>
      <c r="AF166" s="437">
        <v>731</v>
      </c>
      <c r="AG166" s="437">
        <v>726</v>
      </c>
      <c r="AH166" s="437">
        <v>734</v>
      </c>
      <c r="AI166" s="437">
        <f t="shared" si="324"/>
        <v>689</v>
      </c>
      <c r="AJ166" s="436">
        <v>2880</v>
      </c>
      <c r="AK166" s="437">
        <v>683</v>
      </c>
      <c r="AL166" s="437">
        <v>674</v>
      </c>
      <c r="AM166" s="437">
        <v>684</v>
      </c>
      <c r="AN166" s="437">
        <f t="shared" si="325"/>
        <v>648</v>
      </c>
      <c r="AO166" s="436">
        <v>2689</v>
      </c>
      <c r="AP166" s="437">
        <v>674</v>
      </c>
      <c r="AQ166" s="437">
        <v>552</v>
      </c>
      <c r="AR166" s="437">
        <v>647</v>
      </c>
      <c r="AS166" s="437">
        <v>689</v>
      </c>
      <c r="AT166" s="436">
        <f t="shared" si="326"/>
        <v>2562</v>
      </c>
      <c r="AU166" s="763">
        <v>768</v>
      </c>
      <c r="AV166" s="446"/>
      <c r="AW166" s="446"/>
      <c r="AX166" s="446"/>
      <c r="AY166" s="445"/>
      <c r="AZ166" s="446"/>
      <c r="BA166" s="446"/>
      <c r="BB166" s="446"/>
      <c r="BC166" s="446"/>
      <c r="BD166" s="445"/>
      <c r="BE166" s="445"/>
      <c r="BF166" s="445"/>
      <c r="BG166" s="445"/>
      <c r="BH166" s="351"/>
    </row>
    <row r="167" spans="1:60" s="345" customFormat="1" hidden="1" outlineLevel="1" x14ac:dyDescent="0.35">
      <c r="A167" s="350" t="s">
        <v>427</v>
      </c>
      <c r="B167" s="444"/>
      <c r="C167" s="445"/>
      <c r="D167" s="445"/>
      <c r="E167" s="445"/>
      <c r="F167" s="445"/>
      <c r="G167" s="446"/>
      <c r="H167" s="446"/>
      <c r="I167" s="446"/>
      <c r="J167" s="446"/>
      <c r="K167" s="445"/>
      <c r="L167" s="446"/>
      <c r="M167" s="446"/>
      <c r="N167" s="446"/>
      <c r="O167" s="446"/>
      <c r="P167" s="445"/>
      <c r="Q167" s="446"/>
      <c r="R167" s="446"/>
      <c r="S167" s="446"/>
      <c r="T167" s="446"/>
      <c r="U167" s="445"/>
      <c r="V167" s="446"/>
      <c r="W167" s="446"/>
      <c r="X167" s="446"/>
      <c r="Y167" s="446"/>
      <c r="Z167" s="436">
        <v>2553</v>
      </c>
      <c r="AA167" s="446"/>
      <c r="AB167" s="446"/>
      <c r="AC167" s="446"/>
      <c r="AD167" s="446"/>
      <c r="AE167" s="436">
        <v>2960</v>
      </c>
      <c r="AF167" s="437">
        <v>945</v>
      </c>
      <c r="AG167" s="437">
        <v>936</v>
      </c>
      <c r="AH167" s="437">
        <v>864</v>
      </c>
      <c r="AI167" s="437">
        <f>AJ167-SUM(AF167,AG167,AH167)</f>
        <v>861</v>
      </c>
      <c r="AJ167" s="436">
        <v>3606</v>
      </c>
      <c r="AK167" s="437">
        <v>924</v>
      </c>
      <c r="AL167" s="437">
        <v>917</v>
      </c>
      <c r="AM167" s="437">
        <v>812</v>
      </c>
      <c r="AN167" s="437">
        <f>AO167-SUM(AK167,AL167,AM167)</f>
        <v>851</v>
      </c>
      <c r="AO167" s="436">
        <v>3504</v>
      </c>
      <c r="AP167" s="437">
        <v>990</v>
      </c>
      <c r="AQ167" s="437">
        <v>1095</v>
      </c>
      <c r="AR167" s="437">
        <v>1136</v>
      </c>
      <c r="AS167" s="437">
        <v>1212</v>
      </c>
      <c r="AT167" s="436">
        <f>SUM(AP167,AQ167,AR167,AS167)</f>
        <v>4433</v>
      </c>
      <c r="AU167" s="763">
        <v>1237</v>
      </c>
      <c r="AV167" s="446"/>
      <c r="AW167" s="446"/>
      <c r="AX167" s="446"/>
      <c r="AY167" s="445"/>
      <c r="AZ167" s="446"/>
      <c r="BA167" s="446"/>
      <c r="BB167" s="446"/>
      <c r="BC167" s="446"/>
      <c r="BD167" s="445"/>
      <c r="BE167" s="445"/>
      <c r="BF167" s="445"/>
      <c r="BG167" s="445"/>
      <c r="BH167" s="351"/>
    </row>
    <row r="168" spans="1:60" s="345" customFormat="1" hidden="1" outlineLevel="1" x14ac:dyDescent="0.35">
      <c r="A168" s="350" t="s">
        <v>428</v>
      </c>
      <c r="B168" s="444"/>
      <c r="C168" s="445"/>
      <c r="D168" s="445"/>
      <c r="E168" s="445"/>
      <c r="F168" s="445"/>
      <c r="G168" s="446"/>
      <c r="H168" s="446"/>
      <c r="I168" s="446"/>
      <c r="J168" s="446"/>
      <c r="K168" s="445"/>
      <c r="L168" s="446"/>
      <c r="M168" s="446"/>
      <c r="N168" s="446"/>
      <c r="O168" s="446"/>
      <c r="P168" s="445"/>
      <c r="Q168" s="446"/>
      <c r="R168" s="446"/>
      <c r="S168" s="446"/>
      <c r="T168" s="446"/>
      <c r="U168" s="445"/>
      <c r="V168" s="446"/>
      <c r="W168" s="446"/>
      <c r="X168" s="446"/>
      <c r="Y168" s="446"/>
      <c r="Z168" s="436">
        <v>344</v>
      </c>
      <c r="AA168" s="446"/>
      <c r="AB168" s="446"/>
      <c r="AC168" s="446"/>
      <c r="AD168" s="446"/>
      <c r="AE168" s="436">
        <v>372</v>
      </c>
      <c r="AF168" s="437">
        <v>101</v>
      </c>
      <c r="AG168" s="437">
        <v>99</v>
      </c>
      <c r="AH168" s="437">
        <v>83</v>
      </c>
      <c r="AI168" s="437">
        <f>AJ168-SUM(AF168,AG168,AH168)</f>
        <v>70</v>
      </c>
      <c r="AJ168" s="436">
        <v>353</v>
      </c>
      <c r="AK168" s="437">
        <v>92</v>
      </c>
      <c r="AL168" s="437">
        <v>100</v>
      </c>
      <c r="AM168" s="437">
        <v>101</v>
      </c>
      <c r="AN168" s="437">
        <f>AO168-SUM(AK168,AL168,AM168)</f>
        <v>73</v>
      </c>
      <c r="AO168" s="436">
        <v>366</v>
      </c>
      <c r="AP168" s="437">
        <v>95</v>
      </c>
      <c r="AQ168" s="437">
        <v>86</v>
      </c>
      <c r="AR168" s="437">
        <v>114</v>
      </c>
      <c r="AS168" s="437">
        <v>95</v>
      </c>
      <c r="AT168" s="436">
        <f>SUM(AP168,AQ168,AR168,AS168)</f>
        <v>390</v>
      </c>
      <c r="AU168" s="763">
        <v>108</v>
      </c>
      <c r="AV168" s="446"/>
      <c r="AW168" s="446"/>
      <c r="AX168" s="446"/>
      <c r="AY168" s="445"/>
      <c r="AZ168" s="446"/>
      <c r="BA168" s="446"/>
      <c r="BB168" s="446"/>
      <c r="BC168" s="446"/>
      <c r="BD168" s="445"/>
      <c r="BE168" s="445"/>
      <c r="BF168" s="445"/>
      <c r="BG168" s="445"/>
      <c r="BH168" s="351"/>
    </row>
    <row r="169" spans="1:60" s="345" customFormat="1" hidden="1" outlineLevel="1" x14ac:dyDescent="0.35">
      <c r="A169" s="350" t="s">
        <v>425</v>
      </c>
      <c r="B169" s="444"/>
      <c r="C169" s="445"/>
      <c r="D169" s="445"/>
      <c r="E169" s="445"/>
      <c r="F169" s="445"/>
      <c r="G169" s="446"/>
      <c r="H169" s="446"/>
      <c r="I169" s="446"/>
      <c r="J169" s="446"/>
      <c r="K169" s="445"/>
      <c r="L169" s="446"/>
      <c r="M169" s="446"/>
      <c r="N169" s="446"/>
      <c r="O169" s="446"/>
      <c r="P169" s="445"/>
      <c r="Q169" s="446"/>
      <c r="R169" s="446"/>
      <c r="S169" s="446"/>
      <c r="T169" s="446"/>
      <c r="U169" s="445"/>
      <c r="V169" s="446"/>
      <c r="W169" s="446"/>
      <c r="X169" s="446"/>
      <c r="Y169" s="446"/>
      <c r="Z169" s="436">
        <v>400</v>
      </c>
      <c r="AA169" s="446"/>
      <c r="AB169" s="446"/>
      <c r="AC169" s="446"/>
      <c r="AD169" s="446"/>
      <c r="AE169" s="436">
        <v>387</v>
      </c>
      <c r="AF169" s="437">
        <v>94</v>
      </c>
      <c r="AG169" s="437">
        <v>67</v>
      </c>
      <c r="AH169" s="437">
        <v>8</v>
      </c>
      <c r="AI169" s="437">
        <f t="shared" si="324"/>
        <v>6</v>
      </c>
      <c r="AJ169" s="436">
        <v>175</v>
      </c>
      <c r="AK169" s="446"/>
      <c r="AL169" s="446"/>
      <c r="AM169" s="446"/>
      <c r="AN169" s="437">
        <f t="shared" si="325"/>
        <v>0</v>
      </c>
      <c r="AO169" s="445"/>
      <c r="AP169" s="446"/>
      <c r="AQ169" s="446"/>
      <c r="AR169" s="446"/>
      <c r="AS169" s="446"/>
      <c r="AT169" s="436">
        <f t="shared" si="326"/>
        <v>0</v>
      </c>
      <c r="AU169" s="767"/>
      <c r="AV169" s="446"/>
      <c r="AW169" s="446"/>
      <c r="AX169" s="446"/>
      <c r="AY169" s="445"/>
      <c r="AZ169" s="446"/>
      <c r="BA169" s="446"/>
      <c r="BB169" s="446"/>
      <c r="BC169" s="446"/>
      <c r="BD169" s="445"/>
      <c r="BE169" s="445"/>
      <c r="BF169" s="445"/>
      <c r="BG169" s="445"/>
      <c r="BH169" s="351"/>
    </row>
    <row r="170" spans="1:60" s="345" customFormat="1" hidden="1" outlineLevel="1" x14ac:dyDescent="0.35">
      <c r="A170" s="350" t="s">
        <v>420</v>
      </c>
      <c r="B170" s="444"/>
      <c r="C170" s="445"/>
      <c r="D170" s="445"/>
      <c r="E170" s="445"/>
      <c r="F170" s="445"/>
      <c r="G170" s="446"/>
      <c r="H170" s="446"/>
      <c r="I170" s="446"/>
      <c r="J170" s="446"/>
      <c r="K170" s="445"/>
      <c r="L170" s="446"/>
      <c r="M170" s="446"/>
      <c r="N170" s="446"/>
      <c r="O170" s="446"/>
      <c r="P170" s="445"/>
      <c r="Q170" s="446"/>
      <c r="R170" s="446"/>
      <c r="S170" s="446"/>
      <c r="T170" s="446"/>
      <c r="U170" s="445"/>
      <c r="V170" s="446"/>
      <c r="W170" s="446"/>
      <c r="X170" s="446"/>
      <c r="Y170" s="446"/>
      <c r="Z170" s="436">
        <v>104</v>
      </c>
      <c r="AA170" s="446"/>
      <c r="AB170" s="446"/>
      <c r="AC170" s="446"/>
      <c r="AD170" s="446"/>
      <c r="AE170" s="436">
        <v>113</v>
      </c>
      <c r="AF170" s="437">
        <v>23</v>
      </c>
      <c r="AG170" s="437">
        <v>32</v>
      </c>
      <c r="AH170" s="437">
        <v>21</v>
      </c>
      <c r="AI170" s="437">
        <f t="shared" si="324"/>
        <v>30</v>
      </c>
      <c r="AJ170" s="436">
        <v>106</v>
      </c>
      <c r="AK170" s="437">
        <v>6</v>
      </c>
      <c r="AL170" s="437">
        <v>7</v>
      </c>
      <c r="AM170" s="437">
        <v>6</v>
      </c>
      <c r="AN170" s="437">
        <f t="shared" si="325"/>
        <v>9</v>
      </c>
      <c r="AO170" s="436">
        <v>28</v>
      </c>
      <c r="AP170" s="437">
        <v>3</v>
      </c>
      <c r="AQ170" s="437">
        <v>1</v>
      </c>
      <c r="AR170" s="437">
        <v>1</v>
      </c>
      <c r="AS170" s="437">
        <v>-19</v>
      </c>
      <c r="AT170" s="436">
        <f t="shared" si="326"/>
        <v>-14</v>
      </c>
      <c r="AU170" s="767"/>
      <c r="AV170" s="446"/>
      <c r="AW170" s="446"/>
      <c r="AX170" s="446"/>
      <c r="AY170" s="445"/>
      <c r="AZ170" s="446"/>
      <c r="BA170" s="446"/>
      <c r="BB170" s="446"/>
      <c r="BC170" s="446"/>
      <c r="BD170" s="445"/>
      <c r="BE170" s="445"/>
      <c r="BF170" s="445"/>
      <c r="BG170" s="445"/>
      <c r="BH170" s="351"/>
    </row>
    <row r="171" spans="1:60" s="69" customFormat="1" hidden="1" outlineLevel="1" x14ac:dyDescent="0.35">
      <c r="A171" s="89" t="s">
        <v>390</v>
      </c>
      <c r="B171" s="452"/>
      <c r="C171" s="453"/>
      <c r="D171" s="453"/>
      <c r="E171" s="453"/>
      <c r="F171" s="453"/>
      <c r="G171" s="454"/>
      <c r="H171" s="454"/>
      <c r="I171" s="454"/>
      <c r="J171" s="454"/>
      <c r="K171" s="453"/>
      <c r="L171" s="454"/>
      <c r="M171" s="454"/>
      <c r="N171" s="454"/>
      <c r="O171" s="454"/>
      <c r="P171" s="453"/>
      <c r="Q171" s="454"/>
      <c r="R171" s="454"/>
      <c r="S171" s="454"/>
      <c r="T171" s="454"/>
      <c r="U171" s="453"/>
      <c r="V171" s="454"/>
      <c r="W171" s="454"/>
      <c r="X171" s="454"/>
      <c r="Y171" s="454"/>
      <c r="Z171" s="438">
        <f>SUM(Z162:Z170)</f>
        <v>11216</v>
      </c>
      <c r="AA171" s="454"/>
      <c r="AB171" s="454"/>
      <c r="AC171" s="454"/>
      <c r="AD171" s="454"/>
      <c r="AE171" s="438">
        <f t="shared" ref="AE171:AT171" si="327">SUM(AE162:AE170)</f>
        <v>11946</v>
      </c>
      <c r="AF171" s="439">
        <f t="shared" si="327"/>
        <v>3268</v>
      </c>
      <c r="AG171" s="439">
        <f t="shared" si="327"/>
        <v>3253</v>
      </c>
      <c r="AH171" s="439">
        <f t="shared" si="327"/>
        <v>3021</v>
      </c>
      <c r="AI171" s="439">
        <f t="shared" si="327"/>
        <v>2952</v>
      </c>
      <c r="AJ171" s="438">
        <f t="shared" si="327"/>
        <v>12494</v>
      </c>
      <c r="AK171" s="439">
        <f t="shared" si="327"/>
        <v>2963</v>
      </c>
      <c r="AL171" s="439">
        <f t="shared" si="327"/>
        <v>2937</v>
      </c>
      <c r="AM171" s="439">
        <f t="shared" si="327"/>
        <v>2829</v>
      </c>
      <c r="AN171" s="439">
        <f t="shared" si="327"/>
        <v>2785</v>
      </c>
      <c r="AO171" s="438">
        <f t="shared" si="327"/>
        <v>11514</v>
      </c>
      <c r="AP171" s="439">
        <f t="shared" si="327"/>
        <v>2935</v>
      </c>
      <c r="AQ171" s="439">
        <f t="shared" si="327"/>
        <v>2668</v>
      </c>
      <c r="AR171" s="439">
        <f t="shared" si="327"/>
        <v>3024</v>
      </c>
      <c r="AS171" s="439">
        <f t="shared" si="327"/>
        <v>3140</v>
      </c>
      <c r="AT171" s="438">
        <f t="shared" si="327"/>
        <v>11767</v>
      </c>
      <c r="AU171" s="765">
        <f t="shared" ref="AU171" si="328">SUM(AU162:AU170)</f>
        <v>3327</v>
      </c>
      <c r="AV171" s="454"/>
      <c r="AW171" s="454"/>
      <c r="AX171" s="454"/>
      <c r="AY171" s="453"/>
      <c r="AZ171" s="454"/>
      <c r="BA171" s="454"/>
      <c r="BB171" s="454"/>
      <c r="BC171" s="454"/>
      <c r="BD171" s="453"/>
      <c r="BE171" s="453"/>
      <c r="BF171" s="453"/>
      <c r="BG171" s="453"/>
      <c r="BH171" s="79"/>
    </row>
    <row r="172" spans="1:60" s="69" customFormat="1" hidden="1" outlineLevel="1" x14ac:dyDescent="0.35">
      <c r="A172" s="426"/>
      <c r="B172" s="518"/>
      <c r="C172" s="519"/>
      <c r="D172" s="519"/>
      <c r="E172" s="519"/>
      <c r="F172" s="519"/>
      <c r="G172" s="520"/>
      <c r="H172" s="520"/>
      <c r="I172" s="520"/>
      <c r="J172" s="520"/>
      <c r="K172" s="519"/>
      <c r="L172" s="520"/>
      <c r="M172" s="520"/>
      <c r="N172" s="520"/>
      <c r="O172" s="520"/>
      <c r="P172" s="519"/>
      <c r="Q172" s="520"/>
      <c r="R172" s="520"/>
      <c r="S172" s="520"/>
      <c r="T172" s="520"/>
      <c r="U172" s="519"/>
      <c r="V172" s="520"/>
      <c r="W172" s="520"/>
      <c r="X172" s="520"/>
      <c r="Y172" s="520"/>
      <c r="Z172" s="519"/>
      <c r="AA172" s="520"/>
      <c r="AB172" s="520"/>
      <c r="AC172" s="520"/>
      <c r="AD172" s="520"/>
      <c r="AE172" s="519"/>
      <c r="AF172" s="520"/>
      <c r="AG172" s="520"/>
      <c r="AH172" s="520"/>
      <c r="AI172" s="520"/>
      <c r="AJ172" s="519"/>
      <c r="AK172" s="520"/>
      <c r="AL172" s="520"/>
      <c r="AM172" s="520"/>
      <c r="AN172" s="520"/>
      <c r="AO172" s="519"/>
      <c r="AP172" s="520"/>
      <c r="AQ172" s="520"/>
      <c r="AR172" s="520"/>
      <c r="AS172" s="520"/>
      <c r="AT172" s="519"/>
      <c r="AU172" s="766"/>
      <c r="AV172" s="520"/>
      <c r="AW172" s="520"/>
      <c r="AX172" s="520"/>
      <c r="AY172" s="519"/>
      <c r="AZ172" s="520"/>
      <c r="BA172" s="520"/>
      <c r="BB172" s="520"/>
      <c r="BC172" s="520"/>
      <c r="BD172" s="519"/>
      <c r="BE172" s="519"/>
      <c r="BF172" s="519"/>
      <c r="BG172" s="519"/>
      <c r="BH172" s="79"/>
    </row>
    <row r="173" spans="1:60" s="69" customFormat="1" hidden="1" outlineLevel="1" x14ac:dyDescent="0.35">
      <c r="A173" s="90" t="s">
        <v>945</v>
      </c>
      <c r="B173" s="518"/>
      <c r="C173" s="519"/>
      <c r="D173" s="519"/>
      <c r="E173" s="519"/>
      <c r="F173" s="519"/>
      <c r="G173" s="520"/>
      <c r="H173" s="520"/>
      <c r="I173" s="520"/>
      <c r="J173" s="520"/>
      <c r="K173" s="519"/>
      <c r="L173" s="520"/>
      <c r="M173" s="520"/>
      <c r="N173" s="520"/>
      <c r="O173" s="520"/>
      <c r="P173" s="519"/>
      <c r="Q173" s="520"/>
      <c r="R173" s="520"/>
      <c r="S173" s="520"/>
      <c r="T173" s="520"/>
      <c r="U173" s="519"/>
      <c r="V173" s="520"/>
      <c r="W173" s="520"/>
      <c r="X173" s="520"/>
      <c r="Y173" s="520"/>
      <c r="Z173" s="519"/>
      <c r="AA173" s="520"/>
      <c r="AB173" s="520"/>
      <c r="AC173" s="520"/>
      <c r="AD173" s="520"/>
      <c r="AE173" s="440">
        <v>424</v>
      </c>
      <c r="AF173" s="520"/>
      <c r="AG173" s="520"/>
      <c r="AH173" s="520"/>
      <c r="AI173" s="520"/>
      <c r="AJ173" s="440">
        <v>528</v>
      </c>
      <c r="AK173" s="520"/>
      <c r="AL173" s="520"/>
      <c r="AM173" s="520"/>
      <c r="AN173" s="520"/>
      <c r="AO173" s="440">
        <v>509</v>
      </c>
      <c r="AP173" s="520"/>
      <c r="AQ173" s="520"/>
      <c r="AR173" s="520"/>
      <c r="AS173" s="520"/>
      <c r="AT173" s="440">
        <v>562</v>
      </c>
      <c r="AU173" s="766"/>
      <c r="AV173" s="520"/>
      <c r="AW173" s="520"/>
      <c r="AX173" s="520"/>
      <c r="AY173" s="519"/>
      <c r="AZ173" s="520"/>
      <c r="BA173" s="520"/>
      <c r="BB173" s="520"/>
      <c r="BC173" s="520"/>
      <c r="BD173" s="519"/>
      <c r="BE173" s="519"/>
      <c r="BF173" s="519"/>
      <c r="BG173" s="519"/>
      <c r="BH173" s="79"/>
    </row>
    <row r="174" spans="1:60" s="69" customFormat="1" hidden="1" outlineLevel="1" x14ac:dyDescent="0.35">
      <c r="A174" s="90" t="s">
        <v>1057</v>
      </c>
      <c r="B174" s="518"/>
      <c r="C174" s="519"/>
      <c r="D174" s="519"/>
      <c r="E174" s="519"/>
      <c r="F174" s="519"/>
      <c r="G174" s="520"/>
      <c r="H174" s="520"/>
      <c r="I174" s="520"/>
      <c r="J174" s="520"/>
      <c r="K174" s="519"/>
      <c r="L174" s="520"/>
      <c r="M174" s="520"/>
      <c r="N174" s="520"/>
      <c r="O174" s="520"/>
      <c r="P174" s="519"/>
      <c r="Q174" s="520"/>
      <c r="R174" s="520"/>
      <c r="S174" s="520"/>
      <c r="T174" s="520"/>
      <c r="U174" s="519"/>
      <c r="V174" s="520"/>
      <c r="W174" s="520"/>
      <c r="X174" s="520"/>
      <c r="Y174" s="520"/>
      <c r="Z174" s="519"/>
      <c r="AA174" s="520"/>
      <c r="AB174" s="520"/>
      <c r="AC174" s="520"/>
      <c r="AD174" s="520"/>
      <c r="AE174" s="440">
        <v>255</v>
      </c>
      <c r="AF174" s="520"/>
      <c r="AG174" s="520"/>
      <c r="AH174" s="520"/>
      <c r="AI174" s="520"/>
      <c r="AJ174" s="440">
        <v>375</v>
      </c>
      <c r="AK174" s="520"/>
      <c r="AL174" s="520"/>
      <c r="AM174" s="520"/>
      <c r="AN174" s="520"/>
      <c r="AO174" s="440">
        <v>391</v>
      </c>
      <c r="AP174" s="520"/>
      <c r="AQ174" s="520"/>
      <c r="AR174" s="520"/>
      <c r="AS174" s="520"/>
      <c r="AT174" s="440">
        <v>451</v>
      </c>
      <c r="AU174" s="766"/>
      <c r="AV174" s="520"/>
      <c r="AW174" s="520"/>
      <c r="AX174" s="520"/>
      <c r="AY174" s="519"/>
      <c r="AZ174" s="520"/>
      <c r="BA174" s="520"/>
      <c r="BB174" s="520"/>
      <c r="BC174" s="520"/>
      <c r="BD174" s="519"/>
      <c r="BE174" s="519"/>
      <c r="BF174" s="519"/>
      <c r="BG174" s="519"/>
      <c r="BH174" s="79"/>
    </row>
    <row r="175" spans="1:60" s="345" customFormat="1" hidden="1" outlineLevel="1" x14ac:dyDescent="0.35">
      <c r="A175" s="236" t="s">
        <v>1052</v>
      </c>
      <c r="B175" s="444"/>
      <c r="C175" s="445"/>
      <c r="D175" s="445"/>
      <c r="E175" s="445"/>
      <c r="F175" s="445"/>
      <c r="G175" s="446"/>
      <c r="H175" s="446"/>
      <c r="I175" s="446"/>
      <c r="J175" s="446"/>
      <c r="K175" s="445"/>
      <c r="L175" s="446"/>
      <c r="M175" s="446"/>
      <c r="N175" s="446"/>
      <c r="O175" s="446"/>
      <c r="P175" s="445"/>
      <c r="Q175" s="446"/>
      <c r="R175" s="446"/>
      <c r="S175" s="446"/>
      <c r="T175" s="446"/>
      <c r="U175" s="445"/>
      <c r="V175" s="446"/>
      <c r="W175" s="446"/>
      <c r="X175" s="446"/>
      <c r="Y175" s="446"/>
      <c r="Z175" s="445"/>
      <c r="AA175" s="446"/>
      <c r="AB175" s="446"/>
      <c r="AC175" s="446"/>
      <c r="AD175" s="446"/>
      <c r="AE175" s="436">
        <v>5077</v>
      </c>
      <c r="AF175" s="446"/>
      <c r="AG175" s="446"/>
      <c r="AH175" s="446"/>
      <c r="AI175" s="446"/>
      <c r="AJ175" s="436">
        <v>4716</v>
      </c>
      <c r="AK175" s="446"/>
      <c r="AL175" s="446"/>
      <c r="AM175" s="446"/>
      <c r="AN175" s="446"/>
      <c r="AO175" s="436">
        <v>4621</v>
      </c>
      <c r="AP175" s="446"/>
      <c r="AQ175" s="446"/>
      <c r="AR175" s="446"/>
      <c r="AS175" s="446"/>
      <c r="AT175" s="436">
        <v>4687</v>
      </c>
      <c r="AU175" s="767"/>
      <c r="AV175" s="446"/>
      <c r="AW175" s="446"/>
      <c r="AX175" s="446"/>
      <c r="AY175" s="445"/>
      <c r="AZ175" s="446"/>
      <c r="BA175" s="446"/>
      <c r="BB175" s="446"/>
      <c r="BC175" s="446"/>
      <c r="BD175" s="445"/>
      <c r="BE175" s="445"/>
      <c r="BF175" s="445"/>
      <c r="BG175" s="445"/>
      <c r="BH175" s="351"/>
    </row>
    <row r="176" spans="1:60" s="345" customFormat="1" hidden="1" outlineLevel="1" x14ac:dyDescent="0.35">
      <c r="A176" s="236" t="s">
        <v>987</v>
      </c>
      <c r="B176" s="444"/>
      <c r="C176" s="445"/>
      <c r="D176" s="445"/>
      <c r="E176" s="445"/>
      <c r="F176" s="445"/>
      <c r="G176" s="446"/>
      <c r="H176" s="446"/>
      <c r="I176" s="446"/>
      <c r="J176" s="446"/>
      <c r="K176" s="445"/>
      <c r="L176" s="446"/>
      <c r="M176" s="446"/>
      <c r="N176" s="446"/>
      <c r="O176" s="446"/>
      <c r="P176" s="445"/>
      <c r="Q176" s="446"/>
      <c r="R176" s="446"/>
      <c r="S176" s="446"/>
      <c r="T176" s="446"/>
      <c r="U176" s="445"/>
      <c r="V176" s="446"/>
      <c r="W176" s="446"/>
      <c r="X176" s="446"/>
      <c r="Y176" s="446"/>
      <c r="Z176" s="445"/>
      <c r="AA176" s="446"/>
      <c r="AB176" s="446"/>
      <c r="AC176" s="446"/>
      <c r="AD176" s="446"/>
      <c r="AE176" s="436">
        <v>13560</v>
      </c>
      <c r="AF176" s="446"/>
      <c r="AG176" s="446"/>
      <c r="AH176" s="446"/>
      <c r="AI176" s="446"/>
      <c r="AJ176" s="436">
        <v>13086</v>
      </c>
      <c r="AK176" s="446"/>
      <c r="AL176" s="446"/>
      <c r="AM176" s="446"/>
      <c r="AN176" s="446"/>
      <c r="AO176" s="436">
        <v>11682</v>
      </c>
      <c r="AP176" s="446"/>
      <c r="AQ176" s="446"/>
      <c r="AR176" s="446"/>
      <c r="AS176" s="446"/>
      <c r="AT176" s="436">
        <v>11711</v>
      </c>
      <c r="AU176" s="767"/>
      <c r="AV176" s="446"/>
      <c r="AW176" s="446"/>
      <c r="AX176" s="446"/>
      <c r="AY176" s="445"/>
      <c r="AZ176" s="446"/>
      <c r="BA176" s="446"/>
      <c r="BB176" s="446"/>
      <c r="BC176" s="446"/>
      <c r="BD176" s="445"/>
      <c r="BE176" s="445"/>
      <c r="BF176" s="445"/>
      <c r="BG176" s="445"/>
      <c r="BH176" s="351"/>
    </row>
    <row r="177" spans="1:60" s="345" customFormat="1" hidden="1" outlineLevel="1" x14ac:dyDescent="0.35">
      <c r="A177" s="236" t="s">
        <v>988</v>
      </c>
      <c r="B177" s="444"/>
      <c r="C177" s="445"/>
      <c r="D177" s="445"/>
      <c r="E177" s="445"/>
      <c r="F177" s="445"/>
      <c r="G177" s="446"/>
      <c r="H177" s="446"/>
      <c r="I177" s="446"/>
      <c r="J177" s="446"/>
      <c r="K177" s="445"/>
      <c r="L177" s="446"/>
      <c r="M177" s="446"/>
      <c r="N177" s="446"/>
      <c r="O177" s="446"/>
      <c r="P177" s="445"/>
      <c r="Q177" s="446"/>
      <c r="R177" s="446"/>
      <c r="S177" s="446"/>
      <c r="T177" s="446"/>
      <c r="U177" s="445"/>
      <c r="V177" s="446"/>
      <c r="W177" s="446"/>
      <c r="X177" s="446"/>
      <c r="Y177" s="446"/>
      <c r="Z177" s="445"/>
      <c r="AA177" s="446"/>
      <c r="AB177" s="446"/>
      <c r="AC177" s="446"/>
      <c r="AD177" s="446"/>
      <c r="AE177" s="445"/>
      <c r="AF177" s="446"/>
      <c r="AG177" s="446"/>
      <c r="AH177" s="446"/>
      <c r="AI177" s="446"/>
      <c r="AJ177" s="436">
        <f>AVERAGE(AJ176,AE176)</f>
        <v>13323</v>
      </c>
      <c r="AK177" s="446"/>
      <c r="AL177" s="446"/>
      <c r="AM177" s="446"/>
      <c r="AN177" s="446"/>
      <c r="AO177" s="436">
        <f>AVERAGE(AO176,AJ176)</f>
        <v>12384</v>
      </c>
      <c r="AP177" s="446"/>
      <c r="AQ177" s="446"/>
      <c r="AR177" s="446"/>
      <c r="AS177" s="446"/>
      <c r="AT177" s="436">
        <f>AVERAGE(AT176,AO176)</f>
        <v>11696.5</v>
      </c>
      <c r="AU177" s="767"/>
      <c r="AV177" s="446"/>
      <c r="AW177" s="446"/>
      <c r="AX177" s="446"/>
      <c r="AY177" s="445"/>
      <c r="AZ177" s="446"/>
      <c r="BA177" s="446"/>
      <c r="BB177" s="446"/>
      <c r="BC177" s="446"/>
      <c r="BD177" s="445"/>
      <c r="BE177" s="445"/>
      <c r="BF177" s="445"/>
      <c r="BG177" s="445"/>
      <c r="BH177" s="351"/>
    </row>
    <row r="178" spans="1:60" s="345" customFormat="1" hidden="1" outlineLevel="1" x14ac:dyDescent="0.35">
      <c r="A178" s="236" t="s">
        <v>989</v>
      </c>
      <c r="B178" s="444"/>
      <c r="C178" s="445"/>
      <c r="D178" s="445"/>
      <c r="E178" s="445"/>
      <c r="F178" s="445"/>
      <c r="G178" s="446"/>
      <c r="H178" s="446"/>
      <c r="I178" s="446"/>
      <c r="J178" s="446"/>
      <c r="K178" s="445"/>
      <c r="L178" s="446"/>
      <c r="M178" s="446"/>
      <c r="N178" s="446"/>
      <c r="O178" s="446"/>
      <c r="P178" s="445"/>
      <c r="Q178" s="446"/>
      <c r="R178" s="446"/>
      <c r="S178" s="446"/>
      <c r="T178" s="446"/>
      <c r="U178" s="445"/>
      <c r="V178" s="446"/>
      <c r="W178" s="446"/>
      <c r="X178" s="446"/>
      <c r="Y178" s="446"/>
      <c r="Z178" s="445"/>
      <c r="AA178" s="446"/>
      <c r="AB178" s="446"/>
      <c r="AC178" s="446"/>
      <c r="AD178" s="446"/>
      <c r="AE178" s="445"/>
      <c r="AF178" s="446"/>
      <c r="AG178" s="446"/>
      <c r="AH178" s="446"/>
      <c r="AI178" s="446"/>
      <c r="AJ178" s="436">
        <f>AJ142</f>
        <v>3423</v>
      </c>
      <c r="AK178" s="446"/>
      <c r="AL178" s="446"/>
      <c r="AM178" s="446"/>
      <c r="AN178" s="446"/>
      <c r="AO178" s="436">
        <f>AO142</f>
        <v>2510</v>
      </c>
      <c r="AP178" s="446"/>
      <c r="AQ178" s="446"/>
      <c r="AR178" s="446"/>
      <c r="AS178" s="446"/>
      <c r="AT178" s="436">
        <f>AT142</f>
        <v>3054</v>
      </c>
      <c r="AU178" s="767"/>
      <c r="AV178" s="446"/>
      <c r="AW178" s="446"/>
      <c r="AX178" s="446"/>
      <c r="AY178" s="445"/>
      <c r="AZ178" s="446"/>
      <c r="BA178" s="446"/>
      <c r="BB178" s="446"/>
      <c r="BC178" s="446"/>
      <c r="BD178" s="445"/>
      <c r="BE178" s="445"/>
      <c r="BF178" s="445"/>
      <c r="BG178" s="445"/>
      <c r="BH178" s="351"/>
    </row>
    <row r="179" spans="1:60" s="225" customFormat="1" hidden="1" outlineLevel="1" x14ac:dyDescent="0.35">
      <c r="A179" s="227" t="s">
        <v>990</v>
      </c>
      <c r="B179" s="176"/>
      <c r="C179" s="113"/>
      <c r="D179" s="113"/>
      <c r="E179" s="113"/>
      <c r="F179" s="113"/>
      <c r="G179" s="177"/>
      <c r="H179" s="177"/>
      <c r="I179" s="177"/>
      <c r="J179" s="177"/>
      <c r="K179" s="113"/>
      <c r="L179" s="177"/>
      <c r="M179" s="177"/>
      <c r="N179" s="177"/>
      <c r="O179" s="177"/>
      <c r="P179" s="113"/>
      <c r="Q179" s="177"/>
      <c r="R179" s="177"/>
      <c r="S179" s="177"/>
      <c r="T179" s="177"/>
      <c r="U179" s="113"/>
      <c r="V179" s="177"/>
      <c r="W179" s="177"/>
      <c r="X179" s="177"/>
      <c r="Y179" s="177"/>
      <c r="Z179" s="113"/>
      <c r="AA179" s="177"/>
      <c r="AB179" s="177"/>
      <c r="AC179" s="177"/>
      <c r="AD179" s="177"/>
      <c r="AE179" s="113"/>
      <c r="AF179" s="177"/>
      <c r="AG179" s="177"/>
      <c r="AH179" s="177"/>
      <c r="AI179" s="177"/>
      <c r="AJ179" s="223">
        <f>AJ178/AJ177</f>
        <v>0.25692411619004729</v>
      </c>
      <c r="AK179" s="177"/>
      <c r="AL179" s="177"/>
      <c r="AM179" s="177"/>
      <c r="AN179" s="177"/>
      <c r="AO179" s="223">
        <f>AO178/AO177</f>
        <v>0.20268087855297157</v>
      </c>
      <c r="AP179" s="177"/>
      <c r="AQ179" s="177"/>
      <c r="AR179" s="177"/>
      <c r="AS179" s="177"/>
      <c r="AT179" s="223">
        <f>AT178/AT177</f>
        <v>0.26110374898473904</v>
      </c>
      <c r="AU179" s="780"/>
      <c r="AV179" s="177"/>
      <c r="AW179" s="177"/>
      <c r="AX179" s="177"/>
      <c r="AY179" s="113"/>
      <c r="AZ179" s="177"/>
      <c r="BA179" s="177"/>
      <c r="BB179" s="177"/>
      <c r="BC179" s="177"/>
      <c r="BD179" s="113"/>
      <c r="BE179" s="113"/>
      <c r="BF179" s="113"/>
      <c r="BG179" s="113"/>
      <c r="BH179" s="94"/>
    </row>
    <row r="180" spans="1:60" s="225" customFormat="1" collapsed="1" x14ac:dyDescent="0.35">
      <c r="A180" s="538"/>
      <c r="B180" s="176"/>
      <c r="C180" s="113"/>
      <c r="D180" s="113"/>
      <c r="E180" s="113"/>
      <c r="F180" s="113"/>
      <c r="G180" s="177"/>
      <c r="H180" s="177"/>
      <c r="I180" s="177"/>
      <c r="J180" s="177"/>
      <c r="K180" s="113"/>
      <c r="L180" s="177"/>
      <c r="M180" s="177"/>
      <c r="N180" s="177"/>
      <c r="O180" s="177"/>
      <c r="P180" s="113"/>
      <c r="Q180" s="177"/>
      <c r="R180" s="177"/>
      <c r="S180" s="177"/>
      <c r="T180" s="177"/>
      <c r="U180" s="113"/>
      <c r="V180" s="177"/>
      <c r="W180" s="177"/>
      <c r="X180" s="177"/>
      <c r="Y180" s="177"/>
      <c r="Z180" s="113"/>
      <c r="AA180" s="177"/>
      <c r="AB180" s="177"/>
      <c r="AC180" s="177"/>
      <c r="AD180" s="177"/>
      <c r="AE180" s="113"/>
      <c r="AF180" s="177"/>
      <c r="AG180" s="177"/>
      <c r="AH180" s="177"/>
      <c r="AI180" s="177"/>
      <c r="AJ180" s="113"/>
      <c r="AK180" s="177"/>
      <c r="AL180" s="177"/>
      <c r="AM180" s="177"/>
      <c r="AN180" s="177"/>
      <c r="AO180" s="113"/>
      <c r="AP180" s="177"/>
      <c r="AQ180" s="177"/>
      <c r="AR180" s="177"/>
      <c r="AS180" s="177"/>
      <c r="AT180" s="113"/>
      <c r="AU180" s="780"/>
      <c r="AV180" s="177"/>
      <c r="AW180" s="177"/>
      <c r="AX180" s="177"/>
      <c r="AY180" s="113"/>
      <c r="AZ180" s="177"/>
      <c r="BA180" s="177"/>
      <c r="BB180" s="177"/>
      <c r="BC180" s="177"/>
      <c r="BD180" s="113"/>
      <c r="BE180" s="113"/>
      <c r="BF180" s="113"/>
      <c r="BG180" s="113"/>
      <c r="BH180" s="94"/>
    </row>
    <row r="181" spans="1:60" s="21" customFormat="1" x14ac:dyDescent="0.35">
      <c r="A181" s="746" t="s">
        <v>870</v>
      </c>
      <c r="B181" s="746"/>
      <c r="C181" s="874"/>
      <c r="D181" s="874"/>
      <c r="E181" s="874"/>
      <c r="F181" s="874"/>
      <c r="G181" s="874"/>
      <c r="H181" s="874"/>
      <c r="I181" s="874"/>
      <c r="J181" s="874"/>
      <c r="K181" s="874"/>
      <c r="L181" s="874"/>
      <c r="M181" s="874"/>
      <c r="N181" s="874"/>
      <c r="O181" s="874"/>
      <c r="P181" s="874"/>
      <c r="Q181" s="874"/>
      <c r="R181" s="874"/>
      <c r="S181" s="874"/>
      <c r="T181" s="874"/>
      <c r="U181" s="874"/>
      <c r="V181" s="874"/>
      <c r="W181" s="874"/>
      <c r="X181" s="874"/>
      <c r="Y181" s="874"/>
      <c r="Z181" s="874"/>
      <c r="AA181" s="874"/>
      <c r="AB181" s="874"/>
      <c r="AC181" s="874"/>
      <c r="AD181" s="874"/>
      <c r="AE181" s="874"/>
      <c r="AF181" s="874"/>
      <c r="AG181" s="874"/>
      <c r="AH181" s="874"/>
      <c r="AI181" s="874"/>
      <c r="AJ181" s="874"/>
      <c r="AK181" s="874"/>
      <c r="AL181" s="874"/>
      <c r="AM181" s="874"/>
      <c r="AN181" s="874"/>
      <c r="AO181" s="874"/>
      <c r="AP181" s="874"/>
      <c r="AQ181" s="874"/>
      <c r="AR181" s="874"/>
      <c r="AS181" s="874"/>
      <c r="AT181" s="874"/>
      <c r="AU181" s="875"/>
      <c r="AV181" s="874"/>
      <c r="AW181" s="874"/>
      <c r="AX181" s="874"/>
      <c r="AY181" s="874"/>
      <c r="AZ181" s="874"/>
      <c r="BA181" s="874"/>
      <c r="BB181" s="874"/>
      <c r="BC181" s="874"/>
      <c r="BD181" s="874"/>
      <c r="BE181" s="874"/>
      <c r="BF181" s="874"/>
      <c r="BG181" s="874"/>
      <c r="BH181" s="651"/>
    </row>
    <row r="182" spans="1:60" s="262" customFormat="1" hidden="1" outlineLevel="2" x14ac:dyDescent="0.35">
      <c r="A182" s="530" t="s">
        <v>449</v>
      </c>
      <c r="B182" s="312"/>
      <c r="C182" s="105"/>
      <c r="D182" s="105"/>
      <c r="E182" s="105"/>
      <c r="F182" s="105"/>
      <c r="G182" s="200"/>
      <c r="H182" s="200"/>
      <c r="I182" s="200"/>
      <c r="J182" s="200"/>
      <c r="K182" s="105"/>
      <c r="L182" s="200"/>
      <c r="M182" s="200"/>
      <c r="N182" s="200"/>
      <c r="O182" s="200"/>
      <c r="P182" s="105"/>
      <c r="Q182" s="200"/>
      <c r="R182" s="200"/>
      <c r="S182" s="200"/>
      <c r="T182" s="200"/>
      <c r="U182" s="105"/>
      <c r="V182" s="200"/>
      <c r="W182" s="200"/>
      <c r="X182" s="200"/>
      <c r="Y182" s="200"/>
      <c r="Z182" s="105"/>
      <c r="AA182" s="200"/>
      <c r="AB182" s="200"/>
      <c r="AC182" s="200"/>
      <c r="AD182" s="200"/>
      <c r="AE182" s="105"/>
      <c r="AF182" s="200"/>
      <c r="AG182" s="200"/>
      <c r="AH182" s="200"/>
      <c r="AI182" s="200"/>
      <c r="AJ182" s="105"/>
      <c r="AK182" s="200"/>
      <c r="AL182" s="78">
        <v>-1E-3</v>
      </c>
      <c r="AM182" s="78">
        <v>-5.3999999999999999E-2</v>
      </c>
      <c r="AN182" s="78">
        <v>-0.11</v>
      </c>
      <c r="AO182" s="47">
        <v>-4.2000000000000003E-2</v>
      </c>
      <c r="AP182" s="200"/>
      <c r="AQ182" s="200"/>
      <c r="AR182" s="200"/>
      <c r="AS182" s="200"/>
      <c r="AT182" s="105"/>
      <c r="AU182" s="761"/>
      <c r="AV182" s="200"/>
      <c r="AW182" s="200"/>
      <c r="AX182" s="200"/>
      <c r="AY182" s="105"/>
      <c r="AZ182" s="200"/>
      <c r="BA182" s="200"/>
      <c r="BB182" s="200"/>
      <c r="BC182" s="200"/>
      <c r="BD182" s="105"/>
      <c r="BE182" s="105"/>
      <c r="BF182" s="105"/>
      <c r="BG182" s="105"/>
      <c r="BH182" s="363"/>
    </row>
    <row r="183" spans="1:60" s="262" customFormat="1" hidden="1" outlineLevel="2" x14ac:dyDescent="0.35">
      <c r="A183" s="606" t="s">
        <v>880</v>
      </c>
      <c r="B183" s="465"/>
      <c r="C183" s="479"/>
      <c r="D183" s="479"/>
      <c r="E183" s="479"/>
      <c r="F183" s="479"/>
      <c r="G183" s="457"/>
      <c r="H183" s="457"/>
      <c r="I183" s="457"/>
      <c r="J183" s="457"/>
      <c r="K183" s="479"/>
      <c r="L183" s="457"/>
      <c r="M183" s="457"/>
      <c r="N183" s="457"/>
      <c r="O183" s="457"/>
      <c r="P183" s="479"/>
      <c r="Q183" s="457"/>
      <c r="R183" s="457"/>
      <c r="S183" s="457"/>
      <c r="T183" s="457"/>
      <c r="U183" s="479"/>
      <c r="V183" s="457"/>
      <c r="W183" s="457"/>
      <c r="X183" s="457"/>
      <c r="Y183" s="457"/>
      <c r="Z183" s="479"/>
      <c r="AA183" s="457"/>
      <c r="AB183" s="457"/>
      <c r="AC183" s="457"/>
      <c r="AD183" s="457"/>
      <c r="AE183" s="479"/>
      <c r="AF183" s="457"/>
      <c r="AG183" s="457"/>
      <c r="AH183" s="457"/>
      <c r="AI183" s="457"/>
      <c r="AJ183" s="479"/>
      <c r="AK183" s="457"/>
      <c r="AL183" s="457"/>
      <c r="AM183" s="457"/>
      <c r="AN183" s="457"/>
      <c r="AO183" s="479"/>
      <c r="AP183" s="457"/>
      <c r="AQ183" s="457"/>
      <c r="AR183" s="457"/>
      <c r="AS183" s="457"/>
      <c r="AT183" s="479"/>
      <c r="AU183" s="779"/>
      <c r="AV183" s="457"/>
      <c r="AW183" s="457"/>
      <c r="AX183" s="457"/>
      <c r="AY183" s="479"/>
      <c r="AZ183" s="457"/>
      <c r="BA183" s="457"/>
      <c r="BB183" s="457"/>
      <c r="BC183" s="457"/>
      <c r="BD183" s="479"/>
      <c r="BE183" s="479"/>
      <c r="BF183" s="479"/>
      <c r="BG183" s="479"/>
      <c r="BH183" s="363"/>
    </row>
    <row r="184" spans="1:60" s="262" customFormat="1" hidden="1" outlineLevel="2" x14ac:dyDescent="0.35">
      <c r="A184" s="513" t="s">
        <v>881</v>
      </c>
      <c r="B184" s="312"/>
      <c r="C184" s="105"/>
      <c r="D184" s="105"/>
      <c r="E184" s="105"/>
      <c r="F184" s="105"/>
      <c r="G184" s="200"/>
      <c r="H184" s="200"/>
      <c r="I184" s="200"/>
      <c r="J184" s="200"/>
      <c r="K184" s="105"/>
      <c r="L184" s="200"/>
      <c r="M184" s="200"/>
      <c r="N184" s="200"/>
      <c r="O184" s="200"/>
      <c r="P184" s="105"/>
      <c r="Q184" s="200"/>
      <c r="R184" s="200"/>
      <c r="S184" s="200"/>
      <c r="T184" s="200"/>
      <c r="U184" s="105"/>
      <c r="V184" s="200"/>
      <c r="W184" s="200"/>
      <c r="X184" s="200"/>
      <c r="Y184" s="200"/>
      <c r="Z184" s="105"/>
      <c r="AA184" s="200"/>
      <c r="AB184" s="200"/>
      <c r="AC184" s="200"/>
      <c r="AD184" s="200"/>
      <c r="AE184" s="47">
        <f>AE214/Z214-1</f>
        <v>-3.9287160793843645E-2</v>
      </c>
      <c r="AF184" s="200"/>
      <c r="AG184" s="200"/>
      <c r="AH184" s="200"/>
      <c r="AI184" s="200"/>
      <c r="AJ184" s="47">
        <f t="shared" ref="AJ184" si="329">AJ214/AE214-1</f>
        <v>1.4333895446880351E-2</v>
      </c>
      <c r="AK184" s="200"/>
      <c r="AL184" s="200"/>
      <c r="AM184" s="200"/>
      <c r="AN184" s="200"/>
      <c r="AO184" s="105"/>
      <c r="AP184" s="200"/>
      <c r="AQ184" s="200"/>
      <c r="AR184" s="200"/>
      <c r="AS184" s="200"/>
      <c r="AT184" s="105"/>
      <c r="AU184" s="761"/>
      <c r="AV184" s="200"/>
      <c r="AW184" s="200"/>
      <c r="AX184" s="200"/>
      <c r="AY184" s="105"/>
      <c r="AZ184" s="200"/>
      <c r="BA184" s="200"/>
      <c r="BB184" s="200"/>
      <c r="BC184" s="200"/>
      <c r="BD184" s="105"/>
      <c r="BE184" s="105"/>
      <c r="BF184" s="105"/>
      <c r="BG184" s="105"/>
      <c r="BH184" s="363"/>
    </row>
    <row r="185" spans="1:60" s="262" customFormat="1" hidden="1" outlineLevel="2" x14ac:dyDescent="0.35">
      <c r="A185" s="530" t="s">
        <v>452</v>
      </c>
      <c r="B185" s="312"/>
      <c r="C185" s="105"/>
      <c r="D185" s="105"/>
      <c r="E185" s="105"/>
      <c r="F185" s="105"/>
      <c r="G185" s="200"/>
      <c r="H185" s="200"/>
      <c r="I185" s="200"/>
      <c r="J185" s="200"/>
      <c r="K185" s="105"/>
      <c r="L185" s="200"/>
      <c r="M185" s="200"/>
      <c r="N185" s="200"/>
      <c r="O185" s="200"/>
      <c r="P185" s="105"/>
      <c r="Q185" s="200"/>
      <c r="R185" s="200"/>
      <c r="S185" s="200"/>
      <c r="T185" s="200"/>
      <c r="U185" s="105"/>
      <c r="V185" s="200"/>
      <c r="W185" s="200"/>
      <c r="X185" s="200"/>
      <c r="Y185" s="200"/>
      <c r="Z185" s="105"/>
      <c r="AA185" s="200"/>
      <c r="AB185" s="200"/>
      <c r="AC185" s="200"/>
      <c r="AD185" s="200"/>
      <c r="AE185" s="105"/>
      <c r="AF185" s="200"/>
      <c r="AG185" s="200"/>
      <c r="AH185" s="200"/>
      <c r="AI185" s="200"/>
      <c r="AJ185" s="105"/>
      <c r="AK185" s="200"/>
      <c r="AL185" s="78">
        <v>-3.0000000000000001E-3</v>
      </c>
      <c r="AM185" s="78">
        <v>6.8000000000000005E-2</v>
      </c>
      <c r="AN185" s="78">
        <v>-7.0000000000000007E-2</v>
      </c>
      <c r="AO185" s="47">
        <v>1.0999999999999999E-2</v>
      </c>
      <c r="AP185" s="200"/>
      <c r="AQ185" s="200"/>
      <c r="AR185" s="200"/>
      <c r="AS185" s="200"/>
      <c r="AT185" s="105"/>
      <c r="AU185" s="761"/>
      <c r="AV185" s="200"/>
      <c r="AW185" s="200"/>
      <c r="AX185" s="200"/>
      <c r="AY185" s="105"/>
      <c r="AZ185" s="200"/>
      <c r="BA185" s="200"/>
      <c r="BB185" s="200"/>
      <c r="BC185" s="200"/>
      <c r="BD185" s="105"/>
      <c r="BE185" s="105"/>
      <c r="BF185" s="105"/>
      <c r="BG185" s="105"/>
      <c r="BH185" s="363"/>
    </row>
    <row r="186" spans="1:60" s="262" customFormat="1" hidden="1" outlineLevel="2" x14ac:dyDescent="0.35">
      <c r="A186" s="606" t="s">
        <v>882</v>
      </c>
      <c r="B186" s="465"/>
      <c r="C186" s="479"/>
      <c r="D186" s="479"/>
      <c r="E186" s="479"/>
      <c r="F186" s="479"/>
      <c r="G186" s="457"/>
      <c r="H186" s="457"/>
      <c r="I186" s="457"/>
      <c r="J186" s="457"/>
      <c r="K186" s="479"/>
      <c r="L186" s="457"/>
      <c r="M186" s="457"/>
      <c r="N186" s="457"/>
      <c r="O186" s="457"/>
      <c r="P186" s="479"/>
      <c r="Q186" s="457"/>
      <c r="R186" s="457"/>
      <c r="S186" s="457"/>
      <c r="T186" s="457"/>
      <c r="U186" s="479"/>
      <c r="V186" s="457"/>
      <c r="W186" s="457"/>
      <c r="X186" s="457"/>
      <c r="Y186" s="457"/>
      <c r="Z186" s="479"/>
      <c r="AA186" s="457"/>
      <c r="AB186" s="457"/>
      <c r="AC186" s="457"/>
      <c r="AD186" s="457"/>
      <c r="AE186" s="479"/>
      <c r="AF186" s="457"/>
      <c r="AG186" s="457"/>
      <c r="AH186" s="457"/>
      <c r="AI186" s="457"/>
      <c r="AJ186" s="479"/>
      <c r="AK186" s="457"/>
      <c r="AL186" s="457"/>
      <c r="AM186" s="457"/>
      <c r="AN186" s="457"/>
      <c r="AO186" s="479"/>
      <c r="AP186" s="457"/>
      <c r="AQ186" s="457"/>
      <c r="AR186" s="457"/>
      <c r="AS186" s="457"/>
      <c r="AT186" s="479"/>
      <c r="AU186" s="779"/>
      <c r="AV186" s="457"/>
      <c r="AW186" s="457"/>
      <c r="AX186" s="457"/>
      <c r="AY186" s="479"/>
      <c r="AZ186" s="457"/>
      <c r="BA186" s="457"/>
      <c r="BB186" s="457"/>
      <c r="BC186" s="457"/>
      <c r="BD186" s="479"/>
      <c r="BE186" s="479"/>
      <c r="BF186" s="479"/>
      <c r="BG186" s="479"/>
      <c r="BH186" s="363"/>
    </row>
    <row r="187" spans="1:60" s="262" customFormat="1" hidden="1" outlineLevel="2" x14ac:dyDescent="0.35">
      <c r="A187" s="513" t="s">
        <v>883</v>
      </c>
      <c r="B187" s="312"/>
      <c r="C187" s="105"/>
      <c r="D187" s="105"/>
      <c r="E187" s="105"/>
      <c r="F187" s="105"/>
      <c r="G187" s="200"/>
      <c r="H187" s="200"/>
      <c r="I187" s="200"/>
      <c r="J187" s="200"/>
      <c r="K187" s="105"/>
      <c r="L187" s="200"/>
      <c r="M187" s="200"/>
      <c r="N187" s="200"/>
      <c r="O187" s="200"/>
      <c r="P187" s="105"/>
      <c r="Q187" s="200"/>
      <c r="R187" s="200"/>
      <c r="S187" s="200"/>
      <c r="T187" s="200"/>
      <c r="U187" s="105"/>
      <c r="V187" s="200"/>
      <c r="W187" s="200"/>
      <c r="X187" s="200"/>
      <c r="Y187" s="200"/>
      <c r="Z187" s="105"/>
      <c r="AA187" s="200"/>
      <c r="AB187" s="200"/>
      <c r="AC187" s="200"/>
      <c r="AD187" s="200"/>
      <c r="AE187" s="47">
        <f>AE215/Z215-1</f>
        <v>-1.757188498402551E-2</v>
      </c>
      <c r="AF187" s="200"/>
      <c r="AG187" s="200"/>
      <c r="AH187" s="200"/>
      <c r="AI187" s="200"/>
      <c r="AJ187" s="47">
        <f t="shared" ref="AJ187" si="330">AJ215/AE215-1</f>
        <v>-8.1300813008130524E-3</v>
      </c>
      <c r="AK187" s="200"/>
      <c r="AL187" s="200"/>
      <c r="AM187" s="200"/>
      <c r="AN187" s="200"/>
      <c r="AO187" s="105"/>
      <c r="AP187" s="200"/>
      <c r="AQ187" s="200"/>
      <c r="AR187" s="200"/>
      <c r="AS187" s="200"/>
      <c r="AT187" s="105"/>
      <c r="AU187" s="761"/>
      <c r="AV187" s="200"/>
      <c r="AW187" s="200"/>
      <c r="AX187" s="200"/>
      <c r="AY187" s="105"/>
      <c r="AZ187" s="200"/>
      <c r="BA187" s="200"/>
      <c r="BB187" s="200"/>
      <c r="BC187" s="200"/>
      <c r="BD187" s="105"/>
      <c r="BE187" s="105"/>
      <c r="BF187" s="105"/>
      <c r="BG187" s="105"/>
      <c r="BH187" s="363"/>
    </row>
    <row r="188" spans="1:60" s="262" customFormat="1" hidden="1" outlineLevel="2" x14ac:dyDescent="0.35">
      <c r="A188" s="513" t="s">
        <v>736</v>
      </c>
      <c r="B188" s="312"/>
      <c r="C188" s="105"/>
      <c r="D188" s="105"/>
      <c r="E188" s="105"/>
      <c r="F188" s="105"/>
      <c r="G188" s="200"/>
      <c r="H188" s="200"/>
      <c r="I188" s="200"/>
      <c r="J188" s="200"/>
      <c r="K188" s="105"/>
      <c r="L188" s="200"/>
      <c r="M188" s="200"/>
      <c r="N188" s="200"/>
      <c r="O188" s="200"/>
      <c r="P188" s="105"/>
      <c r="Q188" s="200"/>
      <c r="R188" s="200"/>
      <c r="S188" s="200"/>
      <c r="T188" s="200"/>
      <c r="U188" s="105"/>
      <c r="V188" s="200"/>
      <c r="W188" s="200"/>
      <c r="X188" s="200"/>
      <c r="Y188" s="200"/>
      <c r="Z188" s="105"/>
      <c r="AA188" s="200"/>
      <c r="AB188" s="200"/>
      <c r="AC188" s="200"/>
      <c r="AD188" s="200"/>
      <c r="AE188" s="105"/>
      <c r="AF188" s="200"/>
      <c r="AG188" s="200"/>
      <c r="AH188" s="200"/>
      <c r="AI188" s="200"/>
      <c r="AJ188" s="105"/>
      <c r="AK188" s="200"/>
      <c r="AL188" s="200"/>
      <c r="AM188" s="200"/>
      <c r="AN188" s="200"/>
      <c r="AO188" s="105"/>
      <c r="AP188" s="78">
        <v>-1.9E-2</v>
      </c>
      <c r="AQ188" s="78">
        <v>-0.28999999999999998</v>
      </c>
      <c r="AR188" s="78">
        <v>-0.11</v>
      </c>
      <c r="AS188" s="78">
        <v>-0.01</v>
      </c>
      <c r="AT188" s="47">
        <v>-0.114</v>
      </c>
      <c r="AU188" s="759">
        <v>-0.04</v>
      </c>
      <c r="AV188" s="200"/>
      <c r="AW188" s="200"/>
      <c r="AX188" s="200"/>
      <c r="AY188" s="105"/>
      <c r="AZ188" s="200"/>
      <c r="BA188" s="200"/>
      <c r="BB188" s="200"/>
      <c r="BC188" s="200"/>
      <c r="BD188" s="105"/>
      <c r="BE188" s="105"/>
      <c r="BF188" s="105"/>
      <c r="BG188" s="105"/>
      <c r="BH188" s="363"/>
    </row>
    <row r="189" spans="1:60" s="262" customFormat="1" hidden="1" outlineLevel="2" x14ac:dyDescent="0.35">
      <c r="A189" s="605" t="s">
        <v>884</v>
      </c>
      <c r="B189" s="465"/>
      <c r="C189" s="479"/>
      <c r="D189" s="479"/>
      <c r="E189" s="479"/>
      <c r="F189" s="479"/>
      <c r="G189" s="457"/>
      <c r="H189" s="457"/>
      <c r="I189" s="457"/>
      <c r="J189" s="457"/>
      <c r="K189" s="479"/>
      <c r="L189" s="457"/>
      <c r="M189" s="457"/>
      <c r="N189" s="457"/>
      <c r="O189" s="457"/>
      <c r="P189" s="479"/>
      <c r="Q189" s="457"/>
      <c r="R189" s="457"/>
      <c r="S189" s="457"/>
      <c r="T189" s="457"/>
      <c r="U189" s="479"/>
      <c r="V189" s="457"/>
      <c r="W189" s="457"/>
      <c r="X189" s="457"/>
      <c r="Y189" s="457"/>
      <c r="Z189" s="479"/>
      <c r="AA189" s="457"/>
      <c r="AB189" s="457"/>
      <c r="AC189" s="457"/>
      <c r="AD189" s="457"/>
      <c r="AE189" s="479"/>
      <c r="AF189" s="457"/>
      <c r="AG189" s="457"/>
      <c r="AH189" s="457"/>
      <c r="AI189" s="457"/>
      <c r="AJ189" s="479"/>
      <c r="AK189" s="457"/>
      <c r="AL189" s="457"/>
      <c r="AM189" s="457"/>
      <c r="AN189" s="457"/>
      <c r="AO189" s="479"/>
      <c r="AP189" s="604">
        <f>AP190-AP188</f>
        <v>-3.429593267882193E-2</v>
      </c>
      <c r="AQ189" s="604">
        <f t="shared" ref="AQ189" si="331">AQ190-AQ188</f>
        <v>-3.9974811083123452E-2</v>
      </c>
      <c r="AR189" s="604">
        <f t="shared" ref="AR189:AT189" si="332">AR190-AR188</f>
        <v>-3.5527369826435215E-2</v>
      </c>
      <c r="AS189" s="604">
        <f t="shared" si="332"/>
        <v>-4.7364341085271329E-2</v>
      </c>
      <c r="AT189" s="603">
        <f t="shared" si="332"/>
        <v>-3.9740089624267436E-2</v>
      </c>
      <c r="AU189" s="779">
        <f t="shared" ref="AU189" si="333">AU190-AU188</f>
        <v>2.9629629629629103E-3</v>
      </c>
      <c r="AV189" s="457"/>
      <c r="AW189" s="457"/>
      <c r="AX189" s="457"/>
      <c r="AY189" s="479"/>
      <c r="AZ189" s="457"/>
      <c r="BA189" s="457"/>
      <c r="BB189" s="457"/>
      <c r="BC189" s="457"/>
      <c r="BD189" s="479"/>
      <c r="BE189" s="479"/>
      <c r="BF189" s="479"/>
      <c r="BG189" s="479"/>
      <c r="BH189" s="363"/>
    </row>
    <row r="190" spans="1:60" s="262" customFormat="1" hidden="1" outlineLevel="1" x14ac:dyDescent="0.35">
      <c r="A190" s="154" t="s">
        <v>885</v>
      </c>
      <c r="B190" s="312"/>
      <c r="C190" s="105"/>
      <c r="D190" s="105"/>
      <c r="E190" s="105"/>
      <c r="F190" s="105"/>
      <c r="G190" s="200"/>
      <c r="H190" s="200"/>
      <c r="I190" s="200"/>
      <c r="J190" s="200"/>
      <c r="K190" s="105"/>
      <c r="L190" s="200"/>
      <c r="M190" s="200"/>
      <c r="N190" s="200"/>
      <c r="O190" s="200"/>
      <c r="P190" s="105"/>
      <c r="Q190" s="200"/>
      <c r="R190" s="200"/>
      <c r="S190" s="200"/>
      <c r="T190" s="200"/>
      <c r="U190" s="105"/>
      <c r="V190" s="200"/>
      <c r="W190" s="200"/>
      <c r="X190" s="200"/>
      <c r="Y190" s="200"/>
      <c r="Z190" s="105"/>
      <c r="AA190" s="200"/>
      <c r="AB190" s="200"/>
      <c r="AC190" s="200"/>
      <c r="AD190" s="200"/>
      <c r="AE190" s="47">
        <f>AE216/Z216-1</f>
        <v>-3.4894991922455598E-2</v>
      </c>
      <c r="AF190" s="200"/>
      <c r="AG190" s="200"/>
      <c r="AH190" s="200"/>
      <c r="AI190" s="200"/>
      <c r="AJ190" s="47">
        <f t="shared" ref="AJ190" si="334">AJ216/AE216-1</f>
        <v>9.7087378640776656E-3</v>
      </c>
      <c r="AK190" s="78">
        <f t="shared" ref="AK190" si="335">AK216/AF216-1</f>
        <v>-9.7222222222221877E-3</v>
      </c>
      <c r="AL190" s="78">
        <f t="shared" ref="AL190" si="336">AL216/AG216-1</f>
        <v>-7.4999999999999512E-3</v>
      </c>
      <c r="AM190" s="78">
        <f t="shared" ref="AM190" si="337">AM216/AH216-1</f>
        <v>-3.4793814432989678E-2</v>
      </c>
      <c r="AN190" s="78">
        <f t="shared" ref="AN190" si="338">AN216/AI216-1</f>
        <v>-0.10416666666666663</v>
      </c>
      <c r="AO190" s="47">
        <f t="shared" ref="AO190" si="339">AO216/AJ216-1</f>
        <v>-3.8129973474801071E-2</v>
      </c>
      <c r="AP190" s="78">
        <f t="shared" ref="AP190" si="340">AP216/AK216-1</f>
        <v>-5.3295932678821933E-2</v>
      </c>
      <c r="AQ190" s="78">
        <f t="shared" ref="AQ190" si="341">AQ216/AL216-1</f>
        <v>-0.32997481108312343</v>
      </c>
      <c r="AR190" s="78">
        <f t="shared" ref="AR190" si="342">AR216/AM216-1</f>
        <v>-0.14552736982643522</v>
      </c>
      <c r="AS190" s="78">
        <f t="shared" ref="AS190" si="343">AS216/AN216-1</f>
        <v>-5.7364341085271331E-2</v>
      </c>
      <c r="AT190" s="47">
        <f t="shared" ref="AT190:AU190" si="344">AT216/AO216-1</f>
        <v>-0.15374008962426744</v>
      </c>
      <c r="AU190" s="761">
        <f t="shared" si="344"/>
        <v>-3.703703703703709E-2</v>
      </c>
      <c r="AV190" s="200"/>
      <c r="AW190" s="200"/>
      <c r="AX190" s="200"/>
      <c r="AY190" s="105"/>
      <c r="AZ190" s="200"/>
      <c r="BA190" s="200"/>
      <c r="BB190" s="200"/>
      <c r="BC190" s="200"/>
      <c r="BD190" s="105"/>
      <c r="BE190" s="105"/>
      <c r="BF190" s="105"/>
      <c r="BG190" s="105"/>
      <c r="BH190" s="363"/>
    </row>
    <row r="191" spans="1:60" s="262" customFormat="1" hidden="1" outlineLevel="2" x14ac:dyDescent="0.35">
      <c r="A191" s="513" t="s">
        <v>450</v>
      </c>
      <c r="B191" s="312"/>
      <c r="C191" s="105"/>
      <c r="D191" s="105"/>
      <c r="E191" s="105"/>
      <c r="F191" s="105"/>
      <c r="G191" s="200"/>
      <c r="H191" s="200"/>
      <c r="I191" s="200"/>
      <c r="J191" s="200"/>
      <c r="K191" s="105"/>
      <c r="L191" s="200"/>
      <c r="M191" s="200"/>
      <c r="N191" s="200"/>
      <c r="O191" s="200"/>
      <c r="P191" s="105"/>
      <c r="Q191" s="200"/>
      <c r="R191" s="200"/>
      <c r="S191" s="200"/>
      <c r="T191" s="200"/>
      <c r="U191" s="105"/>
      <c r="V191" s="200"/>
      <c r="W191" s="200"/>
      <c r="X191" s="200"/>
      <c r="Y191" s="200"/>
      <c r="Z191" s="105"/>
      <c r="AA191" s="200"/>
      <c r="AB191" s="200"/>
      <c r="AC191" s="200"/>
      <c r="AD191" s="200"/>
      <c r="AE191" s="105"/>
      <c r="AF191" s="200"/>
      <c r="AG191" s="200"/>
      <c r="AH191" s="200"/>
      <c r="AI191" s="200"/>
      <c r="AJ191" s="105"/>
      <c r="AK191" s="200"/>
      <c r="AL191" s="78">
        <v>-8.0000000000000002E-3</v>
      </c>
      <c r="AM191" s="78">
        <v>-4.7E-2</v>
      </c>
      <c r="AN191" s="78">
        <v>-0.04</v>
      </c>
      <c r="AO191" s="47">
        <v>-0.04</v>
      </c>
      <c r="AP191" s="78">
        <v>-3.3000000000000002E-2</v>
      </c>
      <c r="AQ191" s="78">
        <v>-0.08</v>
      </c>
      <c r="AR191" s="78">
        <v>-0.03</v>
      </c>
      <c r="AS191" s="78">
        <v>-0.04</v>
      </c>
      <c r="AT191" s="47">
        <v>-0.04</v>
      </c>
      <c r="AU191" s="759">
        <v>0.2</v>
      </c>
      <c r="AV191" s="200"/>
      <c r="AW191" s="200"/>
      <c r="AX191" s="200"/>
      <c r="AY191" s="105"/>
      <c r="AZ191" s="200"/>
      <c r="BA191" s="200"/>
      <c r="BB191" s="200"/>
      <c r="BC191" s="200"/>
      <c r="BD191" s="105"/>
      <c r="BE191" s="105"/>
      <c r="BF191" s="105"/>
      <c r="BG191" s="105"/>
      <c r="BH191" s="363"/>
    </row>
    <row r="192" spans="1:60" s="262" customFormat="1" hidden="1" outlineLevel="2" x14ac:dyDescent="0.35">
      <c r="A192" s="605" t="s">
        <v>886</v>
      </c>
      <c r="B192" s="465"/>
      <c r="C192" s="479"/>
      <c r="D192" s="479"/>
      <c r="E192" s="479"/>
      <c r="F192" s="479"/>
      <c r="G192" s="457"/>
      <c r="H192" s="457"/>
      <c r="I192" s="457"/>
      <c r="J192" s="457"/>
      <c r="K192" s="479"/>
      <c r="L192" s="457"/>
      <c r="M192" s="457"/>
      <c r="N192" s="457"/>
      <c r="O192" s="457"/>
      <c r="P192" s="479"/>
      <c r="Q192" s="457"/>
      <c r="R192" s="457"/>
      <c r="S192" s="457"/>
      <c r="T192" s="457"/>
      <c r="U192" s="479"/>
      <c r="V192" s="457"/>
      <c r="W192" s="457"/>
      <c r="X192" s="457"/>
      <c r="Y192" s="457"/>
      <c r="Z192" s="479"/>
      <c r="AA192" s="457"/>
      <c r="AB192" s="457"/>
      <c r="AC192" s="457"/>
      <c r="AD192" s="457"/>
      <c r="AE192" s="479"/>
      <c r="AF192" s="457"/>
      <c r="AG192" s="457"/>
      <c r="AH192" s="457"/>
      <c r="AI192" s="457"/>
      <c r="AJ192" s="479"/>
      <c r="AK192" s="457"/>
      <c r="AL192" s="604">
        <f t="shared" ref="AL192" si="345">AL193-AL191</f>
        <v>-1.9628549501151234E-2</v>
      </c>
      <c r="AM192" s="604">
        <f t="shared" ref="AM192" si="346">AM193-AM191</f>
        <v>-4.9125683060108755E-3</v>
      </c>
      <c r="AN192" s="604">
        <f t="shared" ref="AN192" si="347">AN193-AN191</f>
        <v>3.8151137197358492E-4</v>
      </c>
      <c r="AO192" s="603">
        <f t="shared" ref="AO192" si="348">AO193-AO191</f>
        <v>-1.3137468262604236E-2</v>
      </c>
      <c r="AP192" s="604">
        <f t="shared" ref="AP192" si="349">AP193-AP191</f>
        <v>-1.1550517104216423E-2</v>
      </c>
      <c r="AQ192" s="604">
        <f t="shared" ref="AQ192" si="350">AQ193-AQ191</f>
        <v>-1.1554853985793215E-2</v>
      </c>
      <c r="AR192" s="604">
        <f t="shared" ref="AR192:AT192" si="351">AR193-AR191</f>
        <v>7.6657060518731945E-3</v>
      </c>
      <c r="AS192" s="604">
        <f t="shared" si="351"/>
        <v>0.10035141329258976</v>
      </c>
      <c r="AT192" s="603">
        <f t="shared" si="351"/>
        <v>1.6249760582263982E-2</v>
      </c>
      <c r="AU192" s="779">
        <f t="shared" ref="AU192" si="352">AU193-AU191</f>
        <v>4.063280599500424E-2</v>
      </c>
      <c r="AV192" s="457"/>
      <c r="AW192" s="457"/>
      <c r="AX192" s="457"/>
      <c r="AY192" s="479"/>
      <c r="AZ192" s="457"/>
      <c r="BA192" s="457"/>
      <c r="BB192" s="457"/>
      <c r="BC192" s="457"/>
      <c r="BD192" s="479"/>
      <c r="BE192" s="479"/>
      <c r="BF192" s="479"/>
      <c r="BG192" s="479"/>
      <c r="BH192" s="363"/>
    </row>
    <row r="193" spans="1:60" s="262" customFormat="1" hidden="1" outlineLevel="1" x14ac:dyDescent="0.35">
      <c r="A193" s="154" t="s">
        <v>912</v>
      </c>
      <c r="B193" s="312"/>
      <c r="C193" s="105"/>
      <c r="D193" s="105"/>
      <c r="E193" s="105"/>
      <c r="F193" s="105"/>
      <c r="G193" s="200"/>
      <c r="H193" s="200"/>
      <c r="I193" s="200"/>
      <c r="J193" s="200"/>
      <c r="K193" s="105"/>
      <c r="L193" s="200"/>
      <c r="M193" s="200"/>
      <c r="N193" s="200"/>
      <c r="O193" s="200"/>
      <c r="P193" s="105"/>
      <c r="Q193" s="200"/>
      <c r="R193" s="200"/>
      <c r="S193" s="200"/>
      <c r="T193" s="200"/>
      <c r="U193" s="105"/>
      <c r="V193" s="200"/>
      <c r="W193" s="200"/>
      <c r="X193" s="200"/>
      <c r="Y193" s="200"/>
      <c r="Z193" s="105"/>
      <c r="AA193" s="200"/>
      <c r="AB193" s="200"/>
      <c r="AC193" s="200"/>
      <c r="AD193" s="200"/>
      <c r="AE193" s="47">
        <f>AE217/Z217-1</f>
        <v>0.14089935760171302</v>
      </c>
      <c r="AF193" s="200"/>
      <c r="AG193" s="200"/>
      <c r="AH193" s="200"/>
      <c r="AI193" s="200"/>
      <c r="AJ193" s="47">
        <f t="shared" ref="AJ193" si="353">AJ217/AE217-1</f>
        <v>3.4909909909909942E-2</v>
      </c>
      <c r="AK193" s="78">
        <f t="shared" ref="AK193" si="354">AK217/AF217-1</f>
        <v>-9.1763005780346796E-2</v>
      </c>
      <c r="AL193" s="78">
        <f t="shared" ref="AL193" si="355">AL217/AG217-1</f>
        <v>-2.7628549501151234E-2</v>
      </c>
      <c r="AM193" s="78">
        <f t="shared" ref="AM193" si="356">AM217/AH217-1</f>
        <v>-5.1912568306010876E-2</v>
      </c>
      <c r="AN193" s="78">
        <f t="shared" ref="AN193" si="357">AN217/AI217-1</f>
        <v>-3.9618488628026416E-2</v>
      </c>
      <c r="AO193" s="47">
        <f t="shared" ref="AO193" si="358">AO217/AJ217-1</f>
        <v>-5.3137468262604237E-2</v>
      </c>
      <c r="AP193" s="78">
        <f t="shared" ref="AP193" si="359">AP217/AK217-1</f>
        <v>-4.4550517104216425E-2</v>
      </c>
      <c r="AQ193" s="78">
        <f t="shared" ref="AQ193" si="360">AQ217/AL217-1</f>
        <v>-9.1554853985793216E-2</v>
      </c>
      <c r="AR193" s="78">
        <f t="shared" ref="AR193" si="361">AR217/AM217-1</f>
        <v>-2.2334293948126804E-2</v>
      </c>
      <c r="AS193" s="78">
        <f t="shared" ref="AS193" si="362">AS217/AN217-1</f>
        <v>6.0351413292589751E-2</v>
      </c>
      <c r="AT193" s="47">
        <f t="shared" ref="AT193:AU193" si="363">AT217/AO217-1</f>
        <v>-2.3750239417736019E-2</v>
      </c>
      <c r="AU193" s="761">
        <f t="shared" si="363"/>
        <v>0.24063280599500425</v>
      </c>
      <c r="AV193" s="200"/>
      <c r="AW193" s="200"/>
      <c r="AX193" s="200"/>
      <c r="AY193" s="105"/>
      <c r="AZ193" s="200"/>
      <c r="BA193" s="200"/>
      <c r="BB193" s="200"/>
      <c r="BC193" s="200"/>
      <c r="BD193" s="105"/>
      <c r="BE193" s="105"/>
      <c r="BF193" s="105"/>
      <c r="BG193" s="105"/>
      <c r="BH193" s="363"/>
    </row>
    <row r="194" spans="1:60" s="262" customFormat="1" hidden="1" outlineLevel="2" x14ac:dyDescent="0.35">
      <c r="A194" s="513" t="s">
        <v>451</v>
      </c>
      <c r="B194" s="312"/>
      <c r="C194" s="105"/>
      <c r="D194" s="105"/>
      <c r="E194" s="105"/>
      <c r="F194" s="105"/>
      <c r="G194" s="200"/>
      <c r="H194" s="200"/>
      <c r="I194" s="200"/>
      <c r="J194" s="200"/>
      <c r="K194" s="105"/>
      <c r="L194" s="200"/>
      <c r="M194" s="200"/>
      <c r="N194" s="200"/>
      <c r="O194" s="200"/>
      <c r="P194" s="105"/>
      <c r="Q194" s="200"/>
      <c r="R194" s="200"/>
      <c r="S194" s="200"/>
      <c r="T194" s="200"/>
      <c r="U194" s="105"/>
      <c r="V194" s="200"/>
      <c r="W194" s="200"/>
      <c r="X194" s="200"/>
      <c r="Y194" s="200"/>
      <c r="Z194" s="105"/>
      <c r="AA194" s="200"/>
      <c r="AB194" s="200"/>
      <c r="AC194" s="200"/>
      <c r="AD194" s="200"/>
      <c r="AE194" s="105"/>
      <c r="AF194" s="200"/>
      <c r="AG194" s="200"/>
      <c r="AH194" s="200"/>
      <c r="AI194" s="200"/>
      <c r="AJ194" s="105"/>
      <c r="AK194" s="200"/>
      <c r="AL194" s="78">
        <v>-4.5999999999999999E-2</v>
      </c>
      <c r="AM194" s="78">
        <v>6.0000000000000001E-3</v>
      </c>
      <c r="AN194" s="78">
        <v>-0.05</v>
      </c>
      <c r="AO194" s="47">
        <v>-2.1999999999999999E-2</v>
      </c>
      <c r="AP194" s="78">
        <v>-3.5000000000000003E-2</v>
      </c>
      <c r="AQ194" s="78">
        <v>-0.33</v>
      </c>
      <c r="AR194" s="78">
        <v>-0.16</v>
      </c>
      <c r="AS194" s="78">
        <v>-0.05</v>
      </c>
      <c r="AT194" s="47">
        <v>-2.1999999999999999E-2</v>
      </c>
      <c r="AU194" s="759">
        <v>0</v>
      </c>
      <c r="AV194" s="200"/>
      <c r="AW194" s="200"/>
      <c r="AX194" s="200"/>
      <c r="AY194" s="105"/>
      <c r="AZ194" s="200"/>
      <c r="BA194" s="200"/>
      <c r="BB194" s="200"/>
      <c r="BC194" s="200"/>
      <c r="BD194" s="105"/>
      <c r="BE194" s="105"/>
      <c r="BF194" s="105"/>
      <c r="BG194" s="105"/>
      <c r="BH194" s="363"/>
    </row>
    <row r="195" spans="1:60" s="262" customFormat="1" hidden="1" outlineLevel="2" x14ac:dyDescent="0.35">
      <c r="A195" s="605" t="s">
        <v>887</v>
      </c>
      <c r="B195" s="465"/>
      <c r="C195" s="479"/>
      <c r="D195" s="479"/>
      <c r="E195" s="479"/>
      <c r="F195" s="479"/>
      <c r="G195" s="457"/>
      <c r="H195" s="457"/>
      <c r="I195" s="457"/>
      <c r="J195" s="457"/>
      <c r="K195" s="479"/>
      <c r="L195" s="457"/>
      <c r="M195" s="457"/>
      <c r="N195" s="457"/>
      <c r="O195" s="457"/>
      <c r="P195" s="479"/>
      <c r="Q195" s="457"/>
      <c r="R195" s="457"/>
      <c r="S195" s="457"/>
      <c r="T195" s="457"/>
      <c r="U195" s="479"/>
      <c r="V195" s="457"/>
      <c r="W195" s="457"/>
      <c r="X195" s="457"/>
      <c r="Y195" s="457"/>
      <c r="Z195" s="479"/>
      <c r="AA195" s="457"/>
      <c r="AB195" s="457"/>
      <c r="AC195" s="457"/>
      <c r="AD195" s="457"/>
      <c r="AE195" s="479"/>
      <c r="AF195" s="457"/>
      <c r="AG195" s="457"/>
      <c r="AH195" s="457"/>
      <c r="AI195" s="457"/>
      <c r="AJ195" s="479"/>
      <c r="AK195" s="457"/>
      <c r="AL195" s="604">
        <f t="shared" ref="AL195" si="364">AL196-AL194</f>
        <v>-3.6547169811320709E-2</v>
      </c>
      <c r="AM195" s="604">
        <f t="shared" ref="AM195" si="365">AM196-AM194</f>
        <v>-4.8328042328042324E-2</v>
      </c>
      <c r="AN195" s="604">
        <f t="shared" ref="AN195" si="366">AN196-AN194</f>
        <v>-1.9444444444444417E-2</v>
      </c>
      <c r="AO195" s="603">
        <f t="shared" ref="AO195" si="367">AO196-AO194</f>
        <v>-4.5173637515842822E-2</v>
      </c>
      <c r="AP195" s="604">
        <f t="shared" ref="AP195" si="368">AP196-AP194</f>
        <v>-2.7176165803108804E-2</v>
      </c>
      <c r="AQ195" s="604">
        <f t="shared" ref="AQ195" si="369">AQ196-AQ194</f>
        <v>-1.7043701799485833E-2</v>
      </c>
      <c r="AR195" s="604">
        <f t="shared" ref="AR195:AT195" si="370">AR196-AR194</f>
        <v>3.5690607734806673E-2</v>
      </c>
      <c r="AS195" s="604">
        <f t="shared" si="370"/>
        <v>9.1791044776119393E-2</v>
      </c>
      <c r="AT195" s="603">
        <f t="shared" si="370"/>
        <v>-0.10707608695652174</v>
      </c>
      <c r="AU195" s="779">
        <f t="shared" ref="AU195" si="371">AU196-AU194</f>
        <v>8.0110497237569023E-2</v>
      </c>
      <c r="AV195" s="457"/>
      <c r="AW195" s="457"/>
      <c r="AX195" s="457"/>
      <c r="AY195" s="479"/>
      <c r="AZ195" s="457"/>
      <c r="BA195" s="457"/>
      <c r="BB195" s="457"/>
      <c r="BC195" s="457"/>
      <c r="BD195" s="479"/>
      <c r="BE195" s="479"/>
      <c r="BF195" s="479"/>
      <c r="BG195" s="479"/>
      <c r="BH195" s="363"/>
    </row>
    <row r="196" spans="1:60" s="262" customFormat="1" hidden="1" outlineLevel="1" x14ac:dyDescent="0.35">
      <c r="A196" s="589" t="s">
        <v>888</v>
      </c>
      <c r="B196" s="465"/>
      <c r="C196" s="479"/>
      <c r="D196" s="479"/>
      <c r="E196" s="479"/>
      <c r="F196" s="479"/>
      <c r="G196" s="457"/>
      <c r="H196" s="457"/>
      <c r="I196" s="457"/>
      <c r="J196" s="457"/>
      <c r="K196" s="479"/>
      <c r="L196" s="457"/>
      <c r="M196" s="457"/>
      <c r="N196" s="457"/>
      <c r="O196" s="457"/>
      <c r="P196" s="479"/>
      <c r="Q196" s="457"/>
      <c r="R196" s="457"/>
      <c r="S196" s="457"/>
      <c r="T196" s="457"/>
      <c r="U196" s="479"/>
      <c r="V196" s="457"/>
      <c r="W196" s="457"/>
      <c r="X196" s="457"/>
      <c r="Y196" s="457"/>
      <c r="Z196" s="479"/>
      <c r="AA196" s="457"/>
      <c r="AB196" s="457"/>
      <c r="AC196" s="457"/>
      <c r="AD196" s="457"/>
      <c r="AE196" s="603">
        <f>AE218/Z218-1</f>
        <v>3.4022681787858611E-2</v>
      </c>
      <c r="AF196" s="457"/>
      <c r="AG196" s="457"/>
      <c r="AH196" s="457"/>
      <c r="AI196" s="457"/>
      <c r="AJ196" s="603">
        <f t="shared" ref="AJ196" si="372">AJ218/AE218-1</f>
        <v>1.806451612903226E-2</v>
      </c>
      <c r="AK196" s="604">
        <f t="shared" ref="AK196" si="373">AK218/AF218-1</f>
        <v>-7.2115384615384581E-2</v>
      </c>
      <c r="AL196" s="604">
        <f t="shared" ref="AL196" si="374">AL218/AG218-1</f>
        <v>-8.2547169811320709E-2</v>
      </c>
      <c r="AM196" s="604">
        <f t="shared" ref="AM196" si="375">AM218/AH218-1</f>
        <v>-4.2328042328042326E-2</v>
      </c>
      <c r="AN196" s="604">
        <f t="shared" ref="AN196" si="376">AN218/AI218-1</f>
        <v>-6.944444444444442E-2</v>
      </c>
      <c r="AO196" s="603">
        <f t="shared" ref="AO196" si="377">AO218/AJ218-1</f>
        <v>-6.7173637515842821E-2</v>
      </c>
      <c r="AP196" s="604">
        <f t="shared" ref="AP196" si="378">AP218/AK218-1</f>
        <v>-6.2176165803108807E-2</v>
      </c>
      <c r="AQ196" s="604">
        <f t="shared" ref="AQ196" si="379">AQ218/AL218-1</f>
        <v>-0.34704370179948585</v>
      </c>
      <c r="AR196" s="604">
        <f t="shared" ref="AR196" si="380">AR218/AM218-1</f>
        <v>-0.12430939226519333</v>
      </c>
      <c r="AS196" s="604">
        <f t="shared" ref="AS196" si="381">AS218/AN218-1</f>
        <v>4.179104477611939E-2</v>
      </c>
      <c r="AT196" s="603">
        <f t="shared" ref="AT196:AU196" si="382">AT218/AO218-1</f>
        <v>-0.12907608695652173</v>
      </c>
      <c r="AU196" s="779">
        <f t="shared" si="382"/>
        <v>8.0110497237569023E-2</v>
      </c>
      <c r="AV196" s="457"/>
      <c r="AW196" s="457"/>
      <c r="AX196" s="457"/>
      <c r="AY196" s="479"/>
      <c r="AZ196" s="457"/>
      <c r="BA196" s="457"/>
      <c r="BB196" s="457"/>
      <c r="BC196" s="457"/>
      <c r="BD196" s="479"/>
      <c r="BE196" s="479"/>
      <c r="BF196" s="479"/>
      <c r="BG196" s="479"/>
      <c r="BH196" s="363"/>
    </row>
    <row r="197" spans="1:60" s="225" customFormat="1" hidden="1" outlineLevel="1" x14ac:dyDescent="0.35">
      <c r="A197" s="227" t="s">
        <v>889</v>
      </c>
      <c r="B197" s="176"/>
      <c r="C197" s="113"/>
      <c r="D197" s="113"/>
      <c r="E197" s="113"/>
      <c r="F197" s="113"/>
      <c r="G197" s="177"/>
      <c r="H197" s="177"/>
      <c r="I197" s="177"/>
      <c r="J197" s="177"/>
      <c r="K197" s="113"/>
      <c r="L197" s="177"/>
      <c r="M197" s="177"/>
      <c r="N197" s="177"/>
      <c r="O197" s="177"/>
      <c r="P197" s="113"/>
      <c r="Q197" s="177"/>
      <c r="R197" s="177"/>
      <c r="S197" s="177"/>
      <c r="T197" s="177"/>
      <c r="U197" s="113"/>
      <c r="V197" s="177"/>
      <c r="W197" s="177"/>
      <c r="X197" s="177"/>
      <c r="Y197" s="177"/>
      <c r="Z197" s="113"/>
      <c r="AA197" s="226">
        <f t="shared" ref="AA197" si="383">AA220/V220-1</f>
        <v>8.3333333333333259E-2</v>
      </c>
      <c r="AB197" s="226">
        <f t="shared" ref="AB197" si="384">AB220/W220-1</f>
        <v>5.0390964378800973E-2</v>
      </c>
      <c r="AC197" s="226">
        <f t="shared" ref="AC197" si="385">AC220/X220-1</f>
        <v>7.3875361122575312E-2</v>
      </c>
      <c r="AD197" s="226">
        <f t="shared" ref="AD197" si="386">AD220/Y220-1</f>
        <v>4.8738033072236675E-2</v>
      </c>
      <c r="AE197" s="223">
        <f t="shared" ref="AE197" si="387">AE220/Z220-1</f>
        <v>6.4098413726124903E-2</v>
      </c>
      <c r="AF197" s="226">
        <f t="shared" ref="AF197" si="388">AF220/AA220-1</f>
        <v>3.6199095022624528E-2</v>
      </c>
      <c r="AG197" s="226">
        <f t="shared" ref="AG197" si="389">AG220/AB220-1</f>
        <v>4.5078577336641779E-2</v>
      </c>
      <c r="AH197" s="226">
        <f t="shared" ref="AH197" si="390">AH220/AC220-1</f>
        <v>6.5334358186011077E-3</v>
      </c>
      <c r="AI197" s="226">
        <f t="shared" ref="AI197" si="391">AI220/AD220-1</f>
        <v>1.2863070539419041E-2</v>
      </c>
      <c r="AJ197" s="223">
        <f t="shared" ref="AJ197" si="392">AJ220/AE220-1</f>
        <v>2.4845350370145125E-2</v>
      </c>
      <c r="AK197" s="226">
        <f t="shared" ref="AK197" si="393">AK220/AF220-1</f>
        <v>-6.5105200476379466E-2</v>
      </c>
      <c r="AL197" s="226">
        <f t="shared" ref="AL197" si="394">AL220/AG220-1</f>
        <v>-3.0470914127423865E-2</v>
      </c>
      <c r="AM197" s="226">
        <f t="shared" ref="AM197" si="395">AM220/AH220-1</f>
        <v>-4.5437189767086661E-2</v>
      </c>
      <c r="AN197" s="226">
        <f t="shared" ref="AN197" si="396">AN220/AI220-1</f>
        <v>-6.3498566161409253E-2</v>
      </c>
      <c r="AO197" s="223">
        <f t="shared" ref="AO197" si="397">AO220/AJ220-1</f>
        <v>-5.0959825846032092E-2</v>
      </c>
      <c r="AP197" s="226">
        <f>AP204</f>
        <v>-4.9681528662420371E-2</v>
      </c>
      <c r="AQ197" s="226">
        <f t="shared" ref="AQ197:AR197" si="398">AQ204</f>
        <v>-0.20938775510204077</v>
      </c>
      <c r="AR197" s="226">
        <f t="shared" si="398"/>
        <v>-7.4400000000000022E-2</v>
      </c>
      <c r="AS197" s="226">
        <f t="shared" ref="AS197" si="399">AS220/AN220-1</f>
        <v>2.2747156605424257E-2</v>
      </c>
      <c r="AT197" s="223">
        <f t="shared" ref="AT197" si="400">AT220/AO220-1</f>
        <v>-7.9658012720258631E-2</v>
      </c>
      <c r="AU197" s="773">
        <f>AU204</f>
        <v>0.13041536400178644</v>
      </c>
      <c r="AV197" s="177"/>
      <c r="AW197" s="177"/>
      <c r="AX197" s="177"/>
      <c r="AY197" s="113"/>
      <c r="AZ197" s="226">
        <f>AZ220/AU220-1</f>
        <v>8.0000000000000071E-2</v>
      </c>
      <c r="BA197" s="226">
        <f>BA220/AV220-1</f>
        <v>8.0000000000000071E-2</v>
      </c>
      <c r="BB197" s="226">
        <f>BB220/AW220-1</f>
        <v>8.0000000000000071E-2</v>
      </c>
      <c r="BC197" s="226">
        <f>BC220/AX220-1</f>
        <v>8.0000000000000071E-2</v>
      </c>
      <c r="BD197" s="223">
        <f>BD220/AY220-1</f>
        <v>8.0000000000000071E-2</v>
      </c>
      <c r="BE197" s="223">
        <f>BE220/BD220-1</f>
        <v>7.9999999999999627E-2</v>
      </c>
      <c r="BF197" s="223">
        <f>BF220/BE220-1</f>
        <v>8.0000000000000071E-2</v>
      </c>
      <c r="BG197" s="223">
        <f>BG220/BF220-1</f>
        <v>7.9999999999999849E-2</v>
      </c>
      <c r="BH197" s="94"/>
    </row>
    <row r="198" spans="1:60" s="262" customFormat="1" hidden="1" outlineLevel="1" x14ac:dyDescent="0.35">
      <c r="A198" s="514"/>
      <c r="B198" s="312"/>
      <c r="C198" s="105"/>
      <c r="D198" s="105"/>
      <c r="E198" s="105"/>
      <c r="F198" s="105"/>
      <c r="G198" s="200"/>
      <c r="H198" s="200"/>
      <c r="I198" s="200"/>
      <c r="J198" s="200"/>
      <c r="K198" s="105"/>
      <c r="L198" s="200"/>
      <c r="M198" s="200"/>
      <c r="N198" s="200"/>
      <c r="O198" s="200"/>
      <c r="P198" s="105"/>
      <c r="Q198" s="200"/>
      <c r="R198" s="200"/>
      <c r="S198" s="200"/>
      <c r="T198" s="200"/>
      <c r="U198" s="105"/>
      <c r="V198" s="200"/>
      <c r="W198" s="200"/>
      <c r="X198" s="200"/>
      <c r="Y198" s="200"/>
      <c r="Z198" s="105"/>
      <c r="AA198" s="200"/>
      <c r="AB198" s="200"/>
      <c r="AC198" s="200"/>
      <c r="AD198" s="200"/>
      <c r="AE198" s="105"/>
      <c r="AF198" s="200"/>
      <c r="AG198" s="200"/>
      <c r="AH198" s="200"/>
      <c r="AI198" s="200"/>
      <c r="AJ198" s="105"/>
      <c r="AK198" s="200"/>
      <c r="AL198" s="200"/>
      <c r="AM198" s="200"/>
      <c r="AN198" s="200"/>
      <c r="AO198" s="105"/>
      <c r="AP198" s="200"/>
      <c r="AQ198" s="200"/>
      <c r="AR198" s="200"/>
      <c r="AS198" s="200"/>
      <c r="AT198" s="105"/>
      <c r="AU198" s="761"/>
      <c r="AV198" s="200"/>
      <c r="AW198" s="200"/>
      <c r="AX198" s="200"/>
      <c r="AY198" s="105"/>
      <c r="AZ198" s="200"/>
      <c r="BA198" s="200"/>
      <c r="BB198" s="200"/>
      <c r="BC198" s="200"/>
      <c r="BD198" s="105"/>
      <c r="BE198" s="105"/>
      <c r="BF198" s="105"/>
      <c r="BG198" s="105"/>
      <c r="BH198" s="363"/>
    </row>
    <row r="199" spans="1:60" s="262" customFormat="1" hidden="1" outlineLevel="1" x14ac:dyDescent="0.35">
      <c r="A199" s="311" t="s">
        <v>396</v>
      </c>
      <c r="B199" s="312"/>
      <c r="C199" s="105"/>
      <c r="D199" s="105"/>
      <c r="E199" s="105"/>
      <c r="F199" s="105"/>
      <c r="G199" s="200"/>
      <c r="H199" s="200"/>
      <c r="I199" s="200"/>
      <c r="J199" s="200"/>
      <c r="K199" s="105"/>
      <c r="L199" s="200"/>
      <c r="M199" s="200"/>
      <c r="N199" s="200"/>
      <c r="O199" s="200"/>
      <c r="P199" s="105"/>
      <c r="Q199" s="200"/>
      <c r="R199" s="200"/>
      <c r="S199" s="200"/>
      <c r="T199" s="200"/>
      <c r="U199" s="105"/>
      <c r="V199" s="200"/>
      <c r="W199" s="200"/>
      <c r="X199" s="200"/>
      <c r="Y199" s="200"/>
      <c r="Z199" s="105"/>
      <c r="AA199" s="200">
        <v>9.0999999999999998E-2</v>
      </c>
      <c r="AB199" s="200">
        <v>7.8E-2</v>
      </c>
      <c r="AC199" s="200">
        <v>0.10100000000000001</v>
      </c>
      <c r="AD199" s="200">
        <v>7.0000000000000007E-2</v>
      </c>
      <c r="AE199" s="105">
        <f>AE207/AE$206</f>
        <v>8.51778353296644E-2</v>
      </c>
      <c r="AF199" s="200">
        <v>0.03</v>
      </c>
      <c r="AG199" s="200">
        <v>5.3999999999999999E-2</v>
      </c>
      <c r="AH199" s="200">
        <v>0.03</v>
      </c>
      <c r="AI199" s="200">
        <v>3.3000000000000002E-2</v>
      </c>
      <c r="AJ199" s="105">
        <f>AJ207/AJ$206</f>
        <v>3.6618192881046542E-2</v>
      </c>
      <c r="AK199" s="200">
        <v>-3.5000000000000003E-2</v>
      </c>
      <c r="AL199" s="200">
        <v>-1.2E-2</v>
      </c>
      <c r="AM199" s="200">
        <v>-3.4000000000000002E-2</v>
      </c>
      <c r="AN199" s="200">
        <v>-5.8999999999999997E-2</v>
      </c>
      <c r="AO199" s="105">
        <f>AO207/AO$206</f>
        <v>-3.47866613892737E-2</v>
      </c>
      <c r="AP199" s="200">
        <v>-0.03</v>
      </c>
      <c r="AQ199" s="200">
        <v>-0.189</v>
      </c>
      <c r="AR199" s="200">
        <v>-7.0999999999999994E-2</v>
      </c>
      <c r="AS199" s="200">
        <v>1.4E-2</v>
      </c>
      <c r="AT199" s="105">
        <f>AT207/AT$206</f>
        <v>-7.0815973308309882E-2</v>
      </c>
      <c r="AU199" s="761">
        <v>9.8000000000000004E-2</v>
      </c>
      <c r="AV199" s="200"/>
      <c r="AW199" s="200"/>
      <c r="AX199" s="200"/>
      <c r="AY199" s="105"/>
      <c r="AZ199" s="942">
        <f>Drivers!AZ45</f>
        <v>5.5E-2</v>
      </c>
      <c r="BA199" s="942">
        <f>Drivers!BA45</f>
        <v>5.5E-2</v>
      </c>
      <c r="BB199" s="942">
        <f>Drivers!BB45</f>
        <v>5.5E-2</v>
      </c>
      <c r="BC199" s="942">
        <f>Drivers!BC45</f>
        <v>5.5E-2</v>
      </c>
      <c r="BD199" s="105">
        <f>BD207/BD$206</f>
        <v>5.5E-2</v>
      </c>
      <c r="BE199" s="942">
        <f>Drivers!BE45</f>
        <v>5.5E-2</v>
      </c>
      <c r="BF199" s="942">
        <f>Drivers!BF45</f>
        <v>5.5E-2</v>
      </c>
      <c r="BG199" s="942">
        <f>Drivers!BG45</f>
        <v>5.5E-2</v>
      </c>
      <c r="BH199" s="363"/>
    </row>
    <row r="200" spans="1:60" s="262" customFormat="1" hidden="1" outlineLevel="1" x14ac:dyDescent="0.35">
      <c r="A200" s="311" t="s">
        <v>429</v>
      </c>
      <c r="B200" s="312"/>
      <c r="C200" s="105"/>
      <c r="D200" s="105"/>
      <c r="E200" s="105"/>
      <c r="F200" s="105"/>
      <c r="G200" s="200"/>
      <c r="H200" s="200"/>
      <c r="I200" s="200"/>
      <c r="J200" s="200"/>
      <c r="K200" s="105"/>
      <c r="L200" s="200"/>
      <c r="M200" s="200"/>
      <c r="N200" s="200"/>
      <c r="O200" s="200"/>
      <c r="P200" s="105"/>
      <c r="Q200" s="200"/>
      <c r="R200" s="200"/>
      <c r="S200" s="200"/>
      <c r="T200" s="200"/>
      <c r="U200" s="105"/>
      <c r="V200" s="200"/>
      <c r="W200" s="200"/>
      <c r="X200" s="200"/>
      <c r="Y200" s="200"/>
      <c r="Z200" s="105"/>
      <c r="AA200" s="200"/>
      <c r="AB200" s="200"/>
      <c r="AC200" s="200"/>
      <c r="AD200" s="200"/>
      <c r="AE200" s="105">
        <f>AE208/AE$206</f>
        <v>0</v>
      </c>
      <c r="AF200" s="200"/>
      <c r="AG200" s="200"/>
      <c r="AH200" s="200"/>
      <c r="AI200" s="200"/>
      <c r="AJ200" s="105">
        <f>AJ208/AJ$206</f>
        <v>0</v>
      </c>
      <c r="AK200" s="200"/>
      <c r="AL200" s="200"/>
      <c r="AM200" s="200"/>
      <c r="AN200" s="200"/>
      <c r="AO200" s="105">
        <f>AO208/AO$206</f>
        <v>0</v>
      </c>
      <c r="AP200" s="200"/>
      <c r="AQ200" s="200"/>
      <c r="AR200" s="200"/>
      <c r="AS200" s="200"/>
      <c r="AT200" s="105">
        <f>AT208/AT$206</f>
        <v>0</v>
      </c>
      <c r="AU200" s="761"/>
      <c r="AV200" s="200"/>
      <c r="AW200" s="200"/>
      <c r="AX200" s="200"/>
      <c r="AY200" s="105"/>
      <c r="AZ200" s="942">
        <f>Drivers!AZ46</f>
        <v>0</v>
      </c>
      <c r="BA200" s="942">
        <f>Drivers!BA46</f>
        <v>0</v>
      </c>
      <c r="BB200" s="942">
        <f>Drivers!BB46</f>
        <v>0</v>
      </c>
      <c r="BC200" s="942">
        <f>Drivers!BC46</f>
        <v>0</v>
      </c>
      <c r="BD200" s="105">
        <f>BD208/BD$206</f>
        <v>0</v>
      </c>
      <c r="BE200" s="942">
        <f>Drivers!BE46</f>
        <v>0</v>
      </c>
      <c r="BF200" s="942">
        <f>Drivers!BF46</f>
        <v>0</v>
      </c>
      <c r="BG200" s="942">
        <f>Drivers!BG46</f>
        <v>0</v>
      </c>
      <c r="BH200" s="363"/>
    </row>
    <row r="201" spans="1:60" s="262" customFormat="1" hidden="1" outlineLevel="1" x14ac:dyDescent="0.35">
      <c r="A201" s="311" t="s">
        <v>430</v>
      </c>
      <c r="B201" s="312"/>
      <c r="C201" s="105"/>
      <c r="D201" s="105"/>
      <c r="E201" s="105"/>
      <c r="F201" s="105"/>
      <c r="G201" s="200"/>
      <c r="H201" s="200"/>
      <c r="I201" s="200"/>
      <c r="J201" s="200"/>
      <c r="K201" s="105"/>
      <c r="L201" s="200"/>
      <c r="M201" s="200"/>
      <c r="N201" s="200"/>
      <c r="O201" s="200"/>
      <c r="P201" s="105"/>
      <c r="Q201" s="200"/>
      <c r="R201" s="200"/>
      <c r="S201" s="200"/>
      <c r="T201" s="200"/>
      <c r="U201" s="105"/>
      <c r="V201" s="200"/>
      <c r="W201" s="200"/>
      <c r="X201" s="200"/>
      <c r="Y201" s="200"/>
      <c r="Z201" s="105"/>
      <c r="AA201" s="200">
        <v>-1E-3</v>
      </c>
      <c r="AB201" s="200">
        <v>-2.1000000000000001E-2</v>
      </c>
      <c r="AC201" s="200">
        <v>-2.7E-2</v>
      </c>
      <c r="AD201" s="200">
        <v>-4.2999999999999997E-2</v>
      </c>
      <c r="AE201" s="105">
        <f>AE209/AE$206</f>
        <v>-2.3181288442861766E-2</v>
      </c>
      <c r="AF201" s="200">
        <v>-3.6999999999999998E-2</v>
      </c>
      <c r="AG201" s="200">
        <v>-2.1999999999999999E-2</v>
      </c>
      <c r="AH201" s="200">
        <v>-8.9999999999999993E-3</v>
      </c>
      <c r="AI201" s="200"/>
      <c r="AJ201" s="105">
        <f>AJ209/AJ$206</f>
        <v>-1.6890883277558055E-2</v>
      </c>
      <c r="AK201" s="200"/>
      <c r="AL201" s="200"/>
      <c r="AM201" s="200"/>
      <c r="AN201" s="200"/>
      <c r="AO201" s="105">
        <f>AO209/AO$206</f>
        <v>0</v>
      </c>
      <c r="AP201" s="200">
        <v>-7.0000000000000001E-3</v>
      </c>
      <c r="AQ201" s="200">
        <v>-1.0999999999999999E-2</v>
      </c>
      <c r="AR201" s="200">
        <v>-1.2E-2</v>
      </c>
      <c r="AS201" s="200">
        <v>-1.2999999999999999E-2</v>
      </c>
      <c r="AT201" s="105">
        <f>AT209/AT$206</f>
        <v>-1.0755187154624127E-2</v>
      </c>
      <c r="AU201" s="761"/>
      <c r="AV201" s="200"/>
      <c r="AW201" s="200"/>
      <c r="AX201" s="200"/>
      <c r="AY201" s="105"/>
      <c r="AZ201" s="942">
        <f>Drivers!AZ47</f>
        <v>0</v>
      </c>
      <c r="BA201" s="942">
        <f>Drivers!BA47</f>
        <v>0</v>
      </c>
      <c r="BB201" s="942">
        <f>Drivers!BB47</f>
        <v>0</v>
      </c>
      <c r="BC201" s="942">
        <f>Drivers!BC47</f>
        <v>0</v>
      </c>
      <c r="BD201" s="105">
        <f>BD209/BD$206</f>
        <v>0</v>
      </c>
      <c r="BE201" s="942">
        <f>Drivers!BE47</f>
        <v>0</v>
      </c>
      <c r="BF201" s="942">
        <f>Drivers!BF47</f>
        <v>0</v>
      </c>
      <c r="BG201" s="942">
        <f>Drivers!BG47</f>
        <v>0</v>
      </c>
      <c r="BH201" s="363"/>
    </row>
    <row r="202" spans="1:60" s="262" customFormat="1" hidden="1" outlineLevel="1" x14ac:dyDescent="0.35">
      <c r="A202" s="311" t="s">
        <v>431</v>
      </c>
      <c r="B202" s="312"/>
      <c r="C202" s="105"/>
      <c r="D202" s="105"/>
      <c r="E202" s="105"/>
      <c r="F202" s="105"/>
      <c r="G202" s="200"/>
      <c r="H202" s="200"/>
      <c r="I202" s="200"/>
      <c r="J202" s="200"/>
      <c r="K202" s="105"/>
      <c r="L202" s="200"/>
      <c r="M202" s="200"/>
      <c r="N202" s="200"/>
      <c r="O202" s="200"/>
      <c r="P202" s="105"/>
      <c r="Q202" s="200"/>
      <c r="R202" s="200"/>
      <c r="S202" s="200"/>
      <c r="T202" s="200"/>
      <c r="U202" s="105"/>
      <c r="V202" s="200"/>
      <c r="W202" s="200"/>
      <c r="X202" s="200"/>
      <c r="Y202" s="200"/>
      <c r="Z202" s="105"/>
      <c r="AA202" s="200">
        <v>-7.0000000000000001E-3</v>
      </c>
      <c r="AB202" s="200">
        <v>-7.0000000000000001E-3</v>
      </c>
      <c r="AC202" s="200"/>
      <c r="AD202" s="200">
        <v>2.1999999999999999E-2</v>
      </c>
      <c r="AE202" s="105">
        <f>AE210/AE$206</f>
        <v>2.0215819574835431E-3</v>
      </c>
      <c r="AF202" s="200">
        <v>4.2999999999999997E-2</v>
      </c>
      <c r="AG202" s="200">
        <v>1.2999999999999999E-2</v>
      </c>
      <c r="AH202" s="200">
        <v>-1.4E-2</v>
      </c>
      <c r="AI202" s="200">
        <v>-0.02</v>
      </c>
      <c r="AJ202" s="105">
        <f>AJ210/AJ$206</f>
        <v>5.2062671128688762E-3</v>
      </c>
      <c r="AK202" s="200">
        <v>-0.03</v>
      </c>
      <c r="AL202" s="200">
        <v>-1.7000000000000001E-2</v>
      </c>
      <c r="AM202" s="200">
        <v>-0.01</v>
      </c>
      <c r="AN202" s="200">
        <v>-3.0000000000000001E-3</v>
      </c>
      <c r="AO202" s="105">
        <f>AO210/AO$206</f>
        <v>-1.5044725905402732E-2</v>
      </c>
      <c r="AP202" s="200">
        <v>-1.2999999999999999E-2</v>
      </c>
      <c r="AQ202" s="200">
        <v>-8.9999999999999993E-3</v>
      </c>
      <c r="AR202" s="200">
        <v>8.9999999999999993E-3</v>
      </c>
      <c r="AS202" s="200">
        <v>2.1999999999999999E-2</v>
      </c>
      <c r="AT202" s="105">
        <f>AT210/AT$206</f>
        <v>2.0985298717547704E-3</v>
      </c>
      <c r="AU202" s="761">
        <v>3.3000000000000002E-2</v>
      </c>
      <c r="AV202" s="200"/>
      <c r="AW202" s="200"/>
      <c r="AX202" s="200"/>
      <c r="AY202" s="105"/>
      <c r="AZ202" s="942">
        <f>Drivers!AZ48</f>
        <v>2.5000000000000001E-2</v>
      </c>
      <c r="BA202" s="942">
        <f>Drivers!BA48</f>
        <v>2.5000000000000001E-2</v>
      </c>
      <c r="BB202" s="942">
        <f>Drivers!BB48</f>
        <v>2.5000000000000001E-2</v>
      </c>
      <c r="BC202" s="942">
        <f>Drivers!BC48</f>
        <v>2.5000000000000001E-2</v>
      </c>
      <c r="BD202" s="105">
        <f>BD210/BD$206</f>
        <v>2.5000000000000005E-2</v>
      </c>
      <c r="BE202" s="942">
        <f>Drivers!BE48</f>
        <v>2.5000000000000001E-2</v>
      </c>
      <c r="BF202" s="942">
        <f>Drivers!BF48</f>
        <v>2.5000000000000001E-2</v>
      </c>
      <c r="BG202" s="942">
        <f>Drivers!BG48</f>
        <v>2.5000000000000001E-2</v>
      </c>
      <c r="BH202" s="363"/>
    </row>
    <row r="203" spans="1:60" s="262" customFormat="1" hidden="1" outlineLevel="1" x14ac:dyDescent="0.35">
      <c r="A203" s="311" t="s">
        <v>453</v>
      </c>
      <c r="B203" s="312"/>
      <c r="C203" s="105"/>
      <c r="D203" s="105"/>
      <c r="E203" s="105"/>
      <c r="F203" s="105"/>
      <c r="G203" s="200"/>
      <c r="H203" s="200"/>
      <c r="I203" s="200"/>
      <c r="J203" s="200"/>
      <c r="K203" s="105"/>
      <c r="L203" s="200"/>
      <c r="M203" s="200"/>
      <c r="N203" s="200"/>
      <c r="O203" s="200"/>
      <c r="P203" s="105"/>
      <c r="Q203" s="200"/>
      <c r="R203" s="200"/>
      <c r="S203" s="200"/>
      <c r="T203" s="200"/>
      <c r="U203" s="105"/>
      <c r="V203" s="200"/>
      <c r="W203" s="200"/>
      <c r="X203" s="200"/>
      <c r="Y203" s="200"/>
      <c r="Z203" s="105"/>
      <c r="AA203" s="200">
        <f t="shared" ref="AA203:AJ203" si="401">AA204-SUM(AA199:AA202)</f>
        <v>3.3333333333326887E-4</v>
      </c>
      <c r="AB203" s="200">
        <f t="shared" si="401"/>
        <v>3.9096437880097729E-4</v>
      </c>
      <c r="AC203" s="200">
        <f t="shared" si="401"/>
        <v>-1.246388774246987E-4</v>
      </c>
      <c r="AD203" s="200">
        <f t="shared" si="401"/>
        <v>-2.619669277633338E-4</v>
      </c>
      <c r="AE203" s="105">
        <f t="shared" si="401"/>
        <v>8.0284881838726951E-5</v>
      </c>
      <c r="AF203" s="200">
        <f t="shared" si="401"/>
        <v>1.9909502262453055E-4</v>
      </c>
      <c r="AG203" s="200">
        <f t="shared" si="401"/>
        <v>7.8577336641780238E-5</v>
      </c>
      <c r="AH203" s="200">
        <f t="shared" si="401"/>
        <v>-4.6656418139888987E-4</v>
      </c>
      <c r="AI203" s="200">
        <f t="shared" si="401"/>
        <v>-1.369294605809597E-4</v>
      </c>
      <c r="AJ203" s="105">
        <f t="shared" si="401"/>
        <v>-8.822634621223624E-5</v>
      </c>
      <c r="AK203" s="200"/>
      <c r="AL203" s="200"/>
      <c r="AM203" s="200"/>
      <c r="AN203" s="200"/>
      <c r="AO203" s="105"/>
      <c r="AP203" s="200">
        <f t="shared" ref="AP203:AU203" si="402">AP204-SUM(AP199:AP202)</f>
        <v>3.184713375796247E-4</v>
      </c>
      <c r="AQ203" s="200">
        <f t="shared" si="402"/>
        <v>-3.8775510204075436E-4</v>
      </c>
      <c r="AR203" s="200">
        <f t="shared" si="402"/>
        <v>-4.0000000000002534E-4</v>
      </c>
      <c r="AS203" s="200">
        <f t="shared" si="402"/>
        <v>-2.5284339457574273E-4</v>
      </c>
      <c r="AT203" s="105">
        <f t="shared" si="402"/>
        <v>-1.8538212907938389E-4</v>
      </c>
      <c r="AU203" s="761">
        <f t="shared" si="402"/>
        <v>-5.8463599821356738E-4</v>
      </c>
      <c r="AV203" s="200"/>
      <c r="AW203" s="200"/>
      <c r="AX203" s="200"/>
      <c r="AY203" s="105"/>
      <c r="AZ203" s="942">
        <f>Drivers!AZ49</f>
        <v>0</v>
      </c>
      <c r="BA203" s="942">
        <f>Drivers!BA49</f>
        <v>0</v>
      </c>
      <c r="BB203" s="942">
        <f>Drivers!BB49</f>
        <v>0</v>
      </c>
      <c r="BC203" s="942">
        <f>Drivers!BC49</f>
        <v>0</v>
      </c>
      <c r="BD203" s="105">
        <f>BD211/BD$206</f>
        <v>0</v>
      </c>
      <c r="BE203" s="942">
        <f>Drivers!BE49</f>
        <v>0</v>
      </c>
      <c r="BF203" s="942">
        <f>Drivers!BF49</f>
        <v>0</v>
      </c>
      <c r="BG203" s="942">
        <f>Drivers!BG49</f>
        <v>0</v>
      </c>
      <c r="BH203" s="363"/>
    </row>
    <row r="204" spans="1:60" s="225" customFormat="1" hidden="1" outlineLevel="1" x14ac:dyDescent="0.35">
      <c r="A204" s="313" t="s">
        <v>394</v>
      </c>
      <c r="B204" s="180"/>
      <c r="C204" s="107"/>
      <c r="D204" s="107"/>
      <c r="E204" s="107"/>
      <c r="F204" s="107"/>
      <c r="G204" s="106"/>
      <c r="H204" s="106"/>
      <c r="I204" s="106"/>
      <c r="J204" s="106"/>
      <c r="K204" s="107"/>
      <c r="L204" s="106"/>
      <c r="M204" s="106"/>
      <c r="N204" s="106"/>
      <c r="O204" s="106"/>
      <c r="P204" s="107"/>
      <c r="Q204" s="106"/>
      <c r="R204" s="106"/>
      <c r="S204" s="106"/>
      <c r="T204" s="106"/>
      <c r="U204" s="107"/>
      <c r="V204" s="106"/>
      <c r="W204" s="106"/>
      <c r="X204" s="106"/>
      <c r="Y204" s="106"/>
      <c r="Z204" s="107"/>
      <c r="AA204" s="106">
        <f t="shared" ref="AA204:AQ204" si="403">+AA212/AA206-1</f>
        <v>8.3333333333333259E-2</v>
      </c>
      <c r="AB204" s="106">
        <f t="shared" si="403"/>
        <v>5.0390964378800973E-2</v>
      </c>
      <c r="AC204" s="106">
        <f t="shared" si="403"/>
        <v>7.3875361122575312E-2</v>
      </c>
      <c r="AD204" s="106">
        <f t="shared" si="403"/>
        <v>4.8738033072236675E-2</v>
      </c>
      <c r="AE204" s="107">
        <f t="shared" si="403"/>
        <v>6.4098413726124903E-2</v>
      </c>
      <c r="AF204" s="106">
        <f t="shared" si="403"/>
        <v>3.6199095022624528E-2</v>
      </c>
      <c r="AG204" s="106">
        <f t="shared" si="403"/>
        <v>4.5078577336641779E-2</v>
      </c>
      <c r="AH204" s="106">
        <f t="shared" si="403"/>
        <v>6.5334358186011077E-3</v>
      </c>
      <c r="AI204" s="106">
        <f t="shared" si="403"/>
        <v>1.2863070539419041E-2</v>
      </c>
      <c r="AJ204" s="107">
        <f t="shared" si="403"/>
        <v>2.4845350370145125E-2</v>
      </c>
      <c r="AK204" s="106">
        <f t="shared" si="403"/>
        <v>-6.5105200476379466E-2</v>
      </c>
      <c r="AL204" s="106">
        <f t="shared" si="403"/>
        <v>-3.0470914127423865E-2</v>
      </c>
      <c r="AM204" s="106">
        <f t="shared" si="403"/>
        <v>-4.5437189767086661E-2</v>
      </c>
      <c r="AN204" s="106">
        <f t="shared" si="403"/>
        <v>-6.3498566161409253E-2</v>
      </c>
      <c r="AO204" s="107">
        <f t="shared" si="403"/>
        <v>-5.0959825846032092E-2</v>
      </c>
      <c r="AP204" s="106">
        <f t="shared" si="403"/>
        <v>-4.9681528662420371E-2</v>
      </c>
      <c r="AQ204" s="106">
        <f t="shared" si="403"/>
        <v>-0.20938775510204077</v>
      </c>
      <c r="AR204" s="106">
        <f>+AR212/AR206-1</f>
        <v>-7.4400000000000022E-2</v>
      </c>
      <c r="AS204" s="106">
        <f>+AS212/AS206-1</f>
        <v>2.2747156605424257E-2</v>
      </c>
      <c r="AT204" s="107">
        <f>+AT212/AT206-1</f>
        <v>-7.9658012720258631E-2</v>
      </c>
      <c r="AU204" s="760">
        <f t="shared" ref="AU204" si="404">+AU212/AU206-1</f>
        <v>0.13041536400178644</v>
      </c>
      <c r="AV204" s="106"/>
      <c r="AW204" s="106"/>
      <c r="AX204" s="106"/>
      <c r="AY204" s="107"/>
      <c r="AZ204" s="106">
        <f t="shared" ref="AZ204:BG204" si="405">+AZ212/AZ206-1</f>
        <v>8.0000000000000071E-2</v>
      </c>
      <c r="BA204" s="106">
        <f t="shared" si="405"/>
        <v>8.0000000000000071E-2</v>
      </c>
      <c r="BB204" s="106">
        <f t="shared" si="405"/>
        <v>8.0000000000000071E-2</v>
      </c>
      <c r="BC204" s="106">
        <f t="shared" si="405"/>
        <v>8.0000000000000071E-2</v>
      </c>
      <c r="BD204" s="107">
        <f t="shared" si="405"/>
        <v>8.0000000000000071E-2</v>
      </c>
      <c r="BE204" s="107">
        <f t="shared" si="405"/>
        <v>7.9999999999999849E-2</v>
      </c>
      <c r="BF204" s="107">
        <f t="shared" si="405"/>
        <v>8.0000000000000071E-2</v>
      </c>
      <c r="BG204" s="107">
        <f t="shared" si="405"/>
        <v>7.9999999999999849E-2</v>
      </c>
      <c r="BH204" s="94"/>
    </row>
    <row r="205" spans="1:60" s="225" customFormat="1" hidden="1" outlineLevel="1" x14ac:dyDescent="0.35">
      <c r="A205" s="538"/>
      <c r="B205" s="176"/>
      <c r="C205" s="113"/>
      <c r="D205" s="113"/>
      <c r="E205" s="113"/>
      <c r="F205" s="113"/>
      <c r="G205" s="177"/>
      <c r="H205" s="177"/>
      <c r="I205" s="177"/>
      <c r="J205" s="177"/>
      <c r="K205" s="113"/>
      <c r="L205" s="177"/>
      <c r="M205" s="177"/>
      <c r="N205" s="177"/>
      <c r="O205" s="177"/>
      <c r="P205" s="113"/>
      <c r="Q205" s="177"/>
      <c r="R205" s="177"/>
      <c r="S205" s="177"/>
      <c r="T205" s="177"/>
      <c r="U205" s="113"/>
      <c r="V205" s="177"/>
      <c r="W205" s="177"/>
      <c r="X205" s="177"/>
      <c r="Y205" s="177"/>
      <c r="Z205" s="113"/>
      <c r="AA205" s="177"/>
      <c r="AB205" s="177"/>
      <c r="AC205" s="177"/>
      <c r="AD205" s="177"/>
      <c r="AE205" s="113"/>
      <c r="AF205" s="177"/>
      <c r="AG205" s="177"/>
      <c r="AH205" s="177"/>
      <c r="AI205" s="177"/>
      <c r="AJ205" s="113"/>
      <c r="AK205" s="177"/>
      <c r="AL205" s="177"/>
      <c r="AM205" s="177"/>
      <c r="AN205" s="177"/>
      <c r="AO205" s="113"/>
      <c r="AP205" s="177"/>
      <c r="AQ205" s="177"/>
      <c r="AR205" s="177"/>
      <c r="AS205" s="177"/>
      <c r="AT205" s="113"/>
      <c r="AU205" s="780"/>
      <c r="AV205" s="177"/>
      <c r="AW205" s="177"/>
      <c r="AX205" s="177"/>
      <c r="AY205" s="113"/>
      <c r="AZ205" s="177"/>
      <c r="BA205" s="177"/>
      <c r="BB205" s="177"/>
      <c r="BC205" s="177"/>
      <c r="BD205" s="113"/>
      <c r="BE205" s="113"/>
      <c r="BF205" s="113"/>
      <c r="BG205" s="113"/>
      <c r="BH205" s="94"/>
    </row>
    <row r="206" spans="1:60" s="69" customFormat="1" hidden="1" outlineLevel="1" x14ac:dyDescent="0.35">
      <c r="A206" s="426" t="s">
        <v>454</v>
      </c>
      <c r="B206" s="518"/>
      <c r="C206" s="519"/>
      <c r="D206" s="519"/>
      <c r="E206" s="519"/>
      <c r="F206" s="519"/>
      <c r="G206" s="520"/>
      <c r="H206" s="520"/>
      <c r="I206" s="520"/>
      <c r="J206" s="520"/>
      <c r="K206" s="519"/>
      <c r="L206" s="520"/>
      <c r="M206" s="520"/>
      <c r="N206" s="520"/>
      <c r="O206" s="520"/>
      <c r="P206" s="519"/>
      <c r="Q206" s="520"/>
      <c r="R206" s="520"/>
      <c r="S206" s="520"/>
      <c r="T206" s="520"/>
      <c r="U206" s="519"/>
      <c r="V206" s="520"/>
      <c r="W206" s="520"/>
      <c r="X206" s="520"/>
      <c r="Y206" s="520"/>
      <c r="Z206" s="519"/>
      <c r="AA206" s="520">
        <f t="shared" ref="AA206:AO206" si="406">V212</f>
        <v>2244</v>
      </c>
      <c r="AB206" s="520">
        <f t="shared" si="406"/>
        <v>2302</v>
      </c>
      <c r="AC206" s="520">
        <f t="shared" si="406"/>
        <v>2423</v>
      </c>
      <c r="AD206" s="520">
        <f t="shared" si="406"/>
        <v>2298</v>
      </c>
      <c r="AE206" s="519">
        <f t="shared" si="406"/>
        <v>9267</v>
      </c>
      <c r="AF206" s="520">
        <f t="shared" si="406"/>
        <v>2431</v>
      </c>
      <c r="AG206" s="520">
        <f t="shared" si="406"/>
        <v>2418</v>
      </c>
      <c r="AH206" s="520">
        <f t="shared" si="406"/>
        <v>2602</v>
      </c>
      <c r="AI206" s="520">
        <f t="shared" si="406"/>
        <v>2410</v>
      </c>
      <c r="AJ206" s="519">
        <f t="shared" si="406"/>
        <v>9861</v>
      </c>
      <c r="AK206" s="520">
        <f t="shared" si="406"/>
        <v>2519</v>
      </c>
      <c r="AL206" s="520">
        <f t="shared" si="406"/>
        <v>2527</v>
      </c>
      <c r="AM206" s="520">
        <f t="shared" si="406"/>
        <v>2619</v>
      </c>
      <c r="AN206" s="520">
        <f t="shared" si="406"/>
        <v>2441</v>
      </c>
      <c r="AO206" s="519">
        <f t="shared" si="406"/>
        <v>10106</v>
      </c>
      <c r="AP206" s="520">
        <f t="shared" ref="AP206" si="407">AK212</f>
        <v>2355</v>
      </c>
      <c r="AQ206" s="520">
        <f t="shared" ref="AQ206" si="408">AL212</f>
        <v>2450</v>
      </c>
      <c r="AR206" s="520">
        <f t="shared" ref="AR206" si="409">AM212</f>
        <v>2500</v>
      </c>
      <c r="AS206" s="520">
        <f t="shared" ref="AS206" si="410">AN212</f>
        <v>2286</v>
      </c>
      <c r="AT206" s="519">
        <f t="shared" ref="AT206" si="411">AO212</f>
        <v>9591</v>
      </c>
      <c r="AU206" s="766">
        <v>2239</v>
      </c>
      <c r="AV206" s="520"/>
      <c r="AW206" s="520"/>
      <c r="AX206" s="520"/>
      <c r="AY206" s="519"/>
      <c r="AZ206" s="520">
        <f>AU212</f>
        <v>2531</v>
      </c>
      <c r="BA206" s="520">
        <f>AV212</f>
        <v>2091.96</v>
      </c>
      <c r="BB206" s="520">
        <f>AW212</f>
        <v>2499.12</v>
      </c>
      <c r="BC206" s="520">
        <f>AX212</f>
        <v>2525.04</v>
      </c>
      <c r="BD206" s="519">
        <f>AY212</f>
        <v>9647.119999999999</v>
      </c>
      <c r="BE206" s="519">
        <f>BD212</f>
        <v>10418.889599999999</v>
      </c>
      <c r="BF206" s="519">
        <f>BE212</f>
        <v>11252.400767999998</v>
      </c>
      <c r="BG206" s="519">
        <f>BF212</f>
        <v>12152.592829439998</v>
      </c>
      <c r="BH206" s="79"/>
    </row>
    <row r="207" spans="1:60" s="345" customFormat="1" hidden="1" outlineLevel="1" x14ac:dyDescent="0.35">
      <c r="A207" s="350" t="s">
        <v>455</v>
      </c>
      <c r="B207" s="444"/>
      <c r="C207" s="445"/>
      <c r="D207" s="445"/>
      <c r="E207" s="445"/>
      <c r="F207" s="445"/>
      <c r="G207" s="446"/>
      <c r="H207" s="446"/>
      <c r="I207" s="446"/>
      <c r="J207" s="446"/>
      <c r="K207" s="445"/>
      <c r="L207" s="446"/>
      <c r="M207" s="446"/>
      <c r="N207" s="446"/>
      <c r="O207" s="446"/>
      <c r="P207" s="445"/>
      <c r="Q207" s="446"/>
      <c r="R207" s="446"/>
      <c r="S207" s="446"/>
      <c r="T207" s="446"/>
      <c r="U207" s="445"/>
      <c r="V207" s="446"/>
      <c r="W207" s="446"/>
      <c r="X207" s="446"/>
      <c r="Y207" s="446"/>
      <c r="Z207" s="445"/>
      <c r="AA207" s="437">
        <f t="shared" ref="AA207:AD211" si="412">AA$206*AA199</f>
        <v>204.20400000000001</v>
      </c>
      <c r="AB207" s="437">
        <f t="shared" si="412"/>
        <v>179.55600000000001</v>
      </c>
      <c r="AC207" s="437">
        <f t="shared" si="412"/>
        <v>244.72300000000001</v>
      </c>
      <c r="AD207" s="437">
        <f t="shared" si="412"/>
        <v>160.86000000000001</v>
      </c>
      <c r="AE207" s="436">
        <f>SUM(AA207,AB207,AC207,AD207)</f>
        <v>789.34299999999996</v>
      </c>
      <c r="AF207" s="437">
        <f t="shared" ref="AF207:AI211" si="413">AF$206*AF199</f>
        <v>72.929999999999993</v>
      </c>
      <c r="AG207" s="437">
        <f t="shared" si="413"/>
        <v>130.572</v>
      </c>
      <c r="AH207" s="437">
        <f t="shared" si="413"/>
        <v>78.06</v>
      </c>
      <c r="AI207" s="437">
        <f t="shared" si="413"/>
        <v>79.53</v>
      </c>
      <c r="AJ207" s="436">
        <f>SUM(AF207,AG207,AH207,AI207)</f>
        <v>361.09199999999998</v>
      </c>
      <c r="AK207" s="437">
        <f t="shared" ref="AK207:AN210" si="414">AK$206*AK199</f>
        <v>-88.165000000000006</v>
      </c>
      <c r="AL207" s="437">
        <f t="shared" si="414"/>
        <v>-30.324000000000002</v>
      </c>
      <c r="AM207" s="437">
        <f t="shared" si="414"/>
        <v>-89.046000000000006</v>
      </c>
      <c r="AN207" s="437">
        <f t="shared" si="414"/>
        <v>-144.01900000000001</v>
      </c>
      <c r="AO207" s="436">
        <f>SUM(AK207,AL207,AM207,AN207)</f>
        <v>-351.55400000000003</v>
      </c>
      <c r="AP207" s="437">
        <f t="shared" ref="AP207:AQ211" si="415">AP$206*AP199</f>
        <v>-70.649999999999991</v>
      </c>
      <c r="AQ207" s="437">
        <f t="shared" si="415"/>
        <v>-463.05</v>
      </c>
      <c r="AR207" s="437">
        <f t="shared" ref="AR207:AS211" si="416">AR$206*AR199</f>
        <v>-177.49999999999997</v>
      </c>
      <c r="AS207" s="437">
        <f t="shared" si="416"/>
        <v>32.003999999999998</v>
      </c>
      <c r="AT207" s="436">
        <f t="shared" ref="AT207:AT211" si="417">SUM(AP207,AQ207,AR207,AS207)</f>
        <v>-679.19600000000003</v>
      </c>
      <c r="AU207" s="763">
        <f t="shared" ref="AU207" si="418">AU$206*AU199</f>
        <v>219.422</v>
      </c>
      <c r="AV207" s="446"/>
      <c r="AW207" s="446"/>
      <c r="AX207" s="446"/>
      <c r="AY207" s="445"/>
      <c r="AZ207" s="437">
        <f t="shared" ref="AZ207:BC211" si="419">AZ$206*AZ199</f>
        <v>139.20500000000001</v>
      </c>
      <c r="BA207" s="437">
        <f t="shared" si="419"/>
        <v>115.0578</v>
      </c>
      <c r="BB207" s="437">
        <f t="shared" si="419"/>
        <v>137.45159999999998</v>
      </c>
      <c r="BC207" s="437">
        <f t="shared" si="419"/>
        <v>138.87719999999999</v>
      </c>
      <c r="BD207" s="436">
        <f>SUM(AZ207,BA207,BB207,BC207)</f>
        <v>530.59159999999997</v>
      </c>
      <c r="BE207" s="436">
        <f>BE206*BE199</f>
        <v>573.03892799999994</v>
      </c>
      <c r="BF207" s="436">
        <f>BF206*BF199</f>
        <v>618.88204223999992</v>
      </c>
      <c r="BG207" s="436">
        <f>BG206*BG199</f>
        <v>668.39260561919991</v>
      </c>
      <c r="BH207" s="351"/>
    </row>
    <row r="208" spans="1:60" s="345" customFormat="1" hidden="1" outlineLevel="1" x14ac:dyDescent="0.35">
      <c r="A208" s="350" t="s">
        <v>456</v>
      </c>
      <c r="B208" s="444"/>
      <c r="C208" s="445"/>
      <c r="D208" s="445"/>
      <c r="E208" s="445"/>
      <c r="F208" s="445"/>
      <c r="G208" s="446"/>
      <c r="H208" s="446"/>
      <c r="I208" s="446"/>
      <c r="J208" s="446"/>
      <c r="K208" s="445"/>
      <c r="L208" s="446"/>
      <c r="M208" s="446"/>
      <c r="N208" s="446"/>
      <c r="O208" s="446"/>
      <c r="P208" s="445"/>
      <c r="Q208" s="446"/>
      <c r="R208" s="446"/>
      <c r="S208" s="446"/>
      <c r="T208" s="446"/>
      <c r="U208" s="445"/>
      <c r="V208" s="446"/>
      <c r="W208" s="446"/>
      <c r="X208" s="446"/>
      <c r="Y208" s="446"/>
      <c r="Z208" s="445"/>
      <c r="AA208" s="437">
        <f t="shared" si="412"/>
        <v>0</v>
      </c>
      <c r="AB208" s="437">
        <f t="shared" si="412"/>
        <v>0</v>
      </c>
      <c r="AC208" s="437">
        <f t="shared" si="412"/>
        <v>0</v>
      </c>
      <c r="AD208" s="437">
        <f t="shared" si="412"/>
        <v>0</v>
      </c>
      <c r="AE208" s="436">
        <f>SUM(AA208,AB208,AC208,AD208)</f>
        <v>0</v>
      </c>
      <c r="AF208" s="437">
        <f t="shared" si="413"/>
        <v>0</v>
      </c>
      <c r="AG208" s="437">
        <f t="shared" si="413"/>
        <v>0</v>
      </c>
      <c r="AH208" s="437">
        <f t="shared" si="413"/>
        <v>0</v>
      </c>
      <c r="AI208" s="437">
        <f t="shared" si="413"/>
        <v>0</v>
      </c>
      <c r="AJ208" s="436">
        <f>SUM(AF208,AG208,AH208,AI208)</f>
        <v>0</v>
      </c>
      <c r="AK208" s="437">
        <f t="shared" si="414"/>
        <v>0</v>
      </c>
      <c r="AL208" s="437">
        <f t="shared" si="414"/>
        <v>0</v>
      </c>
      <c r="AM208" s="437">
        <f t="shared" si="414"/>
        <v>0</v>
      </c>
      <c r="AN208" s="437">
        <f t="shared" si="414"/>
        <v>0</v>
      </c>
      <c r="AO208" s="436">
        <f>SUM(AK208,AL208,AM208,AN208)</f>
        <v>0</v>
      </c>
      <c r="AP208" s="437">
        <f t="shared" si="415"/>
        <v>0</v>
      </c>
      <c r="AQ208" s="437">
        <f t="shared" si="415"/>
        <v>0</v>
      </c>
      <c r="AR208" s="437">
        <f t="shared" si="416"/>
        <v>0</v>
      </c>
      <c r="AS208" s="437">
        <f t="shared" si="416"/>
        <v>0</v>
      </c>
      <c r="AT208" s="436">
        <f t="shared" si="417"/>
        <v>0</v>
      </c>
      <c r="AU208" s="763">
        <f t="shared" ref="AU208" si="420">AU$206*AU200</f>
        <v>0</v>
      </c>
      <c r="AV208" s="446"/>
      <c r="AW208" s="446"/>
      <c r="AX208" s="446"/>
      <c r="AY208" s="445"/>
      <c r="AZ208" s="437">
        <f t="shared" si="419"/>
        <v>0</v>
      </c>
      <c r="BA208" s="437">
        <f t="shared" si="419"/>
        <v>0</v>
      </c>
      <c r="BB208" s="437">
        <f t="shared" si="419"/>
        <v>0</v>
      </c>
      <c r="BC208" s="437">
        <f t="shared" si="419"/>
        <v>0</v>
      </c>
      <c r="BD208" s="436">
        <f>SUM(AZ208,BA208,BB208,BC208)</f>
        <v>0</v>
      </c>
      <c r="BE208" s="436">
        <f>BE206*BE200</f>
        <v>0</v>
      </c>
      <c r="BF208" s="436">
        <f>BF206*BF200</f>
        <v>0</v>
      </c>
      <c r="BG208" s="436">
        <f>BG206*BG200</f>
        <v>0</v>
      </c>
      <c r="BH208" s="351"/>
    </row>
    <row r="209" spans="1:60" s="345" customFormat="1" hidden="1" outlineLevel="1" x14ac:dyDescent="0.35">
      <c r="A209" s="350" t="s">
        <v>457</v>
      </c>
      <c r="B209" s="444"/>
      <c r="C209" s="445"/>
      <c r="D209" s="445"/>
      <c r="E209" s="445"/>
      <c r="F209" s="445"/>
      <c r="G209" s="446"/>
      <c r="H209" s="446"/>
      <c r="I209" s="446"/>
      <c r="J209" s="446"/>
      <c r="K209" s="445"/>
      <c r="L209" s="446"/>
      <c r="M209" s="446"/>
      <c r="N209" s="446"/>
      <c r="O209" s="446"/>
      <c r="P209" s="445"/>
      <c r="Q209" s="446"/>
      <c r="R209" s="446"/>
      <c r="S209" s="446"/>
      <c r="T209" s="446"/>
      <c r="U209" s="445"/>
      <c r="V209" s="446"/>
      <c r="W209" s="446"/>
      <c r="X209" s="446"/>
      <c r="Y209" s="446"/>
      <c r="Z209" s="445"/>
      <c r="AA209" s="437">
        <f t="shared" si="412"/>
        <v>-2.2440000000000002</v>
      </c>
      <c r="AB209" s="437">
        <f t="shared" si="412"/>
        <v>-48.342000000000006</v>
      </c>
      <c r="AC209" s="437">
        <f t="shared" si="412"/>
        <v>-65.420999999999992</v>
      </c>
      <c r="AD209" s="437">
        <f t="shared" si="412"/>
        <v>-98.813999999999993</v>
      </c>
      <c r="AE209" s="436">
        <f>SUM(AA209,AB209,AC209,AD209)</f>
        <v>-214.821</v>
      </c>
      <c r="AF209" s="437">
        <f t="shared" si="413"/>
        <v>-89.946999999999989</v>
      </c>
      <c r="AG209" s="437">
        <f t="shared" si="413"/>
        <v>-53.195999999999998</v>
      </c>
      <c r="AH209" s="437">
        <f t="shared" si="413"/>
        <v>-23.417999999999999</v>
      </c>
      <c r="AI209" s="437">
        <f t="shared" si="413"/>
        <v>0</v>
      </c>
      <c r="AJ209" s="436">
        <f>SUM(AF209,AG209,AH209,AI209)</f>
        <v>-166.56099999999998</v>
      </c>
      <c r="AK209" s="437">
        <f t="shared" si="414"/>
        <v>0</v>
      </c>
      <c r="AL209" s="437">
        <f t="shared" si="414"/>
        <v>0</v>
      </c>
      <c r="AM209" s="437">
        <f t="shared" si="414"/>
        <v>0</v>
      </c>
      <c r="AN209" s="437">
        <f t="shared" si="414"/>
        <v>0</v>
      </c>
      <c r="AO209" s="436">
        <f>SUM(AK209,AL209,AM209,AN209)</f>
        <v>0</v>
      </c>
      <c r="AP209" s="437">
        <f t="shared" si="415"/>
        <v>-16.484999999999999</v>
      </c>
      <c r="AQ209" s="437">
        <f t="shared" si="415"/>
        <v>-26.95</v>
      </c>
      <c r="AR209" s="437">
        <f t="shared" si="416"/>
        <v>-30</v>
      </c>
      <c r="AS209" s="437">
        <f t="shared" si="416"/>
        <v>-29.718</v>
      </c>
      <c r="AT209" s="436">
        <f t="shared" si="417"/>
        <v>-103.15300000000001</v>
      </c>
      <c r="AU209" s="763">
        <f t="shared" ref="AU209" si="421">AU$206*AU201</f>
        <v>0</v>
      </c>
      <c r="AV209" s="446"/>
      <c r="AW209" s="446"/>
      <c r="AX209" s="446"/>
      <c r="AY209" s="445"/>
      <c r="AZ209" s="437">
        <f t="shared" si="419"/>
        <v>0</v>
      </c>
      <c r="BA209" s="437">
        <f t="shared" si="419"/>
        <v>0</v>
      </c>
      <c r="BB209" s="437">
        <f t="shared" si="419"/>
        <v>0</v>
      </c>
      <c r="BC209" s="437">
        <f t="shared" si="419"/>
        <v>0</v>
      </c>
      <c r="BD209" s="436">
        <f>SUM(AZ209,BA209,BB209,BC209)</f>
        <v>0</v>
      </c>
      <c r="BE209" s="436">
        <f>BE206*BE201</f>
        <v>0</v>
      </c>
      <c r="BF209" s="436">
        <f>BF206*BF201</f>
        <v>0</v>
      </c>
      <c r="BG209" s="436">
        <f>BG206*BG201</f>
        <v>0</v>
      </c>
      <c r="BH209" s="351"/>
    </row>
    <row r="210" spans="1:60" s="345" customFormat="1" hidden="1" outlineLevel="1" x14ac:dyDescent="0.35">
      <c r="A210" s="350" t="s">
        <v>458</v>
      </c>
      <c r="B210" s="444"/>
      <c r="C210" s="445"/>
      <c r="D210" s="445"/>
      <c r="E210" s="445"/>
      <c r="F210" s="445"/>
      <c r="G210" s="446"/>
      <c r="H210" s="446"/>
      <c r="I210" s="446"/>
      <c r="J210" s="446"/>
      <c r="K210" s="445"/>
      <c r="L210" s="446"/>
      <c r="M210" s="446"/>
      <c r="N210" s="446"/>
      <c r="O210" s="446"/>
      <c r="P210" s="445"/>
      <c r="Q210" s="446"/>
      <c r="R210" s="446"/>
      <c r="S210" s="446"/>
      <c r="T210" s="446"/>
      <c r="U210" s="445"/>
      <c r="V210" s="446"/>
      <c r="W210" s="446"/>
      <c r="X210" s="446"/>
      <c r="Y210" s="446"/>
      <c r="Z210" s="445"/>
      <c r="AA210" s="437">
        <f t="shared" si="412"/>
        <v>-15.708</v>
      </c>
      <c r="AB210" s="437">
        <f t="shared" si="412"/>
        <v>-16.114000000000001</v>
      </c>
      <c r="AC210" s="437">
        <f t="shared" si="412"/>
        <v>0</v>
      </c>
      <c r="AD210" s="437">
        <f t="shared" si="412"/>
        <v>50.555999999999997</v>
      </c>
      <c r="AE210" s="436">
        <f>SUM(AA210,AB210,AC210,AD210)</f>
        <v>18.733999999999995</v>
      </c>
      <c r="AF210" s="437">
        <f t="shared" si="413"/>
        <v>104.53299999999999</v>
      </c>
      <c r="AG210" s="437">
        <f t="shared" si="413"/>
        <v>31.433999999999997</v>
      </c>
      <c r="AH210" s="437">
        <f t="shared" si="413"/>
        <v>-36.427999999999997</v>
      </c>
      <c r="AI210" s="437">
        <f t="shared" si="413"/>
        <v>-48.2</v>
      </c>
      <c r="AJ210" s="436">
        <f>SUM(AF210,AG210,AH210,AI210)</f>
        <v>51.338999999999984</v>
      </c>
      <c r="AK210" s="437">
        <f t="shared" si="414"/>
        <v>-75.569999999999993</v>
      </c>
      <c r="AL210" s="437">
        <f t="shared" si="414"/>
        <v>-42.959000000000003</v>
      </c>
      <c r="AM210" s="437">
        <f t="shared" si="414"/>
        <v>-26.19</v>
      </c>
      <c r="AN210" s="437">
        <f t="shared" si="414"/>
        <v>-7.3230000000000004</v>
      </c>
      <c r="AO210" s="436">
        <f>SUM(AK210,AL210,AM210,AN210)</f>
        <v>-152.042</v>
      </c>
      <c r="AP210" s="437">
        <f t="shared" si="415"/>
        <v>-30.614999999999998</v>
      </c>
      <c r="AQ210" s="437">
        <f t="shared" si="415"/>
        <v>-22.049999999999997</v>
      </c>
      <c r="AR210" s="437">
        <f t="shared" si="416"/>
        <v>22.5</v>
      </c>
      <c r="AS210" s="437">
        <f t="shared" si="416"/>
        <v>50.291999999999994</v>
      </c>
      <c r="AT210" s="436">
        <f t="shared" si="417"/>
        <v>20.127000000000002</v>
      </c>
      <c r="AU210" s="763">
        <f t="shared" ref="AU210" si="422">AU$206*AU202</f>
        <v>73.887</v>
      </c>
      <c r="AV210" s="446"/>
      <c r="AW210" s="446"/>
      <c r="AX210" s="446"/>
      <c r="AY210" s="445"/>
      <c r="AZ210" s="437">
        <f t="shared" si="419"/>
        <v>63.275000000000006</v>
      </c>
      <c r="BA210" s="437">
        <f t="shared" si="419"/>
        <v>52.299000000000007</v>
      </c>
      <c r="BB210" s="437">
        <f t="shared" si="419"/>
        <v>62.478000000000002</v>
      </c>
      <c r="BC210" s="437">
        <f t="shared" si="419"/>
        <v>63.126000000000005</v>
      </c>
      <c r="BD210" s="436">
        <f>SUM(AZ210,BA210,BB210,BC210)</f>
        <v>241.17800000000003</v>
      </c>
      <c r="BE210" s="436">
        <f>BE206*BE202</f>
        <v>260.47224</v>
      </c>
      <c r="BF210" s="436">
        <f>BF206*BF202</f>
        <v>281.31001919999994</v>
      </c>
      <c r="BG210" s="436">
        <f>BG206*BG202</f>
        <v>303.81482073599994</v>
      </c>
      <c r="BH210" s="351"/>
    </row>
    <row r="211" spans="1:60" s="345" customFormat="1" hidden="1" outlineLevel="1" x14ac:dyDescent="0.35">
      <c r="A211" s="350" t="s">
        <v>459</v>
      </c>
      <c r="B211" s="444"/>
      <c r="C211" s="445"/>
      <c r="D211" s="445"/>
      <c r="E211" s="445"/>
      <c r="F211" s="445"/>
      <c r="G211" s="446"/>
      <c r="H211" s="446"/>
      <c r="I211" s="446"/>
      <c r="J211" s="446"/>
      <c r="K211" s="445"/>
      <c r="L211" s="446"/>
      <c r="M211" s="446"/>
      <c r="N211" s="446"/>
      <c r="O211" s="446"/>
      <c r="P211" s="445"/>
      <c r="Q211" s="446"/>
      <c r="R211" s="446"/>
      <c r="S211" s="446"/>
      <c r="T211" s="446"/>
      <c r="U211" s="445"/>
      <c r="V211" s="446"/>
      <c r="W211" s="446"/>
      <c r="X211" s="446"/>
      <c r="Y211" s="446"/>
      <c r="Z211" s="445"/>
      <c r="AA211" s="437">
        <f t="shared" si="412"/>
        <v>0.74799999999985534</v>
      </c>
      <c r="AB211" s="437">
        <f t="shared" si="412"/>
        <v>0.8999999999998497</v>
      </c>
      <c r="AC211" s="437">
        <f t="shared" si="412"/>
        <v>-0.30200000000004495</v>
      </c>
      <c r="AD211" s="437">
        <f t="shared" si="412"/>
        <v>-0.60200000000014109</v>
      </c>
      <c r="AE211" s="436">
        <f>SUM(AA211,AB211,AC211,AD211)</f>
        <v>0.74399999999951905</v>
      </c>
      <c r="AF211" s="437">
        <f t="shared" si="413"/>
        <v>0.48400000000023374</v>
      </c>
      <c r="AG211" s="437">
        <f t="shared" si="413"/>
        <v>0.18999999999982461</v>
      </c>
      <c r="AH211" s="437">
        <f t="shared" si="413"/>
        <v>-1.2139999999999114</v>
      </c>
      <c r="AI211" s="437">
        <f t="shared" si="413"/>
        <v>-0.33000000000011287</v>
      </c>
      <c r="AJ211" s="436">
        <f>SUM(AF211,AG211,AH211,AI211)</f>
        <v>-0.86999999999996591</v>
      </c>
      <c r="AK211" s="446"/>
      <c r="AL211" s="446"/>
      <c r="AM211" s="446"/>
      <c r="AN211" s="446"/>
      <c r="AO211" s="445"/>
      <c r="AP211" s="437">
        <f t="shared" si="415"/>
        <v>0.75000000000001621</v>
      </c>
      <c r="AQ211" s="437">
        <f t="shared" si="415"/>
        <v>-0.94999999999984819</v>
      </c>
      <c r="AR211" s="437">
        <f t="shared" si="416"/>
        <v>-1.0000000000000633</v>
      </c>
      <c r="AS211" s="437">
        <f t="shared" si="416"/>
        <v>-0.57800000000014784</v>
      </c>
      <c r="AT211" s="436">
        <f t="shared" si="417"/>
        <v>-1.7780000000000431</v>
      </c>
      <c r="AU211" s="763">
        <f t="shared" ref="AU211" si="423">AU$206*AU203</f>
        <v>-1.3090000000001774</v>
      </c>
      <c r="AV211" s="446"/>
      <c r="AW211" s="446"/>
      <c r="AX211" s="446"/>
      <c r="AY211" s="445"/>
      <c r="AZ211" s="437">
        <f t="shared" si="419"/>
        <v>0</v>
      </c>
      <c r="BA211" s="437">
        <f t="shared" si="419"/>
        <v>0</v>
      </c>
      <c r="BB211" s="437">
        <f t="shared" si="419"/>
        <v>0</v>
      </c>
      <c r="BC211" s="437">
        <f t="shared" si="419"/>
        <v>0</v>
      </c>
      <c r="BD211" s="436">
        <f>SUM(AZ211,BA211,BB211,BC211)</f>
        <v>0</v>
      </c>
      <c r="BE211" s="436">
        <f>BE206*BE203</f>
        <v>0</v>
      </c>
      <c r="BF211" s="436">
        <f>BF206*BF203</f>
        <v>0</v>
      </c>
      <c r="BG211" s="436">
        <f>BG206*BG203</f>
        <v>0</v>
      </c>
      <c r="BH211" s="351"/>
    </row>
    <row r="212" spans="1:60" s="69" customFormat="1" hidden="1" outlineLevel="1" x14ac:dyDescent="0.35">
      <c r="A212" s="89" t="s">
        <v>391</v>
      </c>
      <c r="B212" s="452"/>
      <c r="C212" s="453"/>
      <c r="D212" s="453"/>
      <c r="E212" s="453"/>
      <c r="F212" s="453"/>
      <c r="G212" s="454"/>
      <c r="H212" s="454"/>
      <c r="I212" s="454"/>
      <c r="J212" s="454"/>
      <c r="K212" s="453"/>
      <c r="L212" s="454"/>
      <c r="M212" s="454"/>
      <c r="N212" s="454"/>
      <c r="O212" s="454"/>
      <c r="P212" s="453"/>
      <c r="Q212" s="454"/>
      <c r="R212" s="454"/>
      <c r="S212" s="454"/>
      <c r="T212" s="454"/>
      <c r="U212" s="453"/>
      <c r="V212" s="439">
        <f t="shared" ref="V212:AP212" si="424">V220</f>
        <v>2244</v>
      </c>
      <c r="W212" s="439">
        <f t="shared" si="424"/>
        <v>2302</v>
      </c>
      <c r="X212" s="439">
        <f t="shared" si="424"/>
        <v>2423</v>
      </c>
      <c r="Y212" s="439">
        <f t="shared" si="424"/>
        <v>2298</v>
      </c>
      <c r="Z212" s="438">
        <f t="shared" si="424"/>
        <v>9267</v>
      </c>
      <c r="AA212" s="439">
        <f t="shared" si="424"/>
        <v>2431</v>
      </c>
      <c r="AB212" s="439">
        <f t="shared" si="424"/>
        <v>2418</v>
      </c>
      <c r="AC212" s="439">
        <f t="shared" si="424"/>
        <v>2602</v>
      </c>
      <c r="AD212" s="439">
        <f t="shared" si="424"/>
        <v>2410</v>
      </c>
      <c r="AE212" s="438">
        <f t="shared" si="424"/>
        <v>9861</v>
      </c>
      <c r="AF212" s="439">
        <f t="shared" si="424"/>
        <v>2519</v>
      </c>
      <c r="AG212" s="439">
        <f t="shared" si="424"/>
        <v>2527</v>
      </c>
      <c r="AH212" s="439">
        <f t="shared" si="424"/>
        <v>2619</v>
      </c>
      <c r="AI212" s="439">
        <f t="shared" si="424"/>
        <v>2441</v>
      </c>
      <c r="AJ212" s="438">
        <f t="shared" si="424"/>
        <v>10106</v>
      </c>
      <c r="AK212" s="439">
        <f t="shared" si="424"/>
        <v>2355</v>
      </c>
      <c r="AL212" s="439">
        <f t="shared" si="424"/>
        <v>2450</v>
      </c>
      <c r="AM212" s="439">
        <f t="shared" si="424"/>
        <v>2500</v>
      </c>
      <c r="AN212" s="439">
        <f t="shared" si="424"/>
        <v>2286</v>
      </c>
      <c r="AO212" s="438">
        <f t="shared" si="424"/>
        <v>9591</v>
      </c>
      <c r="AP212" s="439">
        <f t="shared" si="424"/>
        <v>2238</v>
      </c>
      <c r="AQ212" s="439">
        <f>AQ37</f>
        <v>1937</v>
      </c>
      <c r="AR212" s="439">
        <f>AR37</f>
        <v>2314</v>
      </c>
      <c r="AS212" s="439">
        <f>AS220</f>
        <v>2338</v>
      </c>
      <c r="AT212" s="438">
        <f>AT220</f>
        <v>8827</v>
      </c>
      <c r="AU212" s="765">
        <f>AU220</f>
        <v>2531</v>
      </c>
      <c r="AV212" s="944">
        <f>Drivers!AV50</f>
        <v>2091.96</v>
      </c>
      <c r="AW212" s="944">
        <f>Drivers!AW50</f>
        <v>2499.12</v>
      </c>
      <c r="AX212" s="944">
        <f>Drivers!AX50</f>
        <v>2525.04</v>
      </c>
      <c r="AY212" s="438">
        <f>SUM(AU212,AV212,AW212,AX212)</f>
        <v>9647.119999999999</v>
      </c>
      <c r="AZ212" s="439">
        <f t="shared" ref="AZ212:BG212" si="425">SUM(AZ206:AZ211)</f>
        <v>2733.48</v>
      </c>
      <c r="BA212" s="439">
        <f t="shared" si="425"/>
        <v>2259.3168000000001</v>
      </c>
      <c r="BB212" s="439">
        <f t="shared" si="425"/>
        <v>2699.0495999999998</v>
      </c>
      <c r="BC212" s="439">
        <f t="shared" si="425"/>
        <v>2727.0432000000001</v>
      </c>
      <c r="BD212" s="438">
        <f t="shared" si="425"/>
        <v>10418.889599999999</v>
      </c>
      <c r="BE212" s="438">
        <f t="shared" si="425"/>
        <v>11252.400767999998</v>
      </c>
      <c r="BF212" s="438">
        <f t="shared" si="425"/>
        <v>12152.592829439998</v>
      </c>
      <c r="BG212" s="438">
        <f t="shared" si="425"/>
        <v>13124.800255795197</v>
      </c>
      <c r="BH212" s="79"/>
    </row>
    <row r="213" spans="1:60" s="225" customFormat="1" hidden="1" outlineLevel="1" x14ac:dyDescent="0.35">
      <c r="A213" s="538"/>
      <c r="B213" s="176"/>
      <c r="C213" s="113"/>
      <c r="D213" s="113"/>
      <c r="E213" s="113"/>
      <c r="F213" s="113"/>
      <c r="G213" s="177"/>
      <c r="H213" s="177"/>
      <c r="I213" s="177"/>
      <c r="J213" s="177"/>
      <c r="K213" s="113"/>
      <c r="L213" s="177"/>
      <c r="M213" s="177"/>
      <c r="N213" s="177"/>
      <c r="O213" s="177"/>
      <c r="P213" s="113"/>
      <c r="Q213" s="177"/>
      <c r="R213" s="177"/>
      <c r="S213" s="177"/>
      <c r="T213" s="177"/>
      <c r="U213" s="113"/>
      <c r="V213" s="177"/>
      <c r="W213" s="177"/>
      <c r="X213" s="177"/>
      <c r="Y213" s="177"/>
      <c r="Z213" s="113"/>
      <c r="AA213" s="177"/>
      <c r="AB213" s="177"/>
      <c r="AC213" s="177"/>
      <c r="AD213" s="177"/>
      <c r="AE213" s="113"/>
      <c r="AF213" s="177"/>
      <c r="AG213" s="177"/>
      <c r="AH213" s="177"/>
      <c r="AI213" s="177"/>
      <c r="AJ213" s="113"/>
      <c r="AK213" s="177"/>
      <c r="AL213" s="177"/>
      <c r="AM213" s="177"/>
      <c r="AN213" s="177"/>
      <c r="AO213" s="113"/>
      <c r="AP213" s="177"/>
      <c r="AQ213" s="177"/>
      <c r="AR213" s="177"/>
      <c r="AS213" s="177"/>
      <c r="AT213" s="113"/>
      <c r="AU213" s="780"/>
      <c r="AV213" s="177"/>
      <c r="AW213" s="177"/>
      <c r="AX213" s="177"/>
      <c r="AY213" s="113"/>
      <c r="AZ213" s="177"/>
      <c r="BA213" s="177"/>
      <c r="BB213" s="177"/>
      <c r="BC213" s="177"/>
      <c r="BD213" s="113"/>
      <c r="BE213" s="113"/>
      <c r="BF213" s="113"/>
      <c r="BG213" s="113"/>
      <c r="BH213" s="94"/>
    </row>
    <row r="214" spans="1:60" s="345" customFormat="1" hidden="1" outlineLevel="2" x14ac:dyDescent="0.35">
      <c r="A214" s="161" t="s">
        <v>460</v>
      </c>
      <c r="B214" s="444"/>
      <c r="C214" s="445"/>
      <c r="D214" s="445"/>
      <c r="E214" s="445"/>
      <c r="F214" s="445"/>
      <c r="G214" s="446"/>
      <c r="H214" s="446"/>
      <c r="I214" s="446"/>
      <c r="J214" s="446"/>
      <c r="K214" s="445"/>
      <c r="L214" s="446"/>
      <c r="M214" s="446"/>
      <c r="N214" s="446"/>
      <c r="O214" s="446"/>
      <c r="P214" s="445"/>
      <c r="Q214" s="446"/>
      <c r="R214" s="446"/>
      <c r="S214" s="446"/>
      <c r="T214" s="446"/>
      <c r="U214" s="445"/>
      <c r="V214" s="446"/>
      <c r="W214" s="446"/>
      <c r="X214" s="446"/>
      <c r="Y214" s="446"/>
      <c r="Z214" s="436">
        <v>2469</v>
      </c>
      <c r="AA214" s="446"/>
      <c r="AB214" s="446"/>
      <c r="AC214" s="446"/>
      <c r="AD214" s="446"/>
      <c r="AE214" s="436">
        <v>2372</v>
      </c>
      <c r="AF214" s="437">
        <v>569</v>
      </c>
      <c r="AG214" s="437">
        <v>642</v>
      </c>
      <c r="AH214" s="437">
        <v>627</v>
      </c>
      <c r="AI214" s="437">
        <f>AJ214-SUM(AF214,AG214,AH214)</f>
        <v>568</v>
      </c>
      <c r="AJ214" s="436">
        <v>2406</v>
      </c>
      <c r="AK214" s="446"/>
      <c r="AL214" s="446"/>
      <c r="AM214" s="446"/>
      <c r="AN214" s="446"/>
      <c r="AO214" s="445"/>
      <c r="AP214" s="446"/>
      <c r="AQ214" s="446"/>
      <c r="AR214" s="446"/>
      <c r="AS214" s="446"/>
      <c r="AT214" s="445"/>
      <c r="AU214" s="767"/>
      <c r="AV214" s="446"/>
      <c r="AW214" s="446"/>
      <c r="AX214" s="446"/>
      <c r="AY214" s="445"/>
      <c r="AZ214" s="446"/>
      <c r="BA214" s="446"/>
      <c r="BB214" s="446"/>
      <c r="BC214" s="446"/>
      <c r="BD214" s="445"/>
      <c r="BE214" s="445"/>
      <c r="BF214" s="445"/>
      <c r="BG214" s="445"/>
      <c r="BH214" s="351"/>
    </row>
    <row r="215" spans="1:60" s="345" customFormat="1" hidden="1" outlineLevel="2" x14ac:dyDescent="0.35">
      <c r="A215" s="101" t="s">
        <v>463</v>
      </c>
      <c r="B215" s="501"/>
      <c r="C215" s="502"/>
      <c r="D215" s="502"/>
      <c r="E215" s="502"/>
      <c r="F215" s="502"/>
      <c r="G215" s="463"/>
      <c r="H215" s="463"/>
      <c r="I215" s="463"/>
      <c r="J215" s="463"/>
      <c r="K215" s="502"/>
      <c r="L215" s="463"/>
      <c r="M215" s="463"/>
      <c r="N215" s="463"/>
      <c r="O215" s="463"/>
      <c r="P215" s="502"/>
      <c r="Q215" s="463"/>
      <c r="R215" s="463"/>
      <c r="S215" s="463"/>
      <c r="T215" s="463"/>
      <c r="U215" s="502"/>
      <c r="V215" s="463"/>
      <c r="W215" s="463"/>
      <c r="X215" s="463"/>
      <c r="Y215" s="463"/>
      <c r="Z215" s="480">
        <v>626</v>
      </c>
      <c r="AA215" s="463"/>
      <c r="AB215" s="463"/>
      <c r="AC215" s="463"/>
      <c r="AD215" s="463"/>
      <c r="AE215" s="480">
        <v>615</v>
      </c>
      <c r="AF215" s="458">
        <v>151</v>
      </c>
      <c r="AG215" s="458">
        <v>158</v>
      </c>
      <c r="AH215" s="458">
        <v>149</v>
      </c>
      <c r="AI215" s="458">
        <f>AJ215-SUM(AF215,AG215,AH215)</f>
        <v>152</v>
      </c>
      <c r="AJ215" s="480">
        <v>610</v>
      </c>
      <c r="AK215" s="463"/>
      <c r="AL215" s="463"/>
      <c r="AM215" s="463"/>
      <c r="AN215" s="463"/>
      <c r="AO215" s="502"/>
      <c r="AP215" s="463"/>
      <c r="AQ215" s="463"/>
      <c r="AR215" s="463"/>
      <c r="AS215" s="463"/>
      <c r="AT215" s="502"/>
      <c r="AU215" s="768"/>
      <c r="AV215" s="463"/>
      <c r="AW215" s="463"/>
      <c r="AX215" s="463"/>
      <c r="AY215" s="502"/>
      <c r="AZ215" s="463"/>
      <c r="BA215" s="463"/>
      <c r="BB215" s="463"/>
      <c r="BC215" s="463"/>
      <c r="BD215" s="502"/>
      <c r="BE215" s="502"/>
      <c r="BF215" s="502"/>
      <c r="BG215" s="502"/>
      <c r="BH215" s="351"/>
    </row>
    <row r="216" spans="1:60" s="345" customFormat="1" hidden="1" outlineLevel="1" x14ac:dyDescent="0.35">
      <c r="A216" s="350" t="s">
        <v>732</v>
      </c>
      <c r="B216" s="444"/>
      <c r="C216" s="445"/>
      <c r="D216" s="445"/>
      <c r="E216" s="445"/>
      <c r="F216" s="445"/>
      <c r="G216" s="446"/>
      <c r="H216" s="446"/>
      <c r="I216" s="446"/>
      <c r="J216" s="446"/>
      <c r="K216" s="445"/>
      <c r="L216" s="446"/>
      <c r="M216" s="446"/>
      <c r="N216" s="446"/>
      <c r="O216" s="446"/>
      <c r="P216" s="445"/>
      <c r="Q216" s="446"/>
      <c r="R216" s="446"/>
      <c r="S216" s="446"/>
      <c r="T216" s="446"/>
      <c r="U216" s="445"/>
      <c r="V216" s="446"/>
      <c r="W216" s="446"/>
      <c r="X216" s="446"/>
      <c r="Y216" s="446"/>
      <c r="Z216" s="436">
        <f>SUM(Z214:Z215)</f>
        <v>3095</v>
      </c>
      <c r="AA216" s="446"/>
      <c r="AB216" s="446"/>
      <c r="AC216" s="446"/>
      <c r="AD216" s="446"/>
      <c r="AE216" s="436">
        <f t="shared" ref="AE216:AJ216" si="426">SUM(AE214:AE215)</f>
        <v>2987</v>
      </c>
      <c r="AF216" s="437">
        <f t="shared" si="426"/>
        <v>720</v>
      </c>
      <c r="AG216" s="437">
        <f t="shared" si="426"/>
        <v>800</v>
      </c>
      <c r="AH216" s="437">
        <f t="shared" si="426"/>
        <v>776</v>
      </c>
      <c r="AI216" s="437">
        <f t="shared" si="426"/>
        <v>720</v>
      </c>
      <c r="AJ216" s="436">
        <f t="shared" si="426"/>
        <v>3016</v>
      </c>
      <c r="AK216" s="437">
        <v>713</v>
      </c>
      <c r="AL216" s="437">
        <v>794</v>
      </c>
      <c r="AM216" s="437">
        <v>749</v>
      </c>
      <c r="AN216" s="437">
        <f>AO216-SUM(AK216,AL216,AM216)</f>
        <v>645</v>
      </c>
      <c r="AO216" s="436">
        <v>2901</v>
      </c>
      <c r="AP216" s="437">
        <v>675</v>
      </c>
      <c r="AQ216" s="437">
        <v>532</v>
      </c>
      <c r="AR216" s="437">
        <v>640</v>
      </c>
      <c r="AS216" s="437">
        <f>AT216-SUM(AP216,AQ216,AR216)</f>
        <v>608</v>
      </c>
      <c r="AT216" s="436">
        <v>2455</v>
      </c>
      <c r="AU216" s="767">
        <v>650</v>
      </c>
      <c r="AV216" s="446"/>
      <c r="AW216" s="446"/>
      <c r="AX216" s="446"/>
      <c r="AY216" s="445"/>
      <c r="AZ216" s="446"/>
      <c r="BA216" s="446"/>
      <c r="BB216" s="446"/>
      <c r="BC216" s="446"/>
      <c r="BD216" s="445"/>
      <c r="BE216" s="445"/>
      <c r="BF216" s="445"/>
      <c r="BG216" s="445"/>
      <c r="BH216" s="351"/>
    </row>
    <row r="217" spans="1:60" s="345" customFormat="1" hidden="1" outlineLevel="1" x14ac:dyDescent="0.35">
      <c r="A217" s="350" t="s">
        <v>461</v>
      </c>
      <c r="B217" s="444"/>
      <c r="C217" s="445"/>
      <c r="D217" s="445"/>
      <c r="E217" s="445"/>
      <c r="F217" s="445"/>
      <c r="G217" s="446"/>
      <c r="H217" s="446"/>
      <c r="I217" s="446"/>
      <c r="J217" s="446"/>
      <c r="K217" s="445"/>
      <c r="L217" s="446"/>
      <c r="M217" s="446"/>
      <c r="N217" s="446"/>
      <c r="O217" s="446"/>
      <c r="P217" s="445"/>
      <c r="Q217" s="446"/>
      <c r="R217" s="446"/>
      <c r="S217" s="446"/>
      <c r="T217" s="446"/>
      <c r="U217" s="445"/>
      <c r="V217" s="446"/>
      <c r="W217" s="446"/>
      <c r="X217" s="446"/>
      <c r="Y217" s="446"/>
      <c r="Z217" s="436">
        <v>4670</v>
      </c>
      <c r="AA217" s="446"/>
      <c r="AB217" s="446"/>
      <c r="AC217" s="446"/>
      <c r="AD217" s="446"/>
      <c r="AE217" s="436">
        <v>5328</v>
      </c>
      <c r="AF217" s="437">
        <v>1384</v>
      </c>
      <c r="AG217" s="437">
        <v>1303</v>
      </c>
      <c r="AH217" s="437">
        <v>1464</v>
      </c>
      <c r="AI217" s="437">
        <f>AJ217-SUM(AF217,AG217,AH217)</f>
        <v>1363</v>
      </c>
      <c r="AJ217" s="436">
        <v>5514</v>
      </c>
      <c r="AK217" s="437">
        <v>1257</v>
      </c>
      <c r="AL217" s="437">
        <v>1267</v>
      </c>
      <c r="AM217" s="437">
        <v>1388</v>
      </c>
      <c r="AN217" s="437">
        <f>AO217-SUM(AK217,AL217,AM217)</f>
        <v>1309</v>
      </c>
      <c r="AO217" s="436">
        <v>5221</v>
      </c>
      <c r="AP217" s="437">
        <v>1201</v>
      </c>
      <c r="AQ217" s="437">
        <v>1151</v>
      </c>
      <c r="AR217" s="437">
        <v>1357</v>
      </c>
      <c r="AS217" s="437">
        <f>AT217-SUM(AP217,AQ217,AR217)</f>
        <v>1388</v>
      </c>
      <c r="AT217" s="436">
        <v>5097</v>
      </c>
      <c r="AU217" s="767">
        <v>1490</v>
      </c>
      <c r="AV217" s="446"/>
      <c r="AW217" s="446"/>
      <c r="AX217" s="446"/>
      <c r="AY217" s="445"/>
      <c r="AZ217" s="446"/>
      <c r="BA217" s="446"/>
      <c r="BB217" s="446"/>
      <c r="BC217" s="446"/>
      <c r="BD217" s="445"/>
      <c r="BE217" s="445"/>
      <c r="BF217" s="445"/>
      <c r="BG217" s="445"/>
      <c r="BH217" s="351"/>
    </row>
    <row r="218" spans="1:60" s="345" customFormat="1" hidden="1" outlineLevel="1" x14ac:dyDescent="0.35">
      <c r="A218" s="350" t="s">
        <v>462</v>
      </c>
      <c r="B218" s="444"/>
      <c r="C218" s="445"/>
      <c r="D218" s="445"/>
      <c r="E218" s="445"/>
      <c r="F218" s="445"/>
      <c r="G218" s="446"/>
      <c r="H218" s="446"/>
      <c r="I218" s="446"/>
      <c r="J218" s="446"/>
      <c r="K218" s="445"/>
      <c r="L218" s="446"/>
      <c r="M218" s="446"/>
      <c r="N218" s="446"/>
      <c r="O218" s="446"/>
      <c r="P218" s="445"/>
      <c r="Q218" s="446"/>
      <c r="R218" s="446"/>
      <c r="S218" s="446"/>
      <c r="T218" s="446"/>
      <c r="U218" s="445"/>
      <c r="V218" s="446"/>
      <c r="W218" s="446"/>
      <c r="X218" s="446"/>
      <c r="Y218" s="446"/>
      <c r="Z218" s="436">
        <v>1499</v>
      </c>
      <c r="AA218" s="446"/>
      <c r="AB218" s="446"/>
      <c r="AC218" s="446"/>
      <c r="AD218" s="446"/>
      <c r="AE218" s="436">
        <v>1550</v>
      </c>
      <c r="AF218" s="437">
        <v>416</v>
      </c>
      <c r="AG218" s="437">
        <v>424</v>
      </c>
      <c r="AH218" s="437">
        <v>378</v>
      </c>
      <c r="AI218" s="437">
        <f>AJ218-SUM(AF218,AG218,AH218)</f>
        <v>360</v>
      </c>
      <c r="AJ218" s="436">
        <v>1578</v>
      </c>
      <c r="AK218" s="437">
        <v>386</v>
      </c>
      <c r="AL218" s="437">
        <v>389</v>
      </c>
      <c r="AM218" s="437">
        <v>362</v>
      </c>
      <c r="AN218" s="437">
        <f>AO218-SUM(AK218,AL218,AM218)</f>
        <v>335</v>
      </c>
      <c r="AO218" s="436">
        <v>1472</v>
      </c>
      <c r="AP218" s="437">
        <v>362</v>
      </c>
      <c r="AQ218" s="437">
        <v>254</v>
      </c>
      <c r="AR218" s="437">
        <v>317</v>
      </c>
      <c r="AS218" s="437">
        <f>AT218-SUM(AP218,AQ218,AR218)</f>
        <v>349</v>
      </c>
      <c r="AT218" s="436">
        <v>1282</v>
      </c>
      <c r="AU218" s="767">
        <v>391</v>
      </c>
      <c r="AV218" s="446"/>
      <c r="AW218" s="446"/>
      <c r="AX218" s="446"/>
      <c r="AY218" s="445"/>
      <c r="AZ218" s="446"/>
      <c r="BA218" s="446"/>
      <c r="BB218" s="446"/>
      <c r="BC218" s="446"/>
      <c r="BD218" s="445"/>
      <c r="BE218" s="445"/>
      <c r="BF218" s="445"/>
      <c r="BG218" s="445"/>
      <c r="BH218" s="351"/>
    </row>
    <row r="219" spans="1:60" s="345" customFormat="1" hidden="1" outlineLevel="1" x14ac:dyDescent="0.35">
      <c r="A219" s="350" t="s">
        <v>694</v>
      </c>
      <c r="B219" s="444"/>
      <c r="C219" s="445"/>
      <c r="D219" s="445"/>
      <c r="E219" s="445"/>
      <c r="F219" s="445"/>
      <c r="G219" s="446"/>
      <c r="H219" s="446"/>
      <c r="I219" s="446"/>
      <c r="J219" s="446"/>
      <c r="K219" s="445"/>
      <c r="L219" s="446"/>
      <c r="M219" s="446"/>
      <c r="N219" s="446"/>
      <c r="O219" s="446"/>
      <c r="P219" s="445"/>
      <c r="Q219" s="446"/>
      <c r="R219" s="446"/>
      <c r="S219" s="446"/>
      <c r="T219" s="446"/>
      <c r="U219" s="445"/>
      <c r="V219" s="446"/>
      <c r="W219" s="446"/>
      <c r="X219" s="446"/>
      <c r="Y219" s="446"/>
      <c r="Z219" s="436">
        <v>3</v>
      </c>
      <c r="AA219" s="446"/>
      <c r="AB219" s="446"/>
      <c r="AC219" s="446"/>
      <c r="AD219" s="446"/>
      <c r="AE219" s="436">
        <v>-4</v>
      </c>
      <c r="AF219" s="437">
        <v>-1</v>
      </c>
      <c r="AG219" s="446"/>
      <c r="AH219" s="437">
        <v>1</v>
      </c>
      <c r="AI219" s="437">
        <f>AJ219-SUM(AF219,AG219,AH219)</f>
        <v>-2</v>
      </c>
      <c r="AJ219" s="436">
        <v>-2</v>
      </c>
      <c r="AK219" s="437">
        <v>-1</v>
      </c>
      <c r="AL219" s="446"/>
      <c r="AM219" s="437">
        <v>1</v>
      </c>
      <c r="AN219" s="437">
        <f>AO219-SUM(AK219,AL219,AM219)</f>
        <v>-3</v>
      </c>
      <c r="AO219" s="436">
        <v>-3</v>
      </c>
      <c r="AP219" s="437">
        <v>0</v>
      </c>
      <c r="AQ219" s="446"/>
      <c r="AR219" s="446"/>
      <c r="AS219" s="437">
        <f>AT219-SUM(AP219,AQ219,AR219)</f>
        <v>-7</v>
      </c>
      <c r="AT219" s="436">
        <v>-7</v>
      </c>
      <c r="AU219" s="767"/>
      <c r="AV219" s="446"/>
      <c r="AW219" s="446"/>
      <c r="AX219" s="446"/>
      <c r="AY219" s="445"/>
      <c r="AZ219" s="446"/>
      <c r="BA219" s="446"/>
      <c r="BB219" s="446"/>
      <c r="BC219" s="446"/>
      <c r="BD219" s="445"/>
      <c r="BE219" s="445"/>
      <c r="BF219" s="445"/>
      <c r="BG219" s="445"/>
      <c r="BH219" s="351"/>
    </row>
    <row r="220" spans="1:60" s="69" customFormat="1" hidden="1" outlineLevel="1" x14ac:dyDescent="0.35">
      <c r="A220" s="89" t="s">
        <v>391</v>
      </c>
      <c r="B220" s="452"/>
      <c r="C220" s="453"/>
      <c r="D220" s="453"/>
      <c r="E220" s="453"/>
      <c r="F220" s="453"/>
      <c r="G220" s="454"/>
      <c r="H220" s="454"/>
      <c r="I220" s="454"/>
      <c r="J220" s="454"/>
      <c r="K220" s="453"/>
      <c r="L220" s="454"/>
      <c r="M220" s="454"/>
      <c r="N220" s="454"/>
      <c r="O220" s="454"/>
      <c r="P220" s="453"/>
      <c r="Q220" s="454"/>
      <c r="R220" s="454"/>
      <c r="S220" s="454"/>
      <c r="T220" s="454"/>
      <c r="U220" s="453"/>
      <c r="V220" s="439">
        <f>V37</f>
        <v>2244</v>
      </c>
      <c r="W220" s="439">
        <f>W37</f>
        <v>2302</v>
      </c>
      <c r="X220" s="439">
        <f>X37</f>
        <v>2423</v>
      </c>
      <c r="Y220" s="439">
        <f>Y37</f>
        <v>2298</v>
      </c>
      <c r="Z220" s="438">
        <f>SUM(Z216:Z219)</f>
        <v>9267</v>
      </c>
      <c r="AA220" s="439">
        <f>AA37</f>
        <v>2431</v>
      </c>
      <c r="AB220" s="439">
        <f>AB37</f>
        <v>2418</v>
      </c>
      <c r="AC220" s="439">
        <f>AC37</f>
        <v>2602</v>
      </c>
      <c r="AD220" s="439">
        <f>AD37</f>
        <v>2410</v>
      </c>
      <c r="AE220" s="438">
        <f t="shared" ref="AE220:AU220" si="427">SUM(AE216:AE219)</f>
        <v>9861</v>
      </c>
      <c r="AF220" s="439">
        <f t="shared" si="427"/>
        <v>2519</v>
      </c>
      <c r="AG220" s="439">
        <f t="shared" si="427"/>
        <v>2527</v>
      </c>
      <c r="AH220" s="439">
        <f t="shared" si="427"/>
        <v>2619</v>
      </c>
      <c r="AI220" s="439">
        <f t="shared" si="427"/>
        <v>2441</v>
      </c>
      <c r="AJ220" s="438">
        <f t="shared" si="427"/>
        <v>10106</v>
      </c>
      <c r="AK220" s="439">
        <f t="shared" si="427"/>
        <v>2355</v>
      </c>
      <c r="AL220" s="439">
        <f t="shared" si="427"/>
        <v>2450</v>
      </c>
      <c r="AM220" s="439">
        <f t="shared" si="427"/>
        <v>2500</v>
      </c>
      <c r="AN220" s="439">
        <f t="shared" si="427"/>
        <v>2286</v>
      </c>
      <c r="AO220" s="438">
        <f t="shared" si="427"/>
        <v>9591</v>
      </c>
      <c r="AP220" s="439">
        <f t="shared" si="427"/>
        <v>2238</v>
      </c>
      <c r="AQ220" s="439">
        <f t="shared" si="427"/>
        <v>1937</v>
      </c>
      <c r="AR220" s="439">
        <f t="shared" si="427"/>
        <v>2314</v>
      </c>
      <c r="AS220" s="439">
        <f t="shared" si="427"/>
        <v>2338</v>
      </c>
      <c r="AT220" s="438">
        <f t="shared" si="427"/>
        <v>8827</v>
      </c>
      <c r="AU220" s="765">
        <f t="shared" si="427"/>
        <v>2531</v>
      </c>
      <c r="AV220" s="439">
        <f>AV212</f>
        <v>2091.96</v>
      </c>
      <c r="AW220" s="439">
        <f>AW212</f>
        <v>2499.12</v>
      </c>
      <c r="AX220" s="439">
        <f>AX212</f>
        <v>2525.04</v>
      </c>
      <c r="AY220" s="438">
        <f>SUM(AU220,AV220,AW220,AX220)</f>
        <v>9647.119999999999</v>
      </c>
      <c r="AZ220" s="439">
        <f>AZ212</f>
        <v>2733.48</v>
      </c>
      <c r="BA220" s="439">
        <f>BA212</f>
        <v>2259.3168000000001</v>
      </c>
      <c r="BB220" s="439">
        <f>BB212</f>
        <v>2699.0495999999998</v>
      </c>
      <c r="BC220" s="439">
        <f>BC212</f>
        <v>2727.0432000000001</v>
      </c>
      <c r="BD220" s="438">
        <f>SUM(AZ220,BA220,BB220,BC220)</f>
        <v>10418.8896</v>
      </c>
      <c r="BE220" s="438">
        <f>BE212</f>
        <v>11252.400767999998</v>
      </c>
      <c r="BF220" s="438">
        <f>BF212</f>
        <v>12152.592829439998</v>
      </c>
      <c r="BG220" s="438">
        <f>BG212</f>
        <v>13124.800255795197</v>
      </c>
      <c r="BH220" s="79"/>
    </row>
    <row r="221" spans="1:60" s="69" customFormat="1" hidden="1" outlineLevel="1" x14ac:dyDescent="0.35">
      <c r="A221" s="426"/>
      <c r="B221" s="518"/>
      <c r="C221" s="519"/>
      <c r="D221" s="519"/>
      <c r="E221" s="519"/>
      <c r="F221" s="519"/>
      <c r="G221" s="520"/>
      <c r="H221" s="520"/>
      <c r="I221" s="520"/>
      <c r="J221" s="520"/>
      <c r="K221" s="519"/>
      <c r="L221" s="520"/>
      <c r="M221" s="520"/>
      <c r="N221" s="520"/>
      <c r="O221" s="520"/>
      <c r="P221" s="519"/>
      <c r="Q221" s="520"/>
      <c r="R221" s="520"/>
      <c r="S221" s="520"/>
      <c r="T221" s="520"/>
      <c r="U221" s="519"/>
      <c r="V221" s="520"/>
      <c r="W221" s="520"/>
      <c r="X221" s="520"/>
      <c r="Y221" s="520"/>
      <c r="Z221" s="519"/>
      <c r="AA221" s="520"/>
      <c r="AB221" s="520"/>
      <c r="AC221" s="520"/>
      <c r="AD221" s="520"/>
      <c r="AE221" s="519"/>
      <c r="AF221" s="520"/>
      <c r="AG221" s="520"/>
      <c r="AH221" s="520"/>
      <c r="AI221" s="520"/>
      <c r="AJ221" s="519"/>
      <c r="AK221" s="520"/>
      <c r="AL221" s="520"/>
      <c r="AM221" s="520"/>
      <c r="AN221" s="520"/>
      <c r="AO221" s="519"/>
      <c r="AP221" s="520"/>
      <c r="AQ221" s="520"/>
      <c r="AR221" s="520"/>
      <c r="AS221" s="520"/>
      <c r="AT221" s="519"/>
      <c r="AU221" s="766"/>
      <c r="AV221" s="520"/>
      <c r="AW221" s="520"/>
      <c r="AX221" s="520"/>
      <c r="AY221" s="519"/>
      <c r="AZ221" s="520"/>
      <c r="BA221" s="520"/>
      <c r="BB221" s="520"/>
      <c r="BC221" s="520"/>
      <c r="BD221" s="519"/>
      <c r="BE221" s="519"/>
      <c r="BF221" s="519"/>
      <c r="BG221" s="519"/>
      <c r="BH221" s="79"/>
    </row>
    <row r="222" spans="1:60" s="69" customFormat="1" hidden="1" outlineLevel="1" x14ac:dyDescent="0.35">
      <c r="A222" s="90" t="s">
        <v>387</v>
      </c>
      <c r="B222" s="518"/>
      <c r="C222" s="519"/>
      <c r="D222" s="519"/>
      <c r="E222" s="519"/>
      <c r="F222" s="519"/>
      <c r="G222" s="520"/>
      <c r="H222" s="520"/>
      <c r="I222" s="520"/>
      <c r="J222" s="520"/>
      <c r="K222" s="519"/>
      <c r="L222" s="520"/>
      <c r="M222" s="520"/>
      <c r="N222" s="520"/>
      <c r="O222" s="520"/>
      <c r="P222" s="519"/>
      <c r="Q222" s="520"/>
      <c r="R222" s="520"/>
      <c r="S222" s="520"/>
      <c r="T222" s="520"/>
      <c r="U222" s="519"/>
      <c r="V222" s="441">
        <f t="shared" ref="V222:AT222" si="428">V58</f>
        <v>503</v>
      </c>
      <c r="W222" s="441">
        <f t="shared" si="428"/>
        <v>515</v>
      </c>
      <c r="X222" s="441">
        <f t="shared" si="428"/>
        <v>598</v>
      </c>
      <c r="Y222" s="441">
        <f t="shared" si="428"/>
        <v>552</v>
      </c>
      <c r="Z222" s="440">
        <f t="shared" si="428"/>
        <v>2168</v>
      </c>
      <c r="AA222" s="441">
        <f t="shared" si="428"/>
        <v>569</v>
      </c>
      <c r="AB222" s="441">
        <f t="shared" si="428"/>
        <v>1040</v>
      </c>
      <c r="AC222" s="441">
        <f t="shared" si="428"/>
        <v>695</v>
      </c>
      <c r="AD222" s="441">
        <f t="shared" si="428"/>
        <v>682</v>
      </c>
      <c r="AE222" s="440">
        <f t="shared" si="428"/>
        <v>2986</v>
      </c>
      <c r="AF222" s="441">
        <f t="shared" si="428"/>
        <v>656</v>
      </c>
      <c r="AG222" s="441">
        <f t="shared" si="428"/>
        <v>669</v>
      </c>
      <c r="AH222" s="441">
        <f t="shared" si="428"/>
        <v>726</v>
      </c>
      <c r="AI222" s="441">
        <f t="shared" si="428"/>
        <v>598</v>
      </c>
      <c r="AJ222" s="440">
        <f t="shared" si="428"/>
        <v>2649</v>
      </c>
      <c r="AK222" s="441">
        <f t="shared" si="428"/>
        <v>522</v>
      </c>
      <c r="AL222" s="441">
        <f t="shared" si="428"/>
        <v>591</v>
      </c>
      <c r="AM222" s="441">
        <f t="shared" si="428"/>
        <v>637</v>
      </c>
      <c r="AN222" s="441">
        <f t="shared" si="428"/>
        <v>474</v>
      </c>
      <c r="AO222" s="440">
        <f t="shared" si="428"/>
        <v>2221</v>
      </c>
      <c r="AP222" s="441">
        <f t="shared" si="428"/>
        <v>484</v>
      </c>
      <c r="AQ222" s="441">
        <f t="shared" si="428"/>
        <v>382</v>
      </c>
      <c r="AR222" s="441">
        <f t="shared" si="428"/>
        <v>552</v>
      </c>
      <c r="AS222" s="441">
        <f t="shared" si="428"/>
        <v>511</v>
      </c>
      <c r="AT222" s="440">
        <f t="shared" si="428"/>
        <v>1927</v>
      </c>
      <c r="AU222" s="762">
        <f t="shared" ref="AU222" si="429">AU58</f>
        <v>591</v>
      </c>
      <c r="AV222" s="441">
        <f>AV220*AV230</f>
        <v>433.47960000000006</v>
      </c>
      <c r="AW222" s="441">
        <f>AW220*AW230</f>
        <v>621.15120000000002</v>
      </c>
      <c r="AX222" s="441">
        <f>AX220*AX230</f>
        <v>577.13040000000001</v>
      </c>
      <c r="AY222" s="440">
        <f>SUM(AU222,AV222,AW222,AX222)</f>
        <v>2222.7611999999999</v>
      </c>
      <c r="AZ222" s="441">
        <f>AZ220*AZ230</f>
        <v>665.61480000000006</v>
      </c>
      <c r="BA222" s="441">
        <f>BA220*BA230</f>
        <v>490.75113600000009</v>
      </c>
      <c r="BB222" s="441">
        <f>BB220*BB230</f>
        <v>697.83379200000002</v>
      </c>
      <c r="BC222" s="441">
        <f>BC220*BC230</f>
        <v>650.57126400000004</v>
      </c>
      <c r="BD222" s="440">
        <f>SUM(AZ222,BA222,BB222,BC222)</f>
        <v>2504.7709920000002</v>
      </c>
      <c r="BE222" s="440">
        <f>BE220*BE230</f>
        <v>2761.4146751999997</v>
      </c>
      <c r="BF222" s="440">
        <f>BF220*BF230</f>
        <v>3043.0908133631992</v>
      </c>
      <c r="BG222" s="440">
        <f>BG220*BG230</f>
        <v>3352.1620797112309</v>
      </c>
      <c r="BH222" s="79"/>
    </row>
    <row r="223" spans="1:60" s="345" customFormat="1" hidden="1" outlineLevel="1" x14ac:dyDescent="0.35">
      <c r="A223" s="91" t="s">
        <v>983</v>
      </c>
      <c r="B223" s="501"/>
      <c r="C223" s="502"/>
      <c r="D223" s="502"/>
      <c r="E223" s="502"/>
      <c r="F223" s="502"/>
      <c r="G223" s="463"/>
      <c r="H223" s="463"/>
      <c r="I223" s="463"/>
      <c r="J223" s="463"/>
      <c r="K223" s="502"/>
      <c r="L223" s="463"/>
      <c r="M223" s="463"/>
      <c r="N223" s="463"/>
      <c r="O223" s="463"/>
      <c r="P223" s="502"/>
      <c r="Q223" s="463"/>
      <c r="R223" s="463"/>
      <c r="S223" s="463"/>
      <c r="T223" s="463"/>
      <c r="U223" s="502"/>
      <c r="V223" s="463"/>
      <c r="W223" s="463"/>
      <c r="X223" s="463"/>
      <c r="Y223" s="463"/>
      <c r="Z223" s="502"/>
      <c r="AA223" s="463"/>
      <c r="AB223" s="463"/>
      <c r="AC223" s="463"/>
      <c r="AD223" s="463"/>
      <c r="AE223" s="502"/>
      <c r="AF223" s="463"/>
      <c r="AG223" s="463"/>
      <c r="AH223" s="463"/>
      <c r="AI223" s="463"/>
      <c r="AJ223" s="502"/>
      <c r="AK223" s="458">
        <v>-3</v>
      </c>
      <c r="AL223" s="463"/>
      <c r="AM223" s="463"/>
      <c r="AN223" s="463"/>
      <c r="AO223" s="502"/>
      <c r="AP223" s="458">
        <v>-2</v>
      </c>
      <c r="AQ223" s="463"/>
      <c r="AR223" s="463"/>
      <c r="AS223" s="463"/>
      <c r="AT223" s="502"/>
      <c r="AU223" s="768"/>
      <c r="AV223" s="463"/>
      <c r="AW223" s="463"/>
      <c r="AX223" s="463"/>
      <c r="AY223" s="480">
        <f>SUM(AU223,AV223,AW223,AX223)</f>
        <v>0</v>
      </c>
      <c r="AZ223" s="463"/>
      <c r="BA223" s="463"/>
      <c r="BB223" s="463"/>
      <c r="BC223" s="463"/>
      <c r="BD223" s="480">
        <f>SUM(AZ223,BA223,BB223,BC223)</f>
        <v>0</v>
      </c>
      <c r="BE223" s="502"/>
      <c r="BF223" s="502"/>
      <c r="BG223" s="502"/>
      <c r="BH223" s="351"/>
    </row>
    <row r="224" spans="1:60" s="69" customFormat="1" hidden="1" outlineLevel="1" x14ac:dyDescent="0.35">
      <c r="A224" s="89" t="s">
        <v>973</v>
      </c>
      <c r="B224" s="452"/>
      <c r="C224" s="453"/>
      <c r="D224" s="453"/>
      <c r="E224" s="453"/>
      <c r="F224" s="453"/>
      <c r="G224" s="454"/>
      <c r="H224" s="454"/>
      <c r="I224" s="454"/>
      <c r="J224" s="454"/>
      <c r="K224" s="453"/>
      <c r="L224" s="454"/>
      <c r="M224" s="454"/>
      <c r="N224" s="454"/>
      <c r="O224" s="454"/>
      <c r="P224" s="453"/>
      <c r="Q224" s="454"/>
      <c r="R224" s="454"/>
      <c r="S224" s="454"/>
      <c r="T224" s="454"/>
      <c r="U224" s="453"/>
      <c r="V224" s="454"/>
      <c r="W224" s="454"/>
      <c r="X224" s="454"/>
      <c r="Y224" s="454"/>
      <c r="Z224" s="453"/>
      <c r="AA224" s="454"/>
      <c r="AB224" s="454"/>
      <c r="AC224" s="454"/>
      <c r="AD224" s="454"/>
      <c r="AE224" s="453"/>
      <c r="AF224" s="454"/>
      <c r="AG224" s="454"/>
      <c r="AH224" s="454"/>
      <c r="AI224" s="454"/>
      <c r="AJ224" s="453"/>
      <c r="AK224" s="441">
        <f t="shared" ref="AK224:AO224" si="430">SUM(AK222:AK223)</f>
        <v>519</v>
      </c>
      <c r="AL224" s="441">
        <f t="shared" si="430"/>
        <v>591</v>
      </c>
      <c r="AM224" s="441">
        <f t="shared" si="430"/>
        <v>637</v>
      </c>
      <c r="AN224" s="441">
        <f t="shared" si="430"/>
        <v>474</v>
      </c>
      <c r="AO224" s="440">
        <f t="shared" si="430"/>
        <v>2221</v>
      </c>
      <c r="AP224" s="439">
        <f t="shared" ref="AP224:AY224" si="431">SUM(AP222:AP223)</f>
        <v>482</v>
      </c>
      <c r="AQ224" s="439">
        <f t="shared" si="431"/>
        <v>382</v>
      </c>
      <c r="AR224" s="439">
        <f t="shared" si="431"/>
        <v>552</v>
      </c>
      <c r="AS224" s="439">
        <f t="shared" si="431"/>
        <v>511</v>
      </c>
      <c r="AT224" s="438">
        <f t="shared" si="431"/>
        <v>1927</v>
      </c>
      <c r="AU224" s="765">
        <f t="shared" ref="AU224" si="432">SUM(AU222:AU223)</f>
        <v>591</v>
      </c>
      <c r="AV224" s="439">
        <f t="shared" si="431"/>
        <v>433.47960000000006</v>
      </c>
      <c r="AW224" s="439">
        <f t="shared" si="431"/>
        <v>621.15120000000002</v>
      </c>
      <c r="AX224" s="439">
        <f t="shared" si="431"/>
        <v>577.13040000000001</v>
      </c>
      <c r="AY224" s="438">
        <f t="shared" si="431"/>
        <v>2222.7611999999999</v>
      </c>
      <c r="AZ224" s="439">
        <f t="shared" ref="AZ224:BG224" si="433">SUM(AZ222:AZ223)</f>
        <v>665.61480000000006</v>
      </c>
      <c r="BA224" s="439">
        <f t="shared" si="433"/>
        <v>490.75113600000009</v>
      </c>
      <c r="BB224" s="439">
        <f t="shared" si="433"/>
        <v>697.83379200000002</v>
      </c>
      <c r="BC224" s="439">
        <f t="shared" si="433"/>
        <v>650.57126400000004</v>
      </c>
      <c r="BD224" s="438">
        <f t="shared" si="433"/>
        <v>2504.7709920000002</v>
      </c>
      <c r="BE224" s="438">
        <f t="shared" si="433"/>
        <v>2761.4146751999997</v>
      </c>
      <c r="BF224" s="438">
        <f t="shared" si="433"/>
        <v>3043.0908133631992</v>
      </c>
      <c r="BG224" s="438">
        <f t="shared" si="433"/>
        <v>3352.1620797112309</v>
      </c>
      <c r="BH224" s="79"/>
    </row>
    <row r="225" spans="1:60" s="345" customFormat="1" hidden="1" outlineLevel="1" x14ac:dyDescent="0.35">
      <c r="A225" s="466" t="s">
        <v>950</v>
      </c>
      <c r="B225" s="501"/>
      <c r="C225" s="502"/>
      <c r="D225" s="502"/>
      <c r="E225" s="502"/>
      <c r="F225" s="502"/>
      <c r="G225" s="463"/>
      <c r="H225" s="463"/>
      <c r="I225" s="463"/>
      <c r="J225" s="463"/>
      <c r="K225" s="502"/>
      <c r="L225" s="463"/>
      <c r="M225" s="463"/>
      <c r="N225" s="463"/>
      <c r="O225" s="463"/>
      <c r="P225" s="502"/>
      <c r="Q225" s="463"/>
      <c r="R225" s="463"/>
      <c r="S225" s="463"/>
      <c r="T225" s="463"/>
      <c r="U225" s="502"/>
      <c r="V225" s="463"/>
      <c r="W225" s="463"/>
      <c r="X225" s="463"/>
      <c r="Y225" s="463"/>
      <c r="Z225" s="502"/>
      <c r="AA225" s="463"/>
      <c r="AB225" s="463"/>
      <c r="AC225" s="463"/>
      <c r="AD225" s="463"/>
      <c r="AE225" s="502"/>
      <c r="AF225" s="463"/>
      <c r="AG225" s="463"/>
      <c r="AH225" s="463"/>
      <c r="AI225" s="463"/>
      <c r="AJ225" s="502"/>
      <c r="AK225" s="463">
        <v>77</v>
      </c>
      <c r="AL225" s="463">
        <v>79</v>
      </c>
      <c r="AM225" s="463">
        <v>79</v>
      </c>
      <c r="AN225" s="463">
        <v>102</v>
      </c>
      <c r="AO225" s="502">
        <v>401</v>
      </c>
      <c r="AP225" s="463">
        <v>77</v>
      </c>
      <c r="AQ225" s="463">
        <v>89</v>
      </c>
      <c r="AR225" s="463">
        <v>91</v>
      </c>
      <c r="AS225" s="463">
        <v>113</v>
      </c>
      <c r="AT225" s="502">
        <v>429</v>
      </c>
      <c r="AU225" s="768">
        <v>99</v>
      </c>
      <c r="AV225" s="945">
        <f>Drivers!AV51</f>
        <v>90</v>
      </c>
      <c r="AW225" s="945">
        <f>Drivers!AW51</f>
        <v>90</v>
      </c>
      <c r="AX225" s="945">
        <f>Drivers!AX51</f>
        <v>90</v>
      </c>
      <c r="AY225" s="502">
        <f>SUM(AU225,AV225,AW225,AX225)</f>
        <v>369</v>
      </c>
      <c r="AZ225" s="945">
        <f>Drivers!AZ51</f>
        <v>90</v>
      </c>
      <c r="BA225" s="945">
        <f>Drivers!BA51</f>
        <v>90</v>
      </c>
      <c r="BB225" s="945">
        <f>Drivers!BB51</f>
        <v>90</v>
      </c>
      <c r="BC225" s="945">
        <f>Drivers!BC51</f>
        <v>90</v>
      </c>
      <c r="BD225" s="502">
        <f>SUM(AZ225,BA225,BB225,BC225)</f>
        <v>360</v>
      </c>
      <c r="BE225" s="945">
        <f>Drivers!BE51</f>
        <v>360</v>
      </c>
      <c r="BF225" s="945">
        <f>Drivers!BF51</f>
        <v>360</v>
      </c>
      <c r="BG225" s="945">
        <f>Drivers!BG51</f>
        <v>360</v>
      </c>
      <c r="BH225" s="351"/>
    </row>
    <row r="226" spans="1:60" s="69" customFormat="1" hidden="1" outlineLevel="1" x14ac:dyDescent="0.35">
      <c r="A226" s="90" t="s">
        <v>948</v>
      </c>
      <c r="B226" s="518"/>
      <c r="C226" s="519"/>
      <c r="D226" s="519"/>
      <c r="E226" s="519"/>
      <c r="F226" s="519"/>
      <c r="G226" s="520"/>
      <c r="H226" s="520"/>
      <c r="I226" s="520"/>
      <c r="J226" s="520"/>
      <c r="K226" s="519"/>
      <c r="L226" s="520"/>
      <c r="M226" s="520"/>
      <c r="N226" s="520"/>
      <c r="O226" s="520"/>
      <c r="P226" s="519"/>
      <c r="Q226" s="520"/>
      <c r="R226" s="520"/>
      <c r="S226" s="520"/>
      <c r="T226" s="520"/>
      <c r="U226" s="519"/>
      <c r="V226" s="520"/>
      <c r="W226" s="520"/>
      <c r="X226" s="520"/>
      <c r="Y226" s="520"/>
      <c r="Z226" s="519"/>
      <c r="AA226" s="520"/>
      <c r="AB226" s="520"/>
      <c r="AC226" s="520"/>
      <c r="AD226" s="520"/>
      <c r="AE226" s="519"/>
      <c r="AF226" s="520"/>
      <c r="AG226" s="520"/>
      <c r="AH226" s="520"/>
      <c r="AI226" s="520"/>
      <c r="AJ226" s="519"/>
      <c r="AK226" s="441">
        <f>SUM(AK224:AK225)</f>
        <v>596</v>
      </c>
      <c r="AL226" s="441">
        <f t="shared" ref="AL226" si="434">SUM(AL224:AL225)</f>
        <v>670</v>
      </c>
      <c r="AM226" s="441">
        <f t="shared" ref="AM226" si="435">SUM(AM224:AM225)</f>
        <v>716</v>
      </c>
      <c r="AN226" s="441">
        <f t="shared" ref="AN226" si="436">SUM(AN224:AN225)</f>
        <v>576</v>
      </c>
      <c r="AO226" s="440">
        <f t="shared" ref="AO226" si="437">SUM(AO224:AO225)</f>
        <v>2622</v>
      </c>
      <c r="AP226" s="441">
        <f>SUM(AP224:AP225)</f>
        <v>559</v>
      </c>
      <c r="AQ226" s="441">
        <f t="shared" ref="AQ226:AY226" si="438">SUM(AQ224:AQ225)</f>
        <v>471</v>
      </c>
      <c r="AR226" s="441">
        <f t="shared" si="438"/>
        <v>643</v>
      </c>
      <c r="AS226" s="441">
        <f t="shared" si="438"/>
        <v>624</v>
      </c>
      <c r="AT226" s="440">
        <f t="shared" si="438"/>
        <v>2356</v>
      </c>
      <c r="AU226" s="762">
        <f>SUM(AU224:AU225)</f>
        <v>690</v>
      </c>
      <c r="AV226" s="441">
        <f t="shared" si="438"/>
        <v>523.47960000000012</v>
      </c>
      <c r="AW226" s="441">
        <f t="shared" si="438"/>
        <v>711.15120000000002</v>
      </c>
      <c r="AX226" s="441">
        <f t="shared" si="438"/>
        <v>667.13040000000001</v>
      </c>
      <c r="AY226" s="440">
        <f t="shared" si="438"/>
        <v>2591.7611999999999</v>
      </c>
      <c r="AZ226" s="441">
        <f t="shared" ref="AZ226:BG226" si="439">SUM(AZ224:AZ225)</f>
        <v>755.61480000000006</v>
      </c>
      <c r="BA226" s="441">
        <f t="shared" si="439"/>
        <v>580.75113600000009</v>
      </c>
      <c r="BB226" s="441">
        <f t="shared" si="439"/>
        <v>787.83379200000002</v>
      </c>
      <c r="BC226" s="441">
        <f t="shared" si="439"/>
        <v>740.57126400000004</v>
      </c>
      <c r="BD226" s="440">
        <f t="shared" si="439"/>
        <v>2864.7709920000002</v>
      </c>
      <c r="BE226" s="440">
        <f t="shared" si="439"/>
        <v>3121.4146751999997</v>
      </c>
      <c r="BF226" s="440">
        <f t="shared" si="439"/>
        <v>3403.0908133631992</v>
      </c>
      <c r="BG226" s="440">
        <f t="shared" si="439"/>
        <v>3712.1620797112309</v>
      </c>
      <c r="BH226" s="79"/>
    </row>
    <row r="227" spans="1:60" s="69" customFormat="1" hidden="1" outlineLevel="1" x14ac:dyDescent="0.35">
      <c r="A227" s="426"/>
      <c r="B227" s="518"/>
      <c r="C227" s="519"/>
      <c r="D227" s="519"/>
      <c r="E227" s="519"/>
      <c r="F227" s="519"/>
      <c r="G227" s="520"/>
      <c r="H227" s="520"/>
      <c r="I227" s="520"/>
      <c r="J227" s="520"/>
      <c r="K227" s="519"/>
      <c r="L227" s="520"/>
      <c r="M227" s="520"/>
      <c r="N227" s="520"/>
      <c r="O227" s="520"/>
      <c r="P227" s="519"/>
      <c r="Q227" s="520"/>
      <c r="R227" s="520"/>
      <c r="S227" s="520"/>
      <c r="T227" s="520"/>
      <c r="U227" s="519"/>
      <c r="V227" s="520"/>
      <c r="W227" s="520"/>
      <c r="X227" s="520"/>
      <c r="Y227" s="520"/>
      <c r="Z227" s="519"/>
      <c r="AA227" s="520"/>
      <c r="AB227" s="520"/>
      <c r="AC227" s="520"/>
      <c r="AD227" s="520"/>
      <c r="AE227" s="519"/>
      <c r="AF227" s="520"/>
      <c r="AG227" s="520"/>
      <c r="AH227" s="520"/>
      <c r="AI227" s="520"/>
      <c r="AJ227" s="519"/>
      <c r="AK227" s="520"/>
      <c r="AL227" s="520"/>
      <c r="AM227" s="520"/>
      <c r="AN227" s="520"/>
      <c r="AO227" s="519"/>
      <c r="AP227" s="520"/>
      <c r="AQ227" s="520"/>
      <c r="AR227" s="520"/>
      <c r="AS227" s="520"/>
      <c r="AT227" s="519"/>
      <c r="AU227" s="766"/>
      <c r="AV227" s="520"/>
      <c r="AW227" s="520"/>
      <c r="AX227" s="520"/>
      <c r="AY227" s="519"/>
      <c r="AZ227" s="520"/>
      <c r="BA227" s="520"/>
      <c r="BB227" s="520"/>
      <c r="BC227" s="520"/>
      <c r="BD227" s="519"/>
      <c r="BE227" s="519"/>
      <c r="BF227" s="519"/>
      <c r="BG227" s="519"/>
      <c r="BH227" s="79"/>
    </row>
    <row r="228" spans="1:60" s="225" customFormat="1" hidden="1" outlineLevel="1" x14ac:dyDescent="0.35">
      <c r="A228" s="538" t="s">
        <v>949</v>
      </c>
      <c r="B228" s="176"/>
      <c r="C228" s="113"/>
      <c r="D228" s="113"/>
      <c r="E228" s="113"/>
      <c r="F228" s="113"/>
      <c r="G228" s="177"/>
      <c r="H228" s="177"/>
      <c r="I228" s="177"/>
      <c r="J228" s="177"/>
      <c r="K228" s="113"/>
      <c r="L228" s="177"/>
      <c r="M228" s="177"/>
      <c r="N228" s="177"/>
      <c r="O228" s="177"/>
      <c r="P228" s="113"/>
      <c r="Q228" s="177"/>
      <c r="R228" s="177"/>
      <c r="S228" s="177"/>
      <c r="T228" s="177"/>
      <c r="U228" s="113"/>
      <c r="V228" s="177"/>
      <c r="W228" s="177"/>
      <c r="X228" s="177"/>
      <c r="Y228" s="177"/>
      <c r="Z228" s="113"/>
      <c r="AA228" s="177"/>
      <c r="AB228" s="177"/>
      <c r="AC228" s="177"/>
      <c r="AD228" s="177"/>
      <c r="AE228" s="113"/>
      <c r="AF228" s="177"/>
      <c r="AG228" s="177"/>
      <c r="AH228" s="177"/>
      <c r="AI228" s="177"/>
      <c r="AJ228" s="113"/>
      <c r="AK228" s="226">
        <f t="shared" ref="AK228:AO228" si="440">AK226/AK220</f>
        <v>0.25307855626326964</v>
      </c>
      <c r="AL228" s="226">
        <f t="shared" si="440"/>
        <v>0.27346938775510204</v>
      </c>
      <c r="AM228" s="226">
        <f t="shared" si="440"/>
        <v>0.28639999999999999</v>
      </c>
      <c r="AN228" s="226">
        <f t="shared" si="440"/>
        <v>0.25196850393700787</v>
      </c>
      <c r="AO228" s="223">
        <f t="shared" si="440"/>
        <v>0.2733812949640288</v>
      </c>
      <c r="AP228" s="226">
        <f t="shared" ref="AP228:AY228" si="441">AP226/AP220</f>
        <v>0.24977658623771223</v>
      </c>
      <c r="AQ228" s="226">
        <f t="shared" si="441"/>
        <v>0.24315952503871968</v>
      </c>
      <c r="AR228" s="226">
        <f t="shared" si="441"/>
        <v>0.27787381158167673</v>
      </c>
      <c r="AS228" s="226">
        <f t="shared" ref="AS228:AU228" si="442">AS226/AS220</f>
        <v>0.26689478186484172</v>
      </c>
      <c r="AT228" s="223">
        <f t="shared" si="442"/>
        <v>0.26690834938257618</v>
      </c>
      <c r="AU228" s="773">
        <f t="shared" si="442"/>
        <v>0.27261951797708417</v>
      </c>
      <c r="AV228" s="226">
        <f t="shared" si="441"/>
        <v>0.25023403889175705</v>
      </c>
      <c r="AW228" s="226">
        <f t="shared" si="441"/>
        <v>0.28456064534716224</v>
      </c>
      <c r="AX228" s="226">
        <f t="shared" si="441"/>
        <v>0.26420587396635303</v>
      </c>
      <c r="AY228" s="223">
        <f t="shared" si="441"/>
        <v>0.26865646949555932</v>
      </c>
      <c r="AZ228" s="226">
        <f t="shared" ref="AZ228:BG228" si="443">AZ226/AZ220</f>
        <v>0.27642960621625184</v>
      </c>
      <c r="BA228" s="226">
        <f t="shared" si="443"/>
        <v>0.25704723481009839</v>
      </c>
      <c r="BB228" s="226">
        <f t="shared" si="443"/>
        <v>0.29189303968330188</v>
      </c>
      <c r="BC228" s="226">
        <f t="shared" si="443"/>
        <v>0.27156565176525255</v>
      </c>
      <c r="BD228" s="223">
        <f t="shared" si="443"/>
        <v>0.27495933846923576</v>
      </c>
      <c r="BE228" s="223">
        <f t="shared" si="443"/>
        <v>0.27739988466077359</v>
      </c>
      <c r="BF228" s="223">
        <f t="shared" si="443"/>
        <v>0.28003002002330862</v>
      </c>
      <c r="BG228" s="223">
        <f t="shared" si="443"/>
        <v>0.28283570091454474</v>
      </c>
      <c r="BH228" s="94"/>
    </row>
    <row r="229" spans="1:60" s="225" customFormat="1" hidden="1" outlineLevel="1" x14ac:dyDescent="0.35">
      <c r="A229" s="538" t="s">
        <v>974</v>
      </c>
      <c r="B229" s="176"/>
      <c r="C229" s="113"/>
      <c r="D229" s="113"/>
      <c r="E229" s="113"/>
      <c r="F229" s="113"/>
      <c r="G229" s="177"/>
      <c r="H229" s="177"/>
      <c r="I229" s="177"/>
      <c r="J229" s="177"/>
      <c r="K229" s="113"/>
      <c r="L229" s="177"/>
      <c r="M229" s="177"/>
      <c r="N229" s="177"/>
      <c r="O229" s="177"/>
      <c r="P229" s="113"/>
      <c r="Q229" s="177"/>
      <c r="R229" s="177"/>
      <c r="S229" s="177"/>
      <c r="T229" s="177"/>
      <c r="U229" s="113"/>
      <c r="V229" s="177"/>
      <c r="W229" s="177"/>
      <c r="X229" s="177"/>
      <c r="Y229" s="177"/>
      <c r="Z229" s="113"/>
      <c r="AA229" s="177"/>
      <c r="AB229" s="177"/>
      <c r="AC229" s="177"/>
      <c r="AD229" s="177"/>
      <c r="AE229" s="113"/>
      <c r="AF229" s="177"/>
      <c r="AG229" s="177"/>
      <c r="AH229" s="177"/>
      <c r="AI229" s="177"/>
      <c r="AJ229" s="113"/>
      <c r="AK229" s="226">
        <f t="shared" ref="AK229:AO229" si="444">AK224/AK220</f>
        <v>0.22038216560509555</v>
      </c>
      <c r="AL229" s="226">
        <f t="shared" si="444"/>
        <v>0.24122448979591837</v>
      </c>
      <c r="AM229" s="226">
        <f t="shared" si="444"/>
        <v>0.25480000000000003</v>
      </c>
      <c r="AN229" s="226">
        <f t="shared" si="444"/>
        <v>0.20734908136482941</v>
      </c>
      <c r="AO229" s="223">
        <f t="shared" si="444"/>
        <v>0.23157126472734857</v>
      </c>
      <c r="AP229" s="226">
        <f t="shared" ref="AP229:AY229" si="445">AP224/AP220</f>
        <v>0.21537086684539766</v>
      </c>
      <c r="AQ229" s="226">
        <f t="shared" si="445"/>
        <v>0.197212183789365</v>
      </c>
      <c r="AR229" s="226">
        <f t="shared" si="445"/>
        <v>0.23854796888504753</v>
      </c>
      <c r="AS229" s="226">
        <f t="shared" ref="AS229:AU229" si="446">AS224/AS220</f>
        <v>0.21856287425149701</v>
      </c>
      <c r="AT229" s="223">
        <f t="shared" si="446"/>
        <v>0.21830746573014614</v>
      </c>
      <c r="AU229" s="773">
        <f t="shared" si="446"/>
        <v>0.23350454365863296</v>
      </c>
      <c r="AV229" s="226">
        <f t="shared" si="445"/>
        <v>0.20721218378936501</v>
      </c>
      <c r="AW229" s="226">
        <f t="shared" si="445"/>
        <v>0.24854796888504754</v>
      </c>
      <c r="AX229" s="226">
        <f t="shared" si="445"/>
        <v>0.22856287425149702</v>
      </c>
      <c r="AY229" s="223">
        <f t="shared" si="445"/>
        <v>0.23040671205499674</v>
      </c>
      <c r="AZ229" s="226">
        <f t="shared" ref="AZ229:BG229" si="447">AZ224/AZ220</f>
        <v>0.24350454365863297</v>
      </c>
      <c r="BA229" s="226">
        <f t="shared" si="447"/>
        <v>0.21721218378936502</v>
      </c>
      <c r="BB229" s="226">
        <f t="shared" si="447"/>
        <v>0.25854796888504755</v>
      </c>
      <c r="BC229" s="226">
        <f t="shared" si="447"/>
        <v>0.23856287425149703</v>
      </c>
      <c r="BD229" s="223">
        <f t="shared" si="447"/>
        <v>0.24040671205499672</v>
      </c>
      <c r="BE229" s="223">
        <f t="shared" si="447"/>
        <v>0.24540671205499676</v>
      </c>
      <c r="BF229" s="223">
        <f t="shared" si="447"/>
        <v>0.25040671205499671</v>
      </c>
      <c r="BG229" s="223">
        <f t="shared" si="447"/>
        <v>0.25540671205499671</v>
      </c>
      <c r="BH229" s="94"/>
    </row>
    <row r="230" spans="1:60" s="249" customFormat="1" hidden="1" outlineLevel="1" x14ac:dyDescent="0.35">
      <c r="A230" s="538" t="s">
        <v>399</v>
      </c>
      <c r="B230" s="607"/>
      <c r="C230" s="522"/>
      <c r="D230" s="522"/>
      <c r="E230" s="522"/>
      <c r="F230" s="522"/>
      <c r="G230" s="234"/>
      <c r="H230" s="234"/>
      <c r="I230" s="234"/>
      <c r="J230" s="234"/>
      <c r="K230" s="522"/>
      <c r="L230" s="234"/>
      <c r="M230" s="234"/>
      <c r="N230" s="234"/>
      <c r="O230" s="234"/>
      <c r="P230" s="522"/>
      <c r="Q230" s="234"/>
      <c r="R230" s="234"/>
      <c r="S230" s="234"/>
      <c r="T230" s="234"/>
      <c r="U230" s="522"/>
      <c r="V230" s="234">
        <f t="shared" ref="V230:AU230" si="448">V222/V220</f>
        <v>0.22415329768270945</v>
      </c>
      <c r="W230" s="234">
        <f t="shared" si="448"/>
        <v>0.22371850564726325</v>
      </c>
      <c r="X230" s="234">
        <f t="shared" si="448"/>
        <v>0.24680148576145275</v>
      </c>
      <c r="Y230" s="234">
        <f t="shared" si="448"/>
        <v>0.24020887728459531</v>
      </c>
      <c r="Z230" s="522">
        <f t="shared" si="448"/>
        <v>0.23394841912161432</v>
      </c>
      <c r="AA230" s="234">
        <f t="shared" si="448"/>
        <v>0.23406005758946935</v>
      </c>
      <c r="AB230" s="234">
        <f t="shared" si="448"/>
        <v>0.43010752688172044</v>
      </c>
      <c r="AC230" s="234">
        <f t="shared" si="448"/>
        <v>0.26710222905457343</v>
      </c>
      <c r="AD230" s="234">
        <f t="shared" si="448"/>
        <v>0.28298755186721991</v>
      </c>
      <c r="AE230" s="522">
        <f t="shared" si="448"/>
        <v>0.30280904573572659</v>
      </c>
      <c r="AF230" s="234">
        <f t="shared" si="448"/>
        <v>0.26042080190551808</v>
      </c>
      <c r="AG230" s="234">
        <f t="shared" si="448"/>
        <v>0.26474079936683814</v>
      </c>
      <c r="AH230" s="234">
        <f t="shared" si="448"/>
        <v>0.27720504009163804</v>
      </c>
      <c r="AI230" s="234">
        <f t="shared" si="448"/>
        <v>0.24498156493240475</v>
      </c>
      <c r="AJ230" s="522">
        <f t="shared" si="448"/>
        <v>0.26212151197308531</v>
      </c>
      <c r="AK230" s="234">
        <f t="shared" si="448"/>
        <v>0.22165605095541402</v>
      </c>
      <c r="AL230" s="234">
        <f t="shared" si="448"/>
        <v>0.24122448979591837</v>
      </c>
      <c r="AM230" s="234">
        <f t="shared" si="448"/>
        <v>0.25480000000000003</v>
      </c>
      <c r="AN230" s="234">
        <f t="shared" si="448"/>
        <v>0.20734908136482941</v>
      </c>
      <c r="AO230" s="522">
        <f t="shared" si="448"/>
        <v>0.23157126472734857</v>
      </c>
      <c r="AP230" s="234">
        <f t="shared" si="448"/>
        <v>0.2162645218945487</v>
      </c>
      <c r="AQ230" s="234">
        <f t="shared" si="448"/>
        <v>0.197212183789365</v>
      </c>
      <c r="AR230" s="234">
        <f t="shared" si="448"/>
        <v>0.23854796888504753</v>
      </c>
      <c r="AS230" s="234">
        <f t="shared" si="448"/>
        <v>0.21856287425149701</v>
      </c>
      <c r="AT230" s="522">
        <f t="shared" si="448"/>
        <v>0.21830746573014614</v>
      </c>
      <c r="AU230" s="781">
        <f t="shared" si="448"/>
        <v>0.23350454365863296</v>
      </c>
      <c r="AV230" s="946">
        <f>Drivers!AV52</f>
        <v>0.20721218378936501</v>
      </c>
      <c r="AW230" s="946">
        <f>Drivers!AW52</f>
        <v>0.24854796888504754</v>
      </c>
      <c r="AX230" s="946">
        <f>Drivers!AX52</f>
        <v>0.22856287425149702</v>
      </c>
      <c r="AY230" s="522">
        <f>AY222/AY220</f>
        <v>0.23040671205499674</v>
      </c>
      <c r="AZ230" s="234">
        <f>AU230+AZ231/10000</f>
        <v>0.24350454365863297</v>
      </c>
      <c r="BA230" s="234">
        <f>AV230+BA231/10000</f>
        <v>0.21721218378936502</v>
      </c>
      <c r="BB230" s="234">
        <f>AW230+BB231/10000</f>
        <v>0.25854796888504755</v>
      </c>
      <c r="BC230" s="234">
        <f>AX230+BC231/10000</f>
        <v>0.23856287425149703</v>
      </c>
      <c r="BD230" s="522">
        <f>BD222/BD220</f>
        <v>0.24040671205499672</v>
      </c>
      <c r="BE230" s="522">
        <f>BD230+BE231/10000</f>
        <v>0.24540671205499673</v>
      </c>
      <c r="BF230" s="522">
        <f>BE230+BF231/10000</f>
        <v>0.25040671205499671</v>
      </c>
      <c r="BG230" s="522">
        <f>BF230+BG231/10000</f>
        <v>0.25540671205499671</v>
      </c>
      <c r="BH230" s="235"/>
    </row>
    <row r="231" spans="1:60" s="597" customFormat="1" hidden="1" outlineLevel="1" x14ac:dyDescent="0.35">
      <c r="A231" s="634" t="s">
        <v>824</v>
      </c>
      <c r="B231" s="635"/>
      <c r="C231" s="163"/>
      <c r="D231" s="163"/>
      <c r="E231" s="163"/>
      <c r="F231" s="163"/>
      <c r="G231" s="164"/>
      <c r="H231" s="164"/>
      <c r="I231" s="164"/>
      <c r="J231" s="164"/>
      <c r="K231" s="163"/>
      <c r="L231" s="164"/>
      <c r="M231" s="164"/>
      <c r="N231" s="164"/>
      <c r="O231" s="164"/>
      <c r="P231" s="163"/>
      <c r="Q231" s="164"/>
      <c r="R231" s="164"/>
      <c r="S231" s="164"/>
      <c r="T231" s="164"/>
      <c r="U231" s="163"/>
      <c r="V231" s="164"/>
      <c r="W231" s="164"/>
      <c r="X231" s="164"/>
      <c r="Y231" s="164"/>
      <c r="Z231" s="163"/>
      <c r="AA231" s="164">
        <f t="shared" ref="AA231:AU231" si="449">(AA230-V230)*10000</f>
        <v>99.067599067599048</v>
      </c>
      <c r="AB231" s="164">
        <f t="shared" si="449"/>
        <v>2063.8902123445719</v>
      </c>
      <c r="AC231" s="164">
        <f t="shared" si="449"/>
        <v>203.00743293120678</v>
      </c>
      <c r="AD231" s="164">
        <f t="shared" si="449"/>
        <v>427.78674582624603</v>
      </c>
      <c r="AE231" s="163">
        <f t="shared" si="449"/>
        <v>688.60626614112266</v>
      </c>
      <c r="AF231" s="164">
        <f t="shared" si="449"/>
        <v>263.60744316048732</v>
      </c>
      <c r="AG231" s="164">
        <f t="shared" si="449"/>
        <v>-1653.6672751488229</v>
      </c>
      <c r="AH231" s="164">
        <f t="shared" si="449"/>
        <v>101.02811037064619</v>
      </c>
      <c r="AI231" s="164">
        <f t="shared" si="449"/>
        <v>-380.05986934815161</v>
      </c>
      <c r="AJ231" s="163">
        <f t="shared" si="449"/>
        <v>-406.87533762641283</v>
      </c>
      <c r="AK231" s="164">
        <f t="shared" si="449"/>
        <v>-387.64750950104064</v>
      </c>
      <c r="AL231" s="164">
        <f t="shared" si="449"/>
        <v>-235.16309570919768</v>
      </c>
      <c r="AM231" s="164">
        <f t="shared" si="449"/>
        <v>-224.05040091638017</v>
      </c>
      <c r="AN231" s="164">
        <f t="shared" si="449"/>
        <v>-376.32483567575343</v>
      </c>
      <c r="AO231" s="163">
        <f t="shared" si="449"/>
        <v>-305.50247245736739</v>
      </c>
      <c r="AP231" s="164">
        <f t="shared" si="449"/>
        <v>-53.915290608653187</v>
      </c>
      <c r="AQ231" s="164">
        <f t="shared" si="449"/>
        <v>-440.12306006553371</v>
      </c>
      <c r="AR231" s="164">
        <f t="shared" si="449"/>
        <v>-162.52031114952493</v>
      </c>
      <c r="AS231" s="164">
        <f t="shared" si="449"/>
        <v>112.13792886667601</v>
      </c>
      <c r="AT231" s="163">
        <f t="shared" si="449"/>
        <v>-132.63798997202426</v>
      </c>
      <c r="AU231" s="782">
        <f t="shared" si="449"/>
        <v>172.40021764084261</v>
      </c>
      <c r="AV231" s="639"/>
      <c r="AW231" s="639"/>
      <c r="AX231" s="639"/>
      <c r="AY231" s="636"/>
      <c r="AZ231" s="950">
        <f>Drivers!AZ53</f>
        <v>100</v>
      </c>
      <c r="BA231" s="950">
        <f>Drivers!BA53</f>
        <v>100</v>
      </c>
      <c r="BB231" s="950">
        <f>Drivers!BB53</f>
        <v>100</v>
      </c>
      <c r="BC231" s="950">
        <f>Drivers!BC53</f>
        <v>100</v>
      </c>
      <c r="BD231" s="636">
        <f>(BD230-AY230)*10000</f>
        <v>99.999999999999815</v>
      </c>
      <c r="BE231" s="950">
        <f>Drivers!BE53</f>
        <v>50</v>
      </c>
      <c r="BF231" s="950">
        <f>Drivers!BF53</f>
        <v>50</v>
      </c>
      <c r="BG231" s="950">
        <f>Drivers!BG53</f>
        <v>50</v>
      </c>
      <c r="BH231" s="596"/>
    </row>
    <row r="232" spans="1:60" s="602" customFormat="1" hidden="1" outlineLevel="1" x14ac:dyDescent="0.35">
      <c r="A232" s="598" t="s">
        <v>825</v>
      </c>
      <c r="B232" s="679"/>
      <c r="C232" s="182"/>
      <c r="D232" s="182"/>
      <c r="E232" s="182"/>
      <c r="F232" s="182"/>
      <c r="G232" s="183"/>
      <c r="H232" s="183"/>
      <c r="I232" s="183"/>
      <c r="J232" s="183"/>
      <c r="K232" s="182"/>
      <c r="L232" s="183"/>
      <c r="M232" s="183"/>
      <c r="N232" s="183"/>
      <c r="O232" s="183"/>
      <c r="P232" s="182"/>
      <c r="Q232" s="183"/>
      <c r="R232" s="183"/>
      <c r="S232" s="183"/>
      <c r="T232" s="183"/>
      <c r="U232" s="182"/>
      <c r="V232" s="183"/>
      <c r="W232" s="183"/>
      <c r="X232" s="183"/>
      <c r="Y232" s="183"/>
      <c r="Z232" s="182"/>
      <c r="AA232" s="442">
        <f t="shared" ref="AA232:AU232" si="450">IFERROR((AA222-V222)/(AA220-V220),"N/A")</f>
        <v>0.35294117647058826</v>
      </c>
      <c r="AB232" s="442">
        <f t="shared" si="450"/>
        <v>4.5258620689655169</v>
      </c>
      <c r="AC232" s="442">
        <f t="shared" si="450"/>
        <v>0.54189944134078216</v>
      </c>
      <c r="AD232" s="442">
        <f t="shared" si="450"/>
        <v>1.1607142857142858</v>
      </c>
      <c r="AE232" s="623">
        <f t="shared" si="450"/>
        <v>1.3771043771043772</v>
      </c>
      <c r="AF232" s="442">
        <f t="shared" si="450"/>
        <v>0.98863636363636365</v>
      </c>
      <c r="AG232" s="442">
        <f t="shared" si="450"/>
        <v>-3.403669724770642</v>
      </c>
      <c r="AH232" s="442">
        <f t="shared" si="450"/>
        <v>1.8235294117647058</v>
      </c>
      <c r="AI232" s="442">
        <f t="shared" si="450"/>
        <v>-2.7096774193548385</v>
      </c>
      <c r="AJ232" s="623">
        <f t="shared" si="450"/>
        <v>-1.3755102040816327</v>
      </c>
      <c r="AK232" s="442">
        <f t="shared" si="450"/>
        <v>0.81707317073170727</v>
      </c>
      <c r="AL232" s="442">
        <f t="shared" si="450"/>
        <v>1.0129870129870129</v>
      </c>
      <c r="AM232" s="442">
        <f t="shared" si="450"/>
        <v>0.74789915966386555</v>
      </c>
      <c r="AN232" s="442">
        <f t="shared" si="450"/>
        <v>0.8</v>
      </c>
      <c r="AO232" s="623">
        <f t="shared" si="450"/>
        <v>0.83106796116504855</v>
      </c>
      <c r="AP232" s="442">
        <f t="shared" si="450"/>
        <v>0.3247863247863248</v>
      </c>
      <c r="AQ232" s="183">
        <f t="shared" si="450"/>
        <v>0.40740740740740738</v>
      </c>
      <c r="AR232" s="183">
        <f t="shared" si="450"/>
        <v>0.45698924731182794</v>
      </c>
      <c r="AS232" s="442">
        <f>IFERROR((AS222-AN222)/(AS220-AN220),"N/A")</f>
        <v>0.71153846153846156</v>
      </c>
      <c r="AT232" s="623">
        <f>IFERROR((AT222-AO222)/(AT220-AO220),"N/A")</f>
        <v>0.38481675392670156</v>
      </c>
      <c r="AU232" s="777">
        <f t="shared" si="450"/>
        <v>0.3651877133105802</v>
      </c>
      <c r="AV232" s="600"/>
      <c r="AW232" s="600"/>
      <c r="AX232" s="600"/>
      <c r="AY232" s="601"/>
      <c r="AZ232" s="600">
        <f>IFERROR((AZ222-AU222)/(AZ220-AU220),"N/A")</f>
        <v>0.36850454365863322</v>
      </c>
      <c r="BA232" s="600">
        <f>IFERROR((BA222-AV222)/(BA220-AV220),"N/A")</f>
        <v>0.34221218378936513</v>
      </c>
      <c r="BB232" s="600">
        <f>IFERROR((BB222-AW222)/(BB220-AW220),"N/A")</f>
        <v>0.38354796888504766</v>
      </c>
      <c r="BC232" s="600">
        <f>IFERROR((BC222-AX222)/(BC220-AX220),"N/A")</f>
        <v>0.36356287425149697</v>
      </c>
      <c r="BD232" s="601">
        <f>IFERROR((BD222-AY222)/(BD220-AY220),"N/A")</f>
        <v>0.36540671205499642</v>
      </c>
      <c r="BE232" s="601">
        <f>IFERROR((BE222-BD222)/(BE220-BD220),"N/A")</f>
        <v>0.30790671205499714</v>
      </c>
      <c r="BF232" s="601">
        <f>IFERROR((BF222-BE222)/(BF220-BE220),"N/A")</f>
        <v>0.31290671205499604</v>
      </c>
      <c r="BG232" s="601">
        <f>IFERROR((BG222-BF222)/(BG220-BF220),"N/A")</f>
        <v>0.31790671205499688</v>
      </c>
      <c r="BH232" s="599"/>
    </row>
    <row r="233" spans="1:60" s="69" customFormat="1" hidden="1" outlineLevel="1" x14ac:dyDescent="0.35">
      <c r="A233" s="426"/>
      <c r="B233" s="518"/>
      <c r="C233" s="519"/>
      <c r="D233" s="519"/>
      <c r="E233" s="519"/>
      <c r="F233" s="519"/>
      <c r="G233" s="520"/>
      <c r="H233" s="520"/>
      <c r="I233" s="520"/>
      <c r="J233" s="520"/>
      <c r="K233" s="519"/>
      <c r="L233" s="520"/>
      <c r="M233" s="520"/>
      <c r="N233" s="520"/>
      <c r="O233" s="520"/>
      <c r="P233" s="519"/>
      <c r="Q233" s="520"/>
      <c r="R233" s="520"/>
      <c r="S233" s="520"/>
      <c r="T233" s="520"/>
      <c r="U233" s="519"/>
      <c r="V233" s="520"/>
      <c r="W233" s="520"/>
      <c r="X233" s="520"/>
      <c r="Y233" s="520"/>
      <c r="Z233" s="519"/>
      <c r="AA233" s="520"/>
      <c r="AB233" s="520"/>
      <c r="AC233" s="520"/>
      <c r="AD233" s="520"/>
      <c r="AE233" s="519"/>
      <c r="AF233" s="520"/>
      <c r="AG233" s="520"/>
      <c r="AH233" s="520"/>
      <c r="AI233" s="520"/>
      <c r="AJ233" s="519"/>
      <c r="AK233" s="520"/>
      <c r="AL233" s="520"/>
      <c r="AM233" s="520"/>
      <c r="AN233" s="520"/>
      <c r="AO233" s="519"/>
      <c r="AP233" s="520"/>
      <c r="AQ233" s="520"/>
      <c r="AR233" s="520"/>
      <c r="AS233" s="520"/>
      <c r="AT233" s="519"/>
      <c r="AU233" s="766"/>
      <c r="AV233" s="520"/>
      <c r="AW233" s="520"/>
      <c r="AX233" s="520"/>
      <c r="AY233" s="519"/>
      <c r="AZ233" s="520"/>
      <c r="BA233" s="520"/>
      <c r="BB233" s="520"/>
      <c r="BC233" s="520"/>
      <c r="BD233" s="519"/>
      <c r="BE233" s="519"/>
      <c r="BF233" s="519"/>
      <c r="BG233" s="519"/>
      <c r="BH233" s="79"/>
    </row>
    <row r="234" spans="1:60" s="262" customFormat="1" hidden="1" outlineLevel="2" x14ac:dyDescent="0.35">
      <c r="A234" s="513" t="s">
        <v>852</v>
      </c>
      <c r="B234" s="312"/>
      <c r="C234" s="105"/>
      <c r="D234" s="105"/>
      <c r="E234" s="105"/>
      <c r="F234" s="105"/>
      <c r="G234" s="200"/>
      <c r="H234" s="200"/>
      <c r="I234" s="200"/>
      <c r="J234" s="200"/>
      <c r="K234" s="105"/>
      <c r="L234" s="200"/>
      <c r="M234" s="200"/>
      <c r="N234" s="200"/>
      <c r="O234" s="200"/>
      <c r="P234" s="105"/>
      <c r="Q234" s="200"/>
      <c r="R234" s="200"/>
      <c r="S234" s="200"/>
      <c r="T234" s="200"/>
      <c r="U234" s="105"/>
      <c r="V234" s="200"/>
      <c r="W234" s="200"/>
      <c r="X234" s="200"/>
      <c r="Y234" s="200"/>
      <c r="Z234" s="47">
        <f t="shared" ref="Z234:Z239" si="451">Z214/Z$220</f>
        <v>0.26642926513434767</v>
      </c>
      <c r="AA234" s="200"/>
      <c r="AB234" s="200"/>
      <c r="AC234" s="200"/>
      <c r="AD234" s="200"/>
      <c r="AE234" s="47">
        <f t="shared" ref="AE234:AJ234" si="452">AE214/AE$220</f>
        <v>0.24054355542034275</v>
      </c>
      <c r="AF234" s="78">
        <f t="shared" si="452"/>
        <v>0.2258832870186582</v>
      </c>
      <c r="AG234" s="78">
        <f t="shared" si="452"/>
        <v>0.25405619311436484</v>
      </c>
      <c r="AH234" s="78">
        <f t="shared" si="452"/>
        <v>0.23940435280641467</v>
      </c>
      <c r="AI234" s="78">
        <f t="shared" si="452"/>
        <v>0.23269151986890618</v>
      </c>
      <c r="AJ234" s="47">
        <f t="shared" si="452"/>
        <v>0.23807639026320998</v>
      </c>
      <c r="AK234" s="200"/>
      <c r="AL234" s="200"/>
      <c r="AM234" s="200"/>
      <c r="AN234" s="200"/>
      <c r="AO234" s="105"/>
      <c r="AP234" s="200"/>
      <c r="AQ234" s="200"/>
      <c r="AR234" s="200"/>
      <c r="AS234" s="200"/>
      <c r="AT234" s="105"/>
      <c r="AU234" s="761"/>
      <c r="AV234" s="200"/>
      <c r="AW234" s="200"/>
      <c r="AX234" s="200"/>
      <c r="AY234" s="105"/>
      <c r="AZ234" s="200"/>
      <c r="BA234" s="200"/>
      <c r="BB234" s="200"/>
      <c r="BC234" s="200"/>
      <c r="BD234" s="105"/>
      <c r="BE234" s="105"/>
      <c r="BF234" s="105"/>
      <c r="BG234" s="105"/>
      <c r="BH234" s="363"/>
    </row>
    <row r="235" spans="1:60" s="262" customFormat="1" hidden="1" outlineLevel="2" x14ac:dyDescent="0.35">
      <c r="A235" s="605" t="s">
        <v>846</v>
      </c>
      <c r="B235" s="465"/>
      <c r="C235" s="479"/>
      <c r="D235" s="479"/>
      <c r="E235" s="479"/>
      <c r="F235" s="479"/>
      <c r="G235" s="457"/>
      <c r="H235" s="457"/>
      <c r="I235" s="457"/>
      <c r="J235" s="457"/>
      <c r="K235" s="479"/>
      <c r="L235" s="457"/>
      <c r="M235" s="457"/>
      <c r="N235" s="457"/>
      <c r="O235" s="457"/>
      <c r="P235" s="479"/>
      <c r="Q235" s="457"/>
      <c r="R235" s="457"/>
      <c r="S235" s="457"/>
      <c r="T235" s="457"/>
      <c r="U235" s="479"/>
      <c r="V235" s="457"/>
      <c r="W235" s="457"/>
      <c r="X235" s="457"/>
      <c r="Y235" s="457"/>
      <c r="Z235" s="603">
        <f t="shared" si="451"/>
        <v>6.7551526923491964E-2</v>
      </c>
      <c r="AA235" s="457"/>
      <c r="AB235" s="457"/>
      <c r="AC235" s="457"/>
      <c r="AD235" s="457"/>
      <c r="AE235" s="603">
        <f t="shared" ref="AE235:AJ235" si="453">AE215/AE$220</f>
        <v>6.2366899908731364E-2</v>
      </c>
      <c r="AF235" s="604">
        <f t="shared" si="453"/>
        <v>5.9944422389837236E-2</v>
      </c>
      <c r="AG235" s="604">
        <f t="shared" si="453"/>
        <v>6.2524732884843684E-2</v>
      </c>
      <c r="AH235" s="604">
        <f t="shared" si="453"/>
        <v>5.6891943489881636E-2</v>
      </c>
      <c r="AI235" s="604">
        <f t="shared" si="453"/>
        <v>6.2269561655059404E-2</v>
      </c>
      <c r="AJ235" s="603">
        <f t="shared" si="453"/>
        <v>6.0360182070057389E-2</v>
      </c>
      <c r="AK235" s="457"/>
      <c r="AL235" s="457"/>
      <c r="AM235" s="457"/>
      <c r="AN235" s="457"/>
      <c r="AO235" s="479"/>
      <c r="AP235" s="457"/>
      <c r="AQ235" s="457"/>
      <c r="AR235" s="457"/>
      <c r="AS235" s="457"/>
      <c r="AT235" s="479"/>
      <c r="AU235" s="779"/>
      <c r="AV235" s="457"/>
      <c r="AW235" s="457"/>
      <c r="AX235" s="457"/>
      <c r="AY235" s="479"/>
      <c r="AZ235" s="457"/>
      <c r="BA235" s="457"/>
      <c r="BB235" s="457"/>
      <c r="BC235" s="457"/>
      <c r="BD235" s="479"/>
      <c r="BE235" s="479"/>
      <c r="BF235" s="479"/>
      <c r="BG235" s="479"/>
      <c r="BH235" s="363"/>
    </row>
    <row r="236" spans="1:60" s="262" customFormat="1" hidden="1" outlineLevel="1" x14ac:dyDescent="0.35">
      <c r="A236" s="154" t="s">
        <v>847</v>
      </c>
      <c r="B236" s="312"/>
      <c r="C236" s="105"/>
      <c r="D236" s="105"/>
      <c r="E236" s="105"/>
      <c r="F236" s="105"/>
      <c r="G236" s="200"/>
      <c r="H236" s="200"/>
      <c r="I236" s="200"/>
      <c r="J236" s="200"/>
      <c r="K236" s="105"/>
      <c r="L236" s="200"/>
      <c r="M236" s="200"/>
      <c r="N236" s="200"/>
      <c r="O236" s="200"/>
      <c r="P236" s="105"/>
      <c r="Q236" s="200"/>
      <c r="R236" s="200"/>
      <c r="S236" s="200"/>
      <c r="T236" s="200"/>
      <c r="U236" s="105"/>
      <c r="V236" s="200"/>
      <c r="W236" s="200"/>
      <c r="X236" s="200"/>
      <c r="Y236" s="200"/>
      <c r="Z236" s="47">
        <f t="shared" si="451"/>
        <v>0.33398079205783965</v>
      </c>
      <c r="AA236" s="200"/>
      <c r="AB236" s="200"/>
      <c r="AC236" s="200"/>
      <c r="AD236" s="200"/>
      <c r="AE236" s="47">
        <f t="shared" ref="AE236:AO236" si="454">AE216/AE$220</f>
        <v>0.30291045532907412</v>
      </c>
      <c r="AF236" s="78">
        <f t="shared" si="454"/>
        <v>0.28582770940849545</v>
      </c>
      <c r="AG236" s="78">
        <f t="shared" si="454"/>
        <v>0.31658092599920856</v>
      </c>
      <c r="AH236" s="78">
        <f t="shared" si="454"/>
        <v>0.29629629629629628</v>
      </c>
      <c r="AI236" s="78">
        <f t="shared" si="454"/>
        <v>0.29496108152396561</v>
      </c>
      <c r="AJ236" s="47">
        <f t="shared" si="454"/>
        <v>0.29843657233326737</v>
      </c>
      <c r="AK236" s="78">
        <f t="shared" si="454"/>
        <v>0.30276008492569001</v>
      </c>
      <c r="AL236" s="78">
        <f t="shared" si="454"/>
        <v>0.32408163265306122</v>
      </c>
      <c r="AM236" s="78">
        <f t="shared" si="454"/>
        <v>0.29959999999999998</v>
      </c>
      <c r="AN236" s="78">
        <f t="shared" si="454"/>
        <v>0.28215223097112863</v>
      </c>
      <c r="AO236" s="47">
        <f t="shared" si="454"/>
        <v>0.30247106662496093</v>
      </c>
      <c r="AP236" s="78">
        <f t="shared" ref="AP236:AT239" si="455">AP216/AP$220</f>
        <v>0.30160857908847183</v>
      </c>
      <c r="AQ236" s="78">
        <f t="shared" si="455"/>
        <v>0.27465152297367063</v>
      </c>
      <c r="AR236" s="78">
        <f t="shared" si="455"/>
        <v>0.27657735522904064</v>
      </c>
      <c r="AS236" s="78">
        <f t="shared" si="455"/>
        <v>0.2600513259195894</v>
      </c>
      <c r="AT236" s="47">
        <f t="shared" si="455"/>
        <v>0.27812393791775236</v>
      </c>
      <c r="AU236" s="761">
        <f t="shared" ref="AU236" si="456">AU216/AU$220</f>
        <v>0.2568154879494271</v>
      </c>
      <c r="AV236" s="200"/>
      <c r="AW236" s="200"/>
      <c r="AX236" s="200"/>
      <c r="AY236" s="105"/>
      <c r="AZ236" s="200"/>
      <c r="BA236" s="200"/>
      <c r="BB236" s="200"/>
      <c r="BC236" s="200"/>
      <c r="BD236" s="105"/>
      <c r="BE236" s="105"/>
      <c r="BF236" s="105"/>
      <c r="BG236" s="105"/>
      <c r="BH236" s="363"/>
    </row>
    <row r="237" spans="1:60" s="262" customFormat="1" hidden="1" outlineLevel="1" x14ac:dyDescent="0.35">
      <c r="A237" s="154" t="s">
        <v>848</v>
      </c>
      <c r="B237" s="312"/>
      <c r="C237" s="105"/>
      <c r="D237" s="105"/>
      <c r="E237" s="105"/>
      <c r="F237" s="105"/>
      <c r="G237" s="200"/>
      <c r="H237" s="200"/>
      <c r="I237" s="200"/>
      <c r="J237" s="200"/>
      <c r="K237" s="105"/>
      <c r="L237" s="200"/>
      <c r="M237" s="200"/>
      <c r="N237" s="200"/>
      <c r="O237" s="200"/>
      <c r="P237" s="105"/>
      <c r="Q237" s="200"/>
      <c r="R237" s="200"/>
      <c r="S237" s="200"/>
      <c r="T237" s="200"/>
      <c r="U237" s="105"/>
      <c r="V237" s="200"/>
      <c r="W237" s="200"/>
      <c r="X237" s="200"/>
      <c r="Y237" s="200"/>
      <c r="Z237" s="47">
        <f t="shared" si="451"/>
        <v>0.50393870724074674</v>
      </c>
      <c r="AA237" s="200"/>
      <c r="AB237" s="200"/>
      <c r="AC237" s="200"/>
      <c r="AD237" s="200"/>
      <c r="AE237" s="47">
        <f t="shared" ref="AE237:AO237" si="457">AE217/AE$220</f>
        <v>0.54031031335564339</v>
      </c>
      <c r="AF237" s="78">
        <f t="shared" si="457"/>
        <v>0.54942437475188566</v>
      </c>
      <c r="AG237" s="78">
        <f t="shared" si="457"/>
        <v>0.51563118322121093</v>
      </c>
      <c r="AH237" s="78">
        <f t="shared" si="457"/>
        <v>0.55899198167239406</v>
      </c>
      <c r="AI237" s="78">
        <f t="shared" si="457"/>
        <v>0.55837771405161818</v>
      </c>
      <c r="AJ237" s="47">
        <f t="shared" si="457"/>
        <v>0.5456164654660598</v>
      </c>
      <c r="AK237" s="78">
        <f t="shared" si="457"/>
        <v>0.53375796178343948</v>
      </c>
      <c r="AL237" s="78">
        <f t="shared" si="457"/>
        <v>0.51714285714285713</v>
      </c>
      <c r="AM237" s="78">
        <f t="shared" si="457"/>
        <v>0.55520000000000003</v>
      </c>
      <c r="AN237" s="78">
        <f t="shared" si="457"/>
        <v>0.57261592300962383</v>
      </c>
      <c r="AO237" s="47">
        <f t="shared" si="457"/>
        <v>0.54436450839328532</v>
      </c>
      <c r="AP237" s="78">
        <f t="shared" si="455"/>
        <v>0.53663985701519212</v>
      </c>
      <c r="AQ237" s="78">
        <f t="shared" si="455"/>
        <v>0.59421786267423848</v>
      </c>
      <c r="AR237" s="78">
        <f t="shared" si="455"/>
        <v>0.58643042350907515</v>
      </c>
      <c r="AS237" s="78">
        <f t="shared" si="455"/>
        <v>0.59366980325064156</v>
      </c>
      <c r="AT237" s="47">
        <f t="shared" si="455"/>
        <v>0.57743287640194851</v>
      </c>
      <c r="AU237" s="761">
        <f t="shared" ref="AU237" si="458">AU217/AU$220</f>
        <v>0.58870011853022519</v>
      </c>
      <c r="AV237" s="200"/>
      <c r="AW237" s="200"/>
      <c r="AX237" s="200"/>
      <c r="AY237" s="105"/>
      <c r="AZ237" s="200"/>
      <c r="BA237" s="200"/>
      <c r="BB237" s="200"/>
      <c r="BC237" s="200"/>
      <c r="BD237" s="105"/>
      <c r="BE237" s="105"/>
      <c r="BF237" s="105"/>
      <c r="BG237" s="105"/>
      <c r="BH237" s="363"/>
    </row>
    <row r="238" spans="1:60" s="262" customFormat="1" hidden="1" outlineLevel="1" x14ac:dyDescent="0.35">
      <c r="A238" s="154" t="s">
        <v>849</v>
      </c>
      <c r="B238" s="312"/>
      <c r="C238" s="105"/>
      <c r="D238" s="105"/>
      <c r="E238" s="105"/>
      <c r="F238" s="105"/>
      <c r="G238" s="200"/>
      <c r="H238" s="200"/>
      <c r="I238" s="200"/>
      <c r="J238" s="200"/>
      <c r="K238" s="105"/>
      <c r="L238" s="200"/>
      <c r="M238" s="200"/>
      <c r="N238" s="200"/>
      <c r="O238" s="200"/>
      <c r="P238" s="105"/>
      <c r="Q238" s="200"/>
      <c r="R238" s="200"/>
      <c r="S238" s="200"/>
      <c r="T238" s="200"/>
      <c r="U238" s="105"/>
      <c r="V238" s="200"/>
      <c r="W238" s="200"/>
      <c r="X238" s="200"/>
      <c r="Y238" s="200"/>
      <c r="Z238" s="47">
        <f t="shared" si="451"/>
        <v>0.16175677133916047</v>
      </c>
      <c r="AA238" s="200"/>
      <c r="AB238" s="200"/>
      <c r="AC238" s="200"/>
      <c r="AD238" s="200"/>
      <c r="AE238" s="47">
        <f t="shared" ref="AE238:AO238" si="459">AE218/AE$220</f>
        <v>0.15718486968867254</v>
      </c>
      <c r="AF238" s="78">
        <f t="shared" si="459"/>
        <v>0.16514489876935293</v>
      </c>
      <c r="AG238" s="78">
        <f t="shared" si="459"/>
        <v>0.16778789077958053</v>
      </c>
      <c r="AH238" s="78">
        <f t="shared" si="459"/>
        <v>0.14432989690721648</v>
      </c>
      <c r="AI238" s="78">
        <f t="shared" si="459"/>
        <v>0.1474805407619828</v>
      </c>
      <c r="AJ238" s="47">
        <f t="shared" si="459"/>
        <v>0.15614486443696815</v>
      </c>
      <c r="AK238" s="78">
        <f t="shared" si="459"/>
        <v>0.16390658174097664</v>
      </c>
      <c r="AL238" s="78">
        <f t="shared" si="459"/>
        <v>0.15877551020408162</v>
      </c>
      <c r="AM238" s="78">
        <f t="shared" si="459"/>
        <v>0.14480000000000001</v>
      </c>
      <c r="AN238" s="78">
        <f t="shared" si="459"/>
        <v>0.14654418197725283</v>
      </c>
      <c r="AO238" s="47">
        <f t="shared" si="459"/>
        <v>0.15347721822541965</v>
      </c>
      <c r="AP238" s="78">
        <f t="shared" si="455"/>
        <v>0.16175156389633602</v>
      </c>
      <c r="AQ238" s="78">
        <f t="shared" si="455"/>
        <v>0.13113061435209086</v>
      </c>
      <c r="AR238" s="78">
        <f t="shared" si="455"/>
        <v>0.13699222126188418</v>
      </c>
      <c r="AS238" s="78">
        <f t="shared" si="455"/>
        <v>0.14927288280581694</v>
      </c>
      <c r="AT238" s="47">
        <f t="shared" si="455"/>
        <v>0.14523620709187721</v>
      </c>
      <c r="AU238" s="761">
        <f t="shared" ref="AU238" si="460">AU218/AU$220</f>
        <v>0.15448439352034768</v>
      </c>
      <c r="AV238" s="200"/>
      <c r="AW238" s="200"/>
      <c r="AX238" s="200"/>
      <c r="AY238" s="105"/>
      <c r="AZ238" s="200"/>
      <c r="BA238" s="200"/>
      <c r="BB238" s="200"/>
      <c r="BC238" s="200"/>
      <c r="BD238" s="105"/>
      <c r="BE238" s="105"/>
      <c r="BF238" s="105"/>
      <c r="BG238" s="105"/>
      <c r="BH238" s="363"/>
    </row>
    <row r="239" spans="1:60" s="262" customFormat="1" hidden="1" outlineLevel="1" x14ac:dyDescent="0.35">
      <c r="A239" s="589" t="s">
        <v>850</v>
      </c>
      <c r="B239" s="465"/>
      <c r="C239" s="479"/>
      <c r="D239" s="479"/>
      <c r="E239" s="479"/>
      <c r="F239" s="479"/>
      <c r="G239" s="457"/>
      <c r="H239" s="457"/>
      <c r="I239" s="457"/>
      <c r="J239" s="457"/>
      <c r="K239" s="479"/>
      <c r="L239" s="457"/>
      <c r="M239" s="457"/>
      <c r="N239" s="457"/>
      <c r="O239" s="457"/>
      <c r="P239" s="479"/>
      <c r="Q239" s="457"/>
      <c r="R239" s="457"/>
      <c r="S239" s="457"/>
      <c r="T239" s="457"/>
      <c r="U239" s="479"/>
      <c r="V239" s="457"/>
      <c r="W239" s="457"/>
      <c r="X239" s="457"/>
      <c r="Y239" s="457"/>
      <c r="Z239" s="603">
        <f t="shared" si="451"/>
        <v>3.2372936225315638E-4</v>
      </c>
      <c r="AA239" s="457"/>
      <c r="AB239" s="457"/>
      <c r="AC239" s="457"/>
      <c r="AD239" s="457"/>
      <c r="AE239" s="603">
        <f t="shared" ref="AE239:AO239" si="461">AE219/AE$220</f>
        <v>-4.0563837339012269E-4</v>
      </c>
      <c r="AF239" s="604">
        <f t="shared" si="461"/>
        <v>-3.9698292973402142E-4</v>
      </c>
      <c r="AG239" s="604">
        <f t="shared" si="461"/>
        <v>0</v>
      </c>
      <c r="AH239" s="604">
        <f t="shared" si="461"/>
        <v>3.8182512409316535E-4</v>
      </c>
      <c r="AI239" s="604">
        <f t="shared" si="461"/>
        <v>-8.1933633756657109E-4</v>
      </c>
      <c r="AJ239" s="603">
        <f t="shared" si="461"/>
        <v>-1.9790223629527012E-4</v>
      </c>
      <c r="AK239" s="604">
        <f t="shared" si="461"/>
        <v>-4.2462845010615713E-4</v>
      </c>
      <c r="AL239" s="604">
        <f t="shared" si="461"/>
        <v>0</v>
      </c>
      <c r="AM239" s="604">
        <f t="shared" si="461"/>
        <v>4.0000000000000002E-4</v>
      </c>
      <c r="AN239" s="604">
        <f t="shared" si="461"/>
        <v>-1.3123359580052493E-3</v>
      </c>
      <c r="AO239" s="603">
        <f t="shared" si="461"/>
        <v>-3.1279324366593683E-4</v>
      </c>
      <c r="AP239" s="604">
        <f t="shared" si="455"/>
        <v>0</v>
      </c>
      <c r="AQ239" s="604">
        <f t="shared" si="455"/>
        <v>0</v>
      </c>
      <c r="AR239" s="604">
        <f t="shared" si="455"/>
        <v>0</v>
      </c>
      <c r="AS239" s="604">
        <f t="shared" si="455"/>
        <v>-2.9940119760479044E-3</v>
      </c>
      <c r="AT239" s="603">
        <f t="shared" si="455"/>
        <v>-7.9302141157811261E-4</v>
      </c>
      <c r="AU239" s="779">
        <f t="shared" ref="AU239" si="462">AU219/AU$220</f>
        <v>0</v>
      </c>
      <c r="AV239" s="457"/>
      <c r="AW239" s="457"/>
      <c r="AX239" s="457"/>
      <c r="AY239" s="479"/>
      <c r="AZ239" s="457"/>
      <c r="BA239" s="457"/>
      <c r="BB239" s="457"/>
      <c r="BC239" s="457"/>
      <c r="BD239" s="479"/>
      <c r="BE239" s="479"/>
      <c r="BF239" s="479"/>
      <c r="BG239" s="479"/>
      <c r="BH239" s="363"/>
    </row>
    <row r="240" spans="1:60" s="225" customFormat="1" hidden="1" outlineLevel="1" x14ac:dyDescent="0.35">
      <c r="A240" s="227" t="s">
        <v>851</v>
      </c>
      <c r="B240" s="176"/>
      <c r="C240" s="113"/>
      <c r="D240" s="113"/>
      <c r="E240" s="113"/>
      <c r="F240" s="113"/>
      <c r="G240" s="177"/>
      <c r="H240" s="177"/>
      <c r="I240" s="177"/>
      <c r="J240" s="177"/>
      <c r="K240" s="113"/>
      <c r="L240" s="177"/>
      <c r="M240" s="177"/>
      <c r="N240" s="177"/>
      <c r="O240" s="177"/>
      <c r="P240" s="113"/>
      <c r="Q240" s="177"/>
      <c r="R240" s="177"/>
      <c r="S240" s="177"/>
      <c r="T240" s="177"/>
      <c r="U240" s="113"/>
      <c r="V240" s="177"/>
      <c r="W240" s="177"/>
      <c r="X240" s="177"/>
      <c r="Y240" s="177"/>
      <c r="Z240" s="223">
        <f>SUM(Z236:Z239)</f>
        <v>0.99999999999999989</v>
      </c>
      <c r="AA240" s="177"/>
      <c r="AB240" s="177"/>
      <c r="AC240" s="177"/>
      <c r="AD240" s="177"/>
      <c r="AE240" s="223">
        <f t="shared" ref="AE240:AR240" si="463">SUM(AE236:AE239)</f>
        <v>1</v>
      </c>
      <c r="AF240" s="226">
        <f t="shared" si="463"/>
        <v>1</v>
      </c>
      <c r="AG240" s="226">
        <f t="shared" si="463"/>
        <v>1</v>
      </c>
      <c r="AH240" s="226">
        <f t="shared" si="463"/>
        <v>0.99999999999999989</v>
      </c>
      <c r="AI240" s="226">
        <f t="shared" si="463"/>
        <v>1</v>
      </c>
      <c r="AJ240" s="223">
        <f t="shared" si="463"/>
        <v>1</v>
      </c>
      <c r="AK240" s="226">
        <f t="shared" si="463"/>
        <v>1</v>
      </c>
      <c r="AL240" s="226">
        <f t="shared" si="463"/>
        <v>1</v>
      </c>
      <c r="AM240" s="226">
        <f t="shared" si="463"/>
        <v>1</v>
      </c>
      <c r="AN240" s="226">
        <f t="shared" si="463"/>
        <v>1.0000000000000002</v>
      </c>
      <c r="AO240" s="223">
        <f t="shared" si="463"/>
        <v>1</v>
      </c>
      <c r="AP240" s="226">
        <f t="shared" si="463"/>
        <v>1</v>
      </c>
      <c r="AQ240" s="226">
        <f t="shared" si="463"/>
        <v>0.99999999999999989</v>
      </c>
      <c r="AR240" s="226">
        <f t="shared" si="463"/>
        <v>1</v>
      </c>
      <c r="AS240" s="226">
        <f t="shared" ref="AS240:AT240" si="464">SUM(AS236:AS239)</f>
        <v>1</v>
      </c>
      <c r="AT240" s="223">
        <f t="shared" si="464"/>
        <v>1</v>
      </c>
      <c r="AU240" s="780">
        <f t="shared" ref="AU240" si="465">SUM(AU236:AU239)</f>
        <v>1</v>
      </c>
      <c r="AV240" s="177"/>
      <c r="AW240" s="177"/>
      <c r="AX240" s="177"/>
      <c r="AY240" s="113"/>
      <c r="AZ240" s="177"/>
      <c r="BA240" s="177"/>
      <c r="BB240" s="177"/>
      <c r="BC240" s="177"/>
      <c r="BD240" s="113"/>
      <c r="BE240" s="113"/>
      <c r="BF240" s="113"/>
      <c r="BG240" s="113"/>
      <c r="BH240" s="94"/>
    </row>
    <row r="241" spans="1:60" s="69" customFormat="1" hidden="1" outlineLevel="1" x14ac:dyDescent="0.35">
      <c r="A241" s="426"/>
      <c r="B241" s="518"/>
      <c r="C241" s="519"/>
      <c r="D241" s="519"/>
      <c r="E241" s="519"/>
      <c r="F241" s="519"/>
      <c r="G241" s="520"/>
      <c r="H241" s="520"/>
      <c r="I241" s="520"/>
      <c r="J241" s="520"/>
      <c r="K241" s="519"/>
      <c r="L241" s="520"/>
      <c r="M241" s="520"/>
      <c r="N241" s="520"/>
      <c r="O241" s="520"/>
      <c r="P241" s="519"/>
      <c r="Q241" s="520"/>
      <c r="R241" s="520"/>
      <c r="S241" s="520"/>
      <c r="T241" s="520"/>
      <c r="U241" s="519"/>
      <c r="V241" s="520"/>
      <c r="W241" s="520"/>
      <c r="X241" s="520"/>
      <c r="Y241" s="520"/>
      <c r="Z241" s="519"/>
      <c r="AA241" s="520"/>
      <c r="AB241" s="520"/>
      <c r="AC241" s="520"/>
      <c r="AD241" s="520"/>
      <c r="AE241" s="519"/>
      <c r="AF241" s="520"/>
      <c r="AG241" s="520"/>
      <c r="AH241" s="520"/>
      <c r="AI241" s="520"/>
      <c r="AJ241" s="519"/>
      <c r="AK241" s="520"/>
      <c r="AL241" s="520"/>
      <c r="AM241" s="520"/>
      <c r="AN241" s="520"/>
      <c r="AO241" s="519"/>
      <c r="AP241" s="520"/>
      <c r="AQ241" s="520"/>
      <c r="AR241" s="520"/>
      <c r="AS241" s="520"/>
      <c r="AT241" s="519"/>
      <c r="AU241" s="766"/>
      <c r="AV241" s="520"/>
      <c r="AW241" s="520"/>
      <c r="AX241" s="520"/>
      <c r="AY241" s="519"/>
      <c r="AZ241" s="520"/>
      <c r="BA241" s="520"/>
      <c r="BB241" s="520"/>
      <c r="BC241" s="520"/>
      <c r="BD241" s="519"/>
      <c r="BE241" s="519"/>
      <c r="BF241" s="519"/>
      <c r="BG241" s="519"/>
      <c r="BH241" s="79"/>
    </row>
    <row r="242" spans="1:60" s="345" customFormat="1" hidden="1" outlineLevel="1" x14ac:dyDescent="0.35">
      <c r="A242" s="350" t="s">
        <v>501</v>
      </c>
      <c r="B242" s="444"/>
      <c r="C242" s="445"/>
      <c r="D242" s="445"/>
      <c r="E242" s="445"/>
      <c r="F242" s="445"/>
      <c r="G242" s="446"/>
      <c r="H242" s="446"/>
      <c r="I242" s="446"/>
      <c r="J242" s="446"/>
      <c r="K242" s="445"/>
      <c r="L242" s="446"/>
      <c r="M242" s="446"/>
      <c r="N242" s="446"/>
      <c r="O242" s="446"/>
      <c r="P242" s="445"/>
      <c r="Q242" s="446"/>
      <c r="R242" s="446"/>
      <c r="S242" s="446"/>
      <c r="T242" s="446"/>
      <c r="U242" s="445"/>
      <c r="V242" s="446"/>
      <c r="W242" s="446"/>
      <c r="X242" s="446"/>
      <c r="Y242" s="446"/>
      <c r="Z242" s="436">
        <v>1037</v>
      </c>
      <c r="AA242" s="446"/>
      <c r="AB242" s="446"/>
      <c r="AC242" s="446"/>
      <c r="AD242" s="446"/>
      <c r="AE242" s="436">
        <v>1123</v>
      </c>
      <c r="AF242" s="437">
        <v>303</v>
      </c>
      <c r="AG242" s="437">
        <v>316</v>
      </c>
      <c r="AH242" s="437">
        <v>313</v>
      </c>
      <c r="AI242" s="437">
        <f t="shared" ref="AI242:AI247" si="466">AJ242-SUM(AF242,AG242,AH242)</f>
        <v>304</v>
      </c>
      <c r="AJ242" s="436">
        <v>1236</v>
      </c>
      <c r="AK242" s="437">
        <v>311</v>
      </c>
      <c r="AL242" s="437">
        <v>331</v>
      </c>
      <c r="AM242" s="437">
        <v>319</v>
      </c>
      <c r="AN242" s="437">
        <f t="shared" ref="AN242:AN247" si="467">AO242-SUM(AK242,AL242,AM242)</f>
        <v>284</v>
      </c>
      <c r="AO242" s="436">
        <v>1245</v>
      </c>
      <c r="AP242" s="437">
        <v>288</v>
      </c>
      <c r="AQ242" s="437">
        <v>236</v>
      </c>
      <c r="AR242" s="437">
        <v>246</v>
      </c>
      <c r="AS242" s="437">
        <v>266</v>
      </c>
      <c r="AT242" s="436">
        <f t="shared" ref="AT242:AT247" si="468">SUM(AP242,AQ242,AR242,AS242)</f>
        <v>1036</v>
      </c>
      <c r="AU242" s="763">
        <v>316</v>
      </c>
      <c r="AV242" s="446"/>
      <c r="AW242" s="446"/>
      <c r="AX242" s="446"/>
      <c r="AY242" s="445"/>
      <c r="AZ242" s="446"/>
      <c r="BA242" s="446"/>
      <c r="BB242" s="446"/>
      <c r="BC242" s="446"/>
      <c r="BD242" s="445"/>
      <c r="BE242" s="445"/>
      <c r="BF242" s="445"/>
      <c r="BG242" s="445"/>
      <c r="BH242" s="351"/>
    </row>
    <row r="243" spans="1:60" s="345" customFormat="1" hidden="1" outlineLevel="1" x14ac:dyDescent="0.35">
      <c r="A243" s="350" t="s">
        <v>465</v>
      </c>
      <c r="B243" s="444"/>
      <c r="C243" s="445"/>
      <c r="D243" s="445"/>
      <c r="E243" s="445"/>
      <c r="F243" s="445"/>
      <c r="G243" s="446"/>
      <c r="H243" s="446"/>
      <c r="I243" s="446"/>
      <c r="J243" s="446"/>
      <c r="K243" s="445"/>
      <c r="L243" s="446"/>
      <c r="M243" s="446"/>
      <c r="N243" s="446"/>
      <c r="O243" s="446"/>
      <c r="P243" s="445"/>
      <c r="Q243" s="446"/>
      <c r="R243" s="446"/>
      <c r="S243" s="446"/>
      <c r="T243" s="446"/>
      <c r="U243" s="445"/>
      <c r="V243" s="446"/>
      <c r="W243" s="446"/>
      <c r="X243" s="446"/>
      <c r="Y243" s="446"/>
      <c r="Z243" s="436">
        <v>1923</v>
      </c>
      <c r="AA243" s="446"/>
      <c r="AB243" s="446"/>
      <c r="AC243" s="446"/>
      <c r="AD243" s="446"/>
      <c r="AE243" s="436">
        <v>2047</v>
      </c>
      <c r="AF243" s="437">
        <v>571</v>
      </c>
      <c r="AG243" s="437">
        <v>530</v>
      </c>
      <c r="AH243" s="437">
        <v>509</v>
      </c>
      <c r="AI243" s="437">
        <f t="shared" si="466"/>
        <v>499</v>
      </c>
      <c r="AJ243" s="436">
        <v>2109</v>
      </c>
      <c r="AK243" s="437">
        <v>508</v>
      </c>
      <c r="AL243" s="437">
        <v>478</v>
      </c>
      <c r="AM243" s="437">
        <v>477</v>
      </c>
      <c r="AN243" s="437">
        <f t="shared" si="467"/>
        <v>450</v>
      </c>
      <c r="AO243" s="436">
        <v>1913</v>
      </c>
      <c r="AP243" s="437">
        <v>447</v>
      </c>
      <c r="AQ243" s="437">
        <v>268</v>
      </c>
      <c r="AR243" s="437">
        <v>410</v>
      </c>
      <c r="AS243" s="437">
        <v>487</v>
      </c>
      <c r="AT243" s="436">
        <f t="shared" si="468"/>
        <v>1612</v>
      </c>
      <c r="AU243" s="763">
        <v>516</v>
      </c>
      <c r="AV243" s="446"/>
      <c r="AW243" s="446"/>
      <c r="AX243" s="446"/>
      <c r="AY243" s="445"/>
      <c r="AZ243" s="446"/>
      <c r="BA243" s="446"/>
      <c r="BB243" s="446"/>
      <c r="BC243" s="446"/>
      <c r="BD243" s="445"/>
      <c r="BE243" s="445"/>
      <c r="BF243" s="445"/>
      <c r="BG243" s="445"/>
      <c r="BH243" s="351"/>
    </row>
    <row r="244" spans="1:60" s="345" customFormat="1" hidden="1" outlineLevel="1" x14ac:dyDescent="0.35">
      <c r="A244" s="350" t="s">
        <v>466</v>
      </c>
      <c r="B244" s="444"/>
      <c r="C244" s="445"/>
      <c r="D244" s="445"/>
      <c r="E244" s="445"/>
      <c r="F244" s="445"/>
      <c r="G244" s="446"/>
      <c r="H244" s="446"/>
      <c r="I244" s="446"/>
      <c r="J244" s="446"/>
      <c r="K244" s="445"/>
      <c r="L244" s="446"/>
      <c r="M244" s="446"/>
      <c r="N244" s="446"/>
      <c r="O244" s="446"/>
      <c r="P244" s="445"/>
      <c r="Q244" s="446"/>
      <c r="R244" s="446"/>
      <c r="S244" s="446"/>
      <c r="T244" s="446"/>
      <c r="U244" s="445"/>
      <c r="V244" s="446"/>
      <c r="W244" s="446"/>
      <c r="X244" s="446"/>
      <c r="Y244" s="446"/>
      <c r="Z244" s="436">
        <v>1737</v>
      </c>
      <c r="AA244" s="446"/>
      <c r="AB244" s="446"/>
      <c r="AC244" s="446"/>
      <c r="AD244" s="446"/>
      <c r="AE244" s="436">
        <v>1743</v>
      </c>
      <c r="AF244" s="437">
        <v>481</v>
      </c>
      <c r="AG244" s="437">
        <v>498</v>
      </c>
      <c r="AH244" s="437">
        <v>436</v>
      </c>
      <c r="AI244" s="437">
        <f t="shared" si="466"/>
        <v>414</v>
      </c>
      <c r="AJ244" s="436">
        <v>1829</v>
      </c>
      <c r="AK244" s="437">
        <v>462</v>
      </c>
      <c r="AL244" s="437">
        <v>477</v>
      </c>
      <c r="AM244" s="437">
        <v>443</v>
      </c>
      <c r="AN244" s="437">
        <f t="shared" si="467"/>
        <v>403</v>
      </c>
      <c r="AO244" s="436">
        <v>1785</v>
      </c>
      <c r="AP244" s="437">
        <v>429</v>
      </c>
      <c r="AQ244" s="437">
        <v>328</v>
      </c>
      <c r="AR244" s="437">
        <v>390</v>
      </c>
      <c r="AS244" s="437">
        <v>382</v>
      </c>
      <c r="AT244" s="436">
        <f t="shared" si="468"/>
        <v>1529</v>
      </c>
      <c r="AU244" s="763">
        <v>438</v>
      </c>
      <c r="AV244" s="446"/>
      <c r="AW244" s="446"/>
      <c r="AX244" s="446"/>
      <c r="AY244" s="445"/>
      <c r="AZ244" s="446"/>
      <c r="BA244" s="446"/>
      <c r="BB244" s="446"/>
      <c r="BC244" s="446"/>
      <c r="BD244" s="445"/>
      <c r="BE244" s="445"/>
      <c r="BF244" s="445"/>
      <c r="BG244" s="445"/>
      <c r="BH244" s="351"/>
    </row>
    <row r="245" spans="1:60" s="345" customFormat="1" hidden="1" outlineLevel="1" x14ac:dyDescent="0.35">
      <c r="A245" s="350" t="s">
        <v>467</v>
      </c>
      <c r="B245" s="444"/>
      <c r="C245" s="445"/>
      <c r="D245" s="445"/>
      <c r="E245" s="445"/>
      <c r="F245" s="445"/>
      <c r="G245" s="446"/>
      <c r="H245" s="446"/>
      <c r="I245" s="446"/>
      <c r="J245" s="446"/>
      <c r="K245" s="445"/>
      <c r="L245" s="446"/>
      <c r="M245" s="446"/>
      <c r="N245" s="446"/>
      <c r="O245" s="446"/>
      <c r="P245" s="445"/>
      <c r="Q245" s="446"/>
      <c r="R245" s="446"/>
      <c r="S245" s="446"/>
      <c r="T245" s="446"/>
      <c r="U245" s="445"/>
      <c r="V245" s="446"/>
      <c r="W245" s="446"/>
      <c r="X245" s="446"/>
      <c r="Y245" s="446"/>
      <c r="Z245" s="436">
        <v>3299</v>
      </c>
      <c r="AA245" s="446"/>
      <c r="AB245" s="446"/>
      <c r="AC245" s="446"/>
      <c r="AD245" s="446"/>
      <c r="AE245" s="436">
        <v>3842</v>
      </c>
      <c r="AF245" s="437">
        <v>927</v>
      </c>
      <c r="AG245" s="437">
        <v>923</v>
      </c>
      <c r="AH245" s="437">
        <v>1101</v>
      </c>
      <c r="AI245" s="437">
        <f t="shared" si="466"/>
        <v>1014</v>
      </c>
      <c r="AJ245" s="436">
        <v>3965</v>
      </c>
      <c r="AK245" s="437">
        <v>861</v>
      </c>
      <c r="AL245" s="437">
        <v>898</v>
      </c>
      <c r="AM245" s="437">
        <v>1001</v>
      </c>
      <c r="AN245" s="437">
        <f t="shared" si="467"/>
        <v>951</v>
      </c>
      <c r="AO245" s="436">
        <v>3711</v>
      </c>
      <c r="AP245" s="437">
        <v>863</v>
      </c>
      <c r="AQ245" s="437">
        <v>884</v>
      </c>
      <c r="AR245" s="437">
        <v>1024</v>
      </c>
      <c r="AS245" s="437">
        <v>996</v>
      </c>
      <c r="AT245" s="436">
        <f t="shared" si="468"/>
        <v>3767</v>
      </c>
      <c r="AU245" s="763">
        <v>1042</v>
      </c>
      <c r="AV245" s="446"/>
      <c r="AW245" s="446"/>
      <c r="AX245" s="446"/>
      <c r="AY245" s="445"/>
      <c r="AZ245" s="446"/>
      <c r="BA245" s="446"/>
      <c r="BB245" s="446"/>
      <c r="BC245" s="446"/>
      <c r="BD245" s="445"/>
      <c r="BE245" s="445"/>
      <c r="BF245" s="445"/>
      <c r="BG245" s="445"/>
      <c r="BH245" s="351"/>
    </row>
    <row r="246" spans="1:60" s="345" customFormat="1" hidden="1" outlineLevel="1" x14ac:dyDescent="0.35">
      <c r="A246" s="350" t="s">
        <v>468</v>
      </c>
      <c r="B246" s="444"/>
      <c r="C246" s="445"/>
      <c r="D246" s="445"/>
      <c r="E246" s="445"/>
      <c r="F246" s="445"/>
      <c r="G246" s="446"/>
      <c r="H246" s="446"/>
      <c r="I246" s="446"/>
      <c r="J246" s="446"/>
      <c r="K246" s="445"/>
      <c r="L246" s="446"/>
      <c r="M246" s="446"/>
      <c r="N246" s="446"/>
      <c r="O246" s="446"/>
      <c r="P246" s="445"/>
      <c r="Q246" s="446"/>
      <c r="R246" s="446"/>
      <c r="S246" s="446"/>
      <c r="T246" s="446"/>
      <c r="U246" s="445"/>
      <c r="V246" s="446"/>
      <c r="W246" s="446"/>
      <c r="X246" s="446"/>
      <c r="Y246" s="446"/>
      <c r="Z246" s="436">
        <v>1272</v>
      </c>
      <c r="AA246" s="446"/>
      <c r="AB246" s="446"/>
      <c r="AC246" s="446"/>
      <c r="AD246" s="446"/>
      <c r="AE246" s="436">
        <v>1103</v>
      </c>
      <c r="AF246" s="437">
        <v>238</v>
      </c>
      <c r="AG246" s="437">
        <v>260</v>
      </c>
      <c r="AH246" s="437">
        <v>260</v>
      </c>
      <c r="AI246" s="437">
        <f t="shared" si="466"/>
        <v>199</v>
      </c>
      <c r="AJ246" s="436">
        <v>957</v>
      </c>
      <c r="AK246" s="437">
        <v>216</v>
      </c>
      <c r="AL246" s="437">
        <v>265</v>
      </c>
      <c r="AM246" s="437">
        <v>260</v>
      </c>
      <c r="AN246" s="437">
        <f t="shared" si="467"/>
        <v>202</v>
      </c>
      <c r="AO246" s="436">
        <v>943</v>
      </c>
      <c r="AP246" s="437">
        <v>211</v>
      </c>
      <c r="AQ246" s="437">
        <v>222</v>
      </c>
      <c r="AR246" s="437">
        <v>245</v>
      </c>
      <c r="AS246" s="437">
        <v>212</v>
      </c>
      <c r="AT246" s="436">
        <f t="shared" si="468"/>
        <v>890</v>
      </c>
      <c r="AU246" s="763">
        <v>218</v>
      </c>
      <c r="AV246" s="446"/>
      <c r="AW246" s="446"/>
      <c r="AX246" s="446"/>
      <c r="AY246" s="445"/>
      <c r="AZ246" s="446"/>
      <c r="BA246" s="446"/>
      <c r="BB246" s="446"/>
      <c r="BC246" s="446"/>
      <c r="BD246" s="445"/>
      <c r="BE246" s="445"/>
      <c r="BF246" s="445"/>
      <c r="BG246" s="445"/>
      <c r="BH246" s="351"/>
    </row>
    <row r="247" spans="1:60" s="345" customFormat="1" hidden="1" outlineLevel="1" x14ac:dyDescent="0.35">
      <c r="A247" s="350" t="s">
        <v>464</v>
      </c>
      <c r="B247" s="444"/>
      <c r="C247" s="445"/>
      <c r="D247" s="445"/>
      <c r="E247" s="445"/>
      <c r="F247" s="445"/>
      <c r="G247" s="446"/>
      <c r="H247" s="446"/>
      <c r="I247" s="446"/>
      <c r="J247" s="446"/>
      <c r="K247" s="445"/>
      <c r="L247" s="446"/>
      <c r="M247" s="446"/>
      <c r="N247" s="446"/>
      <c r="O247" s="446"/>
      <c r="P247" s="445"/>
      <c r="Q247" s="446"/>
      <c r="R247" s="446"/>
      <c r="S247" s="446"/>
      <c r="T247" s="446"/>
      <c r="U247" s="445"/>
      <c r="V247" s="446"/>
      <c r="W247" s="446"/>
      <c r="X247" s="446"/>
      <c r="Y247" s="446"/>
      <c r="Z247" s="436">
        <v>-1</v>
      </c>
      <c r="AA247" s="446"/>
      <c r="AB247" s="446"/>
      <c r="AC247" s="446"/>
      <c r="AD247" s="446"/>
      <c r="AE247" s="436">
        <v>3</v>
      </c>
      <c r="AF247" s="437">
        <v>-1</v>
      </c>
      <c r="AG247" s="446"/>
      <c r="AH247" s="446"/>
      <c r="AI247" s="437">
        <f t="shared" si="466"/>
        <v>11</v>
      </c>
      <c r="AJ247" s="436">
        <v>10</v>
      </c>
      <c r="AK247" s="437">
        <v>-3</v>
      </c>
      <c r="AL247" s="437">
        <v>1</v>
      </c>
      <c r="AM247" s="446"/>
      <c r="AN247" s="437">
        <f t="shared" si="467"/>
        <v>-4</v>
      </c>
      <c r="AO247" s="436">
        <v>-6</v>
      </c>
      <c r="AP247" s="446"/>
      <c r="AQ247" s="437">
        <v>-1</v>
      </c>
      <c r="AR247" s="437">
        <v>-1</v>
      </c>
      <c r="AS247" s="437">
        <v>-5</v>
      </c>
      <c r="AT247" s="436">
        <f t="shared" si="468"/>
        <v>-7</v>
      </c>
      <c r="AU247" s="763">
        <v>1</v>
      </c>
      <c r="AV247" s="446"/>
      <c r="AW247" s="446"/>
      <c r="AX247" s="446"/>
      <c r="AY247" s="445"/>
      <c r="AZ247" s="446"/>
      <c r="BA247" s="446"/>
      <c r="BB247" s="446"/>
      <c r="BC247" s="446"/>
      <c r="BD247" s="445"/>
      <c r="BE247" s="445"/>
      <c r="BF247" s="445"/>
      <c r="BG247" s="445"/>
      <c r="BH247" s="351"/>
    </row>
    <row r="248" spans="1:60" s="69" customFormat="1" hidden="1" outlineLevel="1" x14ac:dyDescent="0.35">
      <c r="A248" s="89" t="s">
        <v>391</v>
      </c>
      <c r="B248" s="452"/>
      <c r="C248" s="453"/>
      <c r="D248" s="453"/>
      <c r="E248" s="453"/>
      <c r="F248" s="453"/>
      <c r="G248" s="454"/>
      <c r="H248" s="454"/>
      <c r="I248" s="454"/>
      <c r="J248" s="454"/>
      <c r="K248" s="453"/>
      <c r="L248" s="454"/>
      <c r="M248" s="454"/>
      <c r="N248" s="454"/>
      <c r="O248" s="454"/>
      <c r="P248" s="453"/>
      <c r="Q248" s="454"/>
      <c r="R248" s="454"/>
      <c r="S248" s="454"/>
      <c r="T248" s="454"/>
      <c r="U248" s="453"/>
      <c r="V248" s="454"/>
      <c r="W248" s="454"/>
      <c r="X248" s="454"/>
      <c r="Y248" s="454"/>
      <c r="Z248" s="438">
        <f>SUM(Z242:Z247)</f>
        <v>9267</v>
      </c>
      <c r="AA248" s="454"/>
      <c r="AB248" s="454"/>
      <c r="AC248" s="454"/>
      <c r="AD248" s="454"/>
      <c r="AE248" s="438">
        <f t="shared" ref="AE248:AQ248" si="469">SUM(AE242:AE247)</f>
        <v>9861</v>
      </c>
      <c r="AF248" s="439">
        <f t="shared" si="469"/>
        <v>2519</v>
      </c>
      <c r="AG248" s="439">
        <f t="shared" si="469"/>
        <v>2527</v>
      </c>
      <c r="AH248" s="439">
        <f t="shared" si="469"/>
        <v>2619</v>
      </c>
      <c r="AI248" s="439">
        <f t="shared" si="469"/>
        <v>2441</v>
      </c>
      <c r="AJ248" s="438">
        <f t="shared" si="469"/>
        <v>10106</v>
      </c>
      <c r="AK248" s="439">
        <f t="shared" si="469"/>
        <v>2355</v>
      </c>
      <c r="AL248" s="439">
        <f t="shared" si="469"/>
        <v>2450</v>
      </c>
      <c r="AM248" s="439">
        <f t="shared" si="469"/>
        <v>2500</v>
      </c>
      <c r="AN248" s="439">
        <f t="shared" si="469"/>
        <v>2286</v>
      </c>
      <c r="AO248" s="438">
        <f t="shared" si="469"/>
        <v>9591</v>
      </c>
      <c r="AP248" s="439">
        <f t="shared" si="469"/>
        <v>2238</v>
      </c>
      <c r="AQ248" s="439">
        <f t="shared" si="469"/>
        <v>1937</v>
      </c>
      <c r="AR248" s="439">
        <f>SUM(AR242:AR247)</f>
        <v>2314</v>
      </c>
      <c r="AS248" s="439">
        <f>SUM(AS242:AS247)</f>
        <v>2338</v>
      </c>
      <c r="AT248" s="438">
        <f>SUM(AT242:AT247)</f>
        <v>8827</v>
      </c>
      <c r="AU248" s="765">
        <f t="shared" ref="AU248" si="470">SUM(AU242:AU247)</f>
        <v>2531</v>
      </c>
      <c r="AV248" s="454"/>
      <c r="AW248" s="454"/>
      <c r="AX248" s="454"/>
      <c r="AY248" s="453"/>
      <c r="AZ248" s="454"/>
      <c r="BA248" s="454"/>
      <c r="BB248" s="454"/>
      <c r="BC248" s="454"/>
      <c r="BD248" s="453"/>
      <c r="BE248" s="453"/>
      <c r="BF248" s="453"/>
      <c r="BG248" s="453"/>
      <c r="BH248" s="79"/>
    </row>
    <row r="249" spans="1:60" s="69" customFormat="1" hidden="1" outlineLevel="1" x14ac:dyDescent="0.35">
      <c r="A249" s="426"/>
      <c r="B249" s="518"/>
      <c r="C249" s="519"/>
      <c r="D249" s="519"/>
      <c r="E249" s="519"/>
      <c r="F249" s="519"/>
      <c r="G249" s="520"/>
      <c r="H249" s="520"/>
      <c r="I249" s="520"/>
      <c r="J249" s="520"/>
      <c r="K249" s="519"/>
      <c r="L249" s="520"/>
      <c r="M249" s="520"/>
      <c r="N249" s="520"/>
      <c r="O249" s="520"/>
      <c r="P249" s="519"/>
      <c r="Q249" s="520"/>
      <c r="R249" s="520"/>
      <c r="S249" s="520"/>
      <c r="T249" s="520"/>
      <c r="U249" s="519"/>
      <c r="V249" s="520"/>
      <c r="W249" s="520"/>
      <c r="X249" s="520"/>
      <c r="Y249" s="520"/>
      <c r="Z249" s="519"/>
      <c r="AA249" s="520"/>
      <c r="AB249" s="520"/>
      <c r="AC249" s="520"/>
      <c r="AD249" s="520"/>
      <c r="AE249" s="519"/>
      <c r="AF249" s="520"/>
      <c r="AG249" s="520"/>
      <c r="AH249" s="520"/>
      <c r="AI249" s="520"/>
      <c r="AJ249" s="519"/>
      <c r="AK249" s="520"/>
      <c r="AL249" s="520"/>
      <c r="AM249" s="520"/>
      <c r="AN249" s="520"/>
      <c r="AO249" s="519"/>
      <c r="AP249" s="520"/>
      <c r="AQ249" s="520"/>
      <c r="AR249" s="520"/>
      <c r="AS249" s="520"/>
      <c r="AT249" s="519"/>
      <c r="AU249" s="766"/>
      <c r="AV249" s="520"/>
      <c r="AW249" s="520"/>
      <c r="AX249" s="520"/>
      <c r="AY249" s="519"/>
      <c r="AZ249" s="520"/>
      <c r="BA249" s="520"/>
      <c r="BB249" s="520"/>
      <c r="BC249" s="520"/>
      <c r="BD249" s="519"/>
      <c r="BE249" s="519"/>
      <c r="BF249" s="519"/>
      <c r="BG249" s="519"/>
      <c r="BH249" s="79"/>
    </row>
    <row r="250" spans="1:60" s="69" customFormat="1" hidden="1" outlineLevel="1" x14ac:dyDescent="0.35">
      <c r="A250" s="90" t="s">
        <v>950</v>
      </c>
      <c r="B250" s="518"/>
      <c r="C250" s="519"/>
      <c r="D250" s="519"/>
      <c r="E250" s="519"/>
      <c r="F250" s="519"/>
      <c r="G250" s="520"/>
      <c r="H250" s="520"/>
      <c r="I250" s="520"/>
      <c r="J250" s="520"/>
      <c r="K250" s="519"/>
      <c r="L250" s="520"/>
      <c r="M250" s="520"/>
      <c r="N250" s="520"/>
      <c r="O250" s="520"/>
      <c r="P250" s="519"/>
      <c r="Q250" s="520"/>
      <c r="R250" s="520"/>
      <c r="S250" s="520"/>
      <c r="T250" s="520"/>
      <c r="U250" s="519"/>
      <c r="V250" s="520"/>
      <c r="W250" s="520"/>
      <c r="X250" s="520"/>
      <c r="Y250" s="520"/>
      <c r="Z250" s="519"/>
      <c r="AA250" s="520"/>
      <c r="AB250" s="520"/>
      <c r="AC250" s="520"/>
      <c r="AD250" s="520"/>
      <c r="AE250" s="440">
        <v>437</v>
      </c>
      <c r="AF250" s="520"/>
      <c r="AG250" s="520"/>
      <c r="AH250" s="520"/>
      <c r="AI250" s="520"/>
      <c r="AJ250" s="440">
        <v>337</v>
      </c>
      <c r="AK250" s="520"/>
      <c r="AL250" s="520"/>
      <c r="AM250" s="520"/>
      <c r="AN250" s="520"/>
      <c r="AO250" s="440">
        <v>401</v>
      </c>
      <c r="AP250" s="520"/>
      <c r="AQ250" s="520"/>
      <c r="AR250" s="520"/>
      <c r="AS250" s="520"/>
      <c r="AT250" s="440">
        <v>429</v>
      </c>
      <c r="AU250" s="766"/>
      <c r="AV250" s="520"/>
      <c r="AW250" s="520"/>
      <c r="AX250" s="520"/>
      <c r="AY250" s="519"/>
      <c r="AZ250" s="520"/>
      <c r="BA250" s="520"/>
      <c r="BB250" s="520"/>
      <c r="BC250" s="520"/>
      <c r="BD250" s="519"/>
      <c r="BE250" s="519"/>
      <c r="BF250" s="519"/>
      <c r="BG250" s="519"/>
      <c r="BH250" s="79"/>
    </row>
    <row r="251" spans="1:60" s="69" customFormat="1" hidden="1" outlineLevel="1" x14ac:dyDescent="0.35">
      <c r="A251" s="90" t="s">
        <v>1058</v>
      </c>
      <c r="B251" s="518"/>
      <c r="C251" s="519"/>
      <c r="D251" s="519"/>
      <c r="E251" s="519"/>
      <c r="F251" s="519"/>
      <c r="G251" s="520"/>
      <c r="H251" s="520"/>
      <c r="I251" s="520"/>
      <c r="J251" s="520"/>
      <c r="K251" s="519"/>
      <c r="L251" s="520"/>
      <c r="M251" s="520"/>
      <c r="N251" s="520"/>
      <c r="O251" s="520"/>
      <c r="P251" s="519"/>
      <c r="Q251" s="520"/>
      <c r="R251" s="520"/>
      <c r="S251" s="520"/>
      <c r="T251" s="520"/>
      <c r="U251" s="519"/>
      <c r="V251" s="520"/>
      <c r="W251" s="520"/>
      <c r="X251" s="520"/>
      <c r="Y251" s="520"/>
      <c r="Z251" s="519"/>
      <c r="AA251" s="520"/>
      <c r="AB251" s="520"/>
      <c r="AC251" s="520"/>
      <c r="AD251" s="520"/>
      <c r="AE251" s="440">
        <v>382</v>
      </c>
      <c r="AF251" s="520"/>
      <c r="AG251" s="520"/>
      <c r="AH251" s="520"/>
      <c r="AI251" s="520"/>
      <c r="AJ251" s="440">
        <v>339</v>
      </c>
      <c r="AK251" s="520"/>
      <c r="AL251" s="520"/>
      <c r="AM251" s="520"/>
      <c r="AN251" s="520"/>
      <c r="AO251" s="440">
        <v>390</v>
      </c>
      <c r="AP251" s="520"/>
      <c r="AQ251" s="520"/>
      <c r="AR251" s="520"/>
      <c r="AS251" s="520"/>
      <c r="AT251" s="440">
        <v>454</v>
      </c>
      <c r="AU251" s="766"/>
      <c r="AV251" s="520"/>
      <c r="AW251" s="520"/>
      <c r="AX251" s="520"/>
      <c r="AY251" s="519"/>
      <c r="AZ251" s="520"/>
      <c r="BA251" s="520"/>
      <c r="BB251" s="520"/>
      <c r="BC251" s="520"/>
      <c r="BD251" s="519"/>
      <c r="BE251" s="519"/>
      <c r="BF251" s="519"/>
      <c r="BG251" s="519"/>
      <c r="BH251" s="79"/>
    </row>
    <row r="252" spans="1:60" s="345" customFormat="1" hidden="1" outlineLevel="1" x14ac:dyDescent="0.35">
      <c r="A252" s="236" t="s">
        <v>1053</v>
      </c>
      <c r="B252" s="444"/>
      <c r="C252" s="445"/>
      <c r="D252" s="445"/>
      <c r="E252" s="445"/>
      <c r="F252" s="445"/>
      <c r="G252" s="446"/>
      <c r="H252" s="446"/>
      <c r="I252" s="446"/>
      <c r="J252" s="446"/>
      <c r="K252" s="445"/>
      <c r="L252" s="446"/>
      <c r="M252" s="446"/>
      <c r="N252" s="446"/>
      <c r="O252" s="446"/>
      <c r="P252" s="445"/>
      <c r="Q252" s="446"/>
      <c r="R252" s="446"/>
      <c r="S252" s="446"/>
      <c r="T252" s="446"/>
      <c r="U252" s="445"/>
      <c r="V252" s="446"/>
      <c r="W252" s="446"/>
      <c r="X252" s="446"/>
      <c r="Y252" s="446"/>
      <c r="Z252" s="445"/>
      <c r="AA252" s="446"/>
      <c r="AB252" s="446"/>
      <c r="AC252" s="446"/>
      <c r="AD252" s="446"/>
      <c r="AE252" s="436">
        <v>1886</v>
      </c>
      <c r="AF252" s="446"/>
      <c r="AG252" s="446"/>
      <c r="AH252" s="446"/>
      <c r="AI252" s="446"/>
      <c r="AJ252" s="436">
        <v>1857</v>
      </c>
      <c r="AK252" s="446"/>
      <c r="AL252" s="446"/>
      <c r="AM252" s="446"/>
      <c r="AN252" s="446"/>
      <c r="AO252" s="436">
        <v>1830</v>
      </c>
      <c r="AP252" s="446"/>
      <c r="AQ252" s="446"/>
      <c r="AR252" s="446"/>
      <c r="AS252" s="446"/>
      <c r="AT252" s="436">
        <v>1858</v>
      </c>
      <c r="AU252" s="767"/>
      <c r="AV252" s="446"/>
      <c r="AW252" s="446"/>
      <c r="AX252" s="446"/>
      <c r="AY252" s="445"/>
      <c r="AZ252" s="446"/>
      <c r="BA252" s="446"/>
      <c r="BB252" s="446"/>
      <c r="BC252" s="446"/>
      <c r="BD252" s="445"/>
      <c r="BE252" s="445"/>
      <c r="BF252" s="445"/>
      <c r="BG252" s="445"/>
      <c r="BH252" s="351"/>
    </row>
    <row r="253" spans="1:60" s="345" customFormat="1" hidden="1" outlineLevel="1" x14ac:dyDescent="0.35">
      <c r="A253" s="236" t="s">
        <v>991</v>
      </c>
      <c r="B253" s="444"/>
      <c r="C253" s="445"/>
      <c r="D253" s="445"/>
      <c r="E253" s="445"/>
      <c r="F253" s="445"/>
      <c r="G253" s="446"/>
      <c r="H253" s="446"/>
      <c r="I253" s="446"/>
      <c r="J253" s="446"/>
      <c r="K253" s="445"/>
      <c r="L253" s="446"/>
      <c r="M253" s="446"/>
      <c r="N253" s="446"/>
      <c r="O253" s="446"/>
      <c r="P253" s="445"/>
      <c r="Q253" s="446"/>
      <c r="R253" s="446"/>
      <c r="S253" s="446"/>
      <c r="T253" s="446"/>
      <c r="U253" s="445"/>
      <c r="V253" s="446"/>
      <c r="W253" s="446"/>
      <c r="X253" s="446"/>
      <c r="Y253" s="446"/>
      <c r="Z253" s="445"/>
      <c r="AA253" s="446"/>
      <c r="AB253" s="446"/>
      <c r="AC253" s="446"/>
      <c r="AD253" s="446"/>
      <c r="AE253" s="436">
        <v>7786</v>
      </c>
      <c r="AF253" s="446"/>
      <c r="AG253" s="446"/>
      <c r="AH253" s="446"/>
      <c r="AI253" s="446"/>
      <c r="AJ253" s="436">
        <v>7773</v>
      </c>
      <c r="AK253" s="446"/>
      <c r="AL253" s="446"/>
      <c r="AM253" s="446"/>
      <c r="AN253" s="446"/>
      <c r="AO253" s="436">
        <v>6871</v>
      </c>
      <c r="AP253" s="446"/>
      <c r="AQ253" s="446"/>
      <c r="AR253" s="446"/>
      <c r="AS253" s="446"/>
      <c r="AT253" s="436">
        <v>6997</v>
      </c>
      <c r="AU253" s="767"/>
      <c r="AV253" s="446"/>
      <c r="AW253" s="446"/>
      <c r="AX253" s="446"/>
      <c r="AY253" s="445"/>
      <c r="AZ253" s="446"/>
      <c r="BA253" s="446"/>
      <c r="BB253" s="446"/>
      <c r="BC253" s="446"/>
      <c r="BD253" s="445"/>
      <c r="BE253" s="445"/>
      <c r="BF253" s="445"/>
      <c r="BG253" s="445"/>
      <c r="BH253" s="351"/>
    </row>
    <row r="254" spans="1:60" s="345" customFormat="1" hidden="1" outlineLevel="1" x14ac:dyDescent="0.35">
      <c r="A254" s="236" t="s">
        <v>992</v>
      </c>
      <c r="B254" s="444"/>
      <c r="C254" s="445"/>
      <c r="D254" s="445"/>
      <c r="E254" s="445"/>
      <c r="F254" s="445"/>
      <c r="G254" s="446"/>
      <c r="H254" s="446"/>
      <c r="I254" s="446"/>
      <c r="J254" s="446"/>
      <c r="K254" s="445"/>
      <c r="L254" s="446"/>
      <c r="M254" s="446"/>
      <c r="N254" s="446"/>
      <c r="O254" s="446"/>
      <c r="P254" s="445"/>
      <c r="Q254" s="446"/>
      <c r="R254" s="446"/>
      <c r="S254" s="446"/>
      <c r="T254" s="446"/>
      <c r="U254" s="445"/>
      <c r="V254" s="446"/>
      <c r="W254" s="446"/>
      <c r="X254" s="446"/>
      <c r="Y254" s="446"/>
      <c r="Z254" s="445"/>
      <c r="AA254" s="446"/>
      <c r="AB254" s="446"/>
      <c r="AC254" s="446"/>
      <c r="AD254" s="446"/>
      <c r="AE254" s="445"/>
      <c r="AF254" s="446"/>
      <c r="AG254" s="446"/>
      <c r="AH254" s="446"/>
      <c r="AI254" s="446"/>
      <c r="AJ254" s="436">
        <f>AVERAGE(AJ253,AE253)</f>
        <v>7779.5</v>
      </c>
      <c r="AK254" s="446"/>
      <c r="AL254" s="446"/>
      <c r="AM254" s="446"/>
      <c r="AN254" s="446"/>
      <c r="AO254" s="436">
        <f>AVERAGE(AO253,AJ253)</f>
        <v>7322</v>
      </c>
      <c r="AP254" s="446"/>
      <c r="AQ254" s="446"/>
      <c r="AR254" s="446"/>
      <c r="AS254" s="446"/>
      <c r="AT254" s="436">
        <f>AVERAGE(AT253,AO253)</f>
        <v>6934</v>
      </c>
      <c r="AU254" s="767"/>
      <c r="AV254" s="446"/>
      <c r="AW254" s="446"/>
      <c r="AX254" s="446"/>
      <c r="AY254" s="445"/>
      <c r="AZ254" s="446"/>
      <c r="BA254" s="446"/>
      <c r="BB254" s="446"/>
      <c r="BC254" s="446"/>
      <c r="BD254" s="445"/>
      <c r="BE254" s="445"/>
      <c r="BF254" s="445"/>
      <c r="BG254" s="445"/>
      <c r="BH254" s="351"/>
    </row>
    <row r="255" spans="1:60" s="345" customFormat="1" hidden="1" outlineLevel="1" x14ac:dyDescent="0.35">
      <c r="A255" s="236" t="s">
        <v>993</v>
      </c>
      <c r="B255" s="444"/>
      <c r="C255" s="445"/>
      <c r="D255" s="445"/>
      <c r="E255" s="445"/>
      <c r="F255" s="445"/>
      <c r="G255" s="446"/>
      <c r="H255" s="446"/>
      <c r="I255" s="446"/>
      <c r="J255" s="446"/>
      <c r="K255" s="445"/>
      <c r="L255" s="446"/>
      <c r="M255" s="446"/>
      <c r="N255" s="446"/>
      <c r="O255" s="446"/>
      <c r="P255" s="445"/>
      <c r="Q255" s="446"/>
      <c r="R255" s="446"/>
      <c r="S255" s="446"/>
      <c r="T255" s="446"/>
      <c r="U255" s="445"/>
      <c r="V255" s="446"/>
      <c r="W255" s="446"/>
      <c r="X255" s="446"/>
      <c r="Y255" s="446"/>
      <c r="Z255" s="445"/>
      <c r="AA255" s="446"/>
      <c r="AB255" s="446"/>
      <c r="AC255" s="446"/>
      <c r="AD255" s="446"/>
      <c r="AE255" s="445"/>
      <c r="AF255" s="446"/>
      <c r="AG255" s="446"/>
      <c r="AH255" s="446"/>
      <c r="AI255" s="446"/>
      <c r="AJ255" s="436">
        <f>AJ222</f>
        <v>2649</v>
      </c>
      <c r="AK255" s="446"/>
      <c r="AL255" s="446"/>
      <c r="AM255" s="446"/>
      <c r="AN255" s="446"/>
      <c r="AO255" s="436">
        <f>AO222</f>
        <v>2221</v>
      </c>
      <c r="AP255" s="446"/>
      <c r="AQ255" s="446"/>
      <c r="AR255" s="446"/>
      <c r="AS255" s="446"/>
      <c r="AT255" s="436">
        <f>AT222</f>
        <v>1927</v>
      </c>
      <c r="AU255" s="767"/>
      <c r="AV255" s="446"/>
      <c r="AW255" s="446"/>
      <c r="AX255" s="446"/>
      <c r="AY255" s="445"/>
      <c r="AZ255" s="446"/>
      <c r="BA255" s="446"/>
      <c r="BB255" s="446"/>
      <c r="BC255" s="446"/>
      <c r="BD255" s="445"/>
      <c r="BE255" s="445"/>
      <c r="BF255" s="445"/>
      <c r="BG255" s="445"/>
      <c r="BH255" s="351"/>
    </row>
    <row r="256" spans="1:60" s="225" customFormat="1" hidden="1" outlineLevel="1" x14ac:dyDescent="0.35">
      <c r="A256" s="227" t="s">
        <v>994</v>
      </c>
      <c r="B256" s="176"/>
      <c r="C256" s="113"/>
      <c r="D256" s="113"/>
      <c r="E256" s="113"/>
      <c r="F256" s="113"/>
      <c r="G256" s="177"/>
      <c r="H256" s="177"/>
      <c r="I256" s="177"/>
      <c r="J256" s="177"/>
      <c r="K256" s="113"/>
      <c r="L256" s="177"/>
      <c r="M256" s="177"/>
      <c r="N256" s="177"/>
      <c r="O256" s="177"/>
      <c r="P256" s="113"/>
      <c r="Q256" s="177"/>
      <c r="R256" s="177"/>
      <c r="S256" s="177"/>
      <c r="T256" s="177"/>
      <c r="U256" s="113"/>
      <c r="V256" s="177"/>
      <c r="W256" s="177"/>
      <c r="X256" s="177"/>
      <c r="Y256" s="177"/>
      <c r="Z256" s="113"/>
      <c r="AA256" s="177"/>
      <c r="AB256" s="177"/>
      <c r="AC256" s="177"/>
      <c r="AD256" s="177"/>
      <c r="AE256" s="113"/>
      <c r="AF256" s="177"/>
      <c r="AG256" s="177"/>
      <c r="AH256" s="177"/>
      <c r="AI256" s="177"/>
      <c r="AJ256" s="223">
        <f>AJ255/AJ254</f>
        <v>0.34051031557298028</v>
      </c>
      <c r="AK256" s="177"/>
      <c r="AL256" s="177"/>
      <c r="AM256" s="177"/>
      <c r="AN256" s="177"/>
      <c r="AO256" s="223">
        <f>AO255/AO254</f>
        <v>0.30333242283529088</v>
      </c>
      <c r="AP256" s="177"/>
      <c r="AQ256" s="177"/>
      <c r="AR256" s="177"/>
      <c r="AS256" s="177"/>
      <c r="AT256" s="223">
        <f>AT255/AT254</f>
        <v>0.27790597057975197</v>
      </c>
      <c r="AU256" s="780"/>
      <c r="AV256" s="177"/>
      <c r="AW256" s="177"/>
      <c r="AX256" s="177"/>
      <c r="AY256" s="113"/>
      <c r="AZ256" s="177"/>
      <c r="BA256" s="177"/>
      <c r="BB256" s="177"/>
      <c r="BC256" s="177"/>
      <c r="BD256" s="113"/>
      <c r="BE256" s="113"/>
      <c r="BF256" s="113"/>
      <c r="BG256" s="113"/>
      <c r="BH256" s="94"/>
    </row>
    <row r="257" spans="1:60" s="225" customFormat="1" collapsed="1" x14ac:dyDescent="0.35">
      <c r="A257" s="538"/>
      <c r="B257" s="176"/>
      <c r="C257" s="113"/>
      <c r="D257" s="113"/>
      <c r="E257" s="113"/>
      <c r="F257" s="113"/>
      <c r="G257" s="177"/>
      <c r="H257" s="177"/>
      <c r="I257" s="177"/>
      <c r="J257" s="177"/>
      <c r="K257" s="113"/>
      <c r="L257" s="177"/>
      <c r="M257" s="177"/>
      <c r="N257" s="177"/>
      <c r="O257" s="177"/>
      <c r="P257" s="113"/>
      <c r="Q257" s="177"/>
      <c r="R257" s="177"/>
      <c r="S257" s="177"/>
      <c r="T257" s="177"/>
      <c r="U257" s="113"/>
      <c r="V257" s="177"/>
      <c r="W257" s="177"/>
      <c r="X257" s="177"/>
      <c r="Y257" s="177"/>
      <c r="Z257" s="113"/>
      <c r="AA257" s="177"/>
      <c r="AB257" s="177"/>
      <c r="AC257" s="177"/>
      <c r="AD257" s="177"/>
      <c r="AE257" s="113"/>
      <c r="AF257" s="177"/>
      <c r="AG257" s="177"/>
      <c r="AH257" s="177"/>
      <c r="AI257" s="177"/>
      <c r="AJ257" s="113"/>
      <c r="AK257" s="177"/>
      <c r="AL257" s="177"/>
      <c r="AM257" s="177"/>
      <c r="AN257" s="177"/>
      <c r="AO257" s="113"/>
      <c r="AP257" s="177"/>
      <c r="AQ257" s="177"/>
      <c r="AR257" s="177"/>
      <c r="AS257" s="177"/>
      <c r="AT257" s="113"/>
      <c r="AU257" s="780"/>
      <c r="AV257" s="177"/>
      <c r="AW257" s="177"/>
      <c r="AX257" s="177"/>
      <c r="AY257" s="113"/>
      <c r="AZ257" s="177"/>
      <c r="BA257" s="177"/>
      <c r="BB257" s="177"/>
      <c r="BC257" s="177"/>
      <c r="BD257" s="113"/>
      <c r="BE257" s="113"/>
      <c r="BF257" s="113"/>
      <c r="BG257" s="113"/>
      <c r="BH257" s="94"/>
    </row>
    <row r="258" spans="1:60" s="21" customFormat="1" x14ac:dyDescent="0.35">
      <c r="A258" s="746" t="s">
        <v>915</v>
      </c>
      <c r="B258" s="746"/>
      <c r="C258" s="874"/>
      <c r="D258" s="874"/>
      <c r="E258" s="874"/>
      <c r="F258" s="874"/>
      <c r="G258" s="874"/>
      <c r="H258" s="874"/>
      <c r="I258" s="874"/>
      <c r="J258" s="874"/>
      <c r="K258" s="874"/>
      <c r="L258" s="874"/>
      <c r="M258" s="874"/>
      <c r="N258" s="874"/>
      <c r="O258" s="874"/>
      <c r="P258" s="874"/>
      <c r="Q258" s="874"/>
      <c r="R258" s="874"/>
      <c r="S258" s="874"/>
      <c r="T258" s="874"/>
      <c r="U258" s="874"/>
      <c r="V258" s="874"/>
      <c r="W258" s="874"/>
      <c r="X258" s="874"/>
      <c r="Y258" s="874"/>
      <c r="Z258" s="874"/>
      <c r="AA258" s="874"/>
      <c r="AB258" s="874"/>
      <c r="AC258" s="874"/>
      <c r="AD258" s="874"/>
      <c r="AE258" s="874"/>
      <c r="AF258" s="874"/>
      <c r="AG258" s="874"/>
      <c r="AH258" s="874"/>
      <c r="AI258" s="874"/>
      <c r="AJ258" s="874"/>
      <c r="AK258" s="874"/>
      <c r="AL258" s="874"/>
      <c r="AM258" s="874"/>
      <c r="AN258" s="874"/>
      <c r="AO258" s="874"/>
      <c r="AP258" s="874"/>
      <c r="AQ258" s="874"/>
      <c r="AR258" s="874"/>
      <c r="AS258" s="874"/>
      <c r="AT258" s="874"/>
      <c r="AU258" s="875"/>
      <c r="AV258" s="874"/>
      <c r="AW258" s="874"/>
      <c r="AX258" s="874"/>
      <c r="AY258" s="874"/>
      <c r="AZ258" s="874"/>
      <c r="BA258" s="874"/>
      <c r="BB258" s="874"/>
      <c r="BC258" s="874"/>
      <c r="BD258" s="874"/>
      <c r="BE258" s="874"/>
      <c r="BF258" s="874"/>
      <c r="BG258" s="874"/>
      <c r="BH258" s="651"/>
    </row>
    <row r="259" spans="1:60" s="262" customFormat="1" hidden="1" outlineLevel="2" x14ac:dyDescent="0.35">
      <c r="A259" s="530" t="s">
        <v>469</v>
      </c>
      <c r="B259" s="312"/>
      <c r="C259" s="105"/>
      <c r="D259" s="105"/>
      <c r="E259" s="105"/>
      <c r="F259" s="105"/>
      <c r="G259" s="200"/>
      <c r="H259" s="200"/>
      <c r="I259" s="200"/>
      <c r="J259" s="200"/>
      <c r="K259" s="105"/>
      <c r="L259" s="200"/>
      <c r="M259" s="200"/>
      <c r="N259" s="200"/>
      <c r="O259" s="200"/>
      <c r="P259" s="105"/>
      <c r="Q259" s="200"/>
      <c r="R259" s="200"/>
      <c r="S259" s="200"/>
      <c r="T259" s="200"/>
      <c r="U259" s="105"/>
      <c r="V259" s="200"/>
      <c r="W259" s="200"/>
      <c r="X259" s="200"/>
      <c r="Y259" s="200"/>
      <c r="Z259" s="105"/>
      <c r="AA259" s="200"/>
      <c r="AB259" s="200"/>
      <c r="AC259" s="200"/>
      <c r="AD259" s="200"/>
      <c r="AE259" s="105"/>
      <c r="AF259" s="200"/>
      <c r="AG259" s="200"/>
      <c r="AH259" s="200"/>
      <c r="AI259" s="200"/>
      <c r="AJ259" s="105"/>
      <c r="AK259" s="200"/>
      <c r="AL259" s="78">
        <v>4.7E-2</v>
      </c>
      <c r="AM259" s="78">
        <v>2.5999999999999999E-2</v>
      </c>
      <c r="AN259" s="78">
        <v>-0.01</v>
      </c>
      <c r="AO259" s="47">
        <v>1.0999999999999999E-2</v>
      </c>
      <c r="AP259" s="200"/>
      <c r="AQ259" s="200"/>
      <c r="AR259" s="200"/>
      <c r="AS259" s="200"/>
      <c r="AT259" s="105"/>
      <c r="AU259" s="761"/>
      <c r="AV259" s="200"/>
      <c r="AW259" s="200"/>
      <c r="AX259" s="200"/>
      <c r="AY259" s="105"/>
      <c r="AZ259" s="200"/>
      <c r="BA259" s="200"/>
      <c r="BB259" s="200"/>
      <c r="BC259" s="200"/>
      <c r="BD259" s="105"/>
      <c r="BE259" s="105"/>
      <c r="BF259" s="105"/>
      <c r="BG259" s="105"/>
      <c r="BH259" s="363"/>
    </row>
    <row r="260" spans="1:60" s="262" customFormat="1" hidden="1" outlineLevel="2" x14ac:dyDescent="0.35">
      <c r="A260" s="606" t="s">
        <v>890</v>
      </c>
      <c r="B260" s="465"/>
      <c r="C260" s="479"/>
      <c r="D260" s="479"/>
      <c r="E260" s="479"/>
      <c r="F260" s="479"/>
      <c r="G260" s="457"/>
      <c r="H260" s="457"/>
      <c r="I260" s="457"/>
      <c r="J260" s="457"/>
      <c r="K260" s="479"/>
      <c r="L260" s="457"/>
      <c r="M260" s="457"/>
      <c r="N260" s="457"/>
      <c r="O260" s="457"/>
      <c r="P260" s="479"/>
      <c r="Q260" s="457"/>
      <c r="R260" s="457"/>
      <c r="S260" s="457"/>
      <c r="T260" s="457"/>
      <c r="U260" s="479"/>
      <c r="V260" s="457"/>
      <c r="W260" s="457"/>
      <c r="X260" s="457"/>
      <c r="Y260" s="457"/>
      <c r="Z260" s="479"/>
      <c r="AA260" s="457"/>
      <c r="AB260" s="457"/>
      <c r="AC260" s="457"/>
      <c r="AD260" s="457"/>
      <c r="AE260" s="479"/>
      <c r="AF260" s="457"/>
      <c r="AG260" s="457"/>
      <c r="AH260" s="457"/>
      <c r="AI260" s="457"/>
      <c r="AJ260" s="479"/>
      <c r="AK260" s="457"/>
      <c r="AL260" s="457"/>
      <c r="AM260" s="457"/>
      <c r="AN260" s="457"/>
      <c r="AO260" s="479"/>
      <c r="AP260" s="457"/>
      <c r="AQ260" s="457"/>
      <c r="AR260" s="457"/>
      <c r="AS260" s="457"/>
      <c r="AT260" s="479"/>
      <c r="AU260" s="779"/>
      <c r="AV260" s="457"/>
      <c r="AW260" s="457"/>
      <c r="AX260" s="457"/>
      <c r="AY260" s="479"/>
      <c r="AZ260" s="457"/>
      <c r="BA260" s="457"/>
      <c r="BB260" s="457"/>
      <c r="BC260" s="457"/>
      <c r="BD260" s="479"/>
      <c r="BE260" s="479"/>
      <c r="BF260" s="479"/>
      <c r="BG260" s="479"/>
      <c r="BH260" s="363"/>
    </row>
    <row r="261" spans="1:60" s="262" customFormat="1" hidden="1" outlineLevel="2" x14ac:dyDescent="0.35">
      <c r="A261" s="513" t="s">
        <v>891</v>
      </c>
      <c r="B261" s="312"/>
      <c r="C261" s="105"/>
      <c r="D261" s="105"/>
      <c r="E261" s="105"/>
      <c r="F261" s="105"/>
      <c r="G261" s="200"/>
      <c r="H261" s="200"/>
      <c r="I261" s="200"/>
      <c r="J261" s="200"/>
      <c r="K261" s="105"/>
      <c r="L261" s="200"/>
      <c r="M261" s="200"/>
      <c r="N261" s="200"/>
      <c r="O261" s="200"/>
      <c r="P261" s="105"/>
      <c r="Q261" s="200"/>
      <c r="R261" s="200"/>
      <c r="S261" s="200"/>
      <c r="T261" s="200"/>
      <c r="U261" s="105"/>
      <c r="V261" s="200"/>
      <c r="W261" s="200"/>
      <c r="X261" s="200"/>
      <c r="Y261" s="200"/>
      <c r="Z261" s="105"/>
      <c r="AA261" s="200"/>
      <c r="AB261" s="200"/>
      <c r="AC261" s="200"/>
      <c r="AD261" s="200"/>
      <c r="AE261" s="47">
        <f>AE291/Z291-1</f>
        <v>3.0889341479972909E-2</v>
      </c>
      <c r="AF261" s="200"/>
      <c r="AG261" s="200"/>
      <c r="AH261" s="200"/>
      <c r="AI261" s="200"/>
      <c r="AJ261" s="47">
        <f t="shared" ref="AJ261" si="471">AJ291/AE291-1</f>
        <v>6.5854461639780482E-4</v>
      </c>
      <c r="AK261" s="200"/>
      <c r="AL261" s="200"/>
      <c r="AM261" s="200"/>
      <c r="AN261" s="200"/>
      <c r="AO261" s="105"/>
      <c r="AP261" s="200"/>
      <c r="AQ261" s="200"/>
      <c r="AR261" s="200"/>
      <c r="AS261" s="200"/>
      <c r="AT261" s="105"/>
      <c r="AU261" s="761"/>
      <c r="AV261" s="200"/>
      <c r="AW261" s="200"/>
      <c r="AX261" s="200"/>
      <c r="AY261" s="105"/>
      <c r="AZ261" s="200"/>
      <c r="BA261" s="200"/>
      <c r="BB261" s="200"/>
      <c r="BC261" s="200"/>
      <c r="BD261" s="105"/>
      <c r="BE261" s="105"/>
      <c r="BF261" s="105"/>
      <c r="BG261" s="105"/>
      <c r="BH261" s="363"/>
    </row>
    <row r="262" spans="1:60" s="262" customFormat="1" hidden="1" outlineLevel="2" x14ac:dyDescent="0.35">
      <c r="A262" s="530" t="s">
        <v>472</v>
      </c>
      <c r="B262" s="312"/>
      <c r="C262" s="105"/>
      <c r="D262" s="105"/>
      <c r="E262" s="105"/>
      <c r="F262" s="105"/>
      <c r="G262" s="200"/>
      <c r="H262" s="200"/>
      <c r="I262" s="200"/>
      <c r="J262" s="200"/>
      <c r="K262" s="105"/>
      <c r="L262" s="200"/>
      <c r="M262" s="200"/>
      <c r="N262" s="200"/>
      <c r="O262" s="200"/>
      <c r="P262" s="105"/>
      <c r="Q262" s="200"/>
      <c r="R262" s="200"/>
      <c r="S262" s="200"/>
      <c r="T262" s="200"/>
      <c r="U262" s="105"/>
      <c r="V262" s="200"/>
      <c r="W262" s="200"/>
      <c r="X262" s="200"/>
      <c r="Y262" s="200"/>
      <c r="Z262" s="105"/>
      <c r="AA262" s="200"/>
      <c r="AB262" s="200"/>
      <c r="AC262" s="200"/>
      <c r="AD262" s="200"/>
      <c r="AE262" s="105"/>
      <c r="AF262" s="200"/>
      <c r="AG262" s="200"/>
      <c r="AH262" s="200"/>
      <c r="AI262" s="200"/>
      <c r="AJ262" s="105"/>
      <c r="AK262" s="200"/>
      <c r="AL262" s="78">
        <v>1.4E-2</v>
      </c>
      <c r="AM262" s="78">
        <v>1.2999999999999999E-2</v>
      </c>
      <c r="AN262" s="78">
        <v>0.02</v>
      </c>
      <c r="AO262" s="47">
        <v>8.9999999999999993E-3</v>
      </c>
      <c r="AP262" s="200"/>
      <c r="AQ262" s="200"/>
      <c r="AR262" s="200"/>
      <c r="AS262" s="200"/>
      <c r="AT262" s="105"/>
      <c r="AU262" s="761"/>
      <c r="AV262" s="200"/>
      <c r="AW262" s="200"/>
      <c r="AX262" s="200"/>
      <c r="AY262" s="105"/>
      <c r="AZ262" s="200"/>
      <c r="BA262" s="200"/>
      <c r="BB262" s="200"/>
      <c r="BC262" s="200"/>
      <c r="BD262" s="105"/>
      <c r="BE262" s="105"/>
      <c r="BF262" s="105"/>
      <c r="BG262" s="105"/>
      <c r="BH262" s="363"/>
    </row>
    <row r="263" spans="1:60" s="262" customFormat="1" hidden="1" outlineLevel="2" x14ac:dyDescent="0.35">
      <c r="A263" s="606" t="s">
        <v>892</v>
      </c>
      <c r="B263" s="465"/>
      <c r="C263" s="479"/>
      <c r="D263" s="479"/>
      <c r="E263" s="479"/>
      <c r="F263" s="479"/>
      <c r="G263" s="457"/>
      <c r="H263" s="457"/>
      <c r="I263" s="457"/>
      <c r="J263" s="457"/>
      <c r="K263" s="479"/>
      <c r="L263" s="457"/>
      <c r="M263" s="457"/>
      <c r="N263" s="457"/>
      <c r="O263" s="457"/>
      <c r="P263" s="479"/>
      <c r="Q263" s="457"/>
      <c r="R263" s="457"/>
      <c r="S263" s="457"/>
      <c r="T263" s="457"/>
      <c r="U263" s="479"/>
      <c r="V263" s="457"/>
      <c r="W263" s="457"/>
      <c r="X263" s="457"/>
      <c r="Y263" s="457"/>
      <c r="Z263" s="479"/>
      <c r="AA263" s="457"/>
      <c r="AB263" s="457"/>
      <c r="AC263" s="457"/>
      <c r="AD263" s="457"/>
      <c r="AE263" s="479"/>
      <c r="AF263" s="457"/>
      <c r="AG263" s="457"/>
      <c r="AH263" s="457"/>
      <c r="AI263" s="457"/>
      <c r="AJ263" s="479"/>
      <c r="AK263" s="457"/>
      <c r="AL263" s="457"/>
      <c r="AM263" s="457"/>
      <c r="AN263" s="457"/>
      <c r="AO263" s="479"/>
      <c r="AP263" s="457"/>
      <c r="AQ263" s="457"/>
      <c r="AR263" s="457"/>
      <c r="AS263" s="457"/>
      <c r="AT263" s="479"/>
      <c r="AU263" s="779"/>
      <c r="AV263" s="457"/>
      <c r="AW263" s="457"/>
      <c r="AX263" s="457"/>
      <c r="AY263" s="479"/>
      <c r="AZ263" s="457"/>
      <c r="BA263" s="457"/>
      <c r="BB263" s="457"/>
      <c r="BC263" s="457"/>
      <c r="BD263" s="479"/>
      <c r="BE263" s="479"/>
      <c r="BF263" s="479"/>
      <c r="BG263" s="479"/>
      <c r="BH263" s="363"/>
    </row>
    <row r="264" spans="1:60" s="262" customFormat="1" hidden="1" outlineLevel="2" x14ac:dyDescent="0.35">
      <c r="A264" s="513" t="s">
        <v>893</v>
      </c>
      <c r="B264" s="312"/>
      <c r="C264" s="105"/>
      <c r="D264" s="105"/>
      <c r="E264" s="105"/>
      <c r="F264" s="105"/>
      <c r="G264" s="200"/>
      <c r="H264" s="200"/>
      <c r="I264" s="200"/>
      <c r="J264" s="200"/>
      <c r="K264" s="105"/>
      <c r="L264" s="200"/>
      <c r="M264" s="200"/>
      <c r="N264" s="200"/>
      <c r="O264" s="200"/>
      <c r="P264" s="105"/>
      <c r="Q264" s="200"/>
      <c r="R264" s="200"/>
      <c r="S264" s="200"/>
      <c r="T264" s="200"/>
      <c r="U264" s="105"/>
      <c r="V264" s="200"/>
      <c r="W264" s="200"/>
      <c r="X264" s="200"/>
      <c r="Y264" s="200"/>
      <c r="Z264" s="105"/>
      <c r="AA264" s="200"/>
      <c r="AB264" s="200"/>
      <c r="AC264" s="200"/>
      <c r="AD264" s="200"/>
      <c r="AE264" s="47">
        <f>AE292/Z292-1</f>
        <v>8.302583025830268E-2</v>
      </c>
      <c r="AF264" s="200"/>
      <c r="AG264" s="200"/>
      <c r="AH264" s="200"/>
      <c r="AI264" s="200"/>
      <c r="AJ264" s="47">
        <f t="shared" ref="AJ264" si="472">AJ292/AE292-1</f>
        <v>1.5332197614991383E-2</v>
      </c>
      <c r="AK264" s="200"/>
      <c r="AL264" s="200"/>
      <c r="AM264" s="200"/>
      <c r="AN264" s="200"/>
      <c r="AO264" s="105"/>
      <c r="AP264" s="200"/>
      <c r="AQ264" s="200"/>
      <c r="AR264" s="200"/>
      <c r="AS264" s="200"/>
      <c r="AT264" s="105"/>
      <c r="AU264" s="761"/>
      <c r="AV264" s="200"/>
      <c r="AW264" s="200"/>
      <c r="AX264" s="200"/>
      <c r="AY264" s="105"/>
      <c r="AZ264" s="200"/>
      <c r="BA264" s="200"/>
      <c r="BB264" s="200"/>
      <c r="BC264" s="200"/>
      <c r="BD264" s="105"/>
      <c r="BE264" s="105"/>
      <c r="BF264" s="105"/>
      <c r="BG264" s="105"/>
      <c r="BH264" s="363"/>
    </row>
    <row r="265" spans="1:60" s="262" customFormat="1" hidden="1" outlineLevel="2" x14ac:dyDescent="0.35">
      <c r="A265" s="513" t="s">
        <v>737</v>
      </c>
      <c r="B265" s="312"/>
      <c r="C265" s="105"/>
      <c r="D265" s="105"/>
      <c r="E265" s="105"/>
      <c r="F265" s="105"/>
      <c r="G265" s="200"/>
      <c r="H265" s="200"/>
      <c r="I265" s="200"/>
      <c r="J265" s="200"/>
      <c r="K265" s="105"/>
      <c r="L265" s="200"/>
      <c r="M265" s="200"/>
      <c r="N265" s="200"/>
      <c r="O265" s="200"/>
      <c r="P265" s="105"/>
      <c r="Q265" s="200"/>
      <c r="R265" s="200"/>
      <c r="S265" s="200"/>
      <c r="T265" s="200"/>
      <c r="U265" s="105"/>
      <c r="V265" s="200"/>
      <c r="W265" s="200"/>
      <c r="X265" s="200"/>
      <c r="Y265" s="200"/>
      <c r="Z265" s="105"/>
      <c r="AA265" s="200"/>
      <c r="AB265" s="200"/>
      <c r="AC265" s="200"/>
      <c r="AD265" s="200"/>
      <c r="AE265" s="105"/>
      <c r="AF265" s="200"/>
      <c r="AG265" s="200"/>
      <c r="AH265" s="200"/>
      <c r="AI265" s="200"/>
      <c r="AJ265" s="105"/>
      <c r="AK265" s="200"/>
      <c r="AL265" s="200"/>
      <c r="AM265" s="200"/>
      <c r="AN265" s="200"/>
      <c r="AO265" s="105"/>
      <c r="AP265" s="78">
        <v>7.8E-2</v>
      </c>
      <c r="AQ265" s="78">
        <v>-0.14000000000000001</v>
      </c>
      <c r="AR265" s="78">
        <v>0.13</v>
      </c>
      <c r="AS265" s="78">
        <v>0.09</v>
      </c>
      <c r="AT265" s="47">
        <v>3.9E-2</v>
      </c>
      <c r="AU265" s="759">
        <v>0.08</v>
      </c>
      <c r="AV265" s="200"/>
      <c r="AW265" s="200"/>
      <c r="AX265" s="200"/>
      <c r="AY265" s="105"/>
      <c r="AZ265" s="200"/>
      <c r="BA265" s="200"/>
      <c r="BB265" s="200"/>
      <c r="BC265" s="200"/>
      <c r="BD265" s="105"/>
      <c r="BE265" s="105"/>
      <c r="BF265" s="105"/>
      <c r="BG265" s="105"/>
      <c r="BH265" s="363"/>
    </row>
    <row r="266" spans="1:60" s="262" customFormat="1" hidden="1" outlineLevel="2" x14ac:dyDescent="0.35">
      <c r="A266" s="605" t="s">
        <v>894</v>
      </c>
      <c r="B266" s="465"/>
      <c r="C266" s="479"/>
      <c r="D266" s="479"/>
      <c r="E266" s="479"/>
      <c r="F266" s="479"/>
      <c r="G266" s="457"/>
      <c r="H266" s="457"/>
      <c r="I266" s="457"/>
      <c r="J266" s="457"/>
      <c r="K266" s="479"/>
      <c r="L266" s="457"/>
      <c r="M266" s="457"/>
      <c r="N266" s="457"/>
      <c r="O266" s="457"/>
      <c r="P266" s="479"/>
      <c r="Q266" s="457"/>
      <c r="R266" s="457"/>
      <c r="S266" s="457"/>
      <c r="T266" s="457"/>
      <c r="U266" s="479"/>
      <c r="V266" s="457"/>
      <c r="W266" s="457"/>
      <c r="X266" s="457"/>
      <c r="Y266" s="457"/>
      <c r="Z266" s="479"/>
      <c r="AA266" s="457"/>
      <c r="AB266" s="457"/>
      <c r="AC266" s="457"/>
      <c r="AD266" s="457"/>
      <c r="AE266" s="479"/>
      <c r="AF266" s="457"/>
      <c r="AG266" s="457"/>
      <c r="AH266" s="457"/>
      <c r="AI266" s="457"/>
      <c r="AJ266" s="479"/>
      <c r="AK266" s="457"/>
      <c r="AL266" s="457"/>
      <c r="AM266" s="457"/>
      <c r="AN266" s="457"/>
      <c r="AO266" s="479"/>
      <c r="AP266" s="604">
        <f>AP267-AP265</f>
        <v>0.31137093275488065</v>
      </c>
      <c r="AQ266" s="604">
        <f t="shared" ref="AQ266" si="473">AQ267-AQ265</f>
        <v>0.19190989226248767</v>
      </c>
      <c r="AR266" s="604">
        <f t="shared" ref="AR266:AT266" si="474">AR267-AR265</f>
        <v>0.24204522096608427</v>
      </c>
      <c r="AS266" s="604">
        <f t="shared" si="474"/>
        <v>-2.1464174454828649E-2</v>
      </c>
      <c r="AT266" s="603">
        <f t="shared" si="474"/>
        <v>0.16623809523809521</v>
      </c>
      <c r="AU266" s="779">
        <f t="shared" ref="AU266" si="475">AU267-AU265</f>
        <v>-5.6580796252927376E-2</v>
      </c>
      <c r="AV266" s="457"/>
      <c r="AW266" s="457"/>
      <c r="AX266" s="457"/>
      <c r="AY266" s="479"/>
      <c r="AZ266" s="457"/>
      <c r="BA266" s="457"/>
      <c r="BB266" s="457"/>
      <c r="BC266" s="457"/>
      <c r="BD266" s="479"/>
      <c r="BE266" s="479"/>
      <c r="BF266" s="479"/>
      <c r="BG266" s="479"/>
      <c r="BH266" s="363"/>
    </row>
    <row r="267" spans="1:60" s="262" customFormat="1" hidden="1" outlineLevel="1" x14ac:dyDescent="0.35">
      <c r="A267" s="154" t="s">
        <v>895</v>
      </c>
      <c r="B267" s="312"/>
      <c r="C267" s="105"/>
      <c r="D267" s="105"/>
      <c r="E267" s="105"/>
      <c r="F267" s="105"/>
      <c r="G267" s="200"/>
      <c r="H267" s="200"/>
      <c r="I267" s="200"/>
      <c r="J267" s="200"/>
      <c r="K267" s="105"/>
      <c r="L267" s="200"/>
      <c r="M267" s="200"/>
      <c r="N267" s="200"/>
      <c r="O267" s="200"/>
      <c r="P267" s="105"/>
      <c r="Q267" s="200"/>
      <c r="R267" s="200"/>
      <c r="S267" s="200"/>
      <c r="T267" s="200"/>
      <c r="U267" s="105"/>
      <c r="V267" s="200"/>
      <c r="W267" s="200"/>
      <c r="X267" s="200"/>
      <c r="Y267" s="200"/>
      <c r="Z267" s="105"/>
      <c r="AA267" s="200"/>
      <c r="AB267" s="200"/>
      <c r="AC267" s="200"/>
      <c r="AD267" s="200"/>
      <c r="AE267" s="47">
        <f>AE293/Z293-1</f>
        <v>3.8990825688073327E-2</v>
      </c>
      <c r="AF267" s="200"/>
      <c r="AG267" s="200"/>
      <c r="AH267" s="200"/>
      <c r="AI267" s="200"/>
      <c r="AJ267" s="47">
        <f t="shared" ref="AJ267" si="476">AJ293/AE293-1</f>
        <v>3.0353200883002085E-3</v>
      </c>
      <c r="AK267" s="78">
        <f t="shared" ref="AK267" si="477">AK293/AF293-1</f>
        <v>2.3307436182020025E-2</v>
      </c>
      <c r="AL267" s="78">
        <f t="shared" ref="AL267" si="478">AL293/AG293-1</f>
        <v>0.11706783369803064</v>
      </c>
      <c r="AM267" s="78">
        <f t="shared" ref="AM267" si="479">AM293/AH293-1</f>
        <v>9.8194130925507883E-2</v>
      </c>
      <c r="AN267" s="78">
        <f t="shared" ref="AN267" si="480">AN293/AI293-1</f>
        <v>0.37473233404710915</v>
      </c>
      <c r="AO267" s="47">
        <f t="shared" ref="AO267" si="481">AO293/AJ293-1</f>
        <v>0.15543328748280616</v>
      </c>
      <c r="AP267" s="78">
        <f t="shared" ref="AP267" si="482">AP293/AK293-1</f>
        <v>0.38937093275488066</v>
      </c>
      <c r="AQ267" s="78">
        <f t="shared" ref="AQ267" si="483">AQ293/AL293-1</f>
        <v>5.1909892262487656E-2</v>
      </c>
      <c r="AR267" s="78">
        <f t="shared" ref="AR267" si="484">AR293/AM293-1</f>
        <v>0.37204522096608428</v>
      </c>
      <c r="AS267" s="78">
        <f t="shared" ref="AS267" si="485">AS293/AN293-1</f>
        <v>6.8535825545171347E-2</v>
      </c>
      <c r="AT267" s="47">
        <f t="shared" ref="AT267:AU267" si="486">AT293/AO293-1</f>
        <v>0.20523809523809522</v>
      </c>
      <c r="AU267" s="761">
        <f t="shared" si="486"/>
        <v>2.3419203747072626E-2</v>
      </c>
      <c r="AV267" s="200"/>
      <c r="AW267" s="200"/>
      <c r="AX267" s="200"/>
      <c r="AY267" s="105"/>
      <c r="AZ267" s="200"/>
      <c r="BA267" s="200"/>
      <c r="BB267" s="200"/>
      <c r="BC267" s="200"/>
      <c r="BD267" s="105"/>
      <c r="BE267" s="105"/>
      <c r="BF267" s="105"/>
      <c r="BG267" s="105"/>
      <c r="BH267" s="363"/>
    </row>
    <row r="268" spans="1:60" s="262" customFormat="1" hidden="1" outlineLevel="2" x14ac:dyDescent="0.35">
      <c r="A268" s="513" t="s">
        <v>470</v>
      </c>
      <c r="B268" s="312"/>
      <c r="C268" s="105"/>
      <c r="D268" s="105"/>
      <c r="E268" s="105"/>
      <c r="F268" s="105"/>
      <c r="G268" s="200"/>
      <c r="H268" s="200"/>
      <c r="I268" s="200"/>
      <c r="J268" s="200"/>
      <c r="K268" s="105"/>
      <c r="L268" s="200"/>
      <c r="M268" s="200"/>
      <c r="N268" s="200"/>
      <c r="O268" s="200"/>
      <c r="P268" s="105"/>
      <c r="Q268" s="200"/>
      <c r="R268" s="200"/>
      <c r="S268" s="200"/>
      <c r="T268" s="200"/>
      <c r="U268" s="105"/>
      <c r="V268" s="200"/>
      <c r="W268" s="200"/>
      <c r="X268" s="200"/>
      <c r="Y268" s="200"/>
      <c r="Z268" s="105"/>
      <c r="AA268" s="200"/>
      <c r="AB268" s="200"/>
      <c r="AC268" s="200"/>
      <c r="AD268" s="200"/>
      <c r="AE268" s="105"/>
      <c r="AF268" s="200"/>
      <c r="AG268" s="200"/>
      <c r="AH268" s="200"/>
      <c r="AI268" s="200"/>
      <c r="AJ268" s="105"/>
      <c r="AK268" s="200"/>
      <c r="AL268" s="78">
        <v>6.3E-2</v>
      </c>
      <c r="AM268" s="78">
        <v>1.4E-2</v>
      </c>
      <c r="AN268" s="78">
        <v>0</v>
      </c>
      <c r="AO268" s="47">
        <v>2.8000000000000001E-2</v>
      </c>
      <c r="AP268" s="78">
        <v>-9.2999999999999999E-2</v>
      </c>
      <c r="AQ268" s="78">
        <v>-0.1</v>
      </c>
      <c r="AR268" s="78">
        <v>-0.04</v>
      </c>
      <c r="AS268" s="78">
        <v>0</v>
      </c>
      <c r="AT268" s="47">
        <v>2.8000000000000001E-2</v>
      </c>
      <c r="AU268" s="759">
        <v>0.08</v>
      </c>
      <c r="AV268" s="200"/>
      <c r="AW268" s="200"/>
      <c r="AX268" s="200"/>
      <c r="AY268" s="105"/>
      <c r="AZ268" s="200"/>
      <c r="BA268" s="200"/>
      <c r="BB268" s="200"/>
      <c r="BC268" s="200"/>
      <c r="BD268" s="105"/>
      <c r="BE268" s="105"/>
      <c r="BF268" s="105"/>
      <c r="BG268" s="105"/>
      <c r="BH268" s="363"/>
    </row>
    <row r="269" spans="1:60" s="262" customFormat="1" hidden="1" outlineLevel="2" x14ac:dyDescent="0.35">
      <c r="A269" s="605" t="s">
        <v>896</v>
      </c>
      <c r="B269" s="465"/>
      <c r="C269" s="479"/>
      <c r="D269" s="479"/>
      <c r="E269" s="479"/>
      <c r="F269" s="479"/>
      <c r="G269" s="457"/>
      <c r="H269" s="457"/>
      <c r="I269" s="457"/>
      <c r="J269" s="457"/>
      <c r="K269" s="479"/>
      <c r="L269" s="457"/>
      <c r="M269" s="457"/>
      <c r="N269" s="457"/>
      <c r="O269" s="457"/>
      <c r="P269" s="479"/>
      <c r="Q269" s="457"/>
      <c r="R269" s="457"/>
      <c r="S269" s="457"/>
      <c r="T269" s="457"/>
      <c r="U269" s="479"/>
      <c r="V269" s="457"/>
      <c r="W269" s="457"/>
      <c r="X269" s="457"/>
      <c r="Y269" s="457"/>
      <c r="Z269" s="479"/>
      <c r="AA269" s="457"/>
      <c r="AB269" s="457"/>
      <c r="AC269" s="457"/>
      <c r="AD269" s="457"/>
      <c r="AE269" s="479"/>
      <c r="AF269" s="457"/>
      <c r="AG269" s="457"/>
      <c r="AH269" s="457"/>
      <c r="AI269" s="457"/>
      <c r="AJ269" s="479"/>
      <c r="AK269" s="457"/>
      <c r="AL269" s="604">
        <f t="shared" ref="AL269" si="487">AL270-AL268</f>
        <v>-3.3430107526881747E-2</v>
      </c>
      <c r="AM269" s="604">
        <f t="shared" ref="AM269" si="488">AM270-AM268</f>
        <v>-5.596638655462215E-3</v>
      </c>
      <c r="AN269" s="604">
        <f t="shared" ref="AN269" si="489">AN270-AN268</f>
        <v>7.267441860465107E-2</v>
      </c>
      <c r="AO269" s="603">
        <f t="shared" ref="AO269" si="490">AO270-AO268</f>
        <v>-6.0521262002743749E-3</v>
      </c>
      <c r="AP269" s="604">
        <f t="shared" ref="AP269" si="491">AP270-AP268</f>
        <v>3.4798941798941746E-2</v>
      </c>
      <c r="AQ269" s="604">
        <f t="shared" ref="AQ269" si="492">AQ270-AQ268</f>
        <v>3.4725848563968681E-2</v>
      </c>
      <c r="AR269" s="604">
        <f t="shared" ref="AR269:AT269" si="493">AR270-AR268</f>
        <v>8.7222222222222284E-2</v>
      </c>
      <c r="AS269" s="604">
        <f t="shared" si="493"/>
        <v>4.8780487804878092E-2</v>
      </c>
      <c r="AT269" s="603">
        <f t="shared" si="493"/>
        <v>-3.6053691275167749E-2</v>
      </c>
      <c r="AU269" s="779">
        <f t="shared" ref="AU269" si="494">AU270-AU268</f>
        <v>6.606741573033699E-2</v>
      </c>
      <c r="AV269" s="457"/>
      <c r="AW269" s="457"/>
      <c r="AX269" s="457"/>
      <c r="AY269" s="479"/>
      <c r="AZ269" s="457"/>
      <c r="BA269" s="457"/>
      <c r="BB269" s="457"/>
      <c r="BC269" s="457"/>
      <c r="BD269" s="479"/>
      <c r="BE269" s="479"/>
      <c r="BF269" s="479"/>
      <c r="BG269" s="479"/>
      <c r="BH269" s="363"/>
    </row>
    <row r="270" spans="1:60" s="262" customFormat="1" hidden="1" outlineLevel="1" x14ac:dyDescent="0.35">
      <c r="A270" s="154" t="s">
        <v>911</v>
      </c>
      <c r="B270" s="312"/>
      <c r="C270" s="105"/>
      <c r="D270" s="105"/>
      <c r="E270" s="105"/>
      <c r="F270" s="105"/>
      <c r="G270" s="200"/>
      <c r="H270" s="200"/>
      <c r="I270" s="200"/>
      <c r="J270" s="200"/>
      <c r="K270" s="105"/>
      <c r="L270" s="200"/>
      <c r="M270" s="200"/>
      <c r="N270" s="200"/>
      <c r="O270" s="200"/>
      <c r="P270" s="105"/>
      <c r="Q270" s="200"/>
      <c r="R270" s="200"/>
      <c r="S270" s="200"/>
      <c r="T270" s="200"/>
      <c r="U270" s="105"/>
      <c r="V270" s="200"/>
      <c r="W270" s="200"/>
      <c r="X270" s="200"/>
      <c r="Y270" s="200"/>
      <c r="Z270" s="105"/>
      <c r="AA270" s="200"/>
      <c r="AB270" s="200"/>
      <c r="AC270" s="200"/>
      <c r="AD270" s="200"/>
      <c r="AE270" s="47">
        <f>AE294/Z294-1</f>
        <v>7.5939248601119003E-2</v>
      </c>
      <c r="AF270" s="200"/>
      <c r="AG270" s="200"/>
      <c r="AH270" s="200"/>
      <c r="AI270" s="200"/>
      <c r="AJ270" s="47">
        <f t="shared" ref="AJ270" si="495">AJ294/AE294-1</f>
        <v>8.3209509658246583E-2</v>
      </c>
      <c r="AK270" s="78">
        <f t="shared" ref="AK270" si="496">AK294/AF294-1</f>
        <v>-1.8181818181818188E-2</v>
      </c>
      <c r="AL270" s="78">
        <f t="shared" ref="AL270" si="497">AL294/AG294-1</f>
        <v>2.9569892473118253E-2</v>
      </c>
      <c r="AM270" s="78">
        <f t="shared" ref="AM270" si="498">AM294/AH294-1</f>
        <v>8.4033613445377853E-3</v>
      </c>
      <c r="AN270" s="78">
        <f t="shared" ref="AN270" si="499">AN294/AI294-1</f>
        <v>7.267441860465107E-2</v>
      </c>
      <c r="AO270" s="47">
        <f t="shared" ref="AO270" si="500">AO294/AJ294-1</f>
        <v>2.1947873799725626E-2</v>
      </c>
      <c r="AP270" s="78">
        <f t="shared" ref="AP270" si="501">AP294/AK294-1</f>
        <v>-5.8201058201058253E-2</v>
      </c>
      <c r="AQ270" s="78">
        <f t="shared" ref="AQ270" si="502">AQ294/AL294-1</f>
        <v>-6.5274151436031325E-2</v>
      </c>
      <c r="AR270" s="78">
        <f t="shared" ref="AR270" si="503">AR294/AM294-1</f>
        <v>4.7222222222222276E-2</v>
      </c>
      <c r="AS270" s="78">
        <f t="shared" ref="AS270" si="504">AS294/AN294-1</f>
        <v>4.8780487804878092E-2</v>
      </c>
      <c r="AT270" s="47">
        <f t="shared" ref="AT270:AU270" si="505">AT294/AO294-1</f>
        <v>-8.0536912751677514E-3</v>
      </c>
      <c r="AU270" s="761">
        <f t="shared" si="505"/>
        <v>0.14606741573033699</v>
      </c>
      <c r="AV270" s="200"/>
      <c r="AW270" s="200"/>
      <c r="AX270" s="200"/>
      <c r="AY270" s="105"/>
      <c r="AZ270" s="200"/>
      <c r="BA270" s="200"/>
      <c r="BB270" s="200"/>
      <c r="BC270" s="200"/>
      <c r="BD270" s="105"/>
      <c r="BE270" s="105"/>
      <c r="BF270" s="105"/>
      <c r="BG270" s="105"/>
      <c r="BH270" s="363"/>
    </row>
    <row r="271" spans="1:60" s="262" customFormat="1" hidden="1" outlineLevel="2" x14ac:dyDescent="0.35">
      <c r="A271" s="513" t="s">
        <v>471</v>
      </c>
      <c r="B271" s="312"/>
      <c r="C271" s="105"/>
      <c r="D271" s="105"/>
      <c r="E271" s="105"/>
      <c r="F271" s="105"/>
      <c r="G271" s="200"/>
      <c r="H271" s="200"/>
      <c r="I271" s="200"/>
      <c r="J271" s="200"/>
      <c r="K271" s="105"/>
      <c r="L271" s="200"/>
      <c r="M271" s="200"/>
      <c r="N271" s="200"/>
      <c r="O271" s="200"/>
      <c r="P271" s="105"/>
      <c r="Q271" s="200"/>
      <c r="R271" s="200"/>
      <c r="S271" s="200"/>
      <c r="T271" s="200"/>
      <c r="U271" s="105"/>
      <c r="V271" s="200"/>
      <c r="W271" s="200"/>
      <c r="X271" s="200"/>
      <c r="Y271" s="200"/>
      <c r="Z271" s="105"/>
      <c r="AA271" s="200"/>
      <c r="AB271" s="200"/>
      <c r="AC271" s="200"/>
      <c r="AD271" s="200"/>
      <c r="AE271" s="105"/>
      <c r="AF271" s="200"/>
      <c r="AG271" s="200"/>
      <c r="AH271" s="200"/>
      <c r="AI271" s="200"/>
      <c r="AJ271" s="105"/>
      <c r="AK271" s="200"/>
      <c r="AL271" s="78">
        <v>-1E-3</v>
      </c>
      <c r="AM271" s="78">
        <v>1.7999999999999999E-2</v>
      </c>
      <c r="AN271" s="78">
        <v>0.01</v>
      </c>
      <c r="AO271" s="47">
        <v>1.4E-2</v>
      </c>
      <c r="AP271" s="78">
        <v>-3.9E-2</v>
      </c>
      <c r="AQ271" s="78">
        <v>-0.1</v>
      </c>
      <c r="AR271" s="78">
        <v>0.09</v>
      </c>
      <c r="AS271" s="78">
        <v>0.01</v>
      </c>
      <c r="AT271" s="47">
        <v>1.4E-2</v>
      </c>
      <c r="AU271" s="759">
        <v>0.16</v>
      </c>
      <c r="AV271" s="200"/>
      <c r="AW271" s="200"/>
      <c r="AX271" s="200"/>
      <c r="AY271" s="105"/>
      <c r="AZ271" s="200"/>
      <c r="BA271" s="200"/>
      <c r="BB271" s="200"/>
      <c r="BC271" s="200"/>
      <c r="BD271" s="105"/>
      <c r="BE271" s="105"/>
      <c r="BF271" s="105"/>
      <c r="BG271" s="105"/>
      <c r="BH271" s="363"/>
    </row>
    <row r="272" spans="1:60" s="262" customFormat="1" hidden="1" outlineLevel="2" x14ac:dyDescent="0.35">
      <c r="A272" s="605" t="s">
        <v>897</v>
      </c>
      <c r="B272" s="465"/>
      <c r="C272" s="479"/>
      <c r="D272" s="479"/>
      <c r="E272" s="479"/>
      <c r="F272" s="479"/>
      <c r="G272" s="457"/>
      <c r="H272" s="457"/>
      <c r="I272" s="457"/>
      <c r="J272" s="457"/>
      <c r="K272" s="479"/>
      <c r="L272" s="457"/>
      <c r="M272" s="457"/>
      <c r="N272" s="457"/>
      <c r="O272" s="457"/>
      <c r="P272" s="479"/>
      <c r="Q272" s="457"/>
      <c r="R272" s="457"/>
      <c r="S272" s="457"/>
      <c r="T272" s="457"/>
      <c r="U272" s="479"/>
      <c r="V272" s="457"/>
      <c r="W272" s="457"/>
      <c r="X272" s="457"/>
      <c r="Y272" s="457"/>
      <c r="Z272" s="479"/>
      <c r="AA272" s="457"/>
      <c r="AB272" s="457"/>
      <c r="AC272" s="457"/>
      <c r="AD272" s="457"/>
      <c r="AE272" s="479"/>
      <c r="AF272" s="457"/>
      <c r="AG272" s="457"/>
      <c r="AH272" s="457"/>
      <c r="AI272" s="457"/>
      <c r="AJ272" s="479"/>
      <c r="AK272" s="457"/>
      <c r="AL272" s="604">
        <f t="shared" ref="AL272" si="506">AL273-AL271</f>
        <v>-3.9449438202247222E-2</v>
      </c>
      <c r="AM272" s="604">
        <f t="shared" ref="AM272" si="507">AM273-AM271</f>
        <v>-4.5568922305764467E-2</v>
      </c>
      <c r="AN272" s="604">
        <f t="shared" ref="AN272" si="508">AN273-AN271</f>
        <v>0.12953488372093025</v>
      </c>
      <c r="AO272" s="603">
        <f t="shared" ref="AO272" si="509">AO273-AO271</f>
        <v>-8.2296595499133807E-3</v>
      </c>
      <c r="AP272" s="604">
        <f t="shared" ref="AP272" si="510">AP273-AP271</f>
        <v>0.10521004566210043</v>
      </c>
      <c r="AQ272" s="604">
        <f t="shared" ref="AQ272" si="511">AQ273-AQ271</f>
        <v>1.8032786885245927E-2</v>
      </c>
      <c r="AR272" s="604">
        <f t="shared" ref="AR272:AT272" si="512">AR273-AR271</f>
        <v>6.4639175257731857E-2</v>
      </c>
      <c r="AS272" s="604">
        <f t="shared" si="512"/>
        <v>1.4489795918367418E-2</v>
      </c>
      <c r="AT272" s="603">
        <f t="shared" si="512"/>
        <v>2.3865748709122295E-2</v>
      </c>
      <c r="AU272" s="779">
        <f t="shared" ref="AU272" si="513">AU273-AU271</f>
        <v>-2.7237687366167135E-2</v>
      </c>
      <c r="AV272" s="457"/>
      <c r="AW272" s="457"/>
      <c r="AX272" s="457"/>
      <c r="AY272" s="479"/>
      <c r="AZ272" s="457"/>
      <c r="BA272" s="457"/>
      <c r="BB272" s="457"/>
      <c r="BC272" s="457"/>
      <c r="BD272" s="479"/>
      <c r="BE272" s="479"/>
      <c r="BF272" s="479"/>
      <c r="BG272" s="479"/>
      <c r="BH272" s="363"/>
    </row>
    <row r="273" spans="1:60" s="262" customFormat="1" hidden="1" outlineLevel="1" x14ac:dyDescent="0.35">
      <c r="A273" s="589" t="s">
        <v>898</v>
      </c>
      <c r="B273" s="465"/>
      <c r="C273" s="479"/>
      <c r="D273" s="479"/>
      <c r="E273" s="479"/>
      <c r="F273" s="479"/>
      <c r="G273" s="457"/>
      <c r="H273" s="457"/>
      <c r="I273" s="457"/>
      <c r="J273" s="457"/>
      <c r="K273" s="479"/>
      <c r="L273" s="457"/>
      <c r="M273" s="457"/>
      <c r="N273" s="457"/>
      <c r="O273" s="457"/>
      <c r="P273" s="479"/>
      <c r="Q273" s="457"/>
      <c r="R273" s="457"/>
      <c r="S273" s="457"/>
      <c r="T273" s="457"/>
      <c r="U273" s="479"/>
      <c r="V273" s="457"/>
      <c r="W273" s="457"/>
      <c r="X273" s="457"/>
      <c r="Y273" s="457"/>
      <c r="Z273" s="479"/>
      <c r="AA273" s="457"/>
      <c r="AB273" s="457"/>
      <c r="AC273" s="457"/>
      <c r="AD273" s="457"/>
      <c r="AE273" s="603">
        <f>AE295/Z295-1</f>
        <v>1.8326206475259621E-2</v>
      </c>
      <c r="AF273" s="457"/>
      <c r="AG273" s="457"/>
      <c r="AH273" s="457"/>
      <c r="AI273" s="457"/>
      <c r="AJ273" s="603">
        <f t="shared" ref="AJ273" si="514">AJ295/AE295-1</f>
        <v>3.9592081583683214E-2</v>
      </c>
      <c r="AK273" s="604">
        <f t="shared" ref="AK273" si="515">AK295/AF295-1</f>
        <v>-4.5751633986928053E-2</v>
      </c>
      <c r="AL273" s="604">
        <f t="shared" ref="AL273" si="516">AL295/AG295-1</f>
        <v>-4.0449438202247223E-2</v>
      </c>
      <c r="AM273" s="604">
        <f t="shared" ref="AM273" si="517">AM295/AH295-1</f>
        <v>-2.7568922305764465E-2</v>
      </c>
      <c r="AN273" s="604">
        <f t="shared" ref="AN273" si="518">AN295/AI295-1</f>
        <v>0.13953488372093026</v>
      </c>
      <c r="AO273" s="603">
        <f t="shared" ref="AO273" si="519">AO295/AJ295-1</f>
        <v>5.7703404500866196E-3</v>
      </c>
      <c r="AP273" s="604">
        <f t="shared" ref="AP273" si="520">AP295/AK295-1</f>
        <v>6.6210045662100425E-2</v>
      </c>
      <c r="AQ273" s="604">
        <f t="shared" ref="AQ273" si="521">AQ295/AL295-1</f>
        <v>-8.1967213114754078E-2</v>
      </c>
      <c r="AR273" s="604">
        <f t="shared" ref="AR273" si="522">AR295/AM295-1</f>
        <v>0.15463917525773185</v>
      </c>
      <c r="AS273" s="604">
        <f t="shared" ref="AS273" si="523">AS295/AN295-1</f>
        <v>2.4489795918367419E-2</v>
      </c>
      <c r="AT273" s="603">
        <f t="shared" ref="AT273:AU273" si="524">AT295/AO295-1</f>
        <v>3.7865748709122293E-2</v>
      </c>
      <c r="AU273" s="779">
        <f t="shared" si="524"/>
        <v>0.13276231263383287</v>
      </c>
      <c r="AV273" s="457"/>
      <c r="AW273" s="457"/>
      <c r="AX273" s="457"/>
      <c r="AY273" s="479"/>
      <c r="AZ273" s="457"/>
      <c r="BA273" s="457"/>
      <c r="BB273" s="457"/>
      <c r="BC273" s="457"/>
      <c r="BD273" s="479"/>
      <c r="BE273" s="479"/>
      <c r="BF273" s="479"/>
      <c r="BG273" s="479"/>
      <c r="BH273" s="363"/>
    </row>
    <row r="274" spans="1:60" s="225" customFormat="1" hidden="1" outlineLevel="1" x14ac:dyDescent="0.35">
      <c r="A274" s="227" t="s">
        <v>899</v>
      </c>
      <c r="B274" s="176"/>
      <c r="C274" s="113"/>
      <c r="D274" s="113"/>
      <c r="E274" s="113"/>
      <c r="F274" s="113"/>
      <c r="G274" s="177"/>
      <c r="H274" s="177"/>
      <c r="I274" s="177"/>
      <c r="J274" s="177"/>
      <c r="K274" s="113"/>
      <c r="L274" s="177"/>
      <c r="M274" s="177"/>
      <c r="N274" s="177"/>
      <c r="O274" s="177"/>
      <c r="P274" s="113"/>
      <c r="Q274" s="177"/>
      <c r="R274" s="177"/>
      <c r="S274" s="177"/>
      <c r="T274" s="177"/>
      <c r="U274" s="113"/>
      <c r="V274" s="177"/>
      <c r="W274" s="177"/>
      <c r="X274" s="177"/>
      <c r="Y274" s="177"/>
      <c r="Z274" s="113"/>
      <c r="AA274" s="226">
        <f t="shared" ref="AA274" si="525">AA297/V297-1</f>
        <v>2.0663744520976746E-2</v>
      </c>
      <c r="AB274" s="226">
        <f t="shared" ref="AB274" si="526">AB297/W297-1</f>
        <v>1.1083743842364546E-2</v>
      </c>
      <c r="AC274" s="226">
        <f t="shared" ref="AC274" si="527">AC297/X297-1</f>
        <v>7.3155216284987334E-2</v>
      </c>
      <c r="AD274" s="226">
        <f t="shared" ref="AD274" si="528">AD297/Y297-1</f>
        <v>5.8080808080808177E-2</v>
      </c>
      <c r="AE274" s="223">
        <f t="shared" ref="AE274" si="529">AE297/Z297-1</f>
        <v>4.0457895562176605E-2</v>
      </c>
      <c r="AF274" s="226">
        <f t="shared" ref="AF274" si="530">AF297/AA297-1</f>
        <v>7.055214723926384E-2</v>
      </c>
      <c r="AG274" s="226">
        <f t="shared" ref="AG274" si="531">AG297/AB297-1</f>
        <v>5.3593179049939099E-2</v>
      </c>
      <c r="AH274" s="226">
        <f t="shared" ref="AH274" si="532">AH297/AC297-1</f>
        <v>-2.6081802015411992E-2</v>
      </c>
      <c r="AI274" s="226">
        <f t="shared" ref="AI274" si="533">AI297/AD297-1</f>
        <v>1.9093078758949833E-2</v>
      </c>
      <c r="AJ274" s="223">
        <f t="shared" ref="AJ274" si="534">AJ297/AE297-1</f>
        <v>2.8786737000753515E-2</v>
      </c>
      <c r="AK274" s="226">
        <f t="shared" ref="AK274" si="535">AK297/AF297-1</f>
        <v>-4.0114613180515235E-3</v>
      </c>
      <c r="AL274" s="226">
        <f t="shared" ref="AL274" si="536">AL297/AG297-1</f>
        <v>5.838150289017352E-2</v>
      </c>
      <c r="AM274" s="226">
        <f t="shared" ref="AM274" si="537">AM297/AH297-1</f>
        <v>4.7474132684114378E-2</v>
      </c>
      <c r="AN274" s="226">
        <f t="shared" ref="AN274" si="538">AN297/AI297-1</f>
        <v>0.25351288056206078</v>
      </c>
      <c r="AO274" s="223">
        <f t="shared" ref="AO274" si="539">AO297/AJ297-1</f>
        <v>8.8631702314679206E-2</v>
      </c>
      <c r="AP274" s="226">
        <f t="shared" ref="AP274" si="540">AP297/AK297-1</f>
        <v>0.21001150747986186</v>
      </c>
      <c r="AQ274" s="226">
        <f t="shared" ref="AQ274" si="541">AQ297/AL297-1</f>
        <v>-3.2768978700163931E-3</v>
      </c>
      <c r="AR274" s="226">
        <f>AR297/AM297-1</f>
        <v>0.25508425334108087</v>
      </c>
      <c r="AS274" s="226">
        <f t="shared" ref="AS274" si="542">AS297/AN297-1</f>
        <v>5.4180289584306429E-2</v>
      </c>
      <c r="AT274" s="223">
        <f t="shared" ref="AT274" si="543">AT297/AO297-1</f>
        <v>0.12299825057192848</v>
      </c>
      <c r="AU274" s="773">
        <f>AU281</f>
        <v>6.8441064638783189E-2</v>
      </c>
      <c r="AV274" s="177"/>
      <c r="AW274" s="177"/>
      <c r="AX274" s="177"/>
      <c r="AY274" s="113"/>
      <c r="AZ274" s="226">
        <f>AZ297/AU297-1</f>
        <v>4.9999999999999822E-2</v>
      </c>
      <c r="BA274" s="226">
        <f>BA297/AV297-1</f>
        <v>5.0000000000000044E-2</v>
      </c>
      <c r="BB274" s="226">
        <f>BB297/AW297-1</f>
        <v>5.0000000000000044E-2</v>
      </c>
      <c r="BC274" s="226">
        <f>BC297/AX297-1</f>
        <v>5.0000000000000044E-2</v>
      </c>
      <c r="BD274" s="223">
        <f>BD297/AY297-1</f>
        <v>5.0000000000000044E-2</v>
      </c>
      <c r="BE274" s="223">
        <f>BE297/BD297-1</f>
        <v>5.0000000000000044E-2</v>
      </c>
      <c r="BF274" s="223">
        <f>BF297/BE297-1</f>
        <v>5.0000000000000044E-2</v>
      </c>
      <c r="BG274" s="223">
        <f>BG297/BF297-1</f>
        <v>4.9999999999999822E-2</v>
      </c>
      <c r="BH274" s="94"/>
    </row>
    <row r="275" spans="1:60" s="262" customFormat="1" hidden="1" outlineLevel="1" x14ac:dyDescent="0.35">
      <c r="A275" s="514"/>
      <c r="B275" s="312"/>
      <c r="C275" s="105"/>
      <c r="D275" s="105"/>
      <c r="E275" s="105"/>
      <c r="F275" s="105"/>
      <c r="G275" s="200"/>
      <c r="H275" s="200"/>
      <c r="I275" s="200"/>
      <c r="J275" s="200"/>
      <c r="K275" s="105"/>
      <c r="L275" s="200"/>
      <c r="M275" s="200"/>
      <c r="N275" s="200"/>
      <c r="O275" s="200"/>
      <c r="P275" s="105"/>
      <c r="Q275" s="200"/>
      <c r="R275" s="200"/>
      <c r="S275" s="200"/>
      <c r="T275" s="200"/>
      <c r="U275" s="105"/>
      <c r="V275" s="200"/>
      <c r="W275" s="200"/>
      <c r="X275" s="200"/>
      <c r="Y275" s="200"/>
      <c r="Z275" s="105"/>
      <c r="AA275" s="200"/>
      <c r="AB275" s="200"/>
      <c r="AC275" s="200"/>
      <c r="AD275" s="200"/>
      <c r="AE275" s="105"/>
      <c r="AF275" s="200"/>
      <c r="AG275" s="200"/>
      <c r="AH275" s="200"/>
      <c r="AI275" s="200"/>
      <c r="AJ275" s="105"/>
      <c r="AK275" s="200"/>
      <c r="AL275" s="200"/>
      <c r="AM275" s="200"/>
      <c r="AN275" s="200"/>
      <c r="AO275" s="105"/>
      <c r="AP275" s="200"/>
      <c r="AQ275" s="200"/>
      <c r="AR275" s="200"/>
      <c r="AS275" s="200"/>
      <c r="AT275" s="105"/>
      <c r="AU275" s="761"/>
      <c r="AV275" s="200"/>
      <c r="AW275" s="200"/>
      <c r="AX275" s="200"/>
      <c r="AY275" s="105"/>
      <c r="AZ275" s="200"/>
      <c r="BA275" s="200"/>
      <c r="BB275" s="200"/>
      <c r="BC275" s="200"/>
      <c r="BD275" s="105"/>
      <c r="BE275" s="105"/>
      <c r="BF275" s="105"/>
      <c r="BG275" s="105"/>
      <c r="BH275" s="363"/>
    </row>
    <row r="276" spans="1:60" s="262" customFormat="1" hidden="1" outlineLevel="1" x14ac:dyDescent="0.35">
      <c r="A276" s="311" t="s">
        <v>18</v>
      </c>
      <c r="B276" s="312"/>
      <c r="C276" s="105"/>
      <c r="D276" s="105"/>
      <c r="E276" s="105"/>
      <c r="F276" s="105"/>
      <c r="G276" s="200"/>
      <c r="H276" s="200"/>
      <c r="I276" s="200"/>
      <c r="J276" s="200"/>
      <c r="K276" s="105"/>
      <c r="L276" s="200"/>
      <c r="M276" s="200"/>
      <c r="N276" s="200"/>
      <c r="O276" s="200"/>
      <c r="P276" s="105"/>
      <c r="Q276" s="200"/>
      <c r="R276" s="200"/>
      <c r="S276" s="200"/>
      <c r="T276" s="200"/>
      <c r="U276" s="105"/>
      <c r="V276" s="200"/>
      <c r="W276" s="200"/>
      <c r="X276" s="200"/>
      <c r="Y276" s="200"/>
      <c r="Z276" s="105"/>
      <c r="AA276" s="200">
        <v>2.9000000000000001E-2</v>
      </c>
      <c r="AB276" s="200">
        <v>1.7999999999999999E-2</v>
      </c>
      <c r="AC276" s="200">
        <v>6.4000000000000001E-2</v>
      </c>
      <c r="AD276" s="200">
        <v>2.8000000000000001E-2</v>
      </c>
      <c r="AE276" s="105">
        <f>AE284/AE$283</f>
        <v>3.457817155402227E-2</v>
      </c>
      <c r="AF276" s="200">
        <v>2.5000000000000001E-2</v>
      </c>
      <c r="AG276" s="200">
        <v>4.3999999999999997E-2</v>
      </c>
      <c r="AH276" s="200">
        <v>-7.0000000000000001E-3</v>
      </c>
      <c r="AI276" s="200">
        <v>4.4999999999999998E-2</v>
      </c>
      <c r="AJ276" s="105">
        <f>AJ284/AJ$283</f>
        <v>2.6617784476262243E-2</v>
      </c>
      <c r="AK276" s="200">
        <v>7.0000000000000001E-3</v>
      </c>
      <c r="AL276" s="200">
        <v>3.5000000000000003E-2</v>
      </c>
      <c r="AM276" s="200">
        <v>0.02</v>
      </c>
      <c r="AN276" s="200">
        <v>-2E-3</v>
      </c>
      <c r="AO276" s="105">
        <f>AO284/AO$283</f>
        <v>1.4973483738646353E-2</v>
      </c>
      <c r="AP276" s="200">
        <v>1.2E-2</v>
      </c>
      <c r="AQ276" s="200">
        <v>-0.124</v>
      </c>
      <c r="AR276" s="200">
        <v>8.1000000000000003E-2</v>
      </c>
      <c r="AS276" s="200">
        <v>6.6000000000000003E-2</v>
      </c>
      <c r="AT276" s="105">
        <f>AT284/AT$283</f>
        <v>1.0028125420535595E-2</v>
      </c>
      <c r="AU276" s="761">
        <v>9.2999999999999999E-2</v>
      </c>
      <c r="AV276" s="200"/>
      <c r="AW276" s="200"/>
      <c r="AX276" s="200"/>
      <c r="AY276" s="105"/>
      <c r="AZ276" s="942">
        <f>Drivers!AZ56</f>
        <v>3.5000000000000003E-2</v>
      </c>
      <c r="BA276" s="942">
        <f>Drivers!BA56</f>
        <v>3.5000000000000003E-2</v>
      </c>
      <c r="BB276" s="942">
        <f>Drivers!BB56</f>
        <v>3.5000000000000003E-2</v>
      </c>
      <c r="BC276" s="942">
        <f>Drivers!BC56</f>
        <v>3.5000000000000003E-2</v>
      </c>
      <c r="BD276" s="105">
        <f>BD284/BD$283</f>
        <v>3.5000000000000003E-2</v>
      </c>
      <c r="BE276" s="942">
        <f>Drivers!BE56</f>
        <v>3.5000000000000003E-2</v>
      </c>
      <c r="BF276" s="942">
        <f>Drivers!BF56</f>
        <v>3.5000000000000003E-2</v>
      </c>
      <c r="BG276" s="942">
        <f>Drivers!BG56</f>
        <v>3.5000000000000003E-2</v>
      </c>
      <c r="BH276" s="363"/>
    </row>
    <row r="277" spans="1:60" s="262" customFormat="1" hidden="1" outlineLevel="1" x14ac:dyDescent="0.35">
      <c r="A277" s="311" t="s">
        <v>432</v>
      </c>
      <c r="B277" s="312"/>
      <c r="C277" s="105"/>
      <c r="D277" s="105"/>
      <c r="E277" s="105"/>
      <c r="F277" s="105"/>
      <c r="G277" s="200"/>
      <c r="H277" s="200"/>
      <c r="I277" s="200"/>
      <c r="J277" s="200"/>
      <c r="K277" s="105"/>
      <c r="L277" s="200"/>
      <c r="M277" s="200"/>
      <c r="N277" s="200"/>
      <c r="O277" s="200"/>
      <c r="P277" s="105"/>
      <c r="Q277" s="200"/>
      <c r="R277" s="200"/>
      <c r="S277" s="200"/>
      <c r="T277" s="200"/>
      <c r="U277" s="105"/>
      <c r="V277" s="200"/>
      <c r="W277" s="200"/>
      <c r="X277" s="200"/>
      <c r="Y277" s="200"/>
      <c r="Z277" s="105"/>
      <c r="AA277" s="200"/>
      <c r="AB277" s="200"/>
      <c r="AC277" s="200"/>
      <c r="AD277" s="200">
        <v>1E-3</v>
      </c>
      <c r="AE277" s="105">
        <f>AE285/AE$283</f>
        <v>2.4839266112592132E-4</v>
      </c>
      <c r="AF277" s="200">
        <v>1E-3</v>
      </c>
      <c r="AG277" s="200">
        <v>1E-3</v>
      </c>
      <c r="AH277" s="200"/>
      <c r="AI277" s="200"/>
      <c r="AJ277" s="105">
        <f>AJ285/AJ$283</f>
        <v>4.9314242652599856E-4</v>
      </c>
      <c r="AK277" s="200">
        <v>2.8000000000000001E-2</v>
      </c>
      <c r="AL277" s="200">
        <v>4.3999999999999997E-2</v>
      </c>
      <c r="AM277" s="200">
        <v>4.3999999999999997E-2</v>
      </c>
      <c r="AN277" s="200">
        <v>0.26</v>
      </c>
      <c r="AO277" s="105">
        <f>AO285/AO$283</f>
        <v>9.3957222384998554E-2</v>
      </c>
      <c r="AP277" s="200">
        <v>0.216</v>
      </c>
      <c r="AQ277" s="200">
        <v>0.17899999999999999</v>
      </c>
      <c r="AR277" s="200">
        <v>0.23400000000000001</v>
      </c>
      <c r="AS277" s="200">
        <v>2.1000000000000001E-2</v>
      </c>
      <c r="AT277" s="105">
        <f>AT285/AT$283</f>
        <v>0.15486906203741083</v>
      </c>
      <c r="AU277" s="761"/>
      <c r="AV277" s="200"/>
      <c r="AW277" s="200"/>
      <c r="AX277" s="200"/>
      <c r="AY277" s="105"/>
      <c r="AZ277" s="942">
        <f>Drivers!AZ57</f>
        <v>0</v>
      </c>
      <c r="BA277" s="942">
        <f>Drivers!BA57</f>
        <v>0</v>
      </c>
      <c r="BB277" s="942">
        <f>Drivers!BB57</f>
        <v>0</v>
      </c>
      <c r="BC277" s="942">
        <f>Drivers!BC57</f>
        <v>0</v>
      </c>
      <c r="BD277" s="105">
        <f>BD285/BD$283</f>
        <v>0</v>
      </c>
      <c r="BE277" s="942">
        <f>Drivers!BE57</f>
        <v>0</v>
      </c>
      <c r="BF277" s="942">
        <f>Drivers!BF57</f>
        <v>0</v>
      </c>
      <c r="BG277" s="942">
        <f>Drivers!BG57</f>
        <v>0</v>
      </c>
      <c r="BH277" s="363"/>
    </row>
    <row r="278" spans="1:60" s="262" customFormat="1" hidden="1" outlineLevel="1" x14ac:dyDescent="0.35">
      <c r="A278" s="311" t="s">
        <v>433</v>
      </c>
      <c r="B278" s="312"/>
      <c r="C278" s="105"/>
      <c r="D278" s="105"/>
      <c r="E278" s="105"/>
      <c r="F278" s="105"/>
      <c r="G278" s="200"/>
      <c r="H278" s="200"/>
      <c r="I278" s="200"/>
      <c r="J278" s="200"/>
      <c r="K278" s="105"/>
      <c r="L278" s="200"/>
      <c r="M278" s="200"/>
      <c r="N278" s="200"/>
      <c r="O278" s="200"/>
      <c r="P278" s="105"/>
      <c r="Q278" s="200"/>
      <c r="R278" s="200"/>
      <c r="S278" s="200"/>
      <c r="T278" s="200"/>
      <c r="U278" s="105"/>
      <c r="V278" s="200"/>
      <c r="W278" s="200"/>
      <c r="X278" s="200"/>
      <c r="Y278" s="200"/>
      <c r="Z278" s="105"/>
      <c r="AA278" s="200"/>
      <c r="AB278" s="200"/>
      <c r="AC278" s="200"/>
      <c r="AD278" s="200"/>
      <c r="AE278" s="105">
        <f>AE286/AE$283</f>
        <v>0</v>
      </c>
      <c r="AF278" s="200">
        <v>-1E-3</v>
      </c>
      <c r="AG278" s="200">
        <v>-3.0000000000000001E-3</v>
      </c>
      <c r="AH278" s="200">
        <v>-2E-3</v>
      </c>
      <c r="AI278" s="200">
        <v>-1E-3</v>
      </c>
      <c r="AJ278" s="105">
        <f>AJ286/AJ$283</f>
        <v>-1.7492087415222305E-3</v>
      </c>
      <c r="AK278" s="200">
        <v>-2E-3</v>
      </c>
      <c r="AL278" s="200"/>
      <c r="AM278" s="200"/>
      <c r="AN278" s="200"/>
      <c r="AO278" s="105">
        <f>AO286/AO$283</f>
        <v>-5.1128039847641378E-4</v>
      </c>
      <c r="AP278" s="200"/>
      <c r="AQ278" s="200">
        <v>-4.2999999999999997E-2</v>
      </c>
      <c r="AR278" s="200">
        <v>-7.0999999999999994E-2</v>
      </c>
      <c r="AS278" s="200">
        <v>-4.9000000000000002E-2</v>
      </c>
      <c r="AT278" s="105">
        <f>AT286/AT$283</f>
        <v>-4.1156371955322298E-2</v>
      </c>
      <c r="AU278" s="761">
        <v>-5.6000000000000001E-2</v>
      </c>
      <c r="AV278" s="200"/>
      <c r="AW278" s="200"/>
      <c r="AX278" s="200"/>
      <c r="AY278" s="105"/>
      <c r="AZ278" s="942">
        <f>Drivers!AZ58</f>
        <v>0</v>
      </c>
      <c r="BA278" s="942">
        <f>Drivers!BA58</f>
        <v>0</v>
      </c>
      <c r="BB278" s="942">
        <f>Drivers!BB58</f>
        <v>0</v>
      </c>
      <c r="BC278" s="942">
        <f>Drivers!BC58</f>
        <v>0</v>
      </c>
      <c r="BD278" s="105">
        <f>BD286/BD$283</f>
        <v>0</v>
      </c>
      <c r="BE278" s="942">
        <f>Drivers!BE58</f>
        <v>0</v>
      </c>
      <c r="BF278" s="942">
        <f>Drivers!BF58</f>
        <v>0</v>
      </c>
      <c r="BG278" s="942">
        <f>Drivers!BG58</f>
        <v>0</v>
      </c>
      <c r="BH278" s="363"/>
    </row>
    <row r="279" spans="1:60" s="262" customFormat="1" hidden="1" outlineLevel="1" x14ac:dyDescent="0.35">
      <c r="A279" s="311" t="s">
        <v>434</v>
      </c>
      <c r="B279" s="312"/>
      <c r="C279" s="105"/>
      <c r="D279" s="105"/>
      <c r="E279" s="105"/>
      <c r="F279" s="105"/>
      <c r="G279" s="200"/>
      <c r="H279" s="200"/>
      <c r="I279" s="200"/>
      <c r="J279" s="200"/>
      <c r="K279" s="105"/>
      <c r="L279" s="200"/>
      <c r="M279" s="200"/>
      <c r="N279" s="200"/>
      <c r="O279" s="200"/>
      <c r="P279" s="105"/>
      <c r="Q279" s="200"/>
      <c r="R279" s="200"/>
      <c r="S279" s="200"/>
      <c r="T279" s="200"/>
      <c r="U279" s="105"/>
      <c r="V279" s="200"/>
      <c r="W279" s="200"/>
      <c r="X279" s="200"/>
      <c r="Y279" s="200"/>
      <c r="Z279" s="105"/>
      <c r="AA279" s="200">
        <v>-8.0000000000000002E-3</v>
      </c>
      <c r="AB279" s="200">
        <v>-7.0000000000000001E-3</v>
      </c>
      <c r="AC279" s="200">
        <v>8.9999999999999993E-3</v>
      </c>
      <c r="AD279" s="200">
        <v>2.9000000000000001E-2</v>
      </c>
      <c r="AE279" s="105">
        <f>AE287/AE$283</f>
        <v>5.6358789399404106E-3</v>
      </c>
      <c r="AF279" s="200">
        <v>4.5999999999999999E-2</v>
      </c>
      <c r="AG279" s="200">
        <v>1.2E-2</v>
      </c>
      <c r="AH279" s="200">
        <v>-1.7000000000000001E-2</v>
      </c>
      <c r="AI279" s="200">
        <v>-2.5000000000000001E-2</v>
      </c>
      <c r="AJ279" s="105">
        <f>AJ287/AJ$283</f>
        <v>3.6330067822155222E-3</v>
      </c>
      <c r="AK279" s="200">
        <v>-3.6999999999999998E-2</v>
      </c>
      <c r="AL279" s="200">
        <v>-2.1000000000000001E-2</v>
      </c>
      <c r="AM279" s="200">
        <v>-1.7000000000000001E-2</v>
      </c>
      <c r="AN279" s="200">
        <v>-4.0000000000000001E-3</v>
      </c>
      <c r="AO279" s="105">
        <f>AO287/AO$283</f>
        <v>-1.9873718136536773E-2</v>
      </c>
      <c r="AP279" s="200">
        <v>-1.7999999999999999E-2</v>
      </c>
      <c r="AQ279" s="200">
        <v>-1.6E-2</v>
      </c>
      <c r="AR279" s="200">
        <v>1.0999999999999999E-2</v>
      </c>
      <c r="AS279" s="200">
        <v>1.6E-2</v>
      </c>
      <c r="AT279" s="105">
        <f>AT287/AT$283</f>
        <v>-9.948862871753466E-4</v>
      </c>
      <c r="AU279" s="761">
        <v>3.1E-2</v>
      </c>
      <c r="AV279" s="200"/>
      <c r="AW279" s="200"/>
      <c r="AX279" s="200"/>
      <c r="AY279" s="105"/>
      <c r="AZ279" s="942">
        <f>Drivers!AZ59</f>
        <v>1.4999999999999999E-2</v>
      </c>
      <c r="BA279" s="942">
        <f>Drivers!BA59</f>
        <v>1.4999999999999999E-2</v>
      </c>
      <c r="BB279" s="942">
        <f>Drivers!BB59</f>
        <v>1.4999999999999999E-2</v>
      </c>
      <c r="BC279" s="942">
        <f>Drivers!BC59</f>
        <v>1.4999999999999999E-2</v>
      </c>
      <c r="BD279" s="105">
        <f>BD287/BD$283</f>
        <v>1.4999999999999999E-2</v>
      </c>
      <c r="BE279" s="942">
        <f>Drivers!BE59</f>
        <v>1.5000000000000003E-2</v>
      </c>
      <c r="BF279" s="942">
        <f>Drivers!BF59</f>
        <v>1.5000000000000003E-2</v>
      </c>
      <c r="BG279" s="942">
        <f>Drivers!BG59</f>
        <v>1.5000000000000003E-2</v>
      </c>
      <c r="BH279" s="363"/>
    </row>
    <row r="280" spans="1:60" s="262" customFormat="1" hidden="1" outlineLevel="1" x14ac:dyDescent="0.35">
      <c r="A280" s="311" t="s">
        <v>473</v>
      </c>
      <c r="B280" s="312"/>
      <c r="C280" s="105"/>
      <c r="D280" s="105"/>
      <c r="E280" s="105"/>
      <c r="F280" s="105"/>
      <c r="G280" s="200"/>
      <c r="H280" s="200"/>
      <c r="I280" s="200"/>
      <c r="J280" s="200"/>
      <c r="K280" s="105"/>
      <c r="L280" s="200"/>
      <c r="M280" s="200"/>
      <c r="N280" s="200"/>
      <c r="O280" s="200"/>
      <c r="P280" s="105"/>
      <c r="Q280" s="200"/>
      <c r="R280" s="200"/>
      <c r="S280" s="200"/>
      <c r="T280" s="200"/>
      <c r="U280" s="105"/>
      <c r="V280" s="200"/>
      <c r="W280" s="200"/>
      <c r="X280" s="200"/>
      <c r="Y280" s="200"/>
      <c r="Z280" s="105"/>
      <c r="AA280" s="200">
        <f t="shared" ref="AA280:AJ280" si="544">AA281-SUM(AA276:AA279)</f>
        <v>-3.3625547902325567E-4</v>
      </c>
      <c r="AB280" s="200">
        <f t="shared" si="544"/>
        <v>8.3743842364546878E-5</v>
      </c>
      <c r="AC280" s="200">
        <f t="shared" si="544"/>
        <v>1.5521628498733897E-4</v>
      </c>
      <c r="AD280" s="200">
        <f t="shared" si="544"/>
        <v>8.080808080817431E-5</v>
      </c>
      <c r="AE280" s="105">
        <f t="shared" si="544"/>
        <v>-4.5475929119909164E-6</v>
      </c>
      <c r="AF280" s="200">
        <f t="shared" si="544"/>
        <v>-4.4785276073616709E-4</v>
      </c>
      <c r="AG280" s="200">
        <f t="shared" si="544"/>
        <v>-4.0682095006089325E-4</v>
      </c>
      <c r="AH280" s="200">
        <f t="shared" si="544"/>
        <v>-8.1802015411990003E-5</v>
      </c>
      <c r="AI280" s="200">
        <f t="shared" si="544"/>
        <v>9.3078758949836915E-5</v>
      </c>
      <c r="AJ280" s="105">
        <f t="shared" si="544"/>
        <v>-2.0798794272801693E-4</v>
      </c>
      <c r="AK280" s="200"/>
      <c r="AL280" s="200"/>
      <c r="AM280" s="200"/>
      <c r="AN280" s="200"/>
      <c r="AO280" s="105"/>
      <c r="AP280" s="200">
        <f t="shared" ref="AP280:AU280" si="545">AP281-SUM(AP276:AP279)</f>
        <v>1.1507479861838643E-5</v>
      </c>
      <c r="AQ280" s="200">
        <f t="shared" si="545"/>
        <v>7.2310212998361045E-4</v>
      </c>
      <c r="AR280" s="200">
        <f t="shared" si="545"/>
        <v>8.4253341080864352E-5</v>
      </c>
      <c r="AS280" s="200">
        <f t="shared" si="545"/>
        <v>1.8028958430642283E-4</v>
      </c>
      <c r="AT280" s="105">
        <f t="shared" si="545"/>
        <v>2.5232135647969278E-4</v>
      </c>
      <c r="AU280" s="761">
        <f t="shared" si="545"/>
        <v>4.4106463878318403E-4</v>
      </c>
      <c r="AV280" s="200"/>
      <c r="AW280" s="200"/>
      <c r="AX280" s="200"/>
      <c r="AY280" s="105"/>
      <c r="AZ280" s="942">
        <f>Drivers!AZ60</f>
        <v>0</v>
      </c>
      <c r="BA280" s="942">
        <f>Drivers!BA60</f>
        <v>0</v>
      </c>
      <c r="BB280" s="942">
        <f>Drivers!BB60</f>
        <v>0</v>
      </c>
      <c r="BC280" s="942">
        <f>Drivers!BC60</f>
        <v>0</v>
      </c>
      <c r="BD280" s="105">
        <f>BD288/BD$283</f>
        <v>0</v>
      </c>
      <c r="BE280" s="942">
        <f>Drivers!BE60</f>
        <v>0</v>
      </c>
      <c r="BF280" s="942">
        <f>Drivers!BF60</f>
        <v>0</v>
      </c>
      <c r="BG280" s="942">
        <f>Drivers!BG60</f>
        <v>0</v>
      </c>
      <c r="BH280" s="363"/>
    </row>
    <row r="281" spans="1:60" s="225" customFormat="1" hidden="1" outlineLevel="1" x14ac:dyDescent="0.35">
      <c r="A281" s="313" t="s">
        <v>15</v>
      </c>
      <c r="B281" s="180"/>
      <c r="C281" s="107"/>
      <c r="D281" s="107"/>
      <c r="E281" s="107"/>
      <c r="F281" s="107"/>
      <c r="G281" s="106"/>
      <c r="H281" s="106"/>
      <c r="I281" s="106"/>
      <c r="J281" s="106"/>
      <c r="K281" s="107"/>
      <c r="L281" s="106"/>
      <c r="M281" s="106"/>
      <c r="N281" s="106"/>
      <c r="O281" s="106"/>
      <c r="P281" s="107"/>
      <c r="Q281" s="106"/>
      <c r="R281" s="106"/>
      <c r="S281" s="106"/>
      <c r="T281" s="106"/>
      <c r="U281" s="107"/>
      <c r="V281" s="106"/>
      <c r="W281" s="106"/>
      <c r="X281" s="106"/>
      <c r="Y281" s="106"/>
      <c r="Z281" s="107"/>
      <c r="AA281" s="106">
        <f t="shared" ref="AA281:AQ281" si="546">+AA289/AA283-1</f>
        <v>2.0663744520976746E-2</v>
      </c>
      <c r="AB281" s="106">
        <f t="shared" si="546"/>
        <v>1.1083743842364546E-2</v>
      </c>
      <c r="AC281" s="106">
        <f t="shared" si="546"/>
        <v>7.3155216284987334E-2</v>
      </c>
      <c r="AD281" s="106">
        <f t="shared" si="546"/>
        <v>5.8080808080808177E-2</v>
      </c>
      <c r="AE281" s="107">
        <f t="shared" si="546"/>
        <v>4.0457895562176605E-2</v>
      </c>
      <c r="AF281" s="106">
        <f t="shared" si="546"/>
        <v>7.055214723926384E-2</v>
      </c>
      <c r="AG281" s="106">
        <f t="shared" si="546"/>
        <v>5.3593179049939099E-2</v>
      </c>
      <c r="AH281" s="106">
        <f t="shared" si="546"/>
        <v>-2.6081802015411992E-2</v>
      </c>
      <c r="AI281" s="106">
        <f t="shared" si="546"/>
        <v>1.9093078758949833E-2</v>
      </c>
      <c r="AJ281" s="107">
        <f t="shared" si="546"/>
        <v>2.8786737000753515E-2</v>
      </c>
      <c r="AK281" s="106">
        <f t="shared" si="546"/>
        <v>-4.0114613180515235E-3</v>
      </c>
      <c r="AL281" s="106">
        <f t="shared" si="546"/>
        <v>5.838150289017352E-2</v>
      </c>
      <c r="AM281" s="106">
        <f t="shared" si="546"/>
        <v>4.7474132684114378E-2</v>
      </c>
      <c r="AN281" s="106">
        <f t="shared" si="546"/>
        <v>0.25351288056206078</v>
      </c>
      <c r="AO281" s="107">
        <f t="shared" si="546"/>
        <v>8.8631702314679206E-2</v>
      </c>
      <c r="AP281" s="106">
        <f t="shared" si="546"/>
        <v>0.21001150747986186</v>
      </c>
      <c r="AQ281" s="106">
        <f t="shared" si="546"/>
        <v>-3.2768978700163931E-3</v>
      </c>
      <c r="AR281" s="106">
        <f>+AR289/AR283-1</f>
        <v>0.25508425334108087</v>
      </c>
      <c r="AS281" s="106">
        <f>+AS289/AS283-1</f>
        <v>5.4180289584306429E-2</v>
      </c>
      <c r="AT281" s="107">
        <f>+AT289/AT283-1</f>
        <v>0.12299825057192848</v>
      </c>
      <c r="AU281" s="760">
        <f t="shared" ref="AU281" si="547">+AU289/AU283-1</f>
        <v>6.8441064638783189E-2</v>
      </c>
      <c r="AV281" s="106"/>
      <c r="AW281" s="106"/>
      <c r="AX281" s="106"/>
      <c r="AY281" s="107"/>
      <c r="AZ281" s="106">
        <f t="shared" ref="AZ281:BG281" si="548">+AZ289/AZ283-1</f>
        <v>4.9999999999999822E-2</v>
      </c>
      <c r="BA281" s="106">
        <f t="shared" si="548"/>
        <v>5.0000000000000044E-2</v>
      </c>
      <c r="BB281" s="106">
        <f t="shared" si="548"/>
        <v>5.0000000000000044E-2</v>
      </c>
      <c r="BC281" s="106">
        <f t="shared" si="548"/>
        <v>5.0000000000000044E-2</v>
      </c>
      <c r="BD281" s="107">
        <f t="shared" si="548"/>
        <v>5.0000000000000044E-2</v>
      </c>
      <c r="BE281" s="107">
        <f t="shared" si="548"/>
        <v>5.0000000000000044E-2</v>
      </c>
      <c r="BF281" s="107">
        <f t="shared" si="548"/>
        <v>5.0000000000000044E-2</v>
      </c>
      <c r="BG281" s="107">
        <f t="shared" si="548"/>
        <v>4.9999999999999822E-2</v>
      </c>
      <c r="BH281" s="94"/>
    </row>
    <row r="282" spans="1:60" s="225" customFormat="1" hidden="1" outlineLevel="1" x14ac:dyDescent="0.35">
      <c r="A282" s="538"/>
      <c r="B282" s="176"/>
      <c r="C282" s="113"/>
      <c r="D282" s="113"/>
      <c r="E282" s="113"/>
      <c r="F282" s="113"/>
      <c r="G282" s="177"/>
      <c r="H282" s="177"/>
      <c r="I282" s="177"/>
      <c r="J282" s="177"/>
      <c r="K282" s="113"/>
      <c r="L282" s="177"/>
      <c r="M282" s="177"/>
      <c r="N282" s="177"/>
      <c r="O282" s="177"/>
      <c r="P282" s="113"/>
      <c r="Q282" s="177"/>
      <c r="R282" s="177"/>
      <c r="S282" s="177"/>
      <c r="T282" s="177"/>
      <c r="U282" s="113"/>
      <c r="V282" s="177"/>
      <c r="W282" s="177"/>
      <c r="X282" s="177"/>
      <c r="Y282" s="177"/>
      <c r="Z282" s="113"/>
      <c r="AA282" s="177"/>
      <c r="AB282" s="177"/>
      <c r="AC282" s="177"/>
      <c r="AD282" s="177"/>
      <c r="AE282" s="113"/>
      <c r="AF282" s="177"/>
      <c r="AG282" s="177"/>
      <c r="AH282" s="177"/>
      <c r="AI282" s="177"/>
      <c r="AJ282" s="113"/>
      <c r="AK282" s="177"/>
      <c r="AL282" s="177"/>
      <c r="AM282" s="177"/>
      <c r="AN282" s="177"/>
      <c r="AO282" s="113"/>
      <c r="AP282" s="177"/>
      <c r="AQ282" s="177"/>
      <c r="AR282" s="177"/>
      <c r="AS282" s="177"/>
      <c r="AT282" s="113"/>
      <c r="AU282" s="780"/>
      <c r="AV282" s="177"/>
      <c r="AW282" s="177"/>
      <c r="AX282" s="177"/>
      <c r="AY282" s="113"/>
      <c r="AZ282" s="177"/>
      <c r="BA282" s="177"/>
      <c r="BB282" s="177"/>
      <c r="BC282" s="177"/>
      <c r="BD282" s="113"/>
      <c r="BE282" s="113"/>
      <c r="BF282" s="113"/>
      <c r="BG282" s="113"/>
      <c r="BH282" s="94"/>
    </row>
    <row r="283" spans="1:60" s="69" customFormat="1" hidden="1" outlineLevel="1" x14ac:dyDescent="0.35">
      <c r="A283" s="90" t="s">
        <v>474</v>
      </c>
      <c r="B283" s="518"/>
      <c r="C283" s="519"/>
      <c r="D283" s="519"/>
      <c r="E283" s="519"/>
      <c r="F283" s="519"/>
      <c r="G283" s="520"/>
      <c r="H283" s="520"/>
      <c r="I283" s="520"/>
      <c r="J283" s="520"/>
      <c r="K283" s="519"/>
      <c r="L283" s="520"/>
      <c r="M283" s="520"/>
      <c r="N283" s="520"/>
      <c r="O283" s="520"/>
      <c r="P283" s="519"/>
      <c r="Q283" s="520"/>
      <c r="R283" s="520"/>
      <c r="S283" s="520"/>
      <c r="T283" s="520"/>
      <c r="U283" s="519"/>
      <c r="V283" s="520"/>
      <c r="W283" s="520"/>
      <c r="X283" s="520"/>
      <c r="Y283" s="520"/>
      <c r="Z283" s="519"/>
      <c r="AA283" s="441">
        <f t="shared" ref="AA283:AQ283" si="549">V289</f>
        <v>1597</v>
      </c>
      <c r="AB283" s="441">
        <f t="shared" si="549"/>
        <v>1624</v>
      </c>
      <c r="AC283" s="441">
        <f t="shared" si="549"/>
        <v>1572</v>
      </c>
      <c r="AD283" s="441">
        <f t="shared" si="549"/>
        <v>1584</v>
      </c>
      <c r="AE283" s="440">
        <f t="shared" si="549"/>
        <v>6377</v>
      </c>
      <c r="AF283" s="441">
        <f t="shared" si="549"/>
        <v>1630</v>
      </c>
      <c r="AG283" s="441">
        <f t="shared" si="549"/>
        <v>1642</v>
      </c>
      <c r="AH283" s="441">
        <f t="shared" si="549"/>
        <v>1687</v>
      </c>
      <c r="AI283" s="441">
        <f t="shared" si="549"/>
        <v>1676</v>
      </c>
      <c r="AJ283" s="440">
        <f t="shared" si="549"/>
        <v>6635</v>
      </c>
      <c r="AK283" s="441">
        <f t="shared" si="549"/>
        <v>1745</v>
      </c>
      <c r="AL283" s="441">
        <f t="shared" si="549"/>
        <v>1730</v>
      </c>
      <c r="AM283" s="441">
        <f t="shared" si="549"/>
        <v>1643</v>
      </c>
      <c r="AN283" s="441">
        <f t="shared" si="549"/>
        <v>1708</v>
      </c>
      <c r="AO283" s="440">
        <f t="shared" si="549"/>
        <v>6826</v>
      </c>
      <c r="AP283" s="441">
        <f t="shared" si="549"/>
        <v>1738</v>
      </c>
      <c r="AQ283" s="441">
        <f t="shared" si="549"/>
        <v>1831</v>
      </c>
      <c r="AR283" s="441">
        <f>AM289</f>
        <v>1721</v>
      </c>
      <c r="AS283" s="441">
        <f>AN289</f>
        <v>2141</v>
      </c>
      <c r="AT283" s="440">
        <f>AO289</f>
        <v>7431</v>
      </c>
      <c r="AU283" s="762">
        <v>2104</v>
      </c>
      <c r="AV283" s="520"/>
      <c r="AW283" s="520"/>
      <c r="AX283" s="520"/>
      <c r="AY283" s="519"/>
      <c r="AZ283" s="441">
        <f>AU289</f>
        <v>2248</v>
      </c>
      <c r="BA283" s="441">
        <f>AV289</f>
        <v>1916.25</v>
      </c>
      <c r="BB283" s="441">
        <f>AW289</f>
        <v>2268</v>
      </c>
      <c r="BC283" s="441">
        <f>AX289</f>
        <v>2369.85</v>
      </c>
      <c r="BD283" s="440">
        <f>AY289</f>
        <v>8802.1</v>
      </c>
      <c r="BE283" s="440">
        <f>BD289</f>
        <v>9242.2049999999999</v>
      </c>
      <c r="BF283" s="440">
        <f>BE289</f>
        <v>9704.3152499999997</v>
      </c>
      <c r="BG283" s="440">
        <f>BF289</f>
        <v>10189.5310125</v>
      </c>
      <c r="BH283" s="79"/>
    </row>
    <row r="284" spans="1:60" s="345" customFormat="1" hidden="1" outlineLevel="1" x14ac:dyDescent="0.35">
      <c r="A284" s="350" t="s">
        <v>475</v>
      </c>
      <c r="B284" s="444"/>
      <c r="C284" s="445"/>
      <c r="D284" s="445"/>
      <c r="E284" s="445"/>
      <c r="F284" s="445"/>
      <c r="G284" s="446"/>
      <c r="H284" s="446"/>
      <c r="I284" s="446"/>
      <c r="J284" s="446"/>
      <c r="K284" s="445"/>
      <c r="L284" s="446"/>
      <c r="M284" s="446"/>
      <c r="N284" s="446"/>
      <c r="O284" s="446"/>
      <c r="P284" s="445"/>
      <c r="Q284" s="446"/>
      <c r="R284" s="446"/>
      <c r="S284" s="446"/>
      <c r="T284" s="446"/>
      <c r="U284" s="445"/>
      <c r="V284" s="446"/>
      <c r="W284" s="446"/>
      <c r="X284" s="446"/>
      <c r="Y284" s="446"/>
      <c r="Z284" s="445"/>
      <c r="AA284" s="437">
        <f t="shared" ref="AA284:AD288" si="550">AA$283*AA276</f>
        <v>46.313000000000002</v>
      </c>
      <c r="AB284" s="437">
        <f t="shared" si="550"/>
        <v>29.231999999999999</v>
      </c>
      <c r="AC284" s="437">
        <f t="shared" si="550"/>
        <v>100.608</v>
      </c>
      <c r="AD284" s="437">
        <f t="shared" si="550"/>
        <v>44.352000000000004</v>
      </c>
      <c r="AE284" s="436">
        <f>SUM(AA284,AB284,AC284,AD284)</f>
        <v>220.50500000000002</v>
      </c>
      <c r="AF284" s="437">
        <f t="shared" ref="AF284:AI288" si="551">AF$283*AF276</f>
        <v>40.75</v>
      </c>
      <c r="AG284" s="437">
        <f t="shared" si="551"/>
        <v>72.24799999999999</v>
      </c>
      <c r="AH284" s="437">
        <f t="shared" si="551"/>
        <v>-11.809000000000001</v>
      </c>
      <c r="AI284" s="437">
        <f t="shared" si="551"/>
        <v>75.42</v>
      </c>
      <c r="AJ284" s="436">
        <f>SUM(AF284,AG284,AH284,AI284)</f>
        <v>176.60899999999998</v>
      </c>
      <c r="AK284" s="437">
        <f t="shared" ref="AK284:AN287" si="552">AK$283*AK276</f>
        <v>12.215</v>
      </c>
      <c r="AL284" s="437">
        <f t="shared" si="552"/>
        <v>60.550000000000004</v>
      </c>
      <c r="AM284" s="437">
        <f t="shared" si="552"/>
        <v>32.86</v>
      </c>
      <c r="AN284" s="437">
        <f t="shared" si="552"/>
        <v>-3.4159999999999999</v>
      </c>
      <c r="AO284" s="436">
        <f>SUM(AK284,AL284,AM284,AN284)</f>
        <v>102.209</v>
      </c>
      <c r="AP284" s="437">
        <f t="shared" ref="AP284:AQ288" si="553">AP$283*AP276</f>
        <v>20.856000000000002</v>
      </c>
      <c r="AQ284" s="437">
        <f t="shared" si="553"/>
        <v>-227.04400000000001</v>
      </c>
      <c r="AR284" s="437">
        <f t="shared" ref="AR284:AS288" si="554">AR$283*AR276</f>
        <v>139.40100000000001</v>
      </c>
      <c r="AS284" s="437">
        <f t="shared" si="554"/>
        <v>141.30600000000001</v>
      </c>
      <c r="AT284" s="436">
        <f>SUM(AP284,AQ284,AR284,AS284)</f>
        <v>74.519000000000005</v>
      </c>
      <c r="AU284" s="763">
        <f t="shared" ref="AU284" si="555">AU$283*AU276</f>
        <v>195.672</v>
      </c>
      <c r="AV284" s="446"/>
      <c r="AW284" s="446"/>
      <c r="AX284" s="446"/>
      <c r="AY284" s="445"/>
      <c r="AZ284" s="437">
        <f t="shared" ref="AZ284:BC288" si="556">AZ$283*AZ276</f>
        <v>78.680000000000007</v>
      </c>
      <c r="BA284" s="437">
        <f t="shared" si="556"/>
        <v>67.068750000000009</v>
      </c>
      <c r="BB284" s="437">
        <f t="shared" si="556"/>
        <v>79.38000000000001</v>
      </c>
      <c r="BC284" s="437">
        <f t="shared" si="556"/>
        <v>82.944749999999999</v>
      </c>
      <c r="BD284" s="436">
        <f>SUM(AZ284,BA284,BB284,BC284)</f>
        <v>308.07350000000002</v>
      </c>
      <c r="BE284" s="436">
        <f>BE283*BE276</f>
        <v>323.47717500000005</v>
      </c>
      <c r="BF284" s="436">
        <f>BF283*BF276</f>
        <v>339.65103375000001</v>
      </c>
      <c r="BG284" s="436">
        <f>BG283*BG276</f>
        <v>356.63358543750002</v>
      </c>
      <c r="BH284" s="351"/>
    </row>
    <row r="285" spans="1:60" s="345" customFormat="1" hidden="1" outlineLevel="1" x14ac:dyDescent="0.35">
      <c r="A285" s="350" t="s">
        <v>476</v>
      </c>
      <c r="B285" s="444"/>
      <c r="C285" s="445"/>
      <c r="D285" s="445"/>
      <c r="E285" s="445"/>
      <c r="F285" s="445"/>
      <c r="G285" s="446"/>
      <c r="H285" s="446"/>
      <c r="I285" s="446"/>
      <c r="J285" s="446"/>
      <c r="K285" s="445"/>
      <c r="L285" s="446"/>
      <c r="M285" s="446"/>
      <c r="N285" s="446"/>
      <c r="O285" s="446"/>
      <c r="P285" s="445"/>
      <c r="Q285" s="446"/>
      <c r="R285" s="446"/>
      <c r="S285" s="446"/>
      <c r="T285" s="446"/>
      <c r="U285" s="445"/>
      <c r="V285" s="446"/>
      <c r="W285" s="446"/>
      <c r="X285" s="446"/>
      <c r="Y285" s="446"/>
      <c r="Z285" s="445"/>
      <c r="AA285" s="437">
        <f t="shared" si="550"/>
        <v>0</v>
      </c>
      <c r="AB285" s="437">
        <f t="shared" si="550"/>
        <v>0</v>
      </c>
      <c r="AC285" s="437">
        <f t="shared" si="550"/>
        <v>0</v>
      </c>
      <c r="AD285" s="437">
        <f t="shared" si="550"/>
        <v>1.5840000000000001</v>
      </c>
      <c r="AE285" s="436">
        <f>SUM(AA285,AB285,AC285,AD285)</f>
        <v>1.5840000000000001</v>
      </c>
      <c r="AF285" s="437">
        <f t="shared" si="551"/>
        <v>1.6300000000000001</v>
      </c>
      <c r="AG285" s="437">
        <f t="shared" si="551"/>
        <v>1.6420000000000001</v>
      </c>
      <c r="AH285" s="437">
        <f t="shared" si="551"/>
        <v>0</v>
      </c>
      <c r="AI285" s="437">
        <f t="shared" si="551"/>
        <v>0</v>
      </c>
      <c r="AJ285" s="436">
        <f>SUM(AF285,AG285,AH285,AI285)</f>
        <v>3.2720000000000002</v>
      </c>
      <c r="AK285" s="437">
        <f t="shared" si="552"/>
        <v>48.86</v>
      </c>
      <c r="AL285" s="437">
        <f t="shared" si="552"/>
        <v>76.11999999999999</v>
      </c>
      <c r="AM285" s="437">
        <f t="shared" si="552"/>
        <v>72.292000000000002</v>
      </c>
      <c r="AN285" s="437">
        <f t="shared" si="552"/>
        <v>444.08000000000004</v>
      </c>
      <c r="AO285" s="436">
        <f>SUM(AK285,AL285,AM285,AN285)</f>
        <v>641.35200000000009</v>
      </c>
      <c r="AP285" s="437">
        <f t="shared" si="553"/>
        <v>375.40800000000002</v>
      </c>
      <c r="AQ285" s="437">
        <f t="shared" si="553"/>
        <v>327.74899999999997</v>
      </c>
      <c r="AR285" s="437">
        <f t="shared" si="554"/>
        <v>402.714</v>
      </c>
      <c r="AS285" s="437">
        <f t="shared" si="554"/>
        <v>44.961000000000006</v>
      </c>
      <c r="AT285" s="436">
        <f>SUM(AP285,AQ285,AR285,AS285)</f>
        <v>1150.8319999999999</v>
      </c>
      <c r="AU285" s="763">
        <f t="shared" ref="AU285" si="557">AU$283*AU277</f>
        <v>0</v>
      </c>
      <c r="AV285" s="446"/>
      <c r="AW285" s="446"/>
      <c r="AX285" s="446"/>
      <c r="AY285" s="445"/>
      <c r="AZ285" s="437">
        <f t="shared" si="556"/>
        <v>0</v>
      </c>
      <c r="BA285" s="437">
        <f t="shared" si="556"/>
        <v>0</v>
      </c>
      <c r="BB285" s="437">
        <f t="shared" si="556"/>
        <v>0</v>
      </c>
      <c r="BC285" s="437">
        <f t="shared" si="556"/>
        <v>0</v>
      </c>
      <c r="BD285" s="436">
        <f>SUM(AZ285,BA285,BB285,BC285)</f>
        <v>0</v>
      </c>
      <c r="BE285" s="436">
        <f>BE283*BE277</f>
        <v>0</v>
      </c>
      <c r="BF285" s="436">
        <f>BF283*BF277</f>
        <v>0</v>
      </c>
      <c r="BG285" s="436">
        <f>BG283*BG277</f>
        <v>0</v>
      </c>
      <c r="BH285" s="351"/>
    </row>
    <row r="286" spans="1:60" s="345" customFormat="1" hidden="1" outlineLevel="1" x14ac:dyDescent="0.35">
      <c r="A286" s="350" t="s">
        <v>477</v>
      </c>
      <c r="B286" s="444"/>
      <c r="C286" s="445"/>
      <c r="D286" s="445"/>
      <c r="E286" s="445"/>
      <c r="F286" s="445"/>
      <c r="G286" s="446"/>
      <c r="H286" s="446"/>
      <c r="I286" s="446"/>
      <c r="J286" s="446"/>
      <c r="K286" s="445"/>
      <c r="L286" s="446"/>
      <c r="M286" s="446"/>
      <c r="N286" s="446"/>
      <c r="O286" s="446"/>
      <c r="P286" s="445"/>
      <c r="Q286" s="446"/>
      <c r="R286" s="446"/>
      <c r="S286" s="446"/>
      <c r="T286" s="446"/>
      <c r="U286" s="445"/>
      <c r="V286" s="446"/>
      <c r="W286" s="446"/>
      <c r="X286" s="446"/>
      <c r="Y286" s="446"/>
      <c r="Z286" s="445"/>
      <c r="AA286" s="437">
        <f t="shared" si="550"/>
        <v>0</v>
      </c>
      <c r="AB286" s="437">
        <f t="shared" si="550"/>
        <v>0</v>
      </c>
      <c r="AC286" s="437">
        <f t="shared" si="550"/>
        <v>0</v>
      </c>
      <c r="AD286" s="437">
        <f t="shared" si="550"/>
        <v>0</v>
      </c>
      <c r="AE286" s="436">
        <f>SUM(AA286,AB286,AC286,AD286)</f>
        <v>0</v>
      </c>
      <c r="AF286" s="437">
        <f t="shared" si="551"/>
        <v>-1.6300000000000001</v>
      </c>
      <c r="AG286" s="437">
        <f t="shared" si="551"/>
        <v>-4.9260000000000002</v>
      </c>
      <c r="AH286" s="437">
        <f t="shared" si="551"/>
        <v>-3.3740000000000001</v>
      </c>
      <c r="AI286" s="437">
        <f t="shared" si="551"/>
        <v>-1.6759999999999999</v>
      </c>
      <c r="AJ286" s="436">
        <f>SUM(AF286,AG286,AH286,AI286)</f>
        <v>-11.606</v>
      </c>
      <c r="AK286" s="437">
        <f t="shared" si="552"/>
        <v>-3.49</v>
      </c>
      <c r="AL286" s="437">
        <f t="shared" si="552"/>
        <v>0</v>
      </c>
      <c r="AM286" s="437">
        <f t="shared" si="552"/>
        <v>0</v>
      </c>
      <c r="AN286" s="437">
        <f t="shared" si="552"/>
        <v>0</v>
      </c>
      <c r="AO286" s="436">
        <f>SUM(AK286,AL286,AM286,AN286)</f>
        <v>-3.49</v>
      </c>
      <c r="AP286" s="437">
        <f t="shared" si="553"/>
        <v>0</v>
      </c>
      <c r="AQ286" s="437">
        <f t="shared" si="553"/>
        <v>-78.73299999999999</v>
      </c>
      <c r="AR286" s="437">
        <f t="shared" si="554"/>
        <v>-122.19099999999999</v>
      </c>
      <c r="AS286" s="437">
        <f t="shared" si="554"/>
        <v>-104.90900000000001</v>
      </c>
      <c r="AT286" s="436">
        <f>SUM(AP286,AQ286,AR286,AS286)</f>
        <v>-305.83299999999997</v>
      </c>
      <c r="AU286" s="763">
        <f t="shared" ref="AU286" si="558">AU$283*AU278</f>
        <v>-117.824</v>
      </c>
      <c r="AV286" s="446"/>
      <c r="AW286" s="446"/>
      <c r="AX286" s="446"/>
      <c r="AY286" s="445"/>
      <c r="AZ286" s="437">
        <f t="shared" si="556"/>
        <v>0</v>
      </c>
      <c r="BA286" s="437">
        <f t="shared" si="556"/>
        <v>0</v>
      </c>
      <c r="BB286" s="437">
        <f t="shared" si="556"/>
        <v>0</v>
      </c>
      <c r="BC286" s="437">
        <f t="shared" si="556"/>
        <v>0</v>
      </c>
      <c r="BD286" s="436">
        <f>SUM(AZ286,BA286,BB286,BC286)</f>
        <v>0</v>
      </c>
      <c r="BE286" s="436">
        <f>BE283*BE278</f>
        <v>0</v>
      </c>
      <c r="BF286" s="436">
        <f>BF283*BF278</f>
        <v>0</v>
      </c>
      <c r="BG286" s="436">
        <f>BG283*BG278</f>
        <v>0</v>
      </c>
      <c r="BH286" s="351"/>
    </row>
    <row r="287" spans="1:60" s="345" customFormat="1" hidden="1" outlineLevel="1" x14ac:dyDescent="0.35">
      <c r="A287" s="350" t="s">
        <v>478</v>
      </c>
      <c r="B287" s="444"/>
      <c r="C287" s="445"/>
      <c r="D287" s="445"/>
      <c r="E287" s="445"/>
      <c r="F287" s="445"/>
      <c r="G287" s="446"/>
      <c r="H287" s="446"/>
      <c r="I287" s="446"/>
      <c r="J287" s="446"/>
      <c r="K287" s="445"/>
      <c r="L287" s="446"/>
      <c r="M287" s="446"/>
      <c r="N287" s="446"/>
      <c r="O287" s="446"/>
      <c r="P287" s="445"/>
      <c r="Q287" s="446"/>
      <c r="R287" s="446"/>
      <c r="S287" s="446"/>
      <c r="T287" s="446"/>
      <c r="U287" s="445"/>
      <c r="V287" s="446"/>
      <c r="W287" s="446"/>
      <c r="X287" s="446"/>
      <c r="Y287" s="446"/>
      <c r="Z287" s="445"/>
      <c r="AA287" s="437">
        <f t="shared" si="550"/>
        <v>-12.776</v>
      </c>
      <c r="AB287" s="437">
        <f t="shared" si="550"/>
        <v>-11.368</v>
      </c>
      <c r="AC287" s="437">
        <f t="shared" si="550"/>
        <v>14.148</v>
      </c>
      <c r="AD287" s="437">
        <f t="shared" si="550"/>
        <v>45.936</v>
      </c>
      <c r="AE287" s="436">
        <f>SUM(AA287,AB287,AC287,AD287)</f>
        <v>35.94</v>
      </c>
      <c r="AF287" s="437">
        <f t="shared" si="551"/>
        <v>74.98</v>
      </c>
      <c r="AG287" s="437">
        <f t="shared" si="551"/>
        <v>19.704000000000001</v>
      </c>
      <c r="AH287" s="437">
        <f t="shared" si="551"/>
        <v>-28.679000000000002</v>
      </c>
      <c r="AI287" s="437">
        <f t="shared" si="551"/>
        <v>-41.900000000000006</v>
      </c>
      <c r="AJ287" s="436">
        <f>SUM(AF287,AG287,AH287,AI287)</f>
        <v>24.10499999999999</v>
      </c>
      <c r="AK287" s="437">
        <f t="shared" si="552"/>
        <v>-64.564999999999998</v>
      </c>
      <c r="AL287" s="437">
        <f t="shared" si="552"/>
        <v>-36.330000000000005</v>
      </c>
      <c r="AM287" s="437">
        <f t="shared" si="552"/>
        <v>-27.931000000000001</v>
      </c>
      <c r="AN287" s="437">
        <f t="shared" si="552"/>
        <v>-6.8319999999999999</v>
      </c>
      <c r="AO287" s="436">
        <f>SUM(AK287,AL287,AM287,AN287)</f>
        <v>-135.65800000000002</v>
      </c>
      <c r="AP287" s="437">
        <f t="shared" si="553"/>
        <v>-31.283999999999999</v>
      </c>
      <c r="AQ287" s="437">
        <f t="shared" si="553"/>
        <v>-29.295999999999999</v>
      </c>
      <c r="AR287" s="437">
        <f t="shared" si="554"/>
        <v>18.930999999999997</v>
      </c>
      <c r="AS287" s="437">
        <f t="shared" si="554"/>
        <v>34.256</v>
      </c>
      <c r="AT287" s="436">
        <f>SUM(AP287,AQ287,AR287,AS287)</f>
        <v>-7.3930000000000007</v>
      </c>
      <c r="AU287" s="763">
        <f t="shared" ref="AU287" si="559">AU$283*AU279</f>
        <v>65.224000000000004</v>
      </c>
      <c r="AV287" s="446"/>
      <c r="AW287" s="446"/>
      <c r="AX287" s="446"/>
      <c r="AY287" s="445"/>
      <c r="AZ287" s="437">
        <f t="shared" si="556"/>
        <v>33.72</v>
      </c>
      <c r="BA287" s="437">
        <f t="shared" si="556"/>
        <v>28.743749999999999</v>
      </c>
      <c r="BB287" s="437">
        <f t="shared" si="556"/>
        <v>34.019999999999996</v>
      </c>
      <c r="BC287" s="437">
        <f t="shared" si="556"/>
        <v>35.547750000000001</v>
      </c>
      <c r="BD287" s="436">
        <f>SUM(AZ287,BA287,BB287,BC287)</f>
        <v>132.03149999999999</v>
      </c>
      <c r="BE287" s="436">
        <f>BE283*BE279</f>
        <v>138.63307500000002</v>
      </c>
      <c r="BF287" s="436">
        <f>BF283*BF279</f>
        <v>145.56472875000003</v>
      </c>
      <c r="BG287" s="436">
        <f>BG283*BG279</f>
        <v>152.84296518750003</v>
      </c>
      <c r="BH287" s="351"/>
    </row>
    <row r="288" spans="1:60" s="345" customFormat="1" hidden="1" outlineLevel="1" x14ac:dyDescent="0.35">
      <c r="A288" s="350" t="s">
        <v>479</v>
      </c>
      <c r="B288" s="444"/>
      <c r="C288" s="445"/>
      <c r="D288" s="445"/>
      <c r="E288" s="445"/>
      <c r="F288" s="445"/>
      <c r="G288" s="446"/>
      <c r="H288" s="446"/>
      <c r="I288" s="446"/>
      <c r="J288" s="446"/>
      <c r="K288" s="445"/>
      <c r="L288" s="446"/>
      <c r="M288" s="446"/>
      <c r="N288" s="446"/>
      <c r="O288" s="446"/>
      <c r="P288" s="445"/>
      <c r="Q288" s="446"/>
      <c r="R288" s="446"/>
      <c r="S288" s="446"/>
      <c r="T288" s="446"/>
      <c r="U288" s="445"/>
      <c r="V288" s="446"/>
      <c r="W288" s="446"/>
      <c r="X288" s="446"/>
      <c r="Y288" s="446"/>
      <c r="Z288" s="445"/>
      <c r="AA288" s="437">
        <f t="shared" si="550"/>
        <v>-0.53700000000013925</v>
      </c>
      <c r="AB288" s="437">
        <f t="shared" si="550"/>
        <v>0.13600000000002413</v>
      </c>
      <c r="AC288" s="437">
        <f t="shared" si="550"/>
        <v>0.24400000000009686</v>
      </c>
      <c r="AD288" s="437">
        <f t="shared" si="550"/>
        <v>0.12800000000014811</v>
      </c>
      <c r="AE288" s="436">
        <f>SUM(AA288,AB288,AC288,AD288)</f>
        <v>-2.8999999999870185E-2</v>
      </c>
      <c r="AF288" s="437">
        <f t="shared" si="551"/>
        <v>-0.72999999999995235</v>
      </c>
      <c r="AG288" s="437">
        <f t="shared" si="551"/>
        <v>-0.66799999999998672</v>
      </c>
      <c r="AH288" s="437">
        <f t="shared" si="551"/>
        <v>-0.13800000000002713</v>
      </c>
      <c r="AI288" s="437">
        <f t="shared" si="551"/>
        <v>0.15599999999992667</v>
      </c>
      <c r="AJ288" s="436">
        <f>SUM(AF288,AG288,AH288,AI288)</f>
        <v>-1.3800000000000396</v>
      </c>
      <c r="AK288" s="446"/>
      <c r="AL288" s="446"/>
      <c r="AM288" s="446"/>
      <c r="AN288" s="446"/>
      <c r="AO288" s="445"/>
      <c r="AP288" s="437">
        <f t="shared" si="553"/>
        <v>1.9999999999875562E-2</v>
      </c>
      <c r="AQ288" s="437">
        <f t="shared" si="553"/>
        <v>1.3239999999999907</v>
      </c>
      <c r="AR288" s="437">
        <f t="shared" si="554"/>
        <v>0.14500000000016755</v>
      </c>
      <c r="AS288" s="437">
        <f t="shared" si="554"/>
        <v>0.3860000000000513</v>
      </c>
      <c r="AT288" s="436">
        <f>SUM(AP288,AQ288,AR288,AS288)</f>
        <v>1.8750000000000848</v>
      </c>
      <c r="AU288" s="763">
        <f t="shared" ref="AU288" si="560">AU$283*AU280</f>
        <v>0.92799999999981919</v>
      </c>
      <c r="AV288" s="446"/>
      <c r="AW288" s="446"/>
      <c r="AX288" s="446"/>
      <c r="AY288" s="445"/>
      <c r="AZ288" s="437">
        <f t="shared" si="556"/>
        <v>0</v>
      </c>
      <c r="BA288" s="437">
        <f t="shared" si="556"/>
        <v>0</v>
      </c>
      <c r="BB288" s="437">
        <f t="shared" si="556"/>
        <v>0</v>
      </c>
      <c r="BC288" s="437">
        <f t="shared" si="556"/>
        <v>0</v>
      </c>
      <c r="BD288" s="436">
        <f>SUM(AZ288,BA288,BB288,BC288)</f>
        <v>0</v>
      </c>
      <c r="BE288" s="436">
        <f>BE283*BE280</f>
        <v>0</v>
      </c>
      <c r="BF288" s="436">
        <f>BF283*BF280</f>
        <v>0</v>
      </c>
      <c r="BG288" s="436">
        <f>BG283*BG280</f>
        <v>0</v>
      </c>
      <c r="BH288" s="351"/>
    </row>
    <row r="289" spans="1:60" s="69" customFormat="1" hidden="1" outlineLevel="1" x14ac:dyDescent="0.35">
      <c r="A289" s="89" t="s">
        <v>20</v>
      </c>
      <c r="B289" s="452"/>
      <c r="C289" s="453"/>
      <c r="D289" s="453"/>
      <c r="E289" s="453"/>
      <c r="F289" s="453"/>
      <c r="G289" s="454"/>
      <c r="H289" s="454"/>
      <c r="I289" s="454"/>
      <c r="J289" s="454"/>
      <c r="K289" s="453"/>
      <c r="L289" s="454"/>
      <c r="M289" s="454"/>
      <c r="N289" s="454"/>
      <c r="O289" s="454"/>
      <c r="P289" s="453"/>
      <c r="Q289" s="454"/>
      <c r="R289" s="454"/>
      <c r="S289" s="454"/>
      <c r="T289" s="454"/>
      <c r="U289" s="453"/>
      <c r="V289" s="439">
        <f t="shared" ref="V289:AU289" si="561">V297</f>
        <v>1597</v>
      </c>
      <c r="W289" s="439">
        <f t="shared" si="561"/>
        <v>1624</v>
      </c>
      <c r="X289" s="439">
        <f t="shared" si="561"/>
        <v>1572</v>
      </c>
      <c r="Y289" s="439">
        <f t="shared" si="561"/>
        <v>1584</v>
      </c>
      <c r="Z289" s="438">
        <f t="shared" si="561"/>
        <v>6377</v>
      </c>
      <c r="AA289" s="439">
        <f t="shared" si="561"/>
        <v>1630</v>
      </c>
      <c r="AB289" s="439">
        <f t="shared" si="561"/>
        <v>1642</v>
      </c>
      <c r="AC289" s="439">
        <f t="shared" si="561"/>
        <v>1687</v>
      </c>
      <c r="AD289" s="439">
        <f t="shared" si="561"/>
        <v>1676</v>
      </c>
      <c r="AE289" s="438">
        <f t="shared" si="561"/>
        <v>6635</v>
      </c>
      <c r="AF289" s="439">
        <f t="shared" si="561"/>
        <v>1745</v>
      </c>
      <c r="AG289" s="439">
        <f t="shared" si="561"/>
        <v>1730</v>
      </c>
      <c r="AH289" s="439">
        <f t="shared" si="561"/>
        <v>1643</v>
      </c>
      <c r="AI289" s="439">
        <f t="shared" si="561"/>
        <v>1708</v>
      </c>
      <c r="AJ289" s="438">
        <f t="shared" si="561"/>
        <v>6826</v>
      </c>
      <c r="AK289" s="439">
        <f t="shared" si="561"/>
        <v>1738</v>
      </c>
      <c r="AL289" s="439">
        <f t="shared" si="561"/>
        <v>1831</v>
      </c>
      <c r="AM289" s="439">
        <f t="shared" si="561"/>
        <v>1721</v>
      </c>
      <c r="AN289" s="439">
        <f t="shared" si="561"/>
        <v>2141</v>
      </c>
      <c r="AO289" s="438">
        <f t="shared" si="561"/>
        <v>7431</v>
      </c>
      <c r="AP289" s="439">
        <f t="shared" si="561"/>
        <v>2103</v>
      </c>
      <c r="AQ289" s="439">
        <f t="shared" si="561"/>
        <v>1825</v>
      </c>
      <c r="AR289" s="439">
        <f t="shared" si="561"/>
        <v>2160</v>
      </c>
      <c r="AS289" s="439">
        <f t="shared" si="561"/>
        <v>2257</v>
      </c>
      <c r="AT289" s="438">
        <f t="shared" si="561"/>
        <v>8345</v>
      </c>
      <c r="AU289" s="765">
        <f t="shared" si="561"/>
        <v>2248</v>
      </c>
      <c r="AV289" s="944">
        <f>Drivers!AV61</f>
        <v>1916.25</v>
      </c>
      <c r="AW289" s="944">
        <f>Drivers!AW61</f>
        <v>2268</v>
      </c>
      <c r="AX289" s="944">
        <f>Drivers!AX61</f>
        <v>2369.85</v>
      </c>
      <c r="AY289" s="438">
        <f>SUM(AU289,AV289,AW289,AX289)</f>
        <v>8802.1</v>
      </c>
      <c r="AZ289" s="439">
        <f t="shared" ref="AZ289:BG289" si="562">SUM(AZ283:AZ288)</f>
        <v>2360.3999999999996</v>
      </c>
      <c r="BA289" s="439">
        <f t="shared" si="562"/>
        <v>2012.0625</v>
      </c>
      <c r="BB289" s="439">
        <f t="shared" si="562"/>
        <v>2381.4</v>
      </c>
      <c r="BC289" s="439">
        <f t="shared" si="562"/>
        <v>2488.3425000000002</v>
      </c>
      <c r="BD289" s="438">
        <f t="shared" si="562"/>
        <v>9242.2049999999999</v>
      </c>
      <c r="BE289" s="438">
        <f t="shared" si="562"/>
        <v>9704.3152499999997</v>
      </c>
      <c r="BF289" s="438">
        <f t="shared" si="562"/>
        <v>10189.5310125</v>
      </c>
      <c r="BG289" s="438">
        <f t="shared" si="562"/>
        <v>10699.007563124998</v>
      </c>
      <c r="BH289" s="79"/>
    </row>
    <row r="290" spans="1:60" s="225" customFormat="1" hidden="1" outlineLevel="1" x14ac:dyDescent="0.35">
      <c r="A290" s="538"/>
      <c r="B290" s="176"/>
      <c r="C290" s="113"/>
      <c r="D290" s="113"/>
      <c r="E290" s="113"/>
      <c r="F290" s="113"/>
      <c r="G290" s="177"/>
      <c r="H290" s="177"/>
      <c r="I290" s="177"/>
      <c r="J290" s="177"/>
      <c r="K290" s="113"/>
      <c r="L290" s="177"/>
      <c r="M290" s="177"/>
      <c r="N290" s="177"/>
      <c r="O290" s="177"/>
      <c r="P290" s="113"/>
      <c r="Q290" s="177"/>
      <c r="R290" s="177"/>
      <c r="S290" s="177"/>
      <c r="T290" s="177"/>
      <c r="U290" s="113"/>
      <c r="V290" s="177"/>
      <c r="W290" s="177"/>
      <c r="X290" s="177"/>
      <c r="Y290" s="177"/>
      <c r="Z290" s="113"/>
      <c r="AA290" s="177"/>
      <c r="AB290" s="177"/>
      <c r="AC290" s="177"/>
      <c r="AD290" s="177"/>
      <c r="AE290" s="113"/>
      <c r="AF290" s="177"/>
      <c r="AG290" s="177"/>
      <c r="AH290" s="177"/>
      <c r="AI290" s="177"/>
      <c r="AJ290" s="113"/>
      <c r="AK290" s="177"/>
      <c r="AL290" s="177"/>
      <c r="AM290" s="177"/>
      <c r="AN290" s="177"/>
      <c r="AO290" s="113"/>
      <c r="AP290" s="177"/>
      <c r="AQ290" s="177"/>
      <c r="AR290" s="177"/>
      <c r="AS290" s="177"/>
      <c r="AT290" s="113"/>
      <c r="AU290" s="780"/>
      <c r="AV290" s="177"/>
      <c r="AW290" s="177"/>
      <c r="AX290" s="177"/>
      <c r="AY290" s="113"/>
      <c r="AZ290" s="177"/>
      <c r="BA290" s="177"/>
      <c r="BB290" s="177"/>
      <c r="BC290" s="177"/>
      <c r="BD290" s="113"/>
      <c r="BE290" s="113"/>
      <c r="BF290" s="113"/>
      <c r="BG290" s="113"/>
      <c r="BH290" s="94"/>
    </row>
    <row r="291" spans="1:60" s="345" customFormat="1" hidden="1" outlineLevel="2" x14ac:dyDescent="0.35">
      <c r="A291" s="161" t="s">
        <v>480</v>
      </c>
      <c r="B291" s="444"/>
      <c r="C291" s="445"/>
      <c r="D291" s="445"/>
      <c r="E291" s="445"/>
      <c r="F291" s="445"/>
      <c r="G291" s="446"/>
      <c r="H291" s="446"/>
      <c r="I291" s="446"/>
      <c r="J291" s="446"/>
      <c r="K291" s="445"/>
      <c r="L291" s="446"/>
      <c r="M291" s="446"/>
      <c r="N291" s="446"/>
      <c r="O291" s="446"/>
      <c r="P291" s="445"/>
      <c r="Q291" s="446"/>
      <c r="R291" s="446"/>
      <c r="S291" s="446"/>
      <c r="T291" s="446"/>
      <c r="U291" s="445"/>
      <c r="V291" s="446"/>
      <c r="W291" s="446"/>
      <c r="X291" s="446"/>
      <c r="Y291" s="446"/>
      <c r="Z291" s="436">
        <v>2946</v>
      </c>
      <c r="AA291" s="446"/>
      <c r="AB291" s="446"/>
      <c r="AC291" s="446"/>
      <c r="AD291" s="446"/>
      <c r="AE291" s="436">
        <v>3037</v>
      </c>
      <c r="AF291" s="437">
        <v>748</v>
      </c>
      <c r="AG291" s="437">
        <v>760</v>
      </c>
      <c r="AH291" s="437">
        <v>740</v>
      </c>
      <c r="AI291" s="437">
        <f>AJ291-SUM(AF291,AG291,AH291)</f>
        <v>791</v>
      </c>
      <c r="AJ291" s="436">
        <v>3039</v>
      </c>
      <c r="AK291" s="446"/>
      <c r="AL291" s="446"/>
      <c r="AM291" s="446"/>
      <c r="AN291" s="446"/>
      <c r="AO291" s="445"/>
      <c r="AP291" s="446"/>
      <c r="AQ291" s="446"/>
      <c r="AR291" s="446"/>
      <c r="AS291" s="446"/>
      <c r="AT291" s="445"/>
      <c r="AU291" s="767"/>
      <c r="AV291" s="446"/>
      <c r="AW291" s="446"/>
      <c r="AX291" s="446"/>
      <c r="AY291" s="445"/>
      <c r="AZ291" s="446"/>
      <c r="BA291" s="446"/>
      <c r="BB291" s="446"/>
      <c r="BC291" s="446"/>
      <c r="BD291" s="445"/>
      <c r="BE291" s="445"/>
      <c r="BF291" s="445"/>
      <c r="BG291" s="445"/>
      <c r="BH291" s="351"/>
    </row>
    <row r="292" spans="1:60" s="345" customFormat="1" hidden="1" outlineLevel="2" x14ac:dyDescent="0.35">
      <c r="A292" s="101" t="s">
        <v>483</v>
      </c>
      <c r="B292" s="501"/>
      <c r="C292" s="502"/>
      <c r="D292" s="502"/>
      <c r="E292" s="502"/>
      <c r="F292" s="502"/>
      <c r="G292" s="463"/>
      <c r="H292" s="463"/>
      <c r="I292" s="463"/>
      <c r="J292" s="463"/>
      <c r="K292" s="502"/>
      <c r="L292" s="463"/>
      <c r="M292" s="463"/>
      <c r="N292" s="463"/>
      <c r="O292" s="463"/>
      <c r="P292" s="502"/>
      <c r="Q292" s="463"/>
      <c r="R292" s="463"/>
      <c r="S292" s="463"/>
      <c r="T292" s="463"/>
      <c r="U292" s="502"/>
      <c r="V292" s="463"/>
      <c r="W292" s="463"/>
      <c r="X292" s="463"/>
      <c r="Y292" s="463"/>
      <c r="Z292" s="480">
        <v>542</v>
      </c>
      <c r="AA292" s="463"/>
      <c r="AB292" s="463"/>
      <c r="AC292" s="463"/>
      <c r="AD292" s="463"/>
      <c r="AE292" s="480">
        <v>587</v>
      </c>
      <c r="AF292" s="458">
        <v>153</v>
      </c>
      <c r="AG292" s="458">
        <v>154</v>
      </c>
      <c r="AH292" s="458">
        <v>146</v>
      </c>
      <c r="AI292" s="458">
        <f>AJ292-SUM(AF292,AG292,AH292)</f>
        <v>143</v>
      </c>
      <c r="AJ292" s="480">
        <v>596</v>
      </c>
      <c r="AK292" s="463"/>
      <c r="AL292" s="463"/>
      <c r="AM292" s="463"/>
      <c r="AN292" s="463"/>
      <c r="AO292" s="502"/>
      <c r="AP292" s="463"/>
      <c r="AQ292" s="463"/>
      <c r="AR292" s="463"/>
      <c r="AS292" s="463"/>
      <c r="AT292" s="502"/>
      <c r="AU292" s="768"/>
      <c r="AV292" s="463"/>
      <c r="AW292" s="463"/>
      <c r="AX292" s="463"/>
      <c r="AY292" s="502"/>
      <c r="AZ292" s="463"/>
      <c r="BA292" s="463"/>
      <c r="BB292" s="463"/>
      <c r="BC292" s="463"/>
      <c r="BD292" s="502"/>
      <c r="BE292" s="502"/>
      <c r="BF292" s="502"/>
      <c r="BG292" s="502"/>
      <c r="BH292" s="351"/>
    </row>
    <row r="293" spans="1:60" s="345" customFormat="1" hidden="1" outlineLevel="1" x14ac:dyDescent="0.35">
      <c r="A293" s="350" t="s">
        <v>733</v>
      </c>
      <c r="B293" s="444"/>
      <c r="C293" s="445"/>
      <c r="D293" s="445"/>
      <c r="E293" s="445"/>
      <c r="F293" s="445"/>
      <c r="G293" s="446"/>
      <c r="H293" s="446"/>
      <c r="I293" s="446"/>
      <c r="J293" s="446"/>
      <c r="K293" s="445"/>
      <c r="L293" s="446"/>
      <c r="M293" s="446"/>
      <c r="N293" s="446"/>
      <c r="O293" s="446"/>
      <c r="P293" s="445"/>
      <c r="Q293" s="446"/>
      <c r="R293" s="446"/>
      <c r="S293" s="446"/>
      <c r="T293" s="446"/>
      <c r="U293" s="445"/>
      <c r="V293" s="446"/>
      <c r="W293" s="446"/>
      <c r="X293" s="446"/>
      <c r="Y293" s="446"/>
      <c r="Z293" s="436">
        <f>SUM(Z291:Z292)</f>
        <v>3488</v>
      </c>
      <c r="AA293" s="446"/>
      <c r="AB293" s="446"/>
      <c r="AC293" s="446"/>
      <c r="AD293" s="446"/>
      <c r="AE293" s="436">
        <f t="shared" ref="AE293:AJ293" si="563">SUM(AE291:AE292)</f>
        <v>3624</v>
      </c>
      <c r="AF293" s="437">
        <f t="shared" si="563"/>
        <v>901</v>
      </c>
      <c r="AG293" s="437">
        <f t="shared" si="563"/>
        <v>914</v>
      </c>
      <c r="AH293" s="437">
        <f t="shared" si="563"/>
        <v>886</v>
      </c>
      <c r="AI293" s="437">
        <f t="shared" si="563"/>
        <v>934</v>
      </c>
      <c r="AJ293" s="436">
        <f t="shared" si="563"/>
        <v>3635</v>
      </c>
      <c r="AK293" s="437">
        <v>922</v>
      </c>
      <c r="AL293" s="437">
        <v>1021</v>
      </c>
      <c r="AM293" s="437">
        <v>973</v>
      </c>
      <c r="AN293" s="437">
        <f>AO293-SUM(AK293,AL293,AM293)</f>
        <v>1284</v>
      </c>
      <c r="AO293" s="436">
        <v>4200</v>
      </c>
      <c r="AP293" s="437">
        <v>1281</v>
      </c>
      <c r="AQ293" s="437">
        <v>1074</v>
      </c>
      <c r="AR293" s="437">
        <v>1335</v>
      </c>
      <c r="AS293" s="437">
        <f>AT293-SUM(AP293,AQ293,AR293)</f>
        <v>1372</v>
      </c>
      <c r="AT293" s="436">
        <v>5062</v>
      </c>
      <c r="AU293" s="767">
        <v>1311</v>
      </c>
      <c r="AV293" s="446"/>
      <c r="AW293" s="446"/>
      <c r="AX293" s="446"/>
      <c r="AY293" s="445"/>
      <c r="AZ293" s="446"/>
      <c r="BA293" s="446"/>
      <c r="BB293" s="446"/>
      <c r="BC293" s="446"/>
      <c r="BD293" s="445"/>
      <c r="BE293" s="445"/>
      <c r="BF293" s="445"/>
      <c r="BG293" s="445"/>
      <c r="BH293" s="351"/>
    </row>
    <row r="294" spans="1:60" s="345" customFormat="1" hidden="1" outlineLevel="1" x14ac:dyDescent="0.35">
      <c r="A294" s="350" t="s">
        <v>481</v>
      </c>
      <c r="B294" s="444"/>
      <c r="C294" s="445"/>
      <c r="D294" s="445"/>
      <c r="E294" s="445"/>
      <c r="F294" s="445"/>
      <c r="G294" s="446"/>
      <c r="H294" s="446"/>
      <c r="I294" s="446"/>
      <c r="J294" s="446"/>
      <c r="K294" s="445"/>
      <c r="L294" s="446"/>
      <c r="M294" s="446"/>
      <c r="N294" s="446"/>
      <c r="O294" s="446"/>
      <c r="P294" s="445"/>
      <c r="Q294" s="446"/>
      <c r="R294" s="446"/>
      <c r="S294" s="446"/>
      <c r="T294" s="446"/>
      <c r="U294" s="445"/>
      <c r="V294" s="446"/>
      <c r="W294" s="446"/>
      <c r="X294" s="446"/>
      <c r="Y294" s="446"/>
      <c r="Z294" s="436">
        <v>1251</v>
      </c>
      <c r="AA294" s="446"/>
      <c r="AB294" s="446"/>
      <c r="AC294" s="446"/>
      <c r="AD294" s="446"/>
      <c r="AE294" s="436">
        <v>1346</v>
      </c>
      <c r="AF294" s="437">
        <v>385</v>
      </c>
      <c r="AG294" s="437">
        <v>372</v>
      </c>
      <c r="AH294" s="437">
        <v>357</v>
      </c>
      <c r="AI294" s="437">
        <f>AJ294-SUM(AF294,AG294,AH294)</f>
        <v>344</v>
      </c>
      <c r="AJ294" s="436">
        <v>1458</v>
      </c>
      <c r="AK294" s="437">
        <v>378</v>
      </c>
      <c r="AL294" s="437">
        <v>383</v>
      </c>
      <c r="AM294" s="437">
        <v>360</v>
      </c>
      <c r="AN294" s="437">
        <f>AO294-SUM(AK294,AL294,AM294)</f>
        <v>369</v>
      </c>
      <c r="AO294" s="436">
        <v>1490</v>
      </c>
      <c r="AP294" s="437">
        <v>356</v>
      </c>
      <c r="AQ294" s="437">
        <v>358</v>
      </c>
      <c r="AR294" s="437">
        <v>377</v>
      </c>
      <c r="AS294" s="437">
        <f>AT294-SUM(AP294,AQ294,AR294)</f>
        <v>387</v>
      </c>
      <c r="AT294" s="436">
        <v>1478</v>
      </c>
      <c r="AU294" s="767">
        <v>408</v>
      </c>
      <c r="AV294" s="446"/>
      <c r="AW294" s="446"/>
      <c r="AX294" s="446"/>
      <c r="AY294" s="445"/>
      <c r="AZ294" s="446"/>
      <c r="BA294" s="446"/>
      <c r="BB294" s="446"/>
      <c r="BC294" s="446"/>
      <c r="BD294" s="445"/>
      <c r="BE294" s="445"/>
      <c r="BF294" s="445"/>
      <c r="BG294" s="445"/>
      <c r="BH294" s="351"/>
    </row>
    <row r="295" spans="1:60" s="345" customFormat="1" hidden="1" outlineLevel="1" x14ac:dyDescent="0.35">
      <c r="A295" s="350" t="s">
        <v>482</v>
      </c>
      <c r="B295" s="444"/>
      <c r="C295" s="445"/>
      <c r="D295" s="445"/>
      <c r="E295" s="445"/>
      <c r="F295" s="445"/>
      <c r="G295" s="446"/>
      <c r="H295" s="446"/>
      <c r="I295" s="446"/>
      <c r="J295" s="446"/>
      <c r="K295" s="445"/>
      <c r="L295" s="446"/>
      <c r="M295" s="446"/>
      <c r="N295" s="446"/>
      <c r="O295" s="446"/>
      <c r="P295" s="445"/>
      <c r="Q295" s="446"/>
      <c r="R295" s="446"/>
      <c r="S295" s="446"/>
      <c r="T295" s="446"/>
      <c r="U295" s="445"/>
      <c r="V295" s="446"/>
      <c r="W295" s="446"/>
      <c r="X295" s="446"/>
      <c r="Y295" s="446"/>
      <c r="Z295" s="436">
        <v>1637</v>
      </c>
      <c r="AA295" s="446"/>
      <c r="AB295" s="446"/>
      <c r="AC295" s="446"/>
      <c r="AD295" s="446"/>
      <c r="AE295" s="436">
        <v>1667</v>
      </c>
      <c r="AF295" s="437">
        <v>459</v>
      </c>
      <c r="AG295" s="437">
        <v>445</v>
      </c>
      <c r="AH295" s="437">
        <v>399</v>
      </c>
      <c r="AI295" s="437">
        <f>AJ295-SUM(AF295,AG295,AH295)</f>
        <v>430</v>
      </c>
      <c r="AJ295" s="436">
        <v>1733</v>
      </c>
      <c r="AK295" s="437">
        <v>438</v>
      </c>
      <c r="AL295" s="437">
        <v>427</v>
      </c>
      <c r="AM295" s="437">
        <v>388</v>
      </c>
      <c r="AN295" s="437">
        <f>AO295-SUM(AK295,AL295,AM295)</f>
        <v>490</v>
      </c>
      <c r="AO295" s="436">
        <v>1743</v>
      </c>
      <c r="AP295" s="437">
        <v>467</v>
      </c>
      <c r="AQ295" s="437">
        <v>392</v>
      </c>
      <c r="AR295" s="437">
        <v>448</v>
      </c>
      <c r="AS295" s="437">
        <f>AT295-SUM(AP295,AQ295,AR295)</f>
        <v>502</v>
      </c>
      <c r="AT295" s="436">
        <v>1809</v>
      </c>
      <c r="AU295" s="767">
        <v>529</v>
      </c>
      <c r="AV295" s="446"/>
      <c r="AW295" s="446"/>
      <c r="AX295" s="446"/>
      <c r="AY295" s="445"/>
      <c r="AZ295" s="446"/>
      <c r="BA295" s="446"/>
      <c r="BB295" s="446"/>
      <c r="BC295" s="446"/>
      <c r="BD295" s="445"/>
      <c r="BE295" s="445"/>
      <c r="BF295" s="445"/>
      <c r="BG295" s="445"/>
      <c r="BH295" s="351"/>
    </row>
    <row r="296" spans="1:60" s="345" customFormat="1" hidden="1" outlineLevel="1" x14ac:dyDescent="0.35">
      <c r="A296" s="350" t="s">
        <v>693</v>
      </c>
      <c r="B296" s="444"/>
      <c r="C296" s="445"/>
      <c r="D296" s="445"/>
      <c r="E296" s="445"/>
      <c r="F296" s="445"/>
      <c r="G296" s="446"/>
      <c r="H296" s="446"/>
      <c r="I296" s="446"/>
      <c r="J296" s="446"/>
      <c r="K296" s="445"/>
      <c r="L296" s="446"/>
      <c r="M296" s="446"/>
      <c r="N296" s="446"/>
      <c r="O296" s="446"/>
      <c r="P296" s="445"/>
      <c r="Q296" s="446"/>
      <c r="R296" s="446"/>
      <c r="S296" s="446"/>
      <c r="T296" s="446"/>
      <c r="U296" s="445"/>
      <c r="V296" s="446"/>
      <c r="W296" s="446"/>
      <c r="X296" s="446"/>
      <c r="Y296" s="446"/>
      <c r="Z296" s="436">
        <v>1</v>
      </c>
      <c r="AA296" s="446"/>
      <c r="AB296" s="446"/>
      <c r="AC296" s="446"/>
      <c r="AD296" s="446"/>
      <c r="AE296" s="436">
        <v>-2</v>
      </c>
      <c r="AF296" s="446"/>
      <c r="AG296" s="437">
        <v>-1</v>
      </c>
      <c r="AH296" s="437">
        <v>1</v>
      </c>
      <c r="AI296" s="437">
        <f>AJ296-SUM(AF296,AG296,AH296)</f>
        <v>0</v>
      </c>
      <c r="AJ296" s="445"/>
      <c r="AK296" s="446"/>
      <c r="AL296" s="446"/>
      <c r="AM296" s="446"/>
      <c r="AN296" s="437">
        <f>AO296-SUM(AK296,AL296,AM296)</f>
        <v>-2</v>
      </c>
      <c r="AO296" s="436">
        <v>-2</v>
      </c>
      <c r="AP296" s="437">
        <v>-1</v>
      </c>
      <c r="AQ296" s="437">
        <v>1</v>
      </c>
      <c r="AR296" s="446"/>
      <c r="AS296" s="437">
        <f>AT296-SUM(AP296,AQ296,AR296)</f>
        <v>-4</v>
      </c>
      <c r="AT296" s="436">
        <v>-4</v>
      </c>
      <c r="AU296" s="767"/>
      <c r="AV296" s="446"/>
      <c r="AW296" s="446"/>
      <c r="AX296" s="446"/>
      <c r="AY296" s="445"/>
      <c r="AZ296" s="446"/>
      <c r="BA296" s="446"/>
      <c r="BB296" s="446"/>
      <c r="BC296" s="446"/>
      <c r="BD296" s="445"/>
      <c r="BE296" s="445"/>
      <c r="BF296" s="445"/>
      <c r="BG296" s="445"/>
      <c r="BH296" s="351"/>
    </row>
    <row r="297" spans="1:60" s="69" customFormat="1" hidden="1" outlineLevel="1" x14ac:dyDescent="0.35">
      <c r="A297" s="89" t="s">
        <v>20</v>
      </c>
      <c r="B297" s="452"/>
      <c r="C297" s="453"/>
      <c r="D297" s="453"/>
      <c r="E297" s="453"/>
      <c r="F297" s="453"/>
      <c r="G297" s="454"/>
      <c r="H297" s="454"/>
      <c r="I297" s="454"/>
      <c r="J297" s="454"/>
      <c r="K297" s="453"/>
      <c r="L297" s="454"/>
      <c r="M297" s="454"/>
      <c r="N297" s="454"/>
      <c r="O297" s="454"/>
      <c r="P297" s="453"/>
      <c r="Q297" s="454"/>
      <c r="R297" s="454"/>
      <c r="S297" s="454"/>
      <c r="T297" s="454"/>
      <c r="U297" s="453"/>
      <c r="V297" s="439">
        <f>V38</f>
        <v>1597</v>
      </c>
      <c r="W297" s="439">
        <f>W38</f>
        <v>1624</v>
      </c>
      <c r="X297" s="439">
        <f>X38</f>
        <v>1572</v>
      </c>
      <c r="Y297" s="439">
        <f>Y38</f>
        <v>1584</v>
      </c>
      <c r="Z297" s="438">
        <f>SUM(Z293:Z296)</f>
        <v>6377</v>
      </c>
      <c r="AA297" s="439">
        <f>AA38</f>
        <v>1630</v>
      </c>
      <c r="AB297" s="439">
        <f>AB38</f>
        <v>1642</v>
      </c>
      <c r="AC297" s="439">
        <f>AC38</f>
        <v>1687</v>
      </c>
      <c r="AD297" s="439">
        <f>AD38</f>
        <v>1676</v>
      </c>
      <c r="AE297" s="438">
        <f t="shared" ref="AE297:AU297" si="564">SUM(AE293:AE296)</f>
        <v>6635</v>
      </c>
      <c r="AF297" s="439">
        <f t="shared" si="564"/>
        <v>1745</v>
      </c>
      <c r="AG297" s="439">
        <f t="shared" si="564"/>
        <v>1730</v>
      </c>
      <c r="AH297" s="439">
        <f t="shared" si="564"/>
        <v>1643</v>
      </c>
      <c r="AI297" s="439">
        <f t="shared" si="564"/>
        <v>1708</v>
      </c>
      <c r="AJ297" s="438">
        <f t="shared" si="564"/>
        <v>6826</v>
      </c>
      <c r="AK297" s="439">
        <f t="shared" si="564"/>
        <v>1738</v>
      </c>
      <c r="AL297" s="439">
        <f t="shared" si="564"/>
        <v>1831</v>
      </c>
      <c r="AM297" s="439">
        <f t="shared" si="564"/>
        <v>1721</v>
      </c>
      <c r="AN297" s="439">
        <f t="shared" si="564"/>
        <v>2141</v>
      </c>
      <c r="AO297" s="438">
        <f t="shared" si="564"/>
        <v>7431</v>
      </c>
      <c r="AP297" s="439">
        <f t="shared" si="564"/>
        <v>2103</v>
      </c>
      <c r="AQ297" s="439">
        <f t="shared" si="564"/>
        <v>1825</v>
      </c>
      <c r="AR297" s="439">
        <f t="shared" si="564"/>
        <v>2160</v>
      </c>
      <c r="AS297" s="439">
        <f t="shared" si="564"/>
        <v>2257</v>
      </c>
      <c r="AT297" s="438">
        <f t="shared" si="564"/>
        <v>8345</v>
      </c>
      <c r="AU297" s="765">
        <f t="shared" si="564"/>
        <v>2248</v>
      </c>
      <c r="AV297" s="439">
        <f>AV289</f>
        <v>1916.25</v>
      </c>
      <c r="AW297" s="439">
        <f>AW289</f>
        <v>2268</v>
      </c>
      <c r="AX297" s="439">
        <f>AX289</f>
        <v>2369.85</v>
      </c>
      <c r="AY297" s="438">
        <f>SUM(AU297,AV297,AW297,AX297)</f>
        <v>8802.1</v>
      </c>
      <c r="AZ297" s="439">
        <f>AZ289</f>
        <v>2360.3999999999996</v>
      </c>
      <c r="BA297" s="439">
        <f>BA289</f>
        <v>2012.0625</v>
      </c>
      <c r="BB297" s="439">
        <f>BB289</f>
        <v>2381.4</v>
      </c>
      <c r="BC297" s="439">
        <f>BC289</f>
        <v>2488.3425000000002</v>
      </c>
      <c r="BD297" s="438">
        <f>SUM(AZ297,BA297,BB297,BC297)</f>
        <v>9242.2049999999999</v>
      </c>
      <c r="BE297" s="438">
        <f>BE289</f>
        <v>9704.3152499999997</v>
      </c>
      <c r="BF297" s="438">
        <f>BF289</f>
        <v>10189.5310125</v>
      </c>
      <c r="BG297" s="438">
        <f>BG289</f>
        <v>10699.007563124998</v>
      </c>
      <c r="BH297" s="79"/>
    </row>
    <row r="298" spans="1:60" s="69" customFormat="1" hidden="1" outlineLevel="1" x14ac:dyDescent="0.35">
      <c r="A298" s="426"/>
      <c r="B298" s="518"/>
      <c r="C298" s="519"/>
      <c r="D298" s="519"/>
      <c r="E298" s="519"/>
      <c r="F298" s="519"/>
      <c r="G298" s="520"/>
      <c r="H298" s="520"/>
      <c r="I298" s="520"/>
      <c r="J298" s="520"/>
      <c r="K298" s="519"/>
      <c r="L298" s="520"/>
      <c r="M298" s="520"/>
      <c r="N298" s="520"/>
      <c r="O298" s="520"/>
      <c r="P298" s="519"/>
      <c r="Q298" s="520"/>
      <c r="R298" s="520"/>
      <c r="S298" s="520"/>
      <c r="T298" s="520"/>
      <c r="U298" s="519"/>
      <c r="V298" s="520"/>
      <c r="W298" s="520"/>
      <c r="X298" s="520"/>
      <c r="Y298" s="520"/>
      <c r="Z298" s="519"/>
      <c r="AA298" s="520"/>
      <c r="AB298" s="520"/>
      <c r="AC298" s="520"/>
      <c r="AD298" s="520"/>
      <c r="AE298" s="519"/>
      <c r="AF298" s="520"/>
      <c r="AG298" s="520"/>
      <c r="AH298" s="520"/>
      <c r="AI298" s="520"/>
      <c r="AJ298" s="519"/>
      <c r="AK298" s="520"/>
      <c r="AL298" s="520"/>
      <c r="AM298" s="520"/>
      <c r="AN298" s="520"/>
      <c r="AO298" s="519"/>
      <c r="AP298" s="520"/>
      <c r="AQ298" s="520"/>
      <c r="AR298" s="520"/>
      <c r="AS298" s="520"/>
      <c r="AT298" s="519"/>
      <c r="AU298" s="766"/>
      <c r="AV298" s="520"/>
      <c r="AW298" s="520"/>
      <c r="AX298" s="520"/>
      <c r="AY298" s="519"/>
      <c r="AZ298" s="520"/>
      <c r="BA298" s="520"/>
      <c r="BB298" s="520"/>
      <c r="BC298" s="520"/>
      <c r="BD298" s="519"/>
      <c r="BE298" s="519"/>
      <c r="BF298" s="519"/>
      <c r="BG298" s="519"/>
      <c r="BH298" s="79"/>
    </row>
    <row r="299" spans="1:60" s="69" customFormat="1" hidden="1" outlineLevel="1" x14ac:dyDescent="0.35">
      <c r="A299" s="90" t="s">
        <v>388</v>
      </c>
      <c r="B299" s="518"/>
      <c r="C299" s="519"/>
      <c r="D299" s="519"/>
      <c r="E299" s="519"/>
      <c r="F299" s="519"/>
      <c r="G299" s="520"/>
      <c r="H299" s="520"/>
      <c r="I299" s="520"/>
      <c r="J299" s="520"/>
      <c r="K299" s="519"/>
      <c r="L299" s="520"/>
      <c r="M299" s="520"/>
      <c r="N299" s="520"/>
      <c r="O299" s="520"/>
      <c r="P299" s="519"/>
      <c r="Q299" s="520"/>
      <c r="R299" s="520"/>
      <c r="S299" s="520"/>
      <c r="T299" s="520"/>
      <c r="U299" s="519"/>
      <c r="V299" s="441">
        <f t="shared" ref="V299:AT299" si="565">V59</f>
        <v>485</v>
      </c>
      <c r="W299" s="441">
        <f t="shared" si="565"/>
        <v>489</v>
      </c>
      <c r="X299" s="441">
        <f t="shared" si="565"/>
        <v>451</v>
      </c>
      <c r="Y299" s="441">
        <f t="shared" si="565"/>
        <v>427</v>
      </c>
      <c r="Z299" s="440">
        <f t="shared" si="565"/>
        <v>1852</v>
      </c>
      <c r="AA299" s="441">
        <f t="shared" si="565"/>
        <v>463</v>
      </c>
      <c r="AB299" s="441">
        <f t="shared" si="565"/>
        <v>433</v>
      </c>
      <c r="AC299" s="441">
        <f t="shared" si="565"/>
        <v>500</v>
      </c>
      <c r="AD299" s="441">
        <f t="shared" si="565"/>
        <v>481</v>
      </c>
      <c r="AE299" s="440">
        <f t="shared" si="565"/>
        <v>1877</v>
      </c>
      <c r="AF299" s="441">
        <f t="shared" si="565"/>
        <v>498</v>
      </c>
      <c r="AG299" s="441">
        <f t="shared" si="565"/>
        <v>470</v>
      </c>
      <c r="AH299" s="441">
        <f t="shared" si="565"/>
        <v>475</v>
      </c>
      <c r="AI299" s="441">
        <f t="shared" si="565"/>
        <v>478</v>
      </c>
      <c r="AJ299" s="440">
        <f t="shared" si="565"/>
        <v>1921</v>
      </c>
      <c r="AK299" s="441">
        <f t="shared" si="565"/>
        <v>464</v>
      </c>
      <c r="AL299" s="441">
        <f t="shared" si="565"/>
        <v>483</v>
      </c>
      <c r="AM299" s="441">
        <f t="shared" si="565"/>
        <v>459</v>
      </c>
      <c r="AN299" s="441">
        <f t="shared" si="565"/>
        <v>457</v>
      </c>
      <c r="AO299" s="440">
        <f t="shared" si="565"/>
        <v>1858</v>
      </c>
      <c r="AP299" s="441">
        <f t="shared" si="565"/>
        <v>456</v>
      </c>
      <c r="AQ299" s="441">
        <f t="shared" si="565"/>
        <v>306</v>
      </c>
      <c r="AR299" s="441">
        <f t="shared" si="565"/>
        <v>508</v>
      </c>
      <c r="AS299" s="441">
        <f t="shared" si="565"/>
        <v>558</v>
      </c>
      <c r="AT299" s="440">
        <f t="shared" si="565"/>
        <v>1828</v>
      </c>
      <c r="AU299" s="762">
        <f t="shared" ref="AU299" si="566">AU59</f>
        <v>509</v>
      </c>
      <c r="AV299" s="441">
        <f>AV297*AV307</f>
        <v>421.57499999999999</v>
      </c>
      <c r="AW299" s="441">
        <f>AW297*AW307</f>
        <v>503.49599999999998</v>
      </c>
      <c r="AX299" s="441">
        <f>AX297*AX307</f>
        <v>523.73685</v>
      </c>
      <c r="AY299" s="440">
        <f>SUM(AU299,AV299,AW299,AX299)</f>
        <v>1957.8078499999999</v>
      </c>
      <c r="AZ299" s="441">
        <f>AZ297*AZ307</f>
        <v>581.6579999999999</v>
      </c>
      <c r="BA299" s="441">
        <f>BA297*BA307</f>
        <v>543.25687500000004</v>
      </c>
      <c r="BB299" s="441">
        <f>BB297*BB307</f>
        <v>540.57780000000002</v>
      </c>
      <c r="BC299" s="441">
        <f>BC297*BC307</f>
        <v>574.80711750000012</v>
      </c>
      <c r="BD299" s="440">
        <f>SUM(AZ299,BA299,BB299,BC299)</f>
        <v>2240.2997925</v>
      </c>
      <c r="BE299" s="440">
        <f>BE297*BE307</f>
        <v>2449.3579346249999</v>
      </c>
      <c r="BF299" s="440">
        <f>BF297*BF307</f>
        <v>2673.72114148125</v>
      </c>
      <c r="BG299" s="440">
        <f>BG297*BG307</f>
        <v>2914.3972741865618</v>
      </c>
      <c r="BH299" s="79"/>
    </row>
    <row r="300" spans="1:60" s="345" customFormat="1" hidden="1" outlineLevel="1" x14ac:dyDescent="0.35">
      <c r="A300" s="91" t="s">
        <v>984</v>
      </c>
      <c r="B300" s="501"/>
      <c r="C300" s="502"/>
      <c r="D300" s="502"/>
      <c r="E300" s="502"/>
      <c r="F300" s="502"/>
      <c r="G300" s="463"/>
      <c r="H300" s="463"/>
      <c r="I300" s="463"/>
      <c r="J300" s="463"/>
      <c r="K300" s="502"/>
      <c r="L300" s="463"/>
      <c r="M300" s="463"/>
      <c r="N300" s="463"/>
      <c r="O300" s="463"/>
      <c r="P300" s="502"/>
      <c r="Q300" s="463"/>
      <c r="R300" s="463"/>
      <c r="S300" s="463"/>
      <c r="T300" s="463"/>
      <c r="U300" s="502"/>
      <c r="V300" s="463"/>
      <c r="W300" s="463"/>
      <c r="X300" s="463"/>
      <c r="Y300" s="463"/>
      <c r="Z300" s="502"/>
      <c r="AA300" s="463"/>
      <c r="AB300" s="463"/>
      <c r="AC300" s="463"/>
      <c r="AD300" s="463"/>
      <c r="AE300" s="502"/>
      <c r="AF300" s="463"/>
      <c r="AG300" s="463"/>
      <c r="AH300" s="463"/>
      <c r="AI300" s="463"/>
      <c r="AJ300" s="502"/>
      <c r="AK300" s="458">
        <v>-5</v>
      </c>
      <c r="AL300" s="463"/>
      <c r="AM300" s="463"/>
      <c r="AN300" s="463"/>
      <c r="AO300" s="502"/>
      <c r="AP300" s="463"/>
      <c r="AQ300" s="463"/>
      <c r="AR300" s="463"/>
      <c r="AS300" s="463"/>
      <c r="AT300" s="502"/>
      <c r="AU300" s="768"/>
      <c r="AV300" s="463"/>
      <c r="AW300" s="463"/>
      <c r="AX300" s="463"/>
      <c r="AY300" s="480">
        <f>SUM(AU300,AV300,AW300,AX300)</f>
        <v>0</v>
      </c>
      <c r="AZ300" s="463"/>
      <c r="BA300" s="463"/>
      <c r="BB300" s="463"/>
      <c r="BC300" s="463"/>
      <c r="BD300" s="480">
        <f>SUM(AZ300,BA300,BB300,BC300)</f>
        <v>0</v>
      </c>
      <c r="BE300" s="502"/>
      <c r="BF300" s="502"/>
      <c r="BG300" s="502"/>
      <c r="BH300" s="351"/>
    </row>
    <row r="301" spans="1:60" s="69" customFormat="1" hidden="1" outlineLevel="1" x14ac:dyDescent="0.35">
      <c r="A301" s="89" t="s">
        <v>975</v>
      </c>
      <c r="B301" s="452"/>
      <c r="C301" s="453"/>
      <c r="D301" s="453"/>
      <c r="E301" s="453"/>
      <c r="F301" s="453"/>
      <c r="G301" s="454"/>
      <c r="H301" s="454"/>
      <c r="I301" s="454"/>
      <c r="J301" s="454"/>
      <c r="K301" s="453"/>
      <c r="L301" s="454"/>
      <c r="M301" s="454"/>
      <c r="N301" s="454"/>
      <c r="O301" s="454"/>
      <c r="P301" s="453"/>
      <c r="Q301" s="454"/>
      <c r="R301" s="454"/>
      <c r="S301" s="454"/>
      <c r="T301" s="454"/>
      <c r="U301" s="453"/>
      <c r="V301" s="454"/>
      <c r="W301" s="454"/>
      <c r="X301" s="454"/>
      <c r="Y301" s="454"/>
      <c r="Z301" s="453"/>
      <c r="AA301" s="454"/>
      <c r="AB301" s="454"/>
      <c r="AC301" s="454"/>
      <c r="AD301" s="454"/>
      <c r="AE301" s="453"/>
      <c r="AF301" s="454"/>
      <c r="AG301" s="454"/>
      <c r="AH301" s="454"/>
      <c r="AI301" s="454"/>
      <c r="AJ301" s="453"/>
      <c r="AK301" s="441">
        <f t="shared" ref="AK301:AO301" si="567">SUM(AK299:AK300)</f>
        <v>459</v>
      </c>
      <c r="AL301" s="441">
        <f t="shared" si="567"/>
        <v>483</v>
      </c>
      <c r="AM301" s="441">
        <f t="shared" si="567"/>
        <v>459</v>
      </c>
      <c r="AN301" s="441">
        <f t="shared" si="567"/>
        <v>457</v>
      </c>
      <c r="AO301" s="440">
        <f t="shared" si="567"/>
        <v>1858</v>
      </c>
      <c r="AP301" s="439">
        <f t="shared" ref="AP301:AY301" si="568">SUM(AP299:AP300)</f>
        <v>456</v>
      </c>
      <c r="AQ301" s="439">
        <f t="shared" si="568"/>
        <v>306</v>
      </c>
      <c r="AR301" s="439">
        <f t="shared" si="568"/>
        <v>508</v>
      </c>
      <c r="AS301" s="439">
        <f t="shared" si="568"/>
        <v>558</v>
      </c>
      <c r="AT301" s="438">
        <f t="shared" si="568"/>
        <v>1828</v>
      </c>
      <c r="AU301" s="765">
        <f t="shared" ref="AU301" si="569">SUM(AU299:AU300)</f>
        <v>509</v>
      </c>
      <c r="AV301" s="439">
        <f t="shared" si="568"/>
        <v>421.57499999999999</v>
      </c>
      <c r="AW301" s="439">
        <f t="shared" si="568"/>
        <v>503.49599999999998</v>
      </c>
      <c r="AX301" s="439">
        <f t="shared" si="568"/>
        <v>523.73685</v>
      </c>
      <c r="AY301" s="438">
        <f t="shared" si="568"/>
        <v>1957.8078499999999</v>
      </c>
      <c r="AZ301" s="439">
        <f t="shared" ref="AZ301:BG301" si="570">SUM(AZ299:AZ300)</f>
        <v>581.6579999999999</v>
      </c>
      <c r="BA301" s="439">
        <f t="shared" si="570"/>
        <v>543.25687500000004</v>
      </c>
      <c r="BB301" s="439">
        <f t="shared" si="570"/>
        <v>540.57780000000002</v>
      </c>
      <c r="BC301" s="439">
        <f t="shared" si="570"/>
        <v>574.80711750000012</v>
      </c>
      <c r="BD301" s="438">
        <f t="shared" si="570"/>
        <v>2240.2997925</v>
      </c>
      <c r="BE301" s="438">
        <f t="shared" si="570"/>
        <v>2449.3579346249999</v>
      </c>
      <c r="BF301" s="438">
        <f t="shared" si="570"/>
        <v>2673.72114148125</v>
      </c>
      <c r="BG301" s="438">
        <f t="shared" si="570"/>
        <v>2914.3972741865618</v>
      </c>
      <c r="BH301" s="79"/>
    </row>
    <row r="302" spans="1:60" s="345" customFormat="1" hidden="1" outlineLevel="1" x14ac:dyDescent="0.35">
      <c r="A302" s="466" t="s">
        <v>953</v>
      </c>
      <c r="B302" s="501"/>
      <c r="C302" s="502"/>
      <c r="D302" s="502"/>
      <c r="E302" s="502"/>
      <c r="F302" s="502"/>
      <c r="G302" s="463"/>
      <c r="H302" s="463"/>
      <c r="I302" s="463"/>
      <c r="J302" s="463"/>
      <c r="K302" s="502"/>
      <c r="L302" s="463"/>
      <c r="M302" s="463"/>
      <c r="N302" s="463"/>
      <c r="O302" s="463"/>
      <c r="P302" s="502"/>
      <c r="Q302" s="463"/>
      <c r="R302" s="463"/>
      <c r="S302" s="463"/>
      <c r="T302" s="463"/>
      <c r="U302" s="502"/>
      <c r="V302" s="463"/>
      <c r="W302" s="463"/>
      <c r="X302" s="463"/>
      <c r="Y302" s="463"/>
      <c r="Z302" s="502"/>
      <c r="AA302" s="463"/>
      <c r="AB302" s="463"/>
      <c r="AC302" s="463"/>
      <c r="AD302" s="463"/>
      <c r="AE302" s="502"/>
      <c r="AF302" s="463"/>
      <c r="AG302" s="463"/>
      <c r="AH302" s="463"/>
      <c r="AI302" s="463"/>
      <c r="AJ302" s="502"/>
      <c r="AK302" s="463">
        <v>54</v>
      </c>
      <c r="AL302" s="463">
        <v>56</v>
      </c>
      <c r="AM302" s="463">
        <v>53</v>
      </c>
      <c r="AN302" s="463">
        <v>158</v>
      </c>
      <c r="AO302" s="502">
        <v>392</v>
      </c>
      <c r="AP302" s="463">
        <v>128</v>
      </c>
      <c r="AQ302" s="463">
        <v>133</v>
      </c>
      <c r="AR302" s="463">
        <v>136</v>
      </c>
      <c r="AS302" s="463">
        <v>158</v>
      </c>
      <c r="AT302" s="502">
        <v>626</v>
      </c>
      <c r="AU302" s="768">
        <v>158</v>
      </c>
      <c r="AV302" s="945">
        <f>Drivers!AV62</f>
        <v>135</v>
      </c>
      <c r="AW302" s="945">
        <f>Drivers!AW62</f>
        <v>135</v>
      </c>
      <c r="AX302" s="945">
        <f>Drivers!AX62</f>
        <v>135</v>
      </c>
      <c r="AY302" s="502">
        <f>SUM(AU302,AV302,AW302,AX302)</f>
        <v>563</v>
      </c>
      <c r="AZ302" s="945">
        <f>Drivers!AZ62</f>
        <v>135</v>
      </c>
      <c r="BA302" s="945">
        <f>Drivers!BA62</f>
        <v>135</v>
      </c>
      <c r="BB302" s="945">
        <f>Drivers!BB62</f>
        <v>135</v>
      </c>
      <c r="BC302" s="945">
        <f>Drivers!BC62</f>
        <v>135</v>
      </c>
      <c r="BD302" s="502">
        <f>SUM(AZ302,BA302,BB302,BC302)</f>
        <v>540</v>
      </c>
      <c r="BE302" s="945">
        <f>Drivers!BE62</f>
        <v>540</v>
      </c>
      <c r="BF302" s="945">
        <f>Drivers!BF62</f>
        <v>540</v>
      </c>
      <c r="BG302" s="945">
        <f>Drivers!BG62</f>
        <v>540</v>
      </c>
      <c r="BH302" s="351"/>
    </row>
    <row r="303" spans="1:60" s="69" customFormat="1" hidden="1" outlineLevel="1" x14ac:dyDescent="0.35">
      <c r="A303" s="90" t="s">
        <v>951</v>
      </c>
      <c r="B303" s="518"/>
      <c r="C303" s="519"/>
      <c r="D303" s="519"/>
      <c r="E303" s="519"/>
      <c r="F303" s="519"/>
      <c r="G303" s="520"/>
      <c r="H303" s="520"/>
      <c r="I303" s="520"/>
      <c r="J303" s="520"/>
      <c r="K303" s="519"/>
      <c r="L303" s="520"/>
      <c r="M303" s="520"/>
      <c r="N303" s="520"/>
      <c r="O303" s="520"/>
      <c r="P303" s="519"/>
      <c r="Q303" s="520"/>
      <c r="R303" s="520"/>
      <c r="S303" s="520"/>
      <c r="T303" s="520"/>
      <c r="U303" s="519"/>
      <c r="V303" s="520"/>
      <c r="W303" s="520"/>
      <c r="X303" s="520"/>
      <c r="Y303" s="520"/>
      <c r="Z303" s="519"/>
      <c r="AA303" s="520"/>
      <c r="AB303" s="520"/>
      <c r="AC303" s="520"/>
      <c r="AD303" s="520"/>
      <c r="AE303" s="519"/>
      <c r="AF303" s="520"/>
      <c r="AG303" s="520"/>
      <c r="AH303" s="520"/>
      <c r="AI303" s="520"/>
      <c r="AJ303" s="519"/>
      <c r="AK303" s="441">
        <f>SUM(AK301:AK302)</f>
        <v>513</v>
      </c>
      <c r="AL303" s="441">
        <f t="shared" ref="AL303" si="571">SUM(AL301:AL302)</f>
        <v>539</v>
      </c>
      <c r="AM303" s="441">
        <f t="shared" ref="AM303" si="572">SUM(AM301:AM302)</f>
        <v>512</v>
      </c>
      <c r="AN303" s="441">
        <f t="shared" ref="AN303" si="573">SUM(AN301:AN302)</f>
        <v>615</v>
      </c>
      <c r="AO303" s="440">
        <f t="shared" ref="AO303" si="574">SUM(AO301:AO302)</f>
        <v>2250</v>
      </c>
      <c r="AP303" s="441">
        <f>SUM(AP301:AP302)</f>
        <v>584</v>
      </c>
      <c r="AQ303" s="441">
        <f t="shared" ref="AQ303:AY303" si="575">SUM(AQ301:AQ302)</f>
        <v>439</v>
      </c>
      <c r="AR303" s="441">
        <f t="shared" si="575"/>
        <v>644</v>
      </c>
      <c r="AS303" s="441">
        <f t="shared" si="575"/>
        <v>716</v>
      </c>
      <c r="AT303" s="440">
        <f t="shared" si="575"/>
        <v>2454</v>
      </c>
      <c r="AU303" s="762">
        <f>SUM(AU301:AU302)</f>
        <v>667</v>
      </c>
      <c r="AV303" s="441">
        <f t="shared" si="575"/>
        <v>556.57500000000005</v>
      </c>
      <c r="AW303" s="441">
        <f t="shared" si="575"/>
        <v>638.49599999999998</v>
      </c>
      <c r="AX303" s="441">
        <f t="shared" si="575"/>
        <v>658.73685</v>
      </c>
      <c r="AY303" s="440">
        <f t="shared" si="575"/>
        <v>2520.8078500000001</v>
      </c>
      <c r="AZ303" s="441">
        <f t="shared" ref="AZ303:BG303" si="576">SUM(AZ301:AZ302)</f>
        <v>716.6579999999999</v>
      </c>
      <c r="BA303" s="441">
        <f t="shared" si="576"/>
        <v>678.25687500000004</v>
      </c>
      <c r="BB303" s="441">
        <f t="shared" si="576"/>
        <v>675.57780000000002</v>
      </c>
      <c r="BC303" s="441">
        <f t="shared" si="576"/>
        <v>709.80711750000012</v>
      </c>
      <c r="BD303" s="440">
        <f t="shared" si="576"/>
        <v>2780.2997925</v>
      </c>
      <c r="BE303" s="440">
        <f t="shared" si="576"/>
        <v>2989.3579346249999</v>
      </c>
      <c r="BF303" s="440">
        <f t="shared" si="576"/>
        <v>3213.72114148125</v>
      </c>
      <c r="BG303" s="440">
        <f t="shared" si="576"/>
        <v>3454.3972741865618</v>
      </c>
      <c r="BH303" s="79"/>
    </row>
    <row r="304" spans="1:60" s="69" customFormat="1" hidden="1" outlineLevel="1" x14ac:dyDescent="0.35">
      <c r="A304" s="426"/>
      <c r="B304" s="518"/>
      <c r="C304" s="519"/>
      <c r="D304" s="519"/>
      <c r="E304" s="519"/>
      <c r="F304" s="519"/>
      <c r="G304" s="520"/>
      <c r="H304" s="520"/>
      <c r="I304" s="520"/>
      <c r="J304" s="520"/>
      <c r="K304" s="519"/>
      <c r="L304" s="520"/>
      <c r="M304" s="520"/>
      <c r="N304" s="520"/>
      <c r="O304" s="520"/>
      <c r="P304" s="519"/>
      <c r="Q304" s="520"/>
      <c r="R304" s="520"/>
      <c r="S304" s="520"/>
      <c r="T304" s="520"/>
      <c r="U304" s="519"/>
      <c r="V304" s="520"/>
      <c r="W304" s="520"/>
      <c r="X304" s="520"/>
      <c r="Y304" s="520"/>
      <c r="Z304" s="519"/>
      <c r="AA304" s="520"/>
      <c r="AB304" s="520"/>
      <c r="AC304" s="520"/>
      <c r="AD304" s="520"/>
      <c r="AE304" s="519"/>
      <c r="AF304" s="520"/>
      <c r="AG304" s="520"/>
      <c r="AH304" s="520"/>
      <c r="AI304" s="520"/>
      <c r="AJ304" s="519"/>
      <c r="AK304" s="520"/>
      <c r="AL304" s="520"/>
      <c r="AM304" s="520"/>
      <c r="AN304" s="520"/>
      <c r="AO304" s="519"/>
      <c r="AP304" s="520"/>
      <c r="AQ304" s="520"/>
      <c r="AR304" s="520"/>
      <c r="AS304" s="520"/>
      <c r="AT304" s="519"/>
      <c r="AU304" s="766"/>
      <c r="AV304" s="520"/>
      <c r="AW304" s="520"/>
      <c r="AX304" s="520"/>
      <c r="AY304" s="519"/>
      <c r="AZ304" s="520"/>
      <c r="BA304" s="520"/>
      <c r="BB304" s="520"/>
      <c r="BC304" s="520"/>
      <c r="BD304" s="519"/>
      <c r="BE304" s="519"/>
      <c r="BF304" s="519"/>
      <c r="BG304" s="519"/>
      <c r="BH304" s="79"/>
    </row>
    <row r="305" spans="1:60" s="225" customFormat="1" hidden="1" outlineLevel="1" x14ac:dyDescent="0.35">
      <c r="A305" s="538" t="s">
        <v>952</v>
      </c>
      <c r="B305" s="176"/>
      <c r="C305" s="113"/>
      <c r="D305" s="113"/>
      <c r="E305" s="113"/>
      <c r="F305" s="113"/>
      <c r="G305" s="177"/>
      <c r="H305" s="177"/>
      <c r="I305" s="177"/>
      <c r="J305" s="177"/>
      <c r="K305" s="113"/>
      <c r="L305" s="177"/>
      <c r="M305" s="177"/>
      <c r="N305" s="177"/>
      <c r="O305" s="177"/>
      <c r="P305" s="113"/>
      <c r="Q305" s="177"/>
      <c r="R305" s="177"/>
      <c r="S305" s="177"/>
      <c r="T305" s="177"/>
      <c r="U305" s="113"/>
      <c r="V305" s="177"/>
      <c r="W305" s="177"/>
      <c r="X305" s="177"/>
      <c r="Y305" s="177"/>
      <c r="Z305" s="113"/>
      <c r="AA305" s="177"/>
      <c r="AB305" s="177"/>
      <c r="AC305" s="177"/>
      <c r="AD305" s="177"/>
      <c r="AE305" s="113"/>
      <c r="AF305" s="177"/>
      <c r="AG305" s="177"/>
      <c r="AH305" s="177"/>
      <c r="AI305" s="177"/>
      <c r="AJ305" s="113"/>
      <c r="AK305" s="226">
        <f t="shared" ref="AK305:AO305" si="577">AK303/AK297</f>
        <v>0.29516685845799767</v>
      </c>
      <c r="AL305" s="226">
        <f t="shared" si="577"/>
        <v>0.29437465865647189</v>
      </c>
      <c r="AM305" s="226">
        <f t="shared" si="577"/>
        <v>0.29750145264381173</v>
      </c>
      <c r="AN305" s="226">
        <f t="shared" si="577"/>
        <v>0.28724894908921067</v>
      </c>
      <c r="AO305" s="223">
        <f t="shared" si="577"/>
        <v>0.30278562777553492</v>
      </c>
      <c r="AP305" s="226">
        <f t="shared" ref="AP305:AY305" si="578">AP303/AP297</f>
        <v>0.27769852591535898</v>
      </c>
      <c r="AQ305" s="226">
        <f t="shared" si="578"/>
        <v>0.24054794520547945</v>
      </c>
      <c r="AR305" s="226">
        <f t="shared" si="578"/>
        <v>0.29814814814814816</v>
      </c>
      <c r="AS305" s="226">
        <f t="shared" ref="AS305:AU305" si="579">AS303/AS297</f>
        <v>0.31723526805494018</v>
      </c>
      <c r="AT305" s="223">
        <f t="shared" si="579"/>
        <v>0.2940683043738766</v>
      </c>
      <c r="AU305" s="773">
        <f t="shared" si="579"/>
        <v>0.29670818505338076</v>
      </c>
      <c r="AV305" s="226">
        <f t="shared" si="578"/>
        <v>0.29045009784735815</v>
      </c>
      <c r="AW305" s="226">
        <f t="shared" si="578"/>
        <v>0.28152380952380951</v>
      </c>
      <c r="AX305" s="226">
        <f t="shared" si="578"/>
        <v>0.27796563073612257</v>
      </c>
      <c r="AY305" s="223">
        <f t="shared" si="578"/>
        <v>0.28638709512502697</v>
      </c>
      <c r="AZ305" s="226">
        <f t="shared" ref="AZ305:BG305" si="580">AZ303/AZ297</f>
        <v>0.30361718352821554</v>
      </c>
      <c r="BA305" s="226">
        <f t="shared" si="580"/>
        <v>0.33709533128319824</v>
      </c>
      <c r="BB305" s="226">
        <f t="shared" si="580"/>
        <v>0.28368934240362814</v>
      </c>
      <c r="BC305" s="226">
        <f t="shared" si="580"/>
        <v>0.28525298165345009</v>
      </c>
      <c r="BD305" s="223">
        <f t="shared" si="580"/>
        <v>0.30082645780958117</v>
      </c>
      <c r="BE305" s="223">
        <f t="shared" si="580"/>
        <v>0.30804419040539721</v>
      </c>
      <c r="BF305" s="223">
        <f t="shared" si="580"/>
        <v>0.31539441192522205</v>
      </c>
      <c r="BG305" s="223">
        <f t="shared" si="580"/>
        <v>0.32287081337267426</v>
      </c>
      <c r="BH305" s="94"/>
    </row>
    <row r="306" spans="1:60" s="225" customFormat="1" hidden="1" outlineLevel="1" x14ac:dyDescent="0.35">
      <c r="A306" s="538" t="s">
        <v>976</v>
      </c>
      <c r="B306" s="176"/>
      <c r="C306" s="113"/>
      <c r="D306" s="113"/>
      <c r="E306" s="113"/>
      <c r="F306" s="113"/>
      <c r="G306" s="177"/>
      <c r="H306" s="177"/>
      <c r="I306" s="177"/>
      <c r="J306" s="177"/>
      <c r="K306" s="113"/>
      <c r="L306" s="177"/>
      <c r="M306" s="177"/>
      <c r="N306" s="177"/>
      <c r="O306" s="177"/>
      <c r="P306" s="113"/>
      <c r="Q306" s="177"/>
      <c r="R306" s="177"/>
      <c r="S306" s="177"/>
      <c r="T306" s="177"/>
      <c r="U306" s="113"/>
      <c r="V306" s="177"/>
      <c r="W306" s="177"/>
      <c r="X306" s="177"/>
      <c r="Y306" s="177"/>
      <c r="Z306" s="113"/>
      <c r="AA306" s="177"/>
      <c r="AB306" s="177"/>
      <c r="AC306" s="177"/>
      <c r="AD306" s="177"/>
      <c r="AE306" s="113"/>
      <c r="AF306" s="177"/>
      <c r="AG306" s="177"/>
      <c r="AH306" s="177"/>
      <c r="AI306" s="177"/>
      <c r="AJ306" s="113"/>
      <c r="AK306" s="226">
        <f t="shared" ref="AK306:AO306" si="581">AK301/AK297</f>
        <v>0.26409666283084005</v>
      </c>
      <c r="AL306" s="226">
        <f t="shared" si="581"/>
        <v>0.26379027853631898</v>
      </c>
      <c r="AM306" s="226">
        <f t="shared" si="581"/>
        <v>0.26670540383497965</v>
      </c>
      <c r="AN306" s="226">
        <f t="shared" si="581"/>
        <v>0.21345165810368985</v>
      </c>
      <c r="AO306" s="223">
        <f t="shared" si="581"/>
        <v>0.2500336428475306</v>
      </c>
      <c r="AP306" s="226">
        <f t="shared" ref="AP306:AY306" si="582">AP301/AP297</f>
        <v>0.21683309557774608</v>
      </c>
      <c r="AQ306" s="226">
        <f t="shared" si="582"/>
        <v>0.16767123287671232</v>
      </c>
      <c r="AR306" s="226">
        <f t="shared" si="582"/>
        <v>0.23518518518518519</v>
      </c>
      <c r="AS306" s="226">
        <f t="shared" ref="AS306:AU306" si="583">AS301/AS297</f>
        <v>0.24723083739477181</v>
      </c>
      <c r="AT306" s="223">
        <f t="shared" si="583"/>
        <v>0.21905332534451769</v>
      </c>
      <c r="AU306" s="773">
        <f t="shared" si="583"/>
        <v>0.22642348754448399</v>
      </c>
      <c r="AV306" s="226">
        <f t="shared" si="582"/>
        <v>0.22</v>
      </c>
      <c r="AW306" s="226">
        <f t="shared" si="582"/>
        <v>0.222</v>
      </c>
      <c r="AX306" s="226">
        <f t="shared" si="582"/>
        <v>0.221</v>
      </c>
      <c r="AY306" s="223">
        <f t="shared" si="582"/>
        <v>0.22242508605900863</v>
      </c>
      <c r="AZ306" s="226">
        <f t="shared" ref="AZ306:BG306" si="584">AZ301/AZ297</f>
        <v>0.24642348754448398</v>
      </c>
      <c r="BA306" s="226">
        <f t="shared" si="584"/>
        <v>0.27</v>
      </c>
      <c r="BB306" s="226">
        <f t="shared" si="584"/>
        <v>0.22700000000000001</v>
      </c>
      <c r="BC306" s="226">
        <f t="shared" si="584"/>
        <v>0.23100000000000004</v>
      </c>
      <c r="BD306" s="223">
        <f t="shared" si="584"/>
        <v>0.24239884232171868</v>
      </c>
      <c r="BE306" s="223">
        <f t="shared" si="584"/>
        <v>0.25239884232171866</v>
      </c>
      <c r="BF306" s="223">
        <f t="shared" si="584"/>
        <v>0.26239884232171867</v>
      </c>
      <c r="BG306" s="223">
        <f t="shared" si="584"/>
        <v>0.27239884232171868</v>
      </c>
      <c r="BH306" s="94"/>
    </row>
    <row r="307" spans="1:60" s="249" customFormat="1" hidden="1" outlineLevel="1" x14ac:dyDescent="0.35">
      <c r="A307" s="538" t="s">
        <v>400</v>
      </c>
      <c r="B307" s="607"/>
      <c r="C307" s="522"/>
      <c r="D307" s="522"/>
      <c r="E307" s="522"/>
      <c r="F307" s="522"/>
      <c r="G307" s="234"/>
      <c r="H307" s="234"/>
      <c r="I307" s="234"/>
      <c r="J307" s="234"/>
      <c r="K307" s="522"/>
      <c r="L307" s="234"/>
      <c r="M307" s="234"/>
      <c r="N307" s="234"/>
      <c r="O307" s="234"/>
      <c r="P307" s="522"/>
      <c r="Q307" s="234"/>
      <c r="R307" s="234"/>
      <c r="S307" s="234"/>
      <c r="T307" s="234"/>
      <c r="U307" s="522"/>
      <c r="V307" s="234">
        <f t="shared" ref="V307:AU307" si="585">V299/V297</f>
        <v>0.30369442705072008</v>
      </c>
      <c r="W307" s="234">
        <f t="shared" si="585"/>
        <v>0.30110837438423643</v>
      </c>
      <c r="X307" s="234">
        <f t="shared" si="585"/>
        <v>0.28689567430025448</v>
      </c>
      <c r="Y307" s="234">
        <f t="shared" si="585"/>
        <v>0.26957070707070707</v>
      </c>
      <c r="Z307" s="522">
        <f t="shared" si="585"/>
        <v>0.29041869217500393</v>
      </c>
      <c r="AA307" s="234">
        <f t="shared" si="585"/>
        <v>0.28404907975460125</v>
      </c>
      <c r="AB307" s="234">
        <f t="shared" si="585"/>
        <v>0.26370280146163216</v>
      </c>
      <c r="AC307" s="234">
        <f t="shared" si="585"/>
        <v>0.29638411381149971</v>
      </c>
      <c r="AD307" s="234">
        <f t="shared" si="585"/>
        <v>0.28699284009546538</v>
      </c>
      <c r="AE307" s="522">
        <f t="shared" si="585"/>
        <v>0.28289374529012812</v>
      </c>
      <c r="AF307" s="234">
        <f t="shared" si="585"/>
        <v>0.28538681948424066</v>
      </c>
      <c r="AG307" s="234">
        <f t="shared" si="585"/>
        <v>0.27167630057803466</v>
      </c>
      <c r="AH307" s="234">
        <f t="shared" si="585"/>
        <v>0.28910529519172246</v>
      </c>
      <c r="AI307" s="234">
        <f t="shared" si="585"/>
        <v>0.27985948477751754</v>
      </c>
      <c r="AJ307" s="522">
        <f t="shared" si="585"/>
        <v>0.28142396718429535</v>
      </c>
      <c r="AK307" s="234">
        <f t="shared" si="585"/>
        <v>0.26697353279631758</v>
      </c>
      <c r="AL307" s="234">
        <f t="shared" si="585"/>
        <v>0.26379027853631898</v>
      </c>
      <c r="AM307" s="234">
        <f t="shared" si="585"/>
        <v>0.26670540383497965</v>
      </c>
      <c r="AN307" s="234">
        <f t="shared" si="585"/>
        <v>0.21345165810368985</v>
      </c>
      <c r="AO307" s="522">
        <f t="shared" si="585"/>
        <v>0.2500336428475306</v>
      </c>
      <c r="AP307" s="234">
        <f t="shared" si="585"/>
        <v>0.21683309557774608</v>
      </c>
      <c r="AQ307" s="234">
        <f t="shared" si="585"/>
        <v>0.16767123287671232</v>
      </c>
      <c r="AR307" s="234">
        <f t="shared" si="585"/>
        <v>0.23518518518518519</v>
      </c>
      <c r="AS307" s="234">
        <f t="shared" si="585"/>
        <v>0.24723083739477181</v>
      </c>
      <c r="AT307" s="522">
        <f t="shared" si="585"/>
        <v>0.21905332534451769</v>
      </c>
      <c r="AU307" s="781">
        <f t="shared" si="585"/>
        <v>0.22642348754448399</v>
      </c>
      <c r="AV307" s="946">
        <f>Drivers!AV63</f>
        <v>0.22</v>
      </c>
      <c r="AW307" s="946">
        <f>Drivers!AW63</f>
        <v>0.222</v>
      </c>
      <c r="AX307" s="946">
        <f>Drivers!AX63</f>
        <v>0.221</v>
      </c>
      <c r="AY307" s="522">
        <f>AY299/AY297</f>
        <v>0.22242508605900863</v>
      </c>
      <c r="AZ307" s="234">
        <f>AU307+AZ308/10000</f>
        <v>0.24642348754448398</v>
      </c>
      <c r="BA307" s="234">
        <f>AV307+BA308/10000</f>
        <v>0.27</v>
      </c>
      <c r="BB307" s="234">
        <f>AW307+BB308/10000</f>
        <v>0.22700000000000001</v>
      </c>
      <c r="BC307" s="234">
        <f>AX307+BC308/10000</f>
        <v>0.23100000000000001</v>
      </c>
      <c r="BD307" s="522">
        <f>BD299/BD297</f>
        <v>0.24239884232171868</v>
      </c>
      <c r="BE307" s="522">
        <f>BD307+BE308/10000</f>
        <v>0.25239884232171866</v>
      </c>
      <c r="BF307" s="522">
        <f>BE307+BF308/10000</f>
        <v>0.26239884232171867</v>
      </c>
      <c r="BG307" s="522">
        <f>BF307+BG308/10000</f>
        <v>0.27239884232171868</v>
      </c>
      <c r="BH307" s="235"/>
    </row>
    <row r="308" spans="1:60" s="597" customFormat="1" hidden="1" outlineLevel="1" x14ac:dyDescent="0.35">
      <c r="A308" s="634" t="s">
        <v>826</v>
      </c>
      <c r="B308" s="635"/>
      <c r="C308" s="163"/>
      <c r="D308" s="163"/>
      <c r="E308" s="163"/>
      <c r="F308" s="163"/>
      <c r="G308" s="164"/>
      <c r="H308" s="164"/>
      <c r="I308" s="164"/>
      <c r="J308" s="164"/>
      <c r="K308" s="163"/>
      <c r="L308" s="164"/>
      <c r="M308" s="164"/>
      <c r="N308" s="164"/>
      <c r="O308" s="164"/>
      <c r="P308" s="163"/>
      <c r="Q308" s="164"/>
      <c r="R308" s="164"/>
      <c r="S308" s="164"/>
      <c r="T308" s="164"/>
      <c r="U308" s="163"/>
      <c r="V308" s="164"/>
      <c r="W308" s="164"/>
      <c r="X308" s="164"/>
      <c r="Y308" s="164"/>
      <c r="Z308" s="163"/>
      <c r="AA308" s="164">
        <f t="shared" ref="AA308:AU308" si="586">(AA307-V307)*10000</f>
        <v>-196.45347296118831</v>
      </c>
      <c r="AB308" s="164">
        <f t="shared" si="586"/>
        <v>-374.05572922604267</v>
      </c>
      <c r="AC308" s="164">
        <f t="shared" si="586"/>
        <v>94.884395112452282</v>
      </c>
      <c r="AD308" s="164">
        <f t="shared" si="586"/>
        <v>174.22133024758313</v>
      </c>
      <c r="AE308" s="163">
        <f t="shared" si="586"/>
        <v>-75.249468848758156</v>
      </c>
      <c r="AF308" s="164">
        <f t="shared" si="586"/>
        <v>13.37739729639409</v>
      </c>
      <c r="AG308" s="164">
        <f t="shared" si="586"/>
        <v>79.734991164024933</v>
      </c>
      <c r="AH308" s="164">
        <f t="shared" si="586"/>
        <v>-72.788186197772504</v>
      </c>
      <c r="AI308" s="164">
        <f t="shared" si="586"/>
        <v>-71.333553179478429</v>
      </c>
      <c r="AJ308" s="163">
        <f t="shared" si="586"/>
        <v>-14.697781058327642</v>
      </c>
      <c r="AK308" s="164">
        <f t="shared" si="586"/>
        <v>-184.13286687923082</v>
      </c>
      <c r="AL308" s="164">
        <f t="shared" si="586"/>
        <v>-78.860220417156796</v>
      </c>
      <c r="AM308" s="164">
        <f t="shared" si="586"/>
        <v>-223.99891356742808</v>
      </c>
      <c r="AN308" s="164">
        <f t="shared" si="586"/>
        <v>-664.07826673827697</v>
      </c>
      <c r="AO308" s="163">
        <f t="shared" si="586"/>
        <v>-313.90324336764752</v>
      </c>
      <c r="AP308" s="164">
        <f t="shared" si="586"/>
        <v>-501.40437218571503</v>
      </c>
      <c r="AQ308" s="164">
        <f t="shared" si="586"/>
        <v>-961.19045659606661</v>
      </c>
      <c r="AR308" s="164">
        <f t="shared" si="586"/>
        <v>-315.20218649794458</v>
      </c>
      <c r="AS308" s="164">
        <f t="shared" si="586"/>
        <v>337.79179291081954</v>
      </c>
      <c r="AT308" s="163">
        <f t="shared" si="586"/>
        <v>-309.80317503012918</v>
      </c>
      <c r="AU308" s="782">
        <f t="shared" si="586"/>
        <v>95.903919667379157</v>
      </c>
      <c r="AV308" s="639"/>
      <c r="AW308" s="639"/>
      <c r="AX308" s="639"/>
      <c r="AY308" s="636"/>
      <c r="AZ308" s="950">
        <f>Drivers!AZ64</f>
        <v>200</v>
      </c>
      <c r="BA308" s="950">
        <f>Drivers!BA64</f>
        <v>500</v>
      </c>
      <c r="BB308" s="950">
        <f>Drivers!BB64</f>
        <v>50</v>
      </c>
      <c r="BC308" s="950">
        <f>Drivers!BC64</f>
        <v>100</v>
      </c>
      <c r="BD308" s="636">
        <f>(BD307-AY307)*10000</f>
        <v>199.73756262710057</v>
      </c>
      <c r="BE308" s="950">
        <f>Drivers!BE64</f>
        <v>100</v>
      </c>
      <c r="BF308" s="950">
        <f>Drivers!BF64</f>
        <v>100</v>
      </c>
      <c r="BG308" s="950">
        <f>Drivers!BG64</f>
        <v>100</v>
      </c>
      <c r="BH308" s="596"/>
    </row>
    <row r="309" spans="1:60" s="602" customFormat="1" hidden="1" outlineLevel="1" x14ac:dyDescent="0.35">
      <c r="A309" s="598" t="s">
        <v>827</v>
      </c>
      <c r="B309" s="679"/>
      <c r="C309" s="182"/>
      <c r="D309" s="182"/>
      <c r="E309" s="182"/>
      <c r="F309" s="182"/>
      <c r="G309" s="183"/>
      <c r="H309" s="183"/>
      <c r="I309" s="183"/>
      <c r="J309" s="183"/>
      <c r="K309" s="182"/>
      <c r="L309" s="183"/>
      <c r="M309" s="183"/>
      <c r="N309" s="183"/>
      <c r="O309" s="183"/>
      <c r="P309" s="182"/>
      <c r="Q309" s="183"/>
      <c r="R309" s="183"/>
      <c r="S309" s="183"/>
      <c r="T309" s="183"/>
      <c r="U309" s="182"/>
      <c r="V309" s="183"/>
      <c r="W309" s="183"/>
      <c r="X309" s="183"/>
      <c r="Y309" s="183"/>
      <c r="Z309" s="182"/>
      <c r="AA309" s="442">
        <f t="shared" ref="AA309:AU309" si="587">IFERROR((AA299-V299)/(AA297-V297),"N/A")</f>
        <v>-0.66666666666666663</v>
      </c>
      <c r="AB309" s="442">
        <f t="shared" si="587"/>
        <v>-3.1111111111111112</v>
      </c>
      <c r="AC309" s="442">
        <f t="shared" si="587"/>
        <v>0.42608695652173911</v>
      </c>
      <c r="AD309" s="442">
        <f t="shared" si="587"/>
        <v>0.58695652173913049</v>
      </c>
      <c r="AE309" s="623">
        <f t="shared" si="587"/>
        <v>9.6899224806201556E-2</v>
      </c>
      <c r="AF309" s="442">
        <f t="shared" si="587"/>
        <v>0.30434782608695654</v>
      </c>
      <c r="AG309" s="442">
        <f t="shared" si="587"/>
        <v>0.42045454545454547</v>
      </c>
      <c r="AH309" s="442">
        <f t="shared" si="587"/>
        <v>0.56818181818181823</v>
      </c>
      <c r="AI309" s="442">
        <f t="shared" si="587"/>
        <v>-9.375E-2</v>
      </c>
      <c r="AJ309" s="623">
        <f t="shared" si="587"/>
        <v>0.23036649214659685</v>
      </c>
      <c r="AK309" s="442">
        <f t="shared" si="587"/>
        <v>4.8571428571428568</v>
      </c>
      <c r="AL309" s="442">
        <f t="shared" si="587"/>
        <v>0.12871287128712872</v>
      </c>
      <c r="AM309" s="442">
        <f t="shared" si="587"/>
        <v>-0.20512820512820512</v>
      </c>
      <c r="AN309" s="442">
        <f t="shared" si="587"/>
        <v>-4.8498845265588918E-2</v>
      </c>
      <c r="AO309" s="623">
        <f t="shared" si="587"/>
        <v>-0.10413223140495868</v>
      </c>
      <c r="AP309" s="442">
        <f t="shared" si="587"/>
        <v>-2.1917808219178082E-2</v>
      </c>
      <c r="AQ309" s="183">
        <f t="shared" si="587"/>
        <v>29.5</v>
      </c>
      <c r="AR309" s="183">
        <f t="shared" si="587"/>
        <v>0.11161731207289294</v>
      </c>
      <c r="AS309" s="442">
        <f>IFERROR((AS299-AN299)/(AS297-AN297),"N/A")</f>
        <v>0.87068965517241381</v>
      </c>
      <c r="AT309" s="623">
        <f>IFERROR((AT299-AO299)/(AT297-AO297),"N/A")</f>
        <v>-3.2822757111597371E-2</v>
      </c>
      <c r="AU309" s="777">
        <f t="shared" si="587"/>
        <v>0.36551724137931035</v>
      </c>
      <c r="AV309" s="600"/>
      <c r="AW309" s="600"/>
      <c r="AX309" s="600"/>
      <c r="AY309" s="601"/>
      <c r="AZ309" s="600">
        <f>IFERROR((AZ299-AU299)/(AZ297-AU297),"N/A")</f>
        <v>0.6464234875444852</v>
      </c>
      <c r="BA309" s="600">
        <f>IFERROR((BA299-AV299)/(BA297-AV297),"N/A")</f>
        <v>1.2700000000000005</v>
      </c>
      <c r="BB309" s="600">
        <f>IFERROR((BB299-AW299)/(BB297-AW297),"N/A")</f>
        <v>0.32700000000000012</v>
      </c>
      <c r="BC309" s="600">
        <f>IFERROR((BC299-AX299)/(BC297-AX297),"N/A")</f>
        <v>0.43099999999999988</v>
      </c>
      <c r="BD309" s="601">
        <f>IFERROR((BD299-AY299)/(BD297-AY297),"N/A")</f>
        <v>0.64187396757592008</v>
      </c>
      <c r="BE309" s="601">
        <f>IFERROR((BE299-BD299)/(BE297-BD297),"N/A")</f>
        <v>0.45239884232171873</v>
      </c>
      <c r="BF309" s="601">
        <f>IFERROR((BF299-BE299)/(BF297-BE297),"N/A")</f>
        <v>0.46239884232171902</v>
      </c>
      <c r="BG309" s="601">
        <f>IFERROR((BG299-BF299)/(BG297-BF297),"N/A")</f>
        <v>0.47239884232171858</v>
      </c>
      <c r="BH309" s="599"/>
    </row>
    <row r="310" spans="1:60" s="69" customFormat="1" hidden="1" outlineLevel="1" x14ac:dyDescent="0.35">
      <c r="A310" s="426"/>
      <c r="B310" s="518"/>
      <c r="C310" s="519"/>
      <c r="D310" s="519"/>
      <c r="E310" s="519"/>
      <c r="F310" s="519"/>
      <c r="G310" s="520"/>
      <c r="H310" s="520"/>
      <c r="I310" s="520"/>
      <c r="J310" s="520"/>
      <c r="K310" s="519"/>
      <c r="L310" s="520"/>
      <c r="M310" s="520"/>
      <c r="N310" s="520"/>
      <c r="O310" s="520"/>
      <c r="P310" s="519"/>
      <c r="Q310" s="520"/>
      <c r="R310" s="520"/>
      <c r="S310" s="520"/>
      <c r="T310" s="520"/>
      <c r="U310" s="519"/>
      <c r="V310" s="520"/>
      <c r="W310" s="520"/>
      <c r="X310" s="520"/>
      <c r="Y310" s="520"/>
      <c r="Z310" s="519"/>
      <c r="AA310" s="520"/>
      <c r="AB310" s="520"/>
      <c r="AC310" s="520"/>
      <c r="AD310" s="520"/>
      <c r="AE310" s="519"/>
      <c r="AF310" s="520"/>
      <c r="AG310" s="520"/>
      <c r="AH310" s="520"/>
      <c r="AI310" s="520"/>
      <c r="AJ310" s="519"/>
      <c r="AK310" s="520"/>
      <c r="AL310" s="520"/>
      <c r="AM310" s="520"/>
      <c r="AN310" s="520"/>
      <c r="AO310" s="519"/>
      <c r="AP310" s="520"/>
      <c r="AQ310" s="520"/>
      <c r="AR310" s="520"/>
      <c r="AS310" s="520"/>
      <c r="AT310" s="519"/>
      <c r="AU310" s="766"/>
      <c r="AV310" s="520"/>
      <c r="AW310" s="520"/>
      <c r="AX310" s="520"/>
      <c r="AY310" s="519"/>
      <c r="AZ310" s="520"/>
      <c r="BA310" s="520"/>
      <c r="BB310" s="520"/>
      <c r="BC310" s="520"/>
      <c r="BD310" s="519"/>
      <c r="BE310" s="519"/>
      <c r="BF310" s="519"/>
      <c r="BG310" s="519"/>
      <c r="BH310" s="79"/>
    </row>
    <row r="311" spans="1:60" s="262" customFormat="1" hidden="1" outlineLevel="2" x14ac:dyDescent="0.35">
      <c r="A311" s="513" t="s">
        <v>859</v>
      </c>
      <c r="B311" s="312"/>
      <c r="C311" s="105"/>
      <c r="D311" s="105"/>
      <c r="E311" s="105"/>
      <c r="F311" s="105"/>
      <c r="G311" s="200"/>
      <c r="H311" s="200"/>
      <c r="I311" s="200"/>
      <c r="J311" s="200"/>
      <c r="K311" s="105"/>
      <c r="L311" s="200"/>
      <c r="M311" s="200"/>
      <c r="N311" s="200"/>
      <c r="O311" s="200"/>
      <c r="P311" s="105"/>
      <c r="Q311" s="200"/>
      <c r="R311" s="200"/>
      <c r="S311" s="200"/>
      <c r="T311" s="200"/>
      <c r="U311" s="105"/>
      <c r="V311" s="200"/>
      <c r="W311" s="200"/>
      <c r="X311" s="200"/>
      <c r="Y311" s="200"/>
      <c r="Z311" s="47">
        <f t="shared" ref="Z311:Z316" si="588">Z291/Z$297</f>
        <v>0.46197271444252785</v>
      </c>
      <c r="AA311" s="200"/>
      <c r="AB311" s="200"/>
      <c r="AC311" s="200"/>
      <c r="AD311" s="200"/>
      <c r="AE311" s="47">
        <f t="shared" ref="AE311:AJ311" si="589">AE291/AE$297</f>
        <v>0.45772418990203467</v>
      </c>
      <c r="AF311" s="78">
        <f t="shared" si="589"/>
        <v>0.42865329512893985</v>
      </c>
      <c r="AG311" s="78">
        <f t="shared" si="589"/>
        <v>0.43930635838150289</v>
      </c>
      <c r="AH311" s="78">
        <f t="shared" si="589"/>
        <v>0.45039561777236764</v>
      </c>
      <c r="AI311" s="78">
        <f t="shared" si="589"/>
        <v>0.46311475409836067</v>
      </c>
      <c r="AJ311" s="47">
        <f t="shared" si="589"/>
        <v>0.44520949311456198</v>
      </c>
      <c r="AK311" s="200"/>
      <c r="AL311" s="200"/>
      <c r="AM311" s="200"/>
      <c r="AN311" s="200"/>
      <c r="AO311" s="105"/>
      <c r="AP311" s="200"/>
      <c r="AQ311" s="200"/>
      <c r="AR311" s="200"/>
      <c r="AS311" s="200"/>
      <c r="AT311" s="105"/>
      <c r="AU311" s="761"/>
      <c r="AV311" s="200"/>
      <c r="AW311" s="200"/>
      <c r="AX311" s="200"/>
      <c r="AY311" s="105"/>
      <c r="AZ311" s="200"/>
      <c r="BA311" s="200"/>
      <c r="BB311" s="200"/>
      <c r="BC311" s="200"/>
      <c r="BD311" s="105"/>
      <c r="BE311" s="105"/>
      <c r="BF311" s="105"/>
      <c r="BG311" s="105"/>
      <c r="BH311" s="363"/>
    </row>
    <row r="312" spans="1:60" s="262" customFormat="1" hidden="1" outlineLevel="2" x14ac:dyDescent="0.35">
      <c r="A312" s="605" t="s">
        <v>853</v>
      </c>
      <c r="B312" s="465"/>
      <c r="C312" s="479"/>
      <c r="D312" s="479"/>
      <c r="E312" s="479"/>
      <c r="F312" s="479"/>
      <c r="G312" s="457"/>
      <c r="H312" s="457"/>
      <c r="I312" s="457"/>
      <c r="J312" s="457"/>
      <c r="K312" s="479"/>
      <c r="L312" s="457"/>
      <c r="M312" s="457"/>
      <c r="N312" s="457"/>
      <c r="O312" s="457"/>
      <c r="P312" s="479"/>
      <c r="Q312" s="457"/>
      <c r="R312" s="457"/>
      <c r="S312" s="457"/>
      <c r="T312" s="457"/>
      <c r="U312" s="479"/>
      <c r="V312" s="457"/>
      <c r="W312" s="457"/>
      <c r="X312" s="457"/>
      <c r="Y312" s="457"/>
      <c r="Z312" s="603">
        <f t="shared" si="588"/>
        <v>8.4992943390308925E-2</v>
      </c>
      <c r="AA312" s="457"/>
      <c r="AB312" s="457"/>
      <c r="AC312" s="457"/>
      <c r="AD312" s="457"/>
      <c r="AE312" s="603">
        <f t="shared" ref="AE312:AJ312" si="590">AE292/AE$297</f>
        <v>8.8470233609645815E-2</v>
      </c>
      <c r="AF312" s="604">
        <f t="shared" si="590"/>
        <v>8.7679083094555868E-2</v>
      </c>
      <c r="AG312" s="604">
        <f t="shared" si="590"/>
        <v>8.9017341040462425E-2</v>
      </c>
      <c r="AH312" s="604">
        <f t="shared" si="590"/>
        <v>8.8861838101034693E-2</v>
      </c>
      <c r="AI312" s="604">
        <f t="shared" si="590"/>
        <v>8.3723653395784539E-2</v>
      </c>
      <c r="AJ312" s="603">
        <f t="shared" si="590"/>
        <v>8.7313214181072366E-2</v>
      </c>
      <c r="AK312" s="457"/>
      <c r="AL312" s="457"/>
      <c r="AM312" s="457"/>
      <c r="AN312" s="457"/>
      <c r="AO312" s="479"/>
      <c r="AP312" s="457"/>
      <c r="AQ312" s="457"/>
      <c r="AR312" s="457"/>
      <c r="AS312" s="457"/>
      <c r="AT312" s="479"/>
      <c r="AU312" s="779"/>
      <c r="AV312" s="457"/>
      <c r="AW312" s="457"/>
      <c r="AX312" s="457"/>
      <c r="AY312" s="479"/>
      <c r="AZ312" s="457"/>
      <c r="BA312" s="457"/>
      <c r="BB312" s="457"/>
      <c r="BC312" s="457"/>
      <c r="BD312" s="479"/>
      <c r="BE312" s="479"/>
      <c r="BF312" s="479"/>
      <c r="BG312" s="479"/>
      <c r="BH312" s="363"/>
    </row>
    <row r="313" spans="1:60" s="262" customFormat="1" hidden="1" outlineLevel="1" x14ac:dyDescent="0.35">
      <c r="A313" s="154" t="s">
        <v>854</v>
      </c>
      <c r="B313" s="312"/>
      <c r="C313" s="105"/>
      <c r="D313" s="105"/>
      <c r="E313" s="105"/>
      <c r="F313" s="105"/>
      <c r="G313" s="200"/>
      <c r="H313" s="200"/>
      <c r="I313" s="200"/>
      <c r="J313" s="200"/>
      <c r="K313" s="105"/>
      <c r="L313" s="200"/>
      <c r="M313" s="200"/>
      <c r="N313" s="200"/>
      <c r="O313" s="200"/>
      <c r="P313" s="105"/>
      <c r="Q313" s="200"/>
      <c r="R313" s="200"/>
      <c r="S313" s="200"/>
      <c r="T313" s="200"/>
      <c r="U313" s="105"/>
      <c r="V313" s="200"/>
      <c r="W313" s="200"/>
      <c r="X313" s="200"/>
      <c r="Y313" s="200"/>
      <c r="Z313" s="47">
        <f t="shared" si="588"/>
        <v>0.54696565783283679</v>
      </c>
      <c r="AA313" s="200"/>
      <c r="AB313" s="200"/>
      <c r="AC313" s="200"/>
      <c r="AD313" s="200"/>
      <c r="AE313" s="47">
        <f t="shared" ref="AE313:AO313" si="591">AE293/AE$297</f>
        <v>0.54619442351168046</v>
      </c>
      <c r="AF313" s="78">
        <f t="shared" si="591"/>
        <v>0.51633237822349565</v>
      </c>
      <c r="AG313" s="78">
        <f t="shared" si="591"/>
        <v>0.52832369942196533</v>
      </c>
      <c r="AH313" s="78">
        <f t="shared" si="591"/>
        <v>0.53925745587340235</v>
      </c>
      <c r="AI313" s="78">
        <f t="shared" si="591"/>
        <v>0.54683840749414525</v>
      </c>
      <c r="AJ313" s="47">
        <f t="shared" si="591"/>
        <v>0.53252270729563433</v>
      </c>
      <c r="AK313" s="78">
        <f t="shared" si="591"/>
        <v>0.53049482163406214</v>
      </c>
      <c r="AL313" s="78">
        <f t="shared" si="591"/>
        <v>0.55761878754778804</v>
      </c>
      <c r="AM313" s="78">
        <f t="shared" si="591"/>
        <v>0.56536897152818133</v>
      </c>
      <c r="AN313" s="78">
        <f t="shared" si="591"/>
        <v>0.59971975712283976</v>
      </c>
      <c r="AO313" s="47">
        <f t="shared" si="591"/>
        <v>0.56519983851433186</v>
      </c>
      <c r="AP313" s="78">
        <f t="shared" ref="AP313:AT316" si="592">AP293/AP$297</f>
        <v>0.60912981455064197</v>
      </c>
      <c r="AQ313" s="78">
        <f t="shared" si="592"/>
        <v>0.58849315068493147</v>
      </c>
      <c r="AR313" s="78">
        <f t="shared" si="592"/>
        <v>0.61805555555555558</v>
      </c>
      <c r="AS313" s="78">
        <f t="shared" si="592"/>
        <v>0.60788657509968991</v>
      </c>
      <c r="AT313" s="47">
        <f t="shared" si="592"/>
        <v>0.60659077291791497</v>
      </c>
      <c r="AU313" s="761">
        <f t="shared" ref="AU313" si="593">AU293/AU$297</f>
        <v>0.58318505338078297</v>
      </c>
      <c r="AV313" s="200"/>
      <c r="AW313" s="200"/>
      <c r="AX313" s="200"/>
      <c r="AY313" s="105"/>
      <c r="AZ313" s="200"/>
      <c r="BA313" s="200"/>
      <c r="BB313" s="200"/>
      <c r="BC313" s="200"/>
      <c r="BD313" s="105"/>
      <c r="BE313" s="105"/>
      <c r="BF313" s="105"/>
      <c r="BG313" s="105"/>
      <c r="BH313" s="363"/>
    </row>
    <row r="314" spans="1:60" s="262" customFormat="1" hidden="1" outlineLevel="1" x14ac:dyDescent="0.35">
      <c r="A314" s="154" t="s">
        <v>855</v>
      </c>
      <c r="B314" s="312"/>
      <c r="C314" s="105"/>
      <c r="D314" s="105"/>
      <c r="E314" s="105"/>
      <c r="F314" s="105"/>
      <c r="G314" s="200"/>
      <c r="H314" s="200"/>
      <c r="I314" s="200"/>
      <c r="J314" s="200"/>
      <c r="K314" s="105"/>
      <c r="L314" s="200"/>
      <c r="M314" s="200"/>
      <c r="N314" s="200"/>
      <c r="O314" s="200"/>
      <c r="P314" s="105"/>
      <c r="Q314" s="200"/>
      <c r="R314" s="200"/>
      <c r="S314" s="200"/>
      <c r="T314" s="200"/>
      <c r="U314" s="105"/>
      <c r="V314" s="200"/>
      <c r="W314" s="200"/>
      <c r="X314" s="200"/>
      <c r="Y314" s="200"/>
      <c r="Z314" s="47">
        <f t="shared" si="588"/>
        <v>0.19617374941194921</v>
      </c>
      <c r="AA314" s="200"/>
      <c r="AB314" s="200"/>
      <c r="AC314" s="200"/>
      <c r="AD314" s="200"/>
      <c r="AE314" s="47">
        <f t="shared" ref="AE314:AO314" si="594">AE294/AE$297</f>
        <v>0.20286360211002261</v>
      </c>
      <c r="AF314" s="78">
        <f t="shared" si="594"/>
        <v>0.22063037249283668</v>
      </c>
      <c r="AG314" s="78">
        <f t="shared" si="594"/>
        <v>0.21502890173410405</v>
      </c>
      <c r="AH314" s="78">
        <f t="shared" si="594"/>
        <v>0.21728545343883141</v>
      </c>
      <c r="AI314" s="78">
        <f t="shared" si="594"/>
        <v>0.20140515222482436</v>
      </c>
      <c r="AJ314" s="47">
        <f t="shared" si="594"/>
        <v>0.21359507764430119</v>
      </c>
      <c r="AK314" s="78">
        <f t="shared" si="594"/>
        <v>0.21749136939010358</v>
      </c>
      <c r="AL314" s="78">
        <f t="shared" si="594"/>
        <v>0.20917531403604589</v>
      </c>
      <c r="AM314" s="78">
        <f t="shared" si="594"/>
        <v>0.20918070889018012</v>
      </c>
      <c r="AN314" s="78">
        <f t="shared" si="594"/>
        <v>0.17234936945352639</v>
      </c>
      <c r="AO314" s="47">
        <f t="shared" si="594"/>
        <v>0.20051137128246535</v>
      </c>
      <c r="AP314" s="78">
        <f t="shared" si="592"/>
        <v>0.16928197812648596</v>
      </c>
      <c r="AQ314" s="78">
        <f t="shared" si="592"/>
        <v>0.19616438356164384</v>
      </c>
      <c r="AR314" s="78">
        <f t="shared" si="592"/>
        <v>0.17453703703703705</v>
      </c>
      <c r="AS314" s="78">
        <f t="shared" si="592"/>
        <v>0.17146654851572884</v>
      </c>
      <c r="AT314" s="47">
        <f t="shared" si="592"/>
        <v>0.17711204313960455</v>
      </c>
      <c r="AU314" s="761">
        <f t="shared" ref="AU314" si="595">AU294/AU$297</f>
        <v>0.18149466192170818</v>
      </c>
      <c r="AV314" s="200"/>
      <c r="AW314" s="200"/>
      <c r="AX314" s="200"/>
      <c r="AY314" s="105"/>
      <c r="AZ314" s="200"/>
      <c r="BA314" s="200"/>
      <c r="BB314" s="200"/>
      <c r="BC314" s="200"/>
      <c r="BD314" s="105"/>
      <c r="BE314" s="105"/>
      <c r="BF314" s="105"/>
      <c r="BG314" s="105"/>
      <c r="BH314" s="363"/>
    </row>
    <row r="315" spans="1:60" s="262" customFormat="1" hidden="1" outlineLevel="1" x14ac:dyDescent="0.35">
      <c r="A315" s="154" t="s">
        <v>856</v>
      </c>
      <c r="B315" s="312"/>
      <c r="C315" s="105"/>
      <c r="D315" s="105"/>
      <c r="E315" s="105"/>
      <c r="F315" s="105"/>
      <c r="G315" s="200"/>
      <c r="H315" s="200"/>
      <c r="I315" s="200"/>
      <c r="J315" s="200"/>
      <c r="K315" s="105"/>
      <c r="L315" s="200"/>
      <c r="M315" s="200"/>
      <c r="N315" s="200"/>
      <c r="O315" s="200"/>
      <c r="P315" s="105"/>
      <c r="Q315" s="200"/>
      <c r="R315" s="200"/>
      <c r="S315" s="200"/>
      <c r="T315" s="200"/>
      <c r="U315" s="105"/>
      <c r="V315" s="200"/>
      <c r="W315" s="200"/>
      <c r="X315" s="200"/>
      <c r="Y315" s="200"/>
      <c r="Z315" s="47">
        <f t="shared" si="588"/>
        <v>0.25670377920652343</v>
      </c>
      <c r="AA315" s="200"/>
      <c r="AB315" s="200"/>
      <c r="AC315" s="200"/>
      <c r="AD315" s="200"/>
      <c r="AE315" s="47">
        <f t="shared" ref="AE315:AO315" si="596">AE295/AE$297</f>
        <v>0.25124340617935192</v>
      </c>
      <c r="AF315" s="78">
        <f t="shared" si="596"/>
        <v>0.26303724928366762</v>
      </c>
      <c r="AG315" s="78">
        <f t="shared" si="596"/>
        <v>0.25722543352601157</v>
      </c>
      <c r="AH315" s="78">
        <f t="shared" si="596"/>
        <v>0.24284844796104688</v>
      </c>
      <c r="AI315" s="78">
        <f t="shared" si="596"/>
        <v>0.25175644028103045</v>
      </c>
      <c r="AJ315" s="47">
        <f t="shared" si="596"/>
        <v>0.25388221506006448</v>
      </c>
      <c r="AK315" s="78">
        <f t="shared" si="596"/>
        <v>0.25201380897583431</v>
      </c>
      <c r="AL315" s="78">
        <f t="shared" si="596"/>
        <v>0.23320589841616604</v>
      </c>
      <c r="AM315" s="78">
        <f t="shared" si="596"/>
        <v>0.22545031958163858</v>
      </c>
      <c r="AN315" s="78">
        <f t="shared" si="596"/>
        <v>0.22886501634750117</v>
      </c>
      <c r="AO315" s="47">
        <f t="shared" si="596"/>
        <v>0.23455793298344771</v>
      </c>
      <c r="AP315" s="78">
        <f t="shared" si="592"/>
        <v>0.22206371849738468</v>
      </c>
      <c r="AQ315" s="78">
        <f t="shared" si="592"/>
        <v>0.21479452054794521</v>
      </c>
      <c r="AR315" s="78">
        <f t="shared" si="592"/>
        <v>0.2074074074074074</v>
      </c>
      <c r="AS315" s="78">
        <f t="shared" si="592"/>
        <v>0.22241914045192734</v>
      </c>
      <c r="AT315" s="47">
        <f t="shared" si="592"/>
        <v>0.21677651288196526</v>
      </c>
      <c r="AU315" s="761">
        <f t="shared" ref="AU315" si="597">AU295/AU$297</f>
        <v>0.2353202846975089</v>
      </c>
      <c r="AV315" s="200"/>
      <c r="AW315" s="200"/>
      <c r="AX315" s="200"/>
      <c r="AY315" s="105"/>
      <c r="AZ315" s="200"/>
      <c r="BA315" s="200"/>
      <c r="BB315" s="200"/>
      <c r="BC315" s="200"/>
      <c r="BD315" s="105"/>
      <c r="BE315" s="105"/>
      <c r="BF315" s="105"/>
      <c r="BG315" s="105"/>
      <c r="BH315" s="363"/>
    </row>
    <row r="316" spans="1:60" s="262" customFormat="1" hidden="1" outlineLevel="1" x14ac:dyDescent="0.35">
      <c r="A316" s="589" t="s">
        <v>857</v>
      </c>
      <c r="B316" s="465"/>
      <c r="C316" s="479"/>
      <c r="D316" s="479"/>
      <c r="E316" s="479"/>
      <c r="F316" s="479"/>
      <c r="G316" s="457"/>
      <c r="H316" s="457"/>
      <c r="I316" s="457"/>
      <c r="J316" s="457"/>
      <c r="K316" s="479"/>
      <c r="L316" s="457"/>
      <c r="M316" s="457"/>
      <c r="N316" s="457"/>
      <c r="O316" s="457"/>
      <c r="P316" s="479"/>
      <c r="Q316" s="457"/>
      <c r="R316" s="457"/>
      <c r="S316" s="457"/>
      <c r="T316" s="457"/>
      <c r="U316" s="479"/>
      <c r="V316" s="457"/>
      <c r="W316" s="457"/>
      <c r="X316" s="457"/>
      <c r="Y316" s="457"/>
      <c r="Z316" s="603">
        <f t="shared" si="588"/>
        <v>1.5681354869060687E-4</v>
      </c>
      <c r="AA316" s="457"/>
      <c r="AB316" s="457"/>
      <c r="AC316" s="457"/>
      <c r="AD316" s="457"/>
      <c r="AE316" s="603">
        <f t="shared" ref="AE316:AO316" si="598">AE296/AE$297</f>
        <v>-3.0143180105501129E-4</v>
      </c>
      <c r="AF316" s="604">
        <f t="shared" si="598"/>
        <v>0</v>
      </c>
      <c r="AG316" s="604">
        <f t="shared" si="598"/>
        <v>-5.7803468208092489E-4</v>
      </c>
      <c r="AH316" s="604">
        <f t="shared" si="598"/>
        <v>6.0864272671941571E-4</v>
      </c>
      <c r="AI316" s="604">
        <f t="shared" si="598"/>
        <v>0</v>
      </c>
      <c r="AJ316" s="603">
        <f t="shared" si="598"/>
        <v>0</v>
      </c>
      <c r="AK316" s="604">
        <f t="shared" si="598"/>
        <v>0</v>
      </c>
      <c r="AL316" s="604">
        <f t="shared" si="598"/>
        <v>0</v>
      </c>
      <c r="AM316" s="604">
        <f t="shared" si="598"/>
        <v>0</v>
      </c>
      <c r="AN316" s="604">
        <f t="shared" si="598"/>
        <v>-9.3414292386735165E-4</v>
      </c>
      <c r="AO316" s="603">
        <f t="shared" si="598"/>
        <v>-2.6914278024491994E-4</v>
      </c>
      <c r="AP316" s="604">
        <f t="shared" si="592"/>
        <v>-4.7551117451260106E-4</v>
      </c>
      <c r="AQ316" s="604">
        <f t="shared" si="592"/>
        <v>5.4794520547945202E-4</v>
      </c>
      <c r="AR316" s="604">
        <f t="shared" si="592"/>
        <v>0</v>
      </c>
      <c r="AS316" s="604">
        <f t="shared" si="592"/>
        <v>-1.7722640673460345E-3</v>
      </c>
      <c r="AT316" s="603">
        <f t="shared" si="592"/>
        <v>-4.7932893948472141E-4</v>
      </c>
      <c r="AU316" s="779">
        <f t="shared" ref="AU316" si="599">AU296/AU$297</f>
        <v>0</v>
      </c>
      <c r="AV316" s="457"/>
      <c r="AW316" s="457"/>
      <c r="AX316" s="457"/>
      <c r="AY316" s="479"/>
      <c r="AZ316" s="457"/>
      <c r="BA316" s="457"/>
      <c r="BB316" s="457"/>
      <c r="BC316" s="457"/>
      <c r="BD316" s="479"/>
      <c r="BE316" s="479"/>
      <c r="BF316" s="479"/>
      <c r="BG316" s="479"/>
      <c r="BH316" s="363"/>
    </row>
    <row r="317" spans="1:60" s="225" customFormat="1" hidden="1" outlineLevel="1" x14ac:dyDescent="0.35">
      <c r="A317" s="227" t="s">
        <v>858</v>
      </c>
      <c r="B317" s="176"/>
      <c r="C317" s="113"/>
      <c r="D317" s="113"/>
      <c r="E317" s="113"/>
      <c r="F317" s="113"/>
      <c r="G317" s="177"/>
      <c r="H317" s="177"/>
      <c r="I317" s="177"/>
      <c r="J317" s="177"/>
      <c r="K317" s="113"/>
      <c r="L317" s="177"/>
      <c r="M317" s="177"/>
      <c r="N317" s="177"/>
      <c r="O317" s="177"/>
      <c r="P317" s="113"/>
      <c r="Q317" s="177"/>
      <c r="R317" s="177"/>
      <c r="S317" s="177"/>
      <c r="T317" s="177"/>
      <c r="U317" s="113"/>
      <c r="V317" s="177"/>
      <c r="W317" s="177"/>
      <c r="X317" s="177"/>
      <c r="Y317" s="177"/>
      <c r="Z317" s="223">
        <f>SUM(Z313:Z316)</f>
        <v>1</v>
      </c>
      <c r="AA317" s="177"/>
      <c r="AB317" s="177"/>
      <c r="AC317" s="177"/>
      <c r="AD317" s="177"/>
      <c r="AE317" s="223">
        <f t="shared" ref="AE317:AR317" si="600">SUM(AE313:AE316)</f>
        <v>1</v>
      </c>
      <c r="AF317" s="226">
        <f t="shared" si="600"/>
        <v>1</v>
      </c>
      <c r="AG317" s="226">
        <f t="shared" si="600"/>
        <v>1</v>
      </c>
      <c r="AH317" s="226">
        <f t="shared" si="600"/>
        <v>1</v>
      </c>
      <c r="AI317" s="226">
        <f t="shared" si="600"/>
        <v>1</v>
      </c>
      <c r="AJ317" s="223">
        <f t="shared" si="600"/>
        <v>1</v>
      </c>
      <c r="AK317" s="226">
        <f t="shared" si="600"/>
        <v>1</v>
      </c>
      <c r="AL317" s="226">
        <f t="shared" si="600"/>
        <v>1</v>
      </c>
      <c r="AM317" s="226">
        <f t="shared" si="600"/>
        <v>1</v>
      </c>
      <c r="AN317" s="226">
        <f t="shared" si="600"/>
        <v>1</v>
      </c>
      <c r="AO317" s="223">
        <f t="shared" si="600"/>
        <v>0.99999999999999989</v>
      </c>
      <c r="AP317" s="226">
        <f t="shared" si="600"/>
        <v>0.99999999999999989</v>
      </c>
      <c r="AQ317" s="226">
        <f t="shared" si="600"/>
        <v>1</v>
      </c>
      <c r="AR317" s="226">
        <f t="shared" si="600"/>
        <v>1</v>
      </c>
      <c r="AS317" s="226">
        <f t="shared" ref="AS317:AT317" si="601">SUM(AS313:AS316)</f>
        <v>1</v>
      </c>
      <c r="AT317" s="223">
        <f t="shared" si="601"/>
        <v>0.99999999999999989</v>
      </c>
      <c r="AU317" s="780">
        <f t="shared" ref="AU317" si="602">SUM(AU313:AU316)</f>
        <v>1</v>
      </c>
      <c r="AV317" s="177"/>
      <c r="AW317" s="177"/>
      <c r="AX317" s="177"/>
      <c r="AY317" s="113"/>
      <c r="AZ317" s="177"/>
      <c r="BA317" s="177"/>
      <c r="BB317" s="177"/>
      <c r="BC317" s="177"/>
      <c r="BD317" s="113"/>
      <c r="BE317" s="113"/>
      <c r="BF317" s="113"/>
      <c r="BG317" s="113"/>
      <c r="BH317" s="94"/>
    </row>
    <row r="318" spans="1:60" s="69" customFormat="1" hidden="1" outlineLevel="1" x14ac:dyDescent="0.35">
      <c r="A318" s="426"/>
      <c r="B318" s="518"/>
      <c r="C318" s="519"/>
      <c r="D318" s="519"/>
      <c r="E318" s="519"/>
      <c r="F318" s="519"/>
      <c r="G318" s="520"/>
      <c r="H318" s="520"/>
      <c r="I318" s="520"/>
      <c r="J318" s="520"/>
      <c r="K318" s="519"/>
      <c r="L318" s="520"/>
      <c r="M318" s="520"/>
      <c r="N318" s="520"/>
      <c r="O318" s="520"/>
      <c r="P318" s="519"/>
      <c r="Q318" s="520"/>
      <c r="R318" s="520"/>
      <c r="S318" s="520"/>
      <c r="T318" s="520"/>
      <c r="U318" s="519"/>
      <c r="V318" s="520"/>
      <c r="W318" s="520"/>
      <c r="X318" s="520"/>
      <c r="Y318" s="520"/>
      <c r="Z318" s="519"/>
      <c r="AA318" s="520"/>
      <c r="AB318" s="520"/>
      <c r="AC318" s="520"/>
      <c r="AD318" s="520"/>
      <c r="AE318" s="519"/>
      <c r="AF318" s="520"/>
      <c r="AG318" s="520"/>
      <c r="AH318" s="520"/>
      <c r="AI318" s="520"/>
      <c r="AJ318" s="519"/>
      <c r="AK318" s="520"/>
      <c r="AL318" s="520"/>
      <c r="AM318" s="520"/>
      <c r="AN318" s="520"/>
      <c r="AO318" s="519"/>
      <c r="AP318" s="520"/>
      <c r="AQ318" s="520"/>
      <c r="AR318" s="520"/>
      <c r="AS318" s="520"/>
      <c r="AT318" s="519"/>
      <c r="AU318" s="766"/>
      <c r="AV318" s="520"/>
      <c r="AW318" s="520"/>
      <c r="AX318" s="520"/>
      <c r="AY318" s="519"/>
      <c r="AZ318" s="520"/>
      <c r="BA318" s="520"/>
      <c r="BB318" s="520"/>
      <c r="BC318" s="520"/>
      <c r="BD318" s="519"/>
      <c r="BE318" s="519"/>
      <c r="BF318" s="519"/>
      <c r="BG318" s="519"/>
      <c r="BH318" s="79"/>
    </row>
    <row r="319" spans="1:60" s="345" customFormat="1" hidden="1" outlineLevel="1" x14ac:dyDescent="0.35">
      <c r="A319" s="350" t="s">
        <v>502</v>
      </c>
      <c r="B319" s="444"/>
      <c r="C319" s="445"/>
      <c r="D319" s="445"/>
      <c r="E319" s="445"/>
      <c r="F319" s="445"/>
      <c r="G319" s="446"/>
      <c r="H319" s="446"/>
      <c r="I319" s="446"/>
      <c r="J319" s="446"/>
      <c r="K319" s="445"/>
      <c r="L319" s="446"/>
      <c r="M319" s="446"/>
      <c r="N319" s="446"/>
      <c r="O319" s="446"/>
      <c r="P319" s="445"/>
      <c r="Q319" s="446"/>
      <c r="R319" s="446"/>
      <c r="S319" s="446"/>
      <c r="T319" s="446"/>
      <c r="U319" s="445"/>
      <c r="V319" s="446"/>
      <c r="W319" s="446"/>
      <c r="X319" s="446"/>
      <c r="Y319" s="446"/>
      <c r="Z319" s="436">
        <v>451</v>
      </c>
      <c r="AA319" s="446"/>
      <c r="AB319" s="446"/>
      <c r="AC319" s="446"/>
      <c r="AD319" s="446"/>
      <c r="AE319" s="436">
        <v>486</v>
      </c>
      <c r="AF319" s="437">
        <v>119</v>
      </c>
      <c r="AG319" s="437">
        <v>119</v>
      </c>
      <c r="AH319" s="437">
        <v>102</v>
      </c>
      <c r="AI319" s="437">
        <f t="shared" ref="AI319:AI325" si="603">AJ319-SUM(AF319,AG319,AH319)</f>
        <v>104</v>
      </c>
      <c r="AJ319" s="436">
        <v>444</v>
      </c>
      <c r="AK319" s="437">
        <v>92</v>
      </c>
      <c r="AL319" s="437">
        <v>110</v>
      </c>
      <c r="AM319" s="437">
        <v>99</v>
      </c>
      <c r="AN319" s="437">
        <f t="shared" ref="AN319:AN325" si="604">AO319-SUM(AK319,AL319,AM319)</f>
        <v>105</v>
      </c>
      <c r="AO319" s="436">
        <v>406</v>
      </c>
      <c r="AP319" s="437">
        <v>105</v>
      </c>
      <c r="AQ319" s="437">
        <v>41</v>
      </c>
      <c r="AR319" s="437">
        <v>0</v>
      </c>
      <c r="AS319" s="437">
        <v>0</v>
      </c>
      <c r="AT319" s="436">
        <f t="shared" ref="AT319:AT325" si="605">SUM(AP319,AQ319,AR319,AS319)</f>
        <v>146</v>
      </c>
      <c r="AU319" s="763">
        <v>0</v>
      </c>
      <c r="AV319" s="446"/>
      <c r="AW319" s="446"/>
      <c r="AX319" s="446"/>
      <c r="AY319" s="445"/>
      <c r="AZ319" s="446"/>
      <c r="BA319" s="446"/>
      <c r="BB319" s="446"/>
      <c r="BC319" s="446"/>
      <c r="BD319" s="445"/>
      <c r="BE319" s="445"/>
      <c r="BF319" s="445"/>
      <c r="BG319" s="445"/>
      <c r="BH319" s="351"/>
    </row>
    <row r="320" spans="1:60" s="345" customFormat="1" hidden="1" outlineLevel="1" x14ac:dyDescent="0.35">
      <c r="A320" s="350" t="s">
        <v>503</v>
      </c>
      <c r="B320" s="444"/>
      <c r="C320" s="445"/>
      <c r="D320" s="445"/>
      <c r="E320" s="445"/>
      <c r="F320" s="445"/>
      <c r="G320" s="446"/>
      <c r="H320" s="446"/>
      <c r="I320" s="446"/>
      <c r="J320" s="446"/>
      <c r="K320" s="445"/>
      <c r="L320" s="446"/>
      <c r="M320" s="446"/>
      <c r="N320" s="446"/>
      <c r="O320" s="446"/>
      <c r="P320" s="445"/>
      <c r="Q320" s="446"/>
      <c r="R320" s="446"/>
      <c r="S320" s="446"/>
      <c r="T320" s="446"/>
      <c r="U320" s="445"/>
      <c r="V320" s="446"/>
      <c r="W320" s="446"/>
      <c r="X320" s="446"/>
      <c r="Y320" s="446"/>
      <c r="Z320" s="436">
        <v>278</v>
      </c>
      <c r="AA320" s="446"/>
      <c r="AB320" s="446"/>
      <c r="AC320" s="446"/>
      <c r="AD320" s="446"/>
      <c r="AE320" s="436">
        <v>303</v>
      </c>
      <c r="AF320" s="437">
        <v>81</v>
      </c>
      <c r="AG320" s="437">
        <v>83</v>
      </c>
      <c r="AH320" s="437">
        <v>82</v>
      </c>
      <c r="AI320" s="437">
        <f t="shared" si="603"/>
        <v>82</v>
      </c>
      <c r="AJ320" s="436">
        <v>328</v>
      </c>
      <c r="AK320" s="437">
        <v>83</v>
      </c>
      <c r="AL320" s="437">
        <v>85</v>
      </c>
      <c r="AM320" s="437">
        <v>86</v>
      </c>
      <c r="AN320" s="437">
        <f t="shared" si="604"/>
        <v>87</v>
      </c>
      <c r="AO320" s="436">
        <v>341</v>
      </c>
      <c r="AP320" s="437">
        <v>91</v>
      </c>
      <c r="AQ320" s="437">
        <v>79</v>
      </c>
      <c r="AR320" s="437">
        <v>82</v>
      </c>
      <c r="AS320" s="437">
        <v>90</v>
      </c>
      <c r="AT320" s="436">
        <f t="shared" si="605"/>
        <v>342</v>
      </c>
      <c r="AU320" s="763">
        <v>88</v>
      </c>
      <c r="AV320" s="446"/>
      <c r="AW320" s="446"/>
      <c r="AX320" s="446"/>
      <c r="AY320" s="445"/>
      <c r="AZ320" s="446"/>
      <c r="BA320" s="446"/>
      <c r="BB320" s="446"/>
      <c r="BC320" s="446"/>
      <c r="BD320" s="445"/>
      <c r="BE320" s="445"/>
      <c r="BF320" s="445"/>
      <c r="BG320" s="445"/>
      <c r="BH320" s="351"/>
    </row>
    <row r="321" spans="1:60" s="345" customFormat="1" hidden="1" outlineLevel="1" x14ac:dyDescent="0.35">
      <c r="A321" s="350" t="s">
        <v>504</v>
      </c>
      <c r="B321" s="444"/>
      <c r="C321" s="445"/>
      <c r="D321" s="445"/>
      <c r="E321" s="445"/>
      <c r="F321" s="445"/>
      <c r="G321" s="446"/>
      <c r="H321" s="446"/>
      <c r="I321" s="446"/>
      <c r="J321" s="446"/>
      <c r="K321" s="445"/>
      <c r="L321" s="446"/>
      <c r="M321" s="446"/>
      <c r="N321" s="446"/>
      <c r="O321" s="446"/>
      <c r="P321" s="445"/>
      <c r="Q321" s="446"/>
      <c r="R321" s="446"/>
      <c r="S321" s="446"/>
      <c r="T321" s="446"/>
      <c r="U321" s="445"/>
      <c r="V321" s="446"/>
      <c r="W321" s="446"/>
      <c r="X321" s="446"/>
      <c r="Y321" s="446"/>
      <c r="Z321" s="436">
        <v>780</v>
      </c>
      <c r="AA321" s="446"/>
      <c r="AB321" s="446"/>
      <c r="AC321" s="446"/>
      <c r="AD321" s="446"/>
      <c r="AE321" s="436">
        <v>791</v>
      </c>
      <c r="AF321" s="437">
        <v>205</v>
      </c>
      <c r="AG321" s="437">
        <v>205</v>
      </c>
      <c r="AH321" s="437">
        <v>208</v>
      </c>
      <c r="AI321" s="437">
        <f t="shared" si="603"/>
        <v>219</v>
      </c>
      <c r="AJ321" s="436">
        <v>837</v>
      </c>
      <c r="AK321" s="437">
        <v>260</v>
      </c>
      <c r="AL321" s="437">
        <v>297</v>
      </c>
      <c r="AM321" s="437">
        <v>296</v>
      </c>
      <c r="AN321" s="437">
        <f t="shared" si="604"/>
        <v>324</v>
      </c>
      <c r="AO321" s="436">
        <v>1177</v>
      </c>
      <c r="AP321" s="437">
        <v>277</v>
      </c>
      <c r="AQ321" s="437">
        <v>276</v>
      </c>
      <c r="AR321" s="437">
        <v>280</v>
      </c>
      <c r="AS321" s="437">
        <v>307</v>
      </c>
      <c r="AT321" s="436">
        <f t="shared" si="605"/>
        <v>1140</v>
      </c>
      <c r="AU321" s="763">
        <v>289</v>
      </c>
      <c r="AV321" s="446"/>
      <c r="AW321" s="446"/>
      <c r="AX321" s="446"/>
      <c r="AY321" s="445"/>
      <c r="AZ321" s="446"/>
      <c r="BA321" s="446"/>
      <c r="BB321" s="446"/>
      <c r="BC321" s="446"/>
      <c r="BD321" s="445"/>
      <c r="BE321" s="445"/>
      <c r="BF321" s="445"/>
      <c r="BG321" s="445"/>
      <c r="BH321" s="351"/>
    </row>
    <row r="322" spans="1:60" s="345" customFormat="1" hidden="1" outlineLevel="1" x14ac:dyDescent="0.35">
      <c r="A322" s="350" t="s">
        <v>505</v>
      </c>
      <c r="B322" s="444"/>
      <c r="C322" s="445"/>
      <c r="D322" s="445"/>
      <c r="E322" s="445"/>
      <c r="F322" s="445"/>
      <c r="G322" s="446"/>
      <c r="H322" s="446"/>
      <c r="I322" s="446"/>
      <c r="J322" s="446"/>
      <c r="K322" s="445"/>
      <c r="L322" s="446"/>
      <c r="M322" s="446"/>
      <c r="N322" s="446"/>
      <c r="O322" s="446"/>
      <c r="P322" s="445"/>
      <c r="Q322" s="446"/>
      <c r="R322" s="446"/>
      <c r="S322" s="446"/>
      <c r="T322" s="446"/>
      <c r="U322" s="445"/>
      <c r="V322" s="446"/>
      <c r="W322" s="446"/>
      <c r="X322" s="446"/>
      <c r="Y322" s="446"/>
      <c r="Z322" s="436">
        <v>2813</v>
      </c>
      <c r="AA322" s="446"/>
      <c r="AB322" s="446"/>
      <c r="AC322" s="446"/>
      <c r="AD322" s="446"/>
      <c r="AE322" s="436">
        <v>2934</v>
      </c>
      <c r="AF322" s="437">
        <v>773</v>
      </c>
      <c r="AG322" s="437">
        <v>768</v>
      </c>
      <c r="AH322" s="437">
        <v>732</v>
      </c>
      <c r="AI322" s="437">
        <f t="shared" si="603"/>
        <v>763</v>
      </c>
      <c r="AJ322" s="436">
        <v>3036</v>
      </c>
      <c r="AK322" s="437">
        <v>764</v>
      </c>
      <c r="AL322" s="437">
        <v>793</v>
      </c>
      <c r="AM322" s="437">
        <v>737</v>
      </c>
      <c r="AN322" s="437">
        <f t="shared" si="604"/>
        <v>1112</v>
      </c>
      <c r="AO322" s="436">
        <v>3406</v>
      </c>
      <c r="AP322" s="437">
        <v>1153</v>
      </c>
      <c r="AQ322" s="437">
        <v>1068</v>
      </c>
      <c r="AR322" s="437">
        <v>1251</v>
      </c>
      <c r="AS322" s="437">
        <v>1315</v>
      </c>
      <c r="AT322" s="436">
        <f t="shared" si="605"/>
        <v>4787</v>
      </c>
      <c r="AU322" s="763">
        <v>1267</v>
      </c>
      <c r="AV322" s="446"/>
      <c r="AW322" s="446"/>
      <c r="AX322" s="446"/>
      <c r="AY322" s="445"/>
      <c r="AZ322" s="446"/>
      <c r="BA322" s="446"/>
      <c r="BB322" s="446"/>
      <c r="BC322" s="446"/>
      <c r="BD322" s="445"/>
      <c r="BE322" s="445"/>
      <c r="BF322" s="445"/>
      <c r="BG322" s="445"/>
      <c r="BH322" s="351"/>
    </row>
    <row r="323" spans="1:60" s="345" customFormat="1" hidden="1" outlineLevel="1" x14ac:dyDescent="0.35">
      <c r="A323" s="350" t="s">
        <v>506</v>
      </c>
      <c r="B323" s="444"/>
      <c r="C323" s="445"/>
      <c r="D323" s="445"/>
      <c r="E323" s="445"/>
      <c r="F323" s="445"/>
      <c r="G323" s="446"/>
      <c r="H323" s="446"/>
      <c r="I323" s="446"/>
      <c r="J323" s="446"/>
      <c r="K323" s="445"/>
      <c r="L323" s="446"/>
      <c r="M323" s="446"/>
      <c r="N323" s="446"/>
      <c r="O323" s="446"/>
      <c r="P323" s="445"/>
      <c r="Q323" s="446"/>
      <c r="R323" s="446"/>
      <c r="S323" s="446"/>
      <c r="T323" s="446"/>
      <c r="U323" s="445"/>
      <c r="V323" s="446"/>
      <c r="W323" s="446"/>
      <c r="X323" s="446"/>
      <c r="Y323" s="446"/>
      <c r="Z323" s="436">
        <v>1277</v>
      </c>
      <c r="AA323" s="446"/>
      <c r="AB323" s="446"/>
      <c r="AC323" s="446"/>
      <c r="AD323" s="446"/>
      <c r="AE323" s="436">
        <v>1322</v>
      </c>
      <c r="AF323" s="437">
        <v>354</v>
      </c>
      <c r="AG323" s="437">
        <v>342</v>
      </c>
      <c r="AH323" s="437">
        <v>317</v>
      </c>
      <c r="AI323" s="437">
        <f t="shared" si="603"/>
        <v>340</v>
      </c>
      <c r="AJ323" s="436">
        <v>1353</v>
      </c>
      <c r="AK323" s="437">
        <v>341</v>
      </c>
      <c r="AL323" s="437">
        <v>338</v>
      </c>
      <c r="AM323" s="437">
        <v>312</v>
      </c>
      <c r="AN323" s="437">
        <f t="shared" si="604"/>
        <v>330</v>
      </c>
      <c r="AO323" s="436">
        <v>1321</v>
      </c>
      <c r="AP323" s="437">
        <v>277</v>
      </c>
      <c r="AQ323" s="437">
        <v>144</v>
      </c>
      <c r="AR323" s="437">
        <v>320</v>
      </c>
      <c r="AS323" s="437">
        <v>335</v>
      </c>
      <c r="AT323" s="436">
        <f t="shared" si="605"/>
        <v>1076</v>
      </c>
      <c r="AU323" s="763">
        <v>363</v>
      </c>
      <c r="AV323" s="446"/>
      <c r="AW323" s="446"/>
      <c r="AX323" s="446"/>
      <c r="AY323" s="445"/>
      <c r="AZ323" s="446"/>
      <c r="BA323" s="446"/>
      <c r="BB323" s="446"/>
      <c r="BC323" s="446"/>
      <c r="BD323" s="445"/>
      <c r="BE323" s="445"/>
      <c r="BF323" s="445"/>
      <c r="BG323" s="445"/>
      <c r="BH323" s="351"/>
    </row>
    <row r="324" spans="1:60" s="345" customFormat="1" hidden="1" outlineLevel="1" x14ac:dyDescent="0.35">
      <c r="A324" s="350" t="s">
        <v>507</v>
      </c>
      <c r="B324" s="444"/>
      <c r="C324" s="445"/>
      <c r="D324" s="445"/>
      <c r="E324" s="445"/>
      <c r="F324" s="445"/>
      <c r="G324" s="446"/>
      <c r="H324" s="446"/>
      <c r="I324" s="446"/>
      <c r="J324" s="446"/>
      <c r="K324" s="445"/>
      <c r="L324" s="446"/>
      <c r="M324" s="446"/>
      <c r="N324" s="446"/>
      <c r="O324" s="446"/>
      <c r="P324" s="445"/>
      <c r="Q324" s="446"/>
      <c r="R324" s="446"/>
      <c r="S324" s="446"/>
      <c r="T324" s="446"/>
      <c r="U324" s="445"/>
      <c r="V324" s="446"/>
      <c r="W324" s="446"/>
      <c r="X324" s="446"/>
      <c r="Y324" s="446"/>
      <c r="Z324" s="436">
        <v>783</v>
      </c>
      <c r="AA324" s="446"/>
      <c r="AB324" s="446"/>
      <c r="AC324" s="446"/>
      <c r="AD324" s="446"/>
      <c r="AE324" s="436">
        <v>797</v>
      </c>
      <c r="AF324" s="437">
        <v>214</v>
      </c>
      <c r="AG324" s="437">
        <v>214</v>
      </c>
      <c r="AH324" s="437">
        <v>203</v>
      </c>
      <c r="AI324" s="437">
        <f t="shared" si="603"/>
        <v>191</v>
      </c>
      <c r="AJ324" s="436">
        <v>822</v>
      </c>
      <c r="AK324" s="437">
        <v>203</v>
      </c>
      <c r="AL324" s="437">
        <v>208</v>
      </c>
      <c r="AM324" s="437">
        <v>191</v>
      </c>
      <c r="AN324" s="437">
        <f t="shared" si="604"/>
        <v>188</v>
      </c>
      <c r="AO324" s="436">
        <v>790</v>
      </c>
      <c r="AP324" s="437">
        <v>202</v>
      </c>
      <c r="AQ324" s="437">
        <v>216</v>
      </c>
      <c r="AR324" s="437">
        <v>221</v>
      </c>
      <c r="AS324" s="437">
        <v>214</v>
      </c>
      <c r="AT324" s="436">
        <f t="shared" si="605"/>
        <v>853</v>
      </c>
      <c r="AU324" s="763">
        <v>241</v>
      </c>
      <c r="AV324" s="446"/>
      <c r="AW324" s="446"/>
      <c r="AX324" s="446"/>
      <c r="AY324" s="445"/>
      <c r="AZ324" s="446"/>
      <c r="BA324" s="446"/>
      <c r="BB324" s="446"/>
      <c r="BC324" s="446"/>
      <c r="BD324" s="445"/>
      <c r="BE324" s="445"/>
      <c r="BF324" s="445"/>
      <c r="BG324" s="445"/>
      <c r="BH324" s="351"/>
    </row>
    <row r="325" spans="1:60" s="345" customFormat="1" hidden="1" outlineLevel="1" x14ac:dyDescent="0.35">
      <c r="A325" s="350" t="s">
        <v>484</v>
      </c>
      <c r="B325" s="444"/>
      <c r="C325" s="445"/>
      <c r="D325" s="445"/>
      <c r="E325" s="445"/>
      <c r="F325" s="445"/>
      <c r="G325" s="446"/>
      <c r="H325" s="446"/>
      <c r="I325" s="446"/>
      <c r="J325" s="446"/>
      <c r="K325" s="445"/>
      <c r="L325" s="446"/>
      <c r="M325" s="446"/>
      <c r="N325" s="446"/>
      <c r="O325" s="446"/>
      <c r="P325" s="445"/>
      <c r="Q325" s="446"/>
      <c r="R325" s="446"/>
      <c r="S325" s="446"/>
      <c r="T325" s="446"/>
      <c r="U325" s="445"/>
      <c r="V325" s="446"/>
      <c r="W325" s="446"/>
      <c r="X325" s="446"/>
      <c r="Y325" s="446"/>
      <c r="Z325" s="436">
        <v>-5</v>
      </c>
      <c r="AA325" s="446"/>
      <c r="AB325" s="446"/>
      <c r="AC325" s="446"/>
      <c r="AD325" s="446"/>
      <c r="AE325" s="436">
        <v>2</v>
      </c>
      <c r="AF325" s="437">
        <v>-1</v>
      </c>
      <c r="AG325" s="437">
        <v>-1</v>
      </c>
      <c r="AH325" s="437">
        <v>-1</v>
      </c>
      <c r="AI325" s="437">
        <f t="shared" si="603"/>
        <v>9</v>
      </c>
      <c r="AJ325" s="436">
        <v>6</v>
      </c>
      <c r="AK325" s="437">
        <v>-5</v>
      </c>
      <c r="AL325" s="446"/>
      <c r="AM325" s="446"/>
      <c r="AN325" s="437">
        <f t="shared" si="604"/>
        <v>-5</v>
      </c>
      <c r="AO325" s="436">
        <v>-10</v>
      </c>
      <c r="AP325" s="437">
        <v>-2</v>
      </c>
      <c r="AQ325" s="437">
        <v>1</v>
      </c>
      <c r="AR325" s="437">
        <v>6</v>
      </c>
      <c r="AS325" s="437">
        <v>-4</v>
      </c>
      <c r="AT325" s="436">
        <f t="shared" si="605"/>
        <v>1</v>
      </c>
      <c r="AU325" s="763">
        <v>0</v>
      </c>
      <c r="AV325" s="446"/>
      <c r="AW325" s="446"/>
      <c r="AX325" s="446"/>
      <c r="AY325" s="445"/>
      <c r="AZ325" s="446"/>
      <c r="BA325" s="446"/>
      <c r="BB325" s="446"/>
      <c r="BC325" s="446"/>
      <c r="BD325" s="445"/>
      <c r="BE325" s="445"/>
      <c r="BF325" s="445"/>
      <c r="BG325" s="445"/>
      <c r="BH325" s="351"/>
    </row>
    <row r="326" spans="1:60" s="69" customFormat="1" hidden="1" outlineLevel="1" x14ac:dyDescent="0.35">
      <c r="A326" s="89" t="s">
        <v>20</v>
      </c>
      <c r="B326" s="452"/>
      <c r="C326" s="453"/>
      <c r="D326" s="453"/>
      <c r="E326" s="453"/>
      <c r="F326" s="453"/>
      <c r="G326" s="454"/>
      <c r="H326" s="454"/>
      <c r="I326" s="454"/>
      <c r="J326" s="454"/>
      <c r="K326" s="453"/>
      <c r="L326" s="454"/>
      <c r="M326" s="454"/>
      <c r="N326" s="454"/>
      <c r="O326" s="454"/>
      <c r="P326" s="453"/>
      <c r="Q326" s="454"/>
      <c r="R326" s="454"/>
      <c r="S326" s="454"/>
      <c r="T326" s="454"/>
      <c r="U326" s="453"/>
      <c r="V326" s="454"/>
      <c r="W326" s="454"/>
      <c r="X326" s="454"/>
      <c r="Y326" s="454"/>
      <c r="Z326" s="438">
        <f>SUM(Z319:Z325)</f>
        <v>6377</v>
      </c>
      <c r="AA326" s="454"/>
      <c r="AB326" s="454"/>
      <c r="AC326" s="454"/>
      <c r="AD326" s="454"/>
      <c r="AE326" s="438">
        <f t="shared" ref="AE326:AQ326" si="606">SUM(AE319:AE325)</f>
        <v>6635</v>
      </c>
      <c r="AF326" s="439">
        <f t="shared" si="606"/>
        <v>1745</v>
      </c>
      <c r="AG326" s="439">
        <f t="shared" si="606"/>
        <v>1730</v>
      </c>
      <c r="AH326" s="439">
        <f t="shared" si="606"/>
        <v>1643</v>
      </c>
      <c r="AI326" s="439">
        <f t="shared" si="606"/>
        <v>1708</v>
      </c>
      <c r="AJ326" s="438">
        <f t="shared" si="606"/>
        <v>6826</v>
      </c>
      <c r="AK326" s="439">
        <f t="shared" si="606"/>
        <v>1738</v>
      </c>
      <c r="AL326" s="439">
        <f t="shared" si="606"/>
        <v>1831</v>
      </c>
      <c r="AM326" s="439">
        <f t="shared" si="606"/>
        <v>1721</v>
      </c>
      <c r="AN326" s="439">
        <f t="shared" si="606"/>
        <v>2141</v>
      </c>
      <c r="AO326" s="438">
        <f t="shared" si="606"/>
        <v>7431</v>
      </c>
      <c r="AP326" s="439">
        <f t="shared" si="606"/>
        <v>2103</v>
      </c>
      <c r="AQ326" s="439">
        <f t="shared" si="606"/>
        <v>1825</v>
      </c>
      <c r="AR326" s="439">
        <f>SUM(AR319:AR325)</f>
        <v>2160</v>
      </c>
      <c r="AS326" s="439">
        <f>SUM(AS319:AS325)</f>
        <v>2257</v>
      </c>
      <c r="AT326" s="438">
        <f>SUM(AT319:AT325)</f>
        <v>8345</v>
      </c>
      <c r="AU326" s="765">
        <f t="shared" ref="AU326" si="607">SUM(AU319:AU325)</f>
        <v>2248</v>
      </c>
      <c r="AV326" s="454"/>
      <c r="AW326" s="454"/>
      <c r="AX326" s="454"/>
      <c r="AY326" s="453"/>
      <c r="AZ326" s="454"/>
      <c r="BA326" s="454"/>
      <c r="BB326" s="454"/>
      <c r="BC326" s="454"/>
      <c r="BD326" s="453"/>
      <c r="BE326" s="453"/>
      <c r="BF326" s="453"/>
      <c r="BG326" s="453"/>
      <c r="BH326" s="79"/>
    </row>
    <row r="327" spans="1:60" s="69" customFormat="1" hidden="1" outlineLevel="1" x14ac:dyDescent="0.35">
      <c r="A327" s="426"/>
      <c r="B327" s="518"/>
      <c r="C327" s="519"/>
      <c r="D327" s="519"/>
      <c r="E327" s="519"/>
      <c r="F327" s="519"/>
      <c r="G327" s="520"/>
      <c r="H327" s="520"/>
      <c r="I327" s="520"/>
      <c r="J327" s="520"/>
      <c r="K327" s="519"/>
      <c r="L327" s="520"/>
      <c r="M327" s="520"/>
      <c r="N327" s="520"/>
      <c r="O327" s="520"/>
      <c r="P327" s="519"/>
      <c r="Q327" s="520"/>
      <c r="R327" s="520"/>
      <c r="S327" s="520"/>
      <c r="T327" s="520"/>
      <c r="U327" s="519"/>
      <c r="V327" s="520"/>
      <c r="W327" s="520"/>
      <c r="X327" s="520"/>
      <c r="Y327" s="520"/>
      <c r="Z327" s="519"/>
      <c r="AA327" s="520"/>
      <c r="AB327" s="520"/>
      <c r="AC327" s="520"/>
      <c r="AD327" s="520"/>
      <c r="AE327" s="519"/>
      <c r="AF327" s="520"/>
      <c r="AG327" s="520"/>
      <c r="AH327" s="520"/>
      <c r="AI327" s="520"/>
      <c r="AJ327" s="519"/>
      <c r="AK327" s="520"/>
      <c r="AL327" s="520"/>
      <c r="AM327" s="520"/>
      <c r="AN327" s="520"/>
      <c r="AO327" s="519"/>
      <c r="AP327" s="520"/>
      <c r="AQ327" s="520"/>
      <c r="AR327" s="520"/>
      <c r="AS327" s="520"/>
      <c r="AT327" s="519"/>
      <c r="AU327" s="766"/>
      <c r="AV327" s="520"/>
      <c r="AW327" s="520"/>
      <c r="AX327" s="520"/>
      <c r="AY327" s="519"/>
      <c r="AZ327" s="520"/>
      <c r="BA327" s="520"/>
      <c r="BB327" s="520"/>
      <c r="BC327" s="520"/>
      <c r="BD327" s="519"/>
      <c r="BE327" s="519"/>
      <c r="BF327" s="519"/>
      <c r="BG327" s="519"/>
      <c r="BH327" s="79"/>
    </row>
    <row r="328" spans="1:60" s="69" customFormat="1" hidden="1" outlineLevel="1" x14ac:dyDescent="0.35">
      <c r="A328" s="90" t="s">
        <v>953</v>
      </c>
      <c r="B328" s="518"/>
      <c r="C328" s="519"/>
      <c r="D328" s="519"/>
      <c r="E328" s="519"/>
      <c r="F328" s="519"/>
      <c r="G328" s="520"/>
      <c r="H328" s="520"/>
      <c r="I328" s="520"/>
      <c r="J328" s="520"/>
      <c r="K328" s="519"/>
      <c r="L328" s="520"/>
      <c r="M328" s="520"/>
      <c r="N328" s="520"/>
      <c r="O328" s="520"/>
      <c r="P328" s="519"/>
      <c r="Q328" s="520"/>
      <c r="R328" s="520"/>
      <c r="S328" s="520"/>
      <c r="T328" s="520"/>
      <c r="U328" s="519"/>
      <c r="V328" s="520"/>
      <c r="W328" s="520"/>
      <c r="X328" s="520"/>
      <c r="Y328" s="520"/>
      <c r="Z328" s="519"/>
      <c r="AA328" s="520"/>
      <c r="AB328" s="520"/>
      <c r="AC328" s="520"/>
      <c r="AD328" s="520"/>
      <c r="AE328" s="440">
        <v>257</v>
      </c>
      <c r="AF328" s="520"/>
      <c r="AG328" s="520"/>
      <c r="AH328" s="520"/>
      <c r="AI328" s="520"/>
      <c r="AJ328" s="440">
        <v>216</v>
      </c>
      <c r="AK328" s="520"/>
      <c r="AL328" s="520"/>
      <c r="AM328" s="520"/>
      <c r="AN328" s="520"/>
      <c r="AO328" s="440">
        <v>392</v>
      </c>
      <c r="AP328" s="520"/>
      <c r="AQ328" s="520"/>
      <c r="AR328" s="520"/>
      <c r="AS328" s="520"/>
      <c r="AT328" s="440">
        <v>626</v>
      </c>
      <c r="AU328" s="766"/>
      <c r="AV328" s="520"/>
      <c r="AW328" s="520"/>
      <c r="AX328" s="520"/>
      <c r="AY328" s="519"/>
      <c r="AZ328" s="520"/>
      <c r="BA328" s="520"/>
      <c r="BB328" s="520"/>
      <c r="BC328" s="520"/>
      <c r="BD328" s="519"/>
      <c r="BE328" s="519"/>
      <c r="BF328" s="519"/>
      <c r="BG328" s="519"/>
      <c r="BH328" s="79"/>
    </row>
    <row r="329" spans="1:60" s="69" customFormat="1" hidden="1" outlineLevel="1" x14ac:dyDescent="0.35">
      <c r="A329" s="90" t="s">
        <v>1059</v>
      </c>
      <c r="B329" s="518"/>
      <c r="C329" s="519"/>
      <c r="D329" s="519"/>
      <c r="E329" s="519"/>
      <c r="F329" s="519"/>
      <c r="G329" s="520"/>
      <c r="H329" s="520"/>
      <c r="I329" s="520"/>
      <c r="J329" s="520"/>
      <c r="K329" s="519"/>
      <c r="L329" s="520"/>
      <c r="M329" s="520"/>
      <c r="N329" s="520"/>
      <c r="O329" s="520"/>
      <c r="P329" s="519"/>
      <c r="Q329" s="520"/>
      <c r="R329" s="520"/>
      <c r="S329" s="520"/>
      <c r="T329" s="520"/>
      <c r="U329" s="519"/>
      <c r="V329" s="520"/>
      <c r="W329" s="520"/>
      <c r="X329" s="520"/>
      <c r="Y329" s="520"/>
      <c r="Z329" s="519"/>
      <c r="AA329" s="520"/>
      <c r="AB329" s="520"/>
      <c r="AC329" s="520"/>
      <c r="AD329" s="520"/>
      <c r="AE329" s="440">
        <v>217</v>
      </c>
      <c r="AF329" s="520"/>
      <c r="AG329" s="520"/>
      <c r="AH329" s="520"/>
      <c r="AI329" s="520"/>
      <c r="AJ329" s="440">
        <v>245</v>
      </c>
      <c r="AK329" s="520"/>
      <c r="AL329" s="520"/>
      <c r="AM329" s="520"/>
      <c r="AN329" s="520"/>
      <c r="AO329" s="440">
        <v>264</v>
      </c>
      <c r="AP329" s="520"/>
      <c r="AQ329" s="520"/>
      <c r="AR329" s="520"/>
      <c r="AS329" s="520"/>
      <c r="AT329" s="440">
        <v>251</v>
      </c>
      <c r="AU329" s="766"/>
      <c r="AV329" s="520"/>
      <c r="AW329" s="520"/>
      <c r="AX329" s="520"/>
      <c r="AY329" s="519"/>
      <c r="AZ329" s="520"/>
      <c r="BA329" s="520"/>
      <c r="BB329" s="520"/>
      <c r="BC329" s="520"/>
      <c r="BD329" s="519"/>
      <c r="BE329" s="519"/>
      <c r="BF329" s="519"/>
      <c r="BG329" s="519"/>
      <c r="BH329" s="79"/>
    </row>
    <row r="330" spans="1:60" s="345" customFormat="1" hidden="1" outlineLevel="1" x14ac:dyDescent="0.35">
      <c r="A330" s="236" t="s">
        <v>1054</v>
      </c>
      <c r="B330" s="444"/>
      <c r="C330" s="445"/>
      <c r="D330" s="445"/>
      <c r="E330" s="445"/>
      <c r="F330" s="445"/>
      <c r="G330" s="446"/>
      <c r="H330" s="446"/>
      <c r="I330" s="446"/>
      <c r="J330" s="446"/>
      <c r="K330" s="445"/>
      <c r="L330" s="446"/>
      <c r="M330" s="446"/>
      <c r="N330" s="446"/>
      <c r="O330" s="446"/>
      <c r="P330" s="445"/>
      <c r="Q330" s="446"/>
      <c r="R330" s="446"/>
      <c r="S330" s="446"/>
      <c r="T330" s="446"/>
      <c r="U330" s="445"/>
      <c r="V330" s="446"/>
      <c r="W330" s="446"/>
      <c r="X330" s="446"/>
      <c r="Y330" s="446"/>
      <c r="Z330" s="445"/>
      <c r="AA330" s="446"/>
      <c r="AB330" s="446"/>
      <c r="AC330" s="446"/>
      <c r="AD330" s="446"/>
      <c r="AE330" s="436">
        <v>3317</v>
      </c>
      <c r="AF330" s="446"/>
      <c r="AG330" s="446"/>
      <c r="AH330" s="446"/>
      <c r="AI330" s="446"/>
      <c r="AJ330" s="436">
        <v>3248</v>
      </c>
      <c r="AK330" s="446"/>
      <c r="AL330" s="446"/>
      <c r="AM330" s="446"/>
      <c r="AN330" s="446"/>
      <c r="AO330" s="436">
        <v>6739</v>
      </c>
      <c r="AP330" s="446"/>
      <c r="AQ330" s="446"/>
      <c r="AR330" s="446"/>
      <c r="AS330" s="446"/>
      <c r="AT330" s="436">
        <v>6992</v>
      </c>
      <c r="AU330" s="767"/>
      <c r="AV330" s="446"/>
      <c r="AW330" s="446"/>
      <c r="AX330" s="446"/>
      <c r="AY330" s="445"/>
      <c r="AZ330" s="446"/>
      <c r="BA330" s="446"/>
      <c r="BB330" s="446"/>
      <c r="BC330" s="446"/>
      <c r="BD330" s="445"/>
      <c r="BE330" s="445"/>
      <c r="BF330" s="445"/>
      <c r="BG330" s="445"/>
      <c r="BH330" s="351"/>
    </row>
    <row r="331" spans="1:60" s="345" customFormat="1" hidden="1" outlineLevel="1" x14ac:dyDescent="0.35">
      <c r="A331" s="236" t="s">
        <v>995</v>
      </c>
      <c r="B331" s="444"/>
      <c r="C331" s="445"/>
      <c r="D331" s="445"/>
      <c r="E331" s="445"/>
      <c r="F331" s="445"/>
      <c r="G331" s="446"/>
      <c r="H331" s="446"/>
      <c r="I331" s="446"/>
      <c r="J331" s="446"/>
      <c r="K331" s="445"/>
      <c r="L331" s="446"/>
      <c r="M331" s="446"/>
      <c r="N331" s="446"/>
      <c r="O331" s="446"/>
      <c r="P331" s="445"/>
      <c r="Q331" s="446"/>
      <c r="R331" s="446"/>
      <c r="S331" s="446"/>
      <c r="T331" s="446"/>
      <c r="U331" s="445"/>
      <c r="V331" s="446"/>
      <c r="W331" s="446"/>
      <c r="X331" s="446"/>
      <c r="Y331" s="446"/>
      <c r="Z331" s="445"/>
      <c r="AA331" s="446"/>
      <c r="AB331" s="446"/>
      <c r="AC331" s="446"/>
      <c r="AD331" s="446"/>
      <c r="AE331" s="436">
        <v>7258</v>
      </c>
      <c r="AF331" s="446"/>
      <c r="AG331" s="446"/>
      <c r="AH331" s="446"/>
      <c r="AI331" s="446"/>
      <c r="AJ331" s="436">
        <v>7092</v>
      </c>
      <c r="AK331" s="446"/>
      <c r="AL331" s="446"/>
      <c r="AM331" s="446"/>
      <c r="AN331" s="446"/>
      <c r="AO331" s="436">
        <v>14790</v>
      </c>
      <c r="AP331" s="446"/>
      <c r="AQ331" s="446"/>
      <c r="AR331" s="446"/>
      <c r="AS331" s="446"/>
      <c r="AT331" s="436">
        <v>14531</v>
      </c>
      <c r="AU331" s="767"/>
      <c r="AV331" s="446"/>
      <c r="AW331" s="446"/>
      <c r="AX331" s="446"/>
      <c r="AY331" s="445"/>
      <c r="AZ331" s="446"/>
      <c r="BA331" s="446"/>
      <c r="BB331" s="446"/>
      <c r="BC331" s="446"/>
      <c r="BD331" s="445"/>
      <c r="BE331" s="445"/>
      <c r="BF331" s="445"/>
      <c r="BG331" s="445"/>
      <c r="BH331" s="351"/>
    </row>
    <row r="332" spans="1:60" s="345" customFormat="1" hidden="1" outlineLevel="1" x14ac:dyDescent="0.35">
      <c r="A332" s="236" t="s">
        <v>996</v>
      </c>
      <c r="B332" s="444"/>
      <c r="C332" s="445"/>
      <c r="D332" s="445"/>
      <c r="E332" s="445"/>
      <c r="F332" s="445"/>
      <c r="G332" s="446"/>
      <c r="H332" s="446"/>
      <c r="I332" s="446"/>
      <c r="J332" s="446"/>
      <c r="K332" s="445"/>
      <c r="L332" s="446"/>
      <c r="M332" s="446"/>
      <c r="N332" s="446"/>
      <c r="O332" s="446"/>
      <c r="P332" s="445"/>
      <c r="Q332" s="446"/>
      <c r="R332" s="446"/>
      <c r="S332" s="446"/>
      <c r="T332" s="446"/>
      <c r="U332" s="445"/>
      <c r="V332" s="446"/>
      <c r="W332" s="446"/>
      <c r="X332" s="446"/>
      <c r="Y332" s="446"/>
      <c r="Z332" s="445"/>
      <c r="AA332" s="446"/>
      <c r="AB332" s="446"/>
      <c r="AC332" s="446"/>
      <c r="AD332" s="446"/>
      <c r="AE332" s="445"/>
      <c r="AF332" s="446"/>
      <c r="AG332" s="446"/>
      <c r="AH332" s="446"/>
      <c r="AI332" s="446"/>
      <c r="AJ332" s="436">
        <f>AVERAGE(AJ331,AE331)</f>
        <v>7175</v>
      </c>
      <c r="AK332" s="446"/>
      <c r="AL332" s="446"/>
      <c r="AM332" s="446"/>
      <c r="AN332" s="446"/>
      <c r="AO332" s="436">
        <f>AVERAGE(AO331,AJ331)</f>
        <v>10941</v>
      </c>
      <c r="AP332" s="446"/>
      <c r="AQ332" s="446"/>
      <c r="AR332" s="446"/>
      <c r="AS332" s="446"/>
      <c r="AT332" s="436">
        <f>AVERAGE(AT331,AO331)</f>
        <v>14660.5</v>
      </c>
      <c r="AU332" s="767"/>
      <c r="AV332" s="446"/>
      <c r="AW332" s="446"/>
      <c r="AX332" s="446"/>
      <c r="AY332" s="445"/>
      <c r="AZ332" s="446"/>
      <c r="BA332" s="446"/>
      <c r="BB332" s="446"/>
      <c r="BC332" s="446"/>
      <c r="BD332" s="445"/>
      <c r="BE332" s="445"/>
      <c r="BF332" s="445"/>
      <c r="BG332" s="445"/>
      <c r="BH332" s="351"/>
    </row>
    <row r="333" spans="1:60" s="345" customFormat="1" hidden="1" outlineLevel="1" x14ac:dyDescent="0.35">
      <c r="A333" s="236" t="s">
        <v>997</v>
      </c>
      <c r="B333" s="444"/>
      <c r="C333" s="445"/>
      <c r="D333" s="445"/>
      <c r="E333" s="445"/>
      <c r="F333" s="445"/>
      <c r="G333" s="446"/>
      <c r="H333" s="446"/>
      <c r="I333" s="446"/>
      <c r="J333" s="446"/>
      <c r="K333" s="445"/>
      <c r="L333" s="446"/>
      <c r="M333" s="446"/>
      <c r="N333" s="446"/>
      <c r="O333" s="446"/>
      <c r="P333" s="445"/>
      <c r="Q333" s="446"/>
      <c r="R333" s="446"/>
      <c r="S333" s="446"/>
      <c r="T333" s="446"/>
      <c r="U333" s="445"/>
      <c r="V333" s="446"/>
      <c r="W333" s="446"/>
      <c r="X333" s="446"/>
      <c r="Y333" s="446"/>
      <c r="Z333" s="445"/>
      <c r="AA333" s="446"/>
      <c r="AB333" s="446"/>
      <c r="AC333" s="446"/>
      <c r="AD333" s="446"/>
      <c r="AE333" s="445"/>
      <c r="AF333" s="446"/>
      <c r="AG333" s="446"/>
      <c r="AH333" s="446"/>
      <c r="AI333" s="446"/>
      <c r="AJ333" s="436">
        <f>AJ299</f>
        <v>1921</v>
      </c>
      <c r="AK333" s="446"/>
      <c r="AL333" s="446"/>
      <c r="AM333" s="446"/>
      <c r="AN333" s="446"/>
      <c r="AO333" s="436">
        <f>AO299</f>
        <v>1858</v>
      </c>
      <c r="AP333" s="446"/>
      <c r="AQ333" s="446"/>
      <c r="AR333" s="446"/>
      <c r="AS333" s="446"/>
      <c r="AT333" s="436">
        <f>AT299</f>
        <v>1828</v>
      </c>
      <c r="AU333" s="767"/>
      <c r="AV333" s="446"/>
      <c r="AW333" s="446"/>
      <c r="AX333" s="446"/>
      <c r="AY333" s="445"/>
      <c r="AZ333" s="446"/>
      <c r="BA333" s="446"/>
      <c r="BB333" s="446"/>
      <c r="BC333" s="446"/>
      <c r="BD333" s="445"/>
      <c r="BE333" s="445"/>
      <c r="BF333" s="445"/>
      <c r="BG333" s="445"/>
      <c r="BH333" s="351"/>
    </row>
    <row r="334" spans="1:60" s="225" customFormat="1" hidden="1" outlineLevel="1" x14ac:dyDescent="0.35">
      <c r="A334" s="227" t="s">
        <v>998</v>
      </c>
      <c r="B334" s="176"/>
      <c r="C334" s="113"/>
      <c r="D334" s="113"/>
      <c r="E334" s="113"/>
      <c r="F334" s="113"/>
      <c r="G334" s="177"/>
      <c r="H334" s="177"/>
      <c r="I334" s="177"/>
      <c r="J334" s="177"/>
      <c r="K334" s="113"/>
      <c r="L334" s="177"/>
      <c r="M334" s="177"/>
      <c r="N334" s="177"/>
      <c r="O334" s="177"/>
      <c r="P334" s="113"/>
      <c r="Q334" s="177"/>
      <c r="R334" s="177"/>
      <c r="S334" s="177"/>
      <c r="T334" s="177"/>
      <c r="U334" s="113"/>
      <c r="V334" s="177"/>
      <c r="W334" s="177"/>
      <c r="X334" s="177"/>
      <c r="Y334" s="177"/>
      <c r="Z334" s="113"/>
      <c r="AA334" s="177"/>
      <c r="AB334" s="177"/>
      <c r="AC334" s="177"/>
      <c r="AD334" s="177"/>
      <c r="AE334" s="113"/>
      <c r="AF334" s="177"/>
      <c r="AG334" s="177"/>
      <c r="AH334" s="177"/>
      <c r="AI334" s="177"/>
      <c r="AJ334" s="223">
        <f>AJ333/AJ332</f>
        <v>0.26773519163763065</v>
      </c>
      <c r="AK334" s="177"/>
      <c r="AL334" s="177"/>
      <c r="AM334" s="177"/>
      <c r="AN334" s="177"/>
      <c r="AO334" s="223">
        <f>AO333/AO332</f>
        <v>0.16981994333241934</v>
      </c>
      <c r="AP334" s="177"/>
      <c r="AQ334" s="177"/>
      <c r="AR334" s="177"/>
      <c r="AS334" s="177"/>
      <c r="AT334" s="223">
        <f>AT333/AT332</f>
        <v>0.12468878960472017</v>
      </c>
      <c r="AU334" s="780"/>
      <c r="AV334" s="177"/>
      <c r="AW334" s="177"/>
      <c r="AX334" s="177"/>
      <c r="AY334" s="113"/>
      <c r="AZ334" s="177"/>
      <c r="BA334" s="177"/>
      <c r="BB334" s="177"/>
      <c r="BC334" s="177"/>
      <c r="BD334" s="113"/>
      <c r="BE334" s="113"/>
      <c r="BF334" s="113"/>
      <c r="BG334" s="113"/>
      <c r="BH334" s="94"/>
    </row>
    <row r="335" spans="1:60" s="225" customFormat="1" collapsed="1" x14ac:dyDescent="0.35">
      <c r="A335" s="538"/>
      <c r="B335" s="176"/>
      <c r="C335" s="113"/>
      <c r="D335" s="113"/>
      <c r="E335" s="113"/>
      <c r="F335" s="113"/>
      <c r="G335" s="177"/>
      <c r="H335" s="177"/>
      <c r="I335" s="177"/>
      <c r="J335" s="177"/>
      <c r="K335" s="113"/>
      <c r="L335" s="177"/>
      <c r="M335" s="177"/>
      <c r="N335" s="177"/>
      <c r="O335" s="177"/>
      <c r="P335" s="113"/>
      <c r="Q335" s="177"/>
      <c r="R335" s="177"/>
      <c r="S335" s="177"/>
      <c r="T335" s="177"/>
      <c r="U335" s="113"/>
      <c r="V335" s="177"/>
      <c r="W335" s="177"/>
      <c r="X335" s="177"/>
      <c r="Y335" s="177"/>
      <c r="Z335" s="113"/>
      <c r="AA335" s="177"/>
      <c r="AB335" s="177"/>
      <c r="AC335" s="177"/>
      <c r="AD335" s="177"/>
      <c r="AE335" s="113"/>
      <c r="AF335" s="177"/>
      <c r="AG335" s="177"/>
      <c r="AH335" s="177"/>
      <c r="AI335" s="177"/>
      <c r="AJ335" s="113"/>
      <c r="AK335" s="177"/>
      <c r="AL335" s="177"/>
      <c r="AM335" s="177"/>
      <c r="AN335" s="177"/>
      <c r="AO335" s="113"/>
      <c r="AP335" s="177"/>
      <c r="AQ335" s="177"/>
      <c r="AR335" s="177"/>
      <c r="AS335" s="177"/>
      <c r="AT335" s="113"/>
      <c r="AU335" s="780"/>
      <c r="AV335" s="177"/>
      <c r="AW335" s="177"/>
      <c r="AX335" s="177"/>
      <c r="AY335" s="113"/>
      <c r="AZ335" s="177"/>
      <c r="BA335" s="177"/>
      <c r="BB335" s="177"/>
      <c r="BC335" s="177"/>
      <c r="BD335" s="113"/>
      <c r="BE335" s="113"/>
      <c r="BF335" s="113"/>
      <c r="BG335" s="113"/>
      <c r="BH335" s="94"/>
    </row>
    <row r="336" spans="1:60" s="21" customFormat="1" x14ac:dyDescent="0.35">
      <c r="A336" s="746" t="s">
        <v>916</v>
      </c>
      <c r="B336" s="746"/>
      <c r="C336" s="874"/>
      <c r="D336" s="874"/>
      <c r="E336" s="874"/>
      <c r="F336" s="874"/>
      <c r="G336" s="874"/>
      <c r="H336" s="874"/>
      <c r="I336" s="874"/>
      <c r="J336" s="874"/>
      <c r="K336" s="874"/>
      <c r="L336" s="874"/>
      <c r="M336" s="874"/>
      <c r="N336" s="874"/>
      <c r="O336" s="874"/>
      <c r="P336" s="874"/>
      <c r="Q336" s="874"/>
      <c r="R336" s="874"/>
      <c r="S336" s="874"/>
      <c r="T336" s="874"/>
      <c r="U336" s="874"/>
      <c r="V336" s="874"/>
      <c r="W336" s="874"/>
      <c r="X336" s="874"/>
      <c r="Y336" s="874"/>
      <c r="Z336" s="874"/>
      <c r="AA336" s="874"/>
      <c r="AB336" s="874"/>
      <c r="AC336" s="874"/>
      <c r="AD336" s="874"/>
      <c r="AE336" s="874"/>
      <c r="AF336" s="874"/>
      <c r="AG336" s="874"/>
      <c r="AH336" s="874"/>
      <c r="AI336" s="874"/>
      <c r="AJ336" s="874"/>
      <c r="AK336" s="874"/>
      <c r="AL336" s="874"/>
      <c r="AM336" s="874"/>
      <c r="AN336" s="874"/>
      <c r="AO336" s="874"/>
      <c r="AP336" s="874"/>
      <c r="AQ336" s="874"/>
      <c r="AR336" s="874"/>
      <c r="AS336" s="874"/>
      <c r="AT336" s="874"/>
      <c r="AU336" s="875"/>
      <c r="AV336" s="874"/>
      <c r="AW336" s="874"/>
      <c r="AX336" s="874"/>
      <c r="AY336" s="874"/>
      <c r="AZ336" s="874"/>
      <c r="BA336" s="874"/>
      <c r="BB336" s="874"/>
      <c r="BC336" s="874"/>
      <c r="BD336" s="874"/>
      <c r="BE336" s="874"/>
      <c r="BF336" s="874"/>
      <c r="BG336" s="874"/>
      <c r="BH336" s="651"/>
    </row>
    <row r="337" spans="1:60" s="262" customFormat="1" hidden="1" outlineLevel="2" x14ac:dyDescent="0.35">
      <c r="A337" s="530" t="s">
        <v>485</v>
      </c>
      <c r="B337" s="312"/>
      <c r="C337" s="105"/>
      <c r="D337" s="105"/>
      <c r="E337" s="105"/>
      <c r="F337" s="105"/>
      <c r="G337" s="200"/>
      <c r="H337" s="200"/>
      <c r="I337" s="200"/>
      <c r="J337" s="200"/>
      <c r="K337" s="105"/>
      <c r="L337" s="200"/>
      <c r="M337" s="200"/>
      <c r="N337" s="200"/>
      <c r="O337" s="200"/>
      <c r="P337" s="105"/>
      <c r="Q337" s="200"/>
      <c r="R337" s="200"/>
      <c r="S337" s="200"/>
      <c r="T337" s="200"/>
      <c r="U337" s="105"/>
      <c r="V337" s="200"/>
      <c r="W337" s="200"/>
      <c r="X337" s="200"/>
      <c r="Y337" s="200"/>
      <c r="Z337" s="105"/>
      <c r="AA337" s="200"/>
      <c r="AB337" s="200"/>
      <c r="AC337" s="200"/>
      <c r="AD337" s="200"/>
      <c r="AE337" s="105"/>
      <c r="AF337" s="200"/>
      <c r="AG337" s="200"/>
      <c r="AH337" s="200"/>
      <c r="AI337" s="200"/>
      <c r="AJ337" s="105"/>
      <c r="AK337" s="200"/>
      <c r="AL337" s="78">
        <v>0.02</v>
      </c>
      <c r="AM337" s="78">
        <v>3.1E-2</v>
      </c>
      <c r="AN337" s="78">
        <v>0.01</v>
      </c>
      <c r="AO337" s="47">
        <v>2.4E-2</v>
      </c>
      <c r="AP337" s="200"/>
      <c r="AQ337" s="200"/>
      <c r="AR337" s="200"/>
      <c r="AS337" s="200"/>
      <c r="AT337" s="105"/>
      <c r="AU337" s="761"/>
      <c r="AV337" s="200"/>
      <c r="AW337" s="200"/>
      <c r="AX337" s="200"/>
      <c r="AY337" s="105"/>
      <c r="AZ337" s="200"/>
      <c r="BA337" s="200"/>
      <c r="BB337" s="200"/>
      <c r="BC337" s="200"/>
      <c r="BD337" s="105"/>
      <c r="BE337" s="105"/>
      <c r="BF337" s="105"/>
      <c r="BG337" s="105"/>
      <c r="BH337" s="363"/>
    </row>
    <row r="338" spans="1:60" s="262" customFormat="1" hidden="1" outlineLevel="2" x14ac:dyDescent="0.35">
      <c r="A338" s="606" t="s">
        <v>900</v>
      </c>
      <c r="B338" s="465"/>
      <c r="C338" s="479"/>
      <c r="D338" s="479"/>
      <c r="E338" s="479"/>
      <c r="F338" s="479"/>
      <c r="G338" s="457"/>
      <c r="H338" s="457"/>
      <c r="I338" s="457"/>
      <c r="J338" s="457"/>
      <c r="K338" s="479"/>
      <c r="L338" s="457"/>
      <c r="M338" s="457"/>
      <c r="N338" s="457"/>
      <c r="O338" s="457"/>
      <c r="P338" s="479"/>
      <c r="Q338" s="457"/>
      <c r="R338" s="457"/>
      <c r="S338" s="457"/>
      <c r="T338" s="457"/>
      <c r="U338" s="479"/>
      <c r="V338" s="457"/>
      <c r="W338" s="457"/>
      <c r="X338" s="457"/>
      <c r="Y338" s="457"/>
      <c r="Z338" s="479"/>
      <c r="AA338" s="457"/>
      <c r="AB338" s="457"/>
      <c r="AC338" s="457"/>
      <c r="AD338" s="457"/>
      <c r="AE338" s="479"/>
      <c r="AF338" s="457"/>
      <c r="AG338" s="457"/>
      <c r="AH338" s="457"/>
      <c r="AI338" s="457"/>
      <c r="AJ338" s="479"/>
      <c r="AK338" s="457"/>
      <c r="AL338" s="457"/>
      <c r="AM338" s="457"/>
      <c r="AN338" s="457"/>
      <c r="AO338" s="479"/>
      <c r="AP338" s="457"/>
      <c r="AQ338" s="457"/>
      <c r="AR338" s="457"/>
      <c r="AS338" s="457"/>
      <c r="AT338" s="479"/>
      <c r="AU338" s="779"/>
      <c r="AV338" s="457"/>
      <c r="AW338" s="457"/>
      <c r="AX338" s="457"/>
      <c r="AY338" s="479"/>
      <c r="AZ338" s="457"/>
      <c r="BA338" s="457"/>
      <c r="BB338" s="457"/>
      <c r="BC338" s="457"/>
      <c r="BD338" s="479"/>
      <c r="BE338" s="479"/>
      <c r="BF338" s="479"/>
      <c r="BG338" s="479"/>
      <c r="BH338" s="363"/>
    </row>
    <row r="339" spans="1:60" s="262" customFormat="1" hidden="1" outlineLevel="2" x14ac:dyDescent="0.35">
      <c r="A339" s="513" t="s">
        <v>901</v>
      </c>
      <c r="B339" s="312"/>
      <c r="C339" s="105"/>
      <c r="D339" s="105"/>
      <c r="E339" s="105"/>
      <c r="F339" s="105"/>
      <c r="G339" s="200"/>
      <c r="H339" s="200"/>
      <c r="I339" s="200"/>
      <c r="J339" s="200"/>
      <c r="K339" s="105"/>
      <c r="L339" s="200"/>
      <c r="M339" s="200"/>
      <c r="N339" s="200"/>
      <c r="O339" s="200"/>
      <c r="P339" s="105"/>
      <c r="Q339" s="200"/>
      <c r="R339" s="200"/>
      <c r="S339" s="200"/>
      <c r="T339" s="200"/>
      <c r="U339" s="105"/>
      <c r="V339" s="200"/>
      <c r="W339" s="200"/>
      <c r="X339" s="200"/>
      <c r="Y339" s="200"/>
      <c r="Z339" s="105"/>
      <c r="AA339" s="200"/>
      <c r="AB339" s="200"/>
      <c r="AC339" s="200"/>
      <c r="AD339" s="200"/>
      <c r="AE339" s="47">
        <f>AE369/Z369-1</f>
        <v>7.1868583162217892E-3</v>
      </c>
      <c r="AF339" s="200"/>
      <c r="AG339" s="200"/>
      <c r="AH339" s="200"/>
      <c r="AI339" s="200"/>
      <c r="AJ339" s="47">
        <f t="shared" ref="AJ339" si="608">AJ369/AE369-1</f>
        <v>3.4658511722731822E-2</v>
      </c>
      <c r="AK339" s="200"/>
      <c r="AL339" s="200"/>
      <c r="AM339" s="200"/>
      <c r="AN339" s="200"/>
      <c r="AO339" s="105"/>
      <c r="AP339" s="200"/>
      <c r="AQ339" s="200"/>
      <c r="AR339" s="200"/>
      <c r="AS339" s="200"/>
      <c r="AT339" s="105"/>
      <c r="AU339" s="761"/>
      <c r="AV339" s="200"/>
      <c r="AW339" s="200"/>
      <c r="AX339" s="200"/>
      <c r="AY339" s="105"/>
      <c r="AZ339" s="200"/>
      <c r="BA339" s="200"/>
      <c r="BB339" s="200"/>
      <c r="BC339" s="200"/>
      <c r="BD339" s="105"/>
      <c r="BE339" s="105"/>
      <c r="BF339" s="105"/>
      <c r="BG339" s="105"/>
      <c r="BH339" s="363"/>
    </row>
    <row r="340" spans="1:60" s="262" customFormat="1" hidden="1" outlineLevel="2" x14ac:dyDescent="0.35">
      <c r="A340" s="530" t="s">
        <v>488</v>
      </c>
      <c r="B340" s="312"/>
      <c r="C340" s="105"/>
      <c r="D340" s="105"/>
      <c r="E340" s="105"/>
      <c r="F340" s="105"/>
      <c r="G340" s="200"/>
      <c r="H340" s="200"/>
      <c r="I340" s="200"/>
      <c r="J340" s="200"/>
      <c r="K340" s="105"/>
      <c r="L340" s="200"/>
      <c r="M340" s="200"/>
      <c r="N340" s="200"/>
      <c r="O340" s="200"/>
      <c r="P340" s="105"/>
      <c r="Q340" s="200"/>
      <c r="R340" s="200"/>
      <c r="S340" s="200"/>
      <c r="T340" s="200"/>
      <c r="U340" s="105"/>
      <c r="V340" s="200"/>
      <c r="W340" s="200"/>
      <c r="X340" s="200"/>
      <c r="Y340" s="200"/>
      <c r="Z340" s="105"/>
      <c r="AA340" s="200"/>
      <c r="AB340" s="200"/>
      <c r="AC340" s="200"/>
      <c r="AD340" s="200"/>
      <c r="AE340" s="105"/>
      <c r="AF340" s="200"/>
      <c r="AG340" s="200"/>
      <c r="AH340" s="200"/>
      <c r="AI340" s="200"/>
      <c r="AJ340" s="105"/>
      <c r="AK340" s="200"/>
      <c r="AL340" s="78">
        <v>2.1000000000000001E-2</v>
      </c>
      <c r="AM340" s="78">
        <v>3.7999999999999999E-2</v>
      </c>
      <c r="AN340" s="78">
        <v>0.04</v>
      </c>
      <c r="AO340" s="47">
        <v>2.1999999999999999E-2</v>
      </c>
      <c r="AP340" s="200"/>
      <c r="AQ340" s="200"/>
      <c r="AR340" s="200"/>
      <c r="AS340" s="200"/>
      <c r="AT340" s="105"/>
      <c r="AU340" s="761"/>
      <c r="AV340" s="200"/>
      <c r="AW340" s="200"/>
      <c r="AX340" s="200"/>
      <c r="AY340" s="105"/>
      <c r="AZ340" s="200"/>
      <c r="BA340" s="200"/>
      <c r="BB340" s="200"/>
      <c r="BC340" s="200"/>
      <c r="BD340" s="105"/>
      <c r="BE340" s="105"/>
      <c r="BF340" s="105"/>
      <c r="BG340" s="105"/>
      <c r="BH340" s="363"/>
    </row>
    <row r="341" spans="1:60" s="262" customFormat="1" hidden="1" outlineLevel="2" x14ac:dyDescent="0.35">
      <c r="A341" s="606" t="s">
        <v>902</v>
      </c>
      <c r="B341" s="465"/>
      <c r="C341" s="479"/>
      <c r="D341" s="479"/>
      <c r="E341" s="479"/>
      <c r="F341" s="479"/>
      <c r="G341" s="457"/>
      <c r="H341" s="457"/>
      <c r="I341" s="457"/>
      <c r="J341" s="457"/>
      <c r="K341" s="479"/>
      <c r="L341" s="457"/>
      <c r="M341" s="457"/>
      <c r="N341" s="457"/>
      <c r="O341" s="457"/>
      <c r="P341" s="479"/>
      <c r="Q341" s="457"/>
      <c r="R341" s="457"/>
      <c r="S341" s="457"/>
      <c r="T341" s="457"/>
      <c r="U341" s="479"/>
      <c r="V341" s="457"/>
      <c r="W341" s="457"/>
      <c r="X341" s="457"/>
      <c r="Y341" s="457"/>
      <c r="Z341" s="479"/>
      <c r="AA341" s="457"/>
      <c r="AB341" s="457"/>
      <c r="AC341" s="457"/>
      <c r="AD341" s="457"/>
      <c r="AE341" s="479"/>
      <c r="AF341" s="457"/>
      <c r="AG341" s="457"/>
      <c r="AH341" s="457"/>
      <c r="AI341" s="457"/>
      <c r="AJ341" s="479"/>
      <c r="AK341" s="457"/>
      <c r="AL341" s="457"/>
      <c r="AM341" s="457"/>
      <c r="AN341" s="457"/>
      <c r="AO341" s="479"/>
      <c r="AP341" s="457"/>
      <c r="AQ341" s="457"/>
      <c r="AR341" s="457"/>
      <c r="AS341" s="457"/>
      <c r="AT341" s="479"/>
      <c r="AU341" s="779"/>
      <c r="AV341" s="457"/>
      <c r="AW341" s="457"/>
      <c r="AX341" s="457"/>
      <c r="AY341" s="479"/>
      <c r="AZ341" s="457"/>
      <c r="BA341" s="457"/>
      <c r="BB341" s="457"/>
      <c r="BC341" s="457"/>
      <c r="BD341" s="479"/>
      <c r="BE341" s="479"/>
      <c r="BF341" s="479"/>
      <c r="BG341" s="479"/>
      <c r="BH341" s="363"/>
    </row>
    <row r="342" spans="1:60" s="262" customFormat="1" hidden="1" outlineLevel="2" x14ac:dyDescent="0.35">
      <c r="A342" s="513" t="s">
        <v>903</v>
      </c>
      <c r="B342" s="312"/>
      <c r="C342" s="105"/>
      <c r="D342" s="105"/>
      <c r="E342" s="105"/>
      <c r="F342" s="105"/>
      <c r="G342" s="200"/>
      <c r="H342" s="200"/>
      <c r="I342" s="200"/>
      <c r="J342" s="200"/>
      <c r="K342" s="105"/>
      <c r="L342" s="200"/>
      <c r="M342" s="200"/>
      <c r="N342" s="200"/>
      <c r="O342" s="200"/>
      <c r="P342" s="105"/>
      <c r="Q342" s="200"/>
      <c r="R342" s="200"/>
      <c r="S342" s="200"/>
      <c r="T342" s="200"/>
      <c r="U342" s="105"/>
      <c r="V342" s="200"/>
      <c r="W342" s="200"/>
      <c r="X342" s="200"/>
      <c r="Y342" s="200"/>
      <c r="Z342" s="105"/>
      <c r="AA342" s="200"/>
      <c r="AB342" s="200"/>
      <c r="AC342" s="200"/>
      <c r="AD342" s="200"/>
      <c r="AE342" s="47">
        <f>AE370/Z370-1</f>
        <v>6.3829787234042534E-2</v>
      </c>
      <c r="AF342" s="200"/>
      <c r="AG342" s="200"/>
      <c r="AH342" s="200"/>
      <c r="AI342" s="200"/>
      <c r="AJ342" s="47">
        <f t="shared" ref="AJ342" si="609">AJ370/AE370-1</f>
        <v>-6.6666666666667096E-3</v>
      </c>
      <c r="AK342" s="200"/>
      <c r="AL342" s="200"/>
      <c r="AM342" s="200"/>
      <c r="AN342" s="200"/>
      <c r="AO342" s="105"/>
      <c r="AP342" s="200"/>
      <c r="AQ342" s="200"/>
      <c r="AR342" s="200"/>
      <c r="AS342" s="200"/>
      <c r="AT342" s="105"/>
      <c r="AU342" s="761"/>
      <c r="AV342" s="200"/>
      <c r="AW342" s="200"/>
      <c r="AX342" s="200"/>
      <c r="AY342" s="105"/>
      <c r="AZ342" s="200"/>
      <c r="BA342" s="200"/>
      <c r="BB342" s="200"/>
      <c r="BC342" s="200"/>
      <c r="BD342" s="105"/>
      <c r="BE342" s="105"/>
      <c r="BF342" s="105"/>
      <c r="BG342" s="105"/>
      <c r="BH342" s="363"/>
    </row>
    <row r="343" spans="1:60" s="262" customFormat="1" hidden="1" outlineLevel="2" x14ac:dyDescent="0.35">
      <c r="A343" s="513" t="s">
        <v>738</v>
      </c>
      <c r="B343" s="312"/>
      <c r="C343" s="105"/>
      <c r="D343" s="105"/>
      <c r="E343" s="105"/>
      <c r="F343" s="105"/>
      <c r="G343" s="200"/>
      <c r="H343" s="200"/>
      <c r="I343" s="200"/>
      <c r="J343" s="200"/>
      <c r="K343" s="105"/>
      <c r="L343" s="200"/>
      <c r="M343" s="200"/>
      <c r="N343" s="200"/>
      <c r="O343" s="200"/>
      <c r="P343" s="105"/>
      <c r="Q343" s="200"/>
      <c r="R343" s="200"/>
      <c r="S343" s="200"/>
      <c r="T343" s="200"/>
      <c r="U343" s="105"/>
      <c r="V343" s="200"/>
      <c r="W343" s="200"/>
      <c r="X343" s="200"/>
      <c r="Y343" s="200"/>
      <c r="Z343" s="105"/>
      <c r="AA343" s="200"/>
      <c r="AB343" s="200"/>
      <c r="AC343" s="200"/>
      <c r="AD343" s="200"/>
      <c r="AE343" s="105"/>
      <c r="AF343" s="200"/>
      <c r="AG343" s="200"/>
      <c r="AH343" s="200"/>
      <c r="AI343" s="200"/>
      <c r="AJ343" s="105"/>
      <c r="AK343" s="200"/>
      <c r="AL343" s="200"/>
      <c r="AM343" s="200"/>
      <c r="AN343" s="200"/>
      <c r="AO343" s="105"/>
      <c r="AP343" s="78">
        <v>9.9000000000000005E-2</v>
      </c>
      <c r="AQ343" s="78">
        <v>-0.04</v>
      </c>
      <c r="AR343" s="78">
        <v>7.0000000000000007E-2</v>
      </c>
      <c r="AS343" s="78">
        <v>0.13</v>
      </c>
      <c r="AT343" s="47">
        <v>6.3E-2</v>
      </c>
      <c r="AU343" s="759">
        <v>0.09</v>
      </c>
      <c r="AV343" s="200"/>
      <c r="AW343" s="200"/>
      <c r="AX343" s="200"/>
      <c r="AY343" s="105"/>
      <c r="AZ343" s="200"/>
      <c r="BA343" s="200"/>
      <c r="BB343" s="200"/>
      <c r="BC343" s="200"/>
      <c r="BD343" s="105"/>
      <c r="BE343" s="105"/>
      <c r="BF343" s="105"/>
      <c r="BG343" s="105"/>
      <c r="BH343" s="363"/>
    </row>
    <row r="344" spans="1:60" s="262" customFormat="1" hidden="1" outlineLevel="2" x14ac:dyDescent="0.35">
      <c r="A344" s="605" t="s">
        <v>904</v>
      </c>
      <c r="B344" s="465"/>
      <c r="C344" s="479"/>
      <c r="D344" s="479"/>
      <c r="E344" s="479"/>
      <c r="F344" s="479"/>
      <c r="G344" s="457"/>
      <c r="H344" s="457"/>
      <c r="I344" s="457"/>
      <c r="J344" s="457"/>
      <c r="K344" s="479"/>
      <c r="L344" s="457"/>
      <c r="M344" s="457"/>
      <c r="N344" s="457"/>
      <c r="O344" s="457"/>
      <c r="P344" s="479"/>
      <c r="Q344" s="457"/>
      <c r="R344" s="457"/>
      <c r="S344" s="457"/>
      <c r="T344" s="457"/>
      <c r="U344" s="479"/>
      <c r="V344" s="457"/>
      <c r="W344" s="457"/>
      <c r="X344" s="457"/>
      <c r="Y344" s="457"/>
      <c r="Z344" s="479"/>
      <c r="AA344" s="457"/>
      <c r="AB344" s="457"/>
      <c r="AC344" s="457"/>
      <c r="AD344" s="457"/>
      <c r="AE344" s="479"/>
      <c r="AF344" s="457"/>
      <c r="AG344" s="457"/>
      <c r="AH344" s="457"/>
      <c r="AI344" s="457"/>
      <c r="AJ344" s="479"/>
      <c r="AK344" s="457"/>
      <c r="AL344" s="457"/>
      <c r="AM344" s="457"/>
      <c r="AN344" s="457"/>
      <c r="AO344" s="479"/>
      <c r="AP344" s="604">
        <f>AP345-AP343</f>
        <v>-1.0581569115815787E-2</v>
      </c>
      <c r="AQ344" s="604">
        <f t="shared" ref="AQ344" si="610">AQ345-AQ343</f>
        <v>-1.2910052910052906E-2</v>
      </c>
      <c r="AR344" s="604">
        <f t="shared" ref="AR344:AT344" si="611">AR345-AR343</f>
        <v>-1.1538461538461442E-2</v>
      </c>
      <c r="AS344" s="604">
        <f t="shared" si="611"/>
        <v>-6.9063180827887427E-3</v>
      </c>
      <c r="AT344" s="603">
        <f t="shared" si="611"/>
        <v>-1.05418840977754E-2</v>
      </c>
      <c r="AU344" s="779">
        <f t="shared" ref="AU344" si="612">AU345-AU343</f>
        <v>-4.1876430205950721E-3</v>
      </c>
      <c r="AV344" s="457"/>
      <c r="AW344" s="457"/>
      <c r="AX344" s="457"/>
      <c r="AY344" s="479"/>
      <c r="AZ344" s="457"/>
      <c r="BA344" s="457"/>
      <c r="BB344" s="457"/>
      <c r="BC344" s="457"/>
      <c r="BD344" s="479"/>
      <c r="BE344" s="479"/>
      <c r="BF344" s="479"/>
      <c r="BG344" s="479"/>
      <c r="BH344" s="363"/>
    </row>
    <row r="345" spans="1:60" s="262" customFormat="1" hidden="1" outlineLevel="1" x14ac:dyDescent="0.35">
      <c r="A345" s="154" t="s">
        <v>905</v>
      </c>
      <c r="B345" s="312"/>
      <c r="C345" s="105"/>
      <c r="D345" s="105"/>
      <c r="E345" s="105"/>
      <c r="F345" s="105"/>
      <c r="G345" s="200"/>
      <c r="H345" s="200"/>
      <c r="I345" s="200"/>
      <c r="J345" s="200"/>
      <c r="K345" s="105"/>
      <c r="L345" s="200"/>
      <c r="M345" s="200"/>
      <c r="N345" s="200"/>
      <c r="O345" s="200"/>
      <c r="P345" s="105"/>
      <c r="Q345" s="200"/>
      <c r="R345" s="200"/>
      <c r="S345" s="200"/>
      <c r="T345" s="200"/>
      <c r="U345" s="105"/>
      <c r="V345" s="200"/>
      <c r="W345" s="200"/>
      <c r="X345" s="200"/>
      <c r="Y345" s="200"/>
      <c r="Z345" s="105"/>
      <c r="AA345" s="200"/>
      <c r="AB345" s="200"/>
      <c r="AC345" s="200"/>
      <c r="AD345" s="200"/>
      <c r="AE345" s="47">
        <f>AE371/Z371-1</f>
        <v>1.4349775784753271E-2</v>
      </c>
      <c r="AF345" s="200"/>
      <c r="AG345" s="200"/>
      <c r="AH345" s="200"/>
      <c r="AI345" s="200"/>
      <c r="AJ345" s="47">
        <f t="shared" ref="AJ345" si="613">AJ371/AE371-1</f>
        <v>2.917771883289122E-2</v>
      </c>
      <c r="AK345" s="78">
        <f t="shared" ref="AK345" si="614">AK371/AF371-1</f>
        <v>4.5572916666666741E-2</v>
      </c>
      <c r="AL345" s="78">
        <f t="shared" ref="AL345" si="615">AL371/AG371-1</f>
        <v>4.1896361631753143E-2</v>
      </c>
      <c r="AM345" s="78">
        <f t="shared" ref="AM345" si="616">AM371/AH371-1</f>
        <v>5.06465517241379E-2</v>
      </c>
      <c r="AN345" s="78">
        <f t="shared" ref="AN345" si="617">AN371/AI371-1</f>
        <v>3.2620922384701823E-2</v>
      </c>
      <c r="AO345" s="47">
        <f t="shared" ref="AO345" si="618">AO371/AJ371-1</f>
        <v>4.2668957617411296E-2</v>
      </c>
      <c r="AP345" s="78">
        <f t="shared" ref="AP345" si="619">AP371/AK371-1</f>
        <v>8.8418430884184218E-2</v>
      </c>
      <c r="AQ345" s="78">
        <f t="shared" ref="AQ345" si="620">AQ371/AL371-1</f>
        <v>-5.2910052910052907E-2</v>
      </c>
      <c r="AR345" s="78">
        <f t="shared" ref="AR345" si="621">AR371/AM371-1</f>
        <v>5.8461538461538565E-2</v>
      </c>
      <c r="AS345" s="78">
        <f t="shared" ref="AS345" si="622">AS371/AN371-1</f>
        <v>0.12309368191721126</v>
      </c>
      <c r="AT345" s="47">
        <f t="shared" ref="AT345:AU345" si="623">AT371/AO371-1</f>
        <v>5.24581159022246E-2</v>
      </c>
      <c r="AU345" s="761">
        <f t="shared" si="623"/>
        <v>8.5812356979404925E-2</v>
      </c>
      <c r="AV345" s="200"/>
      <c r="AW345" s="200"/>
      <c r="AX345" s="200"/>
      <c r="AY345" s="105"/>
      <c r="AZ345" s="200"/>
      <c r="BA345" s="200"/>
      <c r="BB345" s="200"/>
      <c r="BC345" s="200"/>
      <c r="BD345" s="105"/>
      <c r="BE345" s="105"/>
      <c r="BF345" s="105"/>
      <c r="BG345" s="105"/>
      <c r="BH345" s="363"/>
    </row>
    <row r="346" spans="1:60" s="262" customFormat="1" hidden="1" outlineLevel="2" x14ac:dyDescent="0.35">
      <c r="A346" s="513" t="s">
        <v>486</v>
      </c>
      <c r="B346" s="312"/>
      <c r="C346" s="105"/>
      <c r="D346" s="105"/>
      <c r="E346" s="105"/>
      <c r="F346" s="105"/>
      <c r="G346" s="200"/>
      <c r="H346" s="200"/>
      <c r="I346" s="200"/>
      <c r="J346" s="200"/>
      <c r="K346" s="105"/>
      <c r="L346" s="200"/>
      <c r="M346" s="200"/>
      <c r="N346" s="200"/>
      <c r="O346" s="200"/>
      <c r="P346" s="105"/>
      <c r="Q346" s="200"/>
      <c r="R346" s="200"/>
      <c r="S346" s="200"/>
      <c r="T346" s="200"/>
      <c r="U346" s="105"/>
      <c r="V346" s="200"/>
      <c r="W346" s="200"/>
      <c r="X346" s="200"/>
      <c r="Y346" s="200"/>
      <c r="Z346" s="105"/>
      <c r="AA346" s="200"/>
      <c r="AB346" s="200"/>
      <c r="AC346" s="200"/>
      <c r="AD346" s="200"/>
      <c r="AE346" s="105"/>
      <c r="AF346" s="200"/>
      <c r="AG346" s="200"/>
      <c r="AH346" s="200"/>
      <c r="AI346" s="200"/>
      <c r="AJ346" s="105"/>
      <c r="AK346" s="200"/>
      <c r="AL346" s="78">
        <v>-1.0999999999999999E-2</v>
      </c>
      <c r="AM346" s="78">
        <v>-0.01</v>
      </c>
      <c r="AN346" s="78">
        <v>-0.02</v>
      </c>
      <c r="AO346" s="47">
        <v>-1.7999999999999999E-2</v>
      </c>
      <c r="AP346" s="78">
        <v>-8.0000000000000002E-3</v>
      </c>
      <c r="AQ346" s="78">
        <v>-0.06</v>
      </c>
      <c r="AR346" s="78">
        <v>-0.01</v>
      </c>
      <c r="AS346" s="78">
        <v>-0.02</v>
      </c>
      <c r="AT346" s="47">
        <v>-1.7999999999999999E-2</v>
      </c>
      <c r="AU346" s="759">
        <v>0.05</v>
      </c>
      <c r="AV346" s="200"/>
      <c r="AW346" s="200"/>
      <c r="AX346" s="200"/>
      <c r="AY346" s="105"/>
      <c r="AZ346" s="200"/>
      <c r="BA346" s="200"/>
      <c r="BB346" s="200"/>
      <c r="BC346" s="200"/>
      <c r="BD346" s="105"/>
      <c r="BE346" s="105"/>
      <c r="BF346" s="105"/>
      <c r="BG346" s="105"/>
      <c r="BH346" s="363"/>
    </row>
    <row r="347" spans="1:60" s="262" customFormat="1" hidden="1" outlineLevel="2" x14ac:dyDescent="0.35">
      <c r="A347" s="605" t="s">
        <v>906</v>
      </c>
      <c r="B347" s="465"/>
      <c r="C347" s="479"/>
      <c r="D347" s="479"/>
      <c r="E347" s="479"/>
      <c r="F347" s="479"/>
      <c r="G347" s="457"/>
      <c r="H347" s="457"/>
      <c r="I347" s="457"/>
      <c r="J347" s="457"/>
      <c r="K347" s="479"/>
      <c r="L347" s="457"/>
      <c r="M347" s="457"/>
      <c r="N347" s="457"/>
      <c r="O347" s="457"/>
      <c r="P347" s="479"/>
      <c r="Q347" s="457"/>
      <c r="R347" s="457"/>
      <c r="S347" s="457"/>
      <c r="T347" s="457"/>
      <c r="U347" s="479"/>
      <c r="V347" s="457"/>
      <c r="W347" s="457"/>
      <c r="X347" s="457"/>
      <c r="Y347" s="457"/>
      <c r="Z347" s="479"/>
      <c r="AA347" s="457"/>
      <c r="AB347" s="457"/>
      <c r="AC347" s="457"/>
      <c r="AD347" s="457"/>
      <c r="AE347" s="479"/>
      <c r="AF347" s="457"/>
      <c r="AG347" s="457"/>
      <c r="AH347" s="457"/>
      <c r="AI347" s="457"/>
      <c r="AJ347" s="479"/>
      <c r="AK347" s="457"/>
      <c r="AL347" s="604">
        <f t="shared" ref="AL347" si="624">AL348-AL346</f>
        <v>-6.0713147410358617E-2</v>
      </c>
      <c r="AM347" s="604">
        <f t="shared" ref="AM347" si="625">AM348-AM346</f>
        <v>-2.7974683544303776E-2</v>
      </c>
      <c r="AN347" s="604">
        <f t="shared" ref="AN347" si="626">AN348-AN346</f>
        <v>-1.703703703703709E-2</v>
      </c>
      <c r="AO347" s="603">
        <f t="shared" ref="AO347" si="627">AO348-AO346</f>
        <v>-4.958080313418213E-2</v>
      </c>
      <c r="AP347" s="604">
        <f t="shared" ref="AP347" si="628">AP348-AP346</f>
        <v>-1.9237354085603127E-2</v>
      </c>
      <c r="AQ347" s="604">
        <f t="shared" ref="AQ347" si="629">AQ348-AQ346</f>
        <v>-4.3776824034334472E-3</v>
      </c>
      <c r="AR347" s="604">
        <f t="shared" ref="AR347:AT347" si="630">AR348-AR346</f>
        <v>2.3157894736842037E-2</v>
      </c>
      <c r="AS347" s="604">
        <f t="shared" si="630"/>
        <v>4.5641025641025554E-2</v>
      </c>
      <c r="AT347" s="603">
        <f t="shared" si="630"/>
        <v>4.3445378151260976E-3</v>
      </c>
      <c r="AU347" s="779">
        <f t="shared" ref="AU347" si="631">AU348-AU346</f>
        <v>6.2000000000000097E-2</v>
      </c>
      <c r="AV347" s="457"/>
      <c r="AW347" s="457"/>
      <c r="AX347" s="457"/>
      <c r="AY347" s="479"/>
      <c r="AZ347" s="457"/>
      <c r="BA347" s="457"/>
      <c r="BB347" s="457"/>
      <c r="BC347" s="457"/>
      <c r="BD347" s="479"/>
      <c r="BE347" s="479"/>
      <c r="BF347" s="479"/>
      <c r="BG347" s="479"/>
      <c r="BH347" s="363"/>
    </row>
    <row r="348" spans="1:60" s="262" customFormat="1" hidden="1" outlineLevel="1" x14ac:dyDescent="0.35">
      <c r="A348" s="154" t="s">
        <v>910</v>
      </c>
      <c r="B348" s="312"/>
      <c r="C348" s="105"/>
      <c r="D348" s="105"/>
      <c r="E348" s="105"/>
      <c r="F348" s="105"/>
      <c r="G348" s="200"/>
      <c r="H348" s="200"/>
      <c r="I348" s="200"/>
      <c r="J348" s="200"/>
      <c r="K348" s="105"/>
      <c r="L348" s="200"/>
      <c r="M348" s="200"/>
      <c r="N348" s="200"/>
      <c r="O348" s="200"/>
      <c r="P348" s="105"/>
      <c r="Q348" s="200"/>
      <c r="R348" s="200"/>
      <c r="S348" s="200"/>
      <c r="T348" s="200"/>
      <c r="U348" s="105"/>
      <c r="V348" s="200"/>
      <c r="W348" s="200"/>
      <c r="X348" s="200"/>
      <c r="Y348" s="200"/>
      <c r="Z348" s="105"/>
      <c r="AA348" s="200"/>
      <c r="AB348" s="200"/>
      <c r="AC348" s="200"/>
      <c r="AD348" s="200"/>
      <c r="AE348" s="47">
        <f>AE372/Z372-1</f>
        <v>0.11726384364820852</v>
      </c>
      <c r="AF348" s="200"/>
      <c r="AG348" s="200"/>
      <c r="AH348" s="200"/>
      <c r="AI348" s="200"/>
      <c r="AJ348" s="47">
        <f t="shared" ref="AJ348" si="632">AJ372/AE372-1</f>
        <v>-7.7745383867833251E-3</v>
      </c>
      <c r="AK348" s="78">
        <f t="shared" ref="AK348" si="633">AK372/AF372-1</f>
        <v>-0.11379310344827587</v>
      </c>
      <c r="AL348" s="78">
        <f t="shared" ref="AL348" si="634">AL372/AG372-1</f>
        <v>-7.1713147410358613E-2</v>
      </c>
      <c r="AM348" s="78">
        <f t="shared" ref="AM348" si="635">AM372/AH372-1</f>
        <v>-3.7974683544303778E-2</v>
      </c>
      <c r="AN348" s="78">
        <f t="shared" ref="AN348" si="636">AN372/AI372-1</f>
        <v>-3.703703703703709E-2</v>
      </c>
      <c r="AO348" s="47">
        <f t="shared" ref="AO348" si="637">AO372/AJ372-1</f>
        <v>-6.7580803134182132E-2</v>
      </c>
      <c r="AP348" s="78">
        <f t="shared" ref="AP348" si="638">AP372/AK372-1</f>
        <v>-2.7237354085603127E-2</v>
      </c>
      <c r="AQ348" s="78">
        <f t="shared" ref="AQ348" si="639">AQ372/AL372-1</f>
        <v>-6.4377682403433445E-2</v>
      </c>
      <c r="AR348" s="78">
        <f t="shared" ref="AR348" si="640">AR372/AM372-1</f>
        <v>1.3157894736842035E-2</v>
      </c>
      <c r="AS348" s="78">
        <f t="shared" ref="AS348" si="641">AS372/AN372-1</f>
        <v>2.564102564102555E-2</v>
      </c>
      <c r="AT348" s="47">
        <f t="shared" ref="AT348:AU348" si="642">AT372/AO372-1</f>
        <v>-1.3655462184873901E-2</v>
      </c>
      <c r="AU348" s="761">
        <f t="shared" si="642"/>
        <v>0.1120000000000001</v>
      </c>
      <c r="AV348" s="200"/>
      <c r="AW348" s="200"/>
      <c r="AX348" s="200"/>
      <c r="AY348" s="105"/>
      <c r="AZ348" s="200"/>
      <c r="BA348" s="200"/>
      <c r="BB348" s="200"/>
      <c r="BC348" s="200"/>
      <c r="BD348" s="105"/>
      <c r="BE348" s="105"/>
      <c r="BF348" s="105"/>
      <c r="BG348" s="105"/>
      <c r="BH348" s="363"/>
    </row>
    <row r="349" spans="1:60" s="262" customFormat="1" hidden="1" outlineLevel="2" x14ac:dyDescent="0.35">
      <c r="A349" s="513" t="s">
        <v>487</v>
      </c>
      <c r="B349" s="312"/>
      <c r="C349" s="105"/>
      <c r="D349" s="105"/>
      <c r="E349" s="105"/>
      <c r="F349" s="105"/>
      <c r="G349" s="200"/>
      <c r="H349" s="200"/>
      <c r="I349" s="200"/>
      <c r="J349" s="200"/>
      <c r="K349" s="105"/>
      <c r="L349" s="200"/>
      <c r="M349" s="200"/>
      <c r="N349" s="200"/>
      <c r="O349" s="200"/>
      <c r="P349" s="105"/>
      <c r="Q349" s="200"/>
      <c r="R349" s="200"/>
      <c r="S349" s="200"/>
      <c r="T349" s="200"/>
      <c r="U349" s="105"/>
      <c r="V349" s="200"/>
      <c r="W349" s="200"/>
      <c r="X349" s="200"/>
      <c r="Y349" s="200"/>
      <c r="Z349" s="105"/>
      <c r="AA349" s="200"/>
      <c r="AB349" s="200"/>
      <c r="AC349" s="200"/>
      <c r="AD349" s="200"/>
      <c r="AE349" s="105"/>
      <c r="AF349" s="200"/>
      <c r="AG349" s="200"/>
      <c r="AH349" s="200"/>
      <c r="AI349" s="200"/>
      <c r="AJ349" s="105"/>
      <c r="AK349" s="200"/>
      <c r="AL349" s="78">
        <v>-3.5999999999999997E-2</v>
      </c>
      <c r="AM349" s="78">
        <v>4.5999999999999999E-2</v>
      </c>
      <c r="AN349" s="78">
        <v>-0.01</v>
      </c>
      <c r="AO349" s="47">
        <v>-1E-3</v>
      </c>
      <c r="AP349" s="78">
        <v>-3.2000000000000001E-2</v>
      </c>
      <c r="AQ349" s="78">
        <v>-0.1</v>
      </c>
      <c r="AR349" s="78">
        <v>0.05</v>
      </c>
      <c r="AS349" s="78">
        <v>-0.01</v>
      </c>
      <c r="AT349" s="47">
        <v>-1E-3</v>
      </c>
      <c r="AU349" s="759">
        <v>7.0000000000000007E-2</v>
      </c>
      <c r="AV349" s="200"/>
      <c r="AW349" s="200"/>
      <c r="AX349" s="200"/>
      <c r="AY349" s="105"/>
      <c r="AZ349" s="200"/>
      <c r="BA349" s="200"/>
      <c r="BB349" s="200"/>
      <c r="BC349" s="200"/>
      <c r="BD349" s="105"/>
      <c r="BE349" s="105"/>
      <c r="BF349" s="105"/>
      <c r="BG349" s="105"/>
      <c r="BH349" s="363"/>
    </row>
    <row r="350" spans="1:60" s="262" customFormat="1" hidden="1" outlineLevel="2" x14ac:dyDescent="0.35">
      <c r="A350" s="605" t="s">
        <v>907</v>
      </c>
      <c r="B350" s="465"/>
      <c r="C350" s="479"/>
      <c r="D350" s="479"/>
      <c r="E350" s="479"/>
      <c r="F350" s="479"/>
      <c r="G350" s="457"/>
      <c r="H350" s="457"/>
      <c r="I350" s="457"/>
      <c r="J350" s="457"/>
      <c r="K350" s="479"/>
      <c r="L350" s="457"/>
      <c r="M350" s="457"/>
      <c r="N350" s="457"/>
      <c r="O350" s="457"/>
      <c r="P350" s="479"/>
      <c r="Q350" s="457"/>
      <c r="R350" s="457"/>
      <c r="S350" s="457"/>
      <c r="T350" s="457"/>
      <c r="U350" s="479"/>
      <c r="V350" s="457"/>
      <c r="W350" s="457"/>
      <c r="X350" s="457"/>
      <c r="Y350" s="457"/>
      <c r="Z350" s="479"/>
      <c r="AA350" s="457"/>
      <c r="AB350" s="457"/>
      <c r="AC350" s="457"/>
      <c r="AD350" s="457"/>
      <c r="AE350" s="479"/>
      <c r="AF350" s="457"/>
      <c r="AG350" s="457"/>
      <c r="AH350" s="457"/>
      <c r="AI350" s="457"/>
      <c r="AJ350" s="479"/>
      <c r="AK350" s="457"/>
      <c r="AL350" s="604">
        <f t="shared" ref="AL350" si="643">AL351-AL349</f>
        <v>-3.6368421052631529E-2</v>
      </c>
      <c r="AM350" s="604">
        <f t="shared" ref="AM350" si="644">AM351-AM349</f>
        <v>-2.4102189781021813E-2</v>
      </c>
      <c r="AN350" s="604">
        <f t="shared" ref="AN350" si="645">AN351-AN349</f>
        <v>1.7352941176470564E-2</v>
      </c>
      <c r="AO350" s="603">
        <f t="shared" ref="AO350" si="646">AO351-AO349</f>
        <v>-2.5132404181184675E-2</v>
      </c>
      <c r="AP350" s="604">
        <f t="shared" ref="AP350" si="647">AP351-AP349</f>
        <v>-3.1829787234042534E-2</v>
      </c>
      <c r="AQ350" s="604">
        <f t="shared" ref="AQ350" si="648">AQ351-AQ349</f>
        <v>-1.3475177304964586E-2</v>
      </c>
      <c r="AR350" s="604">
        <f t="shared" ref="AR350:AT350" si="649">AR351-AR349</f>
        <v>5.0000000000000086E-2</v>
      </c>
      <c r="AS350" s="604">
        <f t="shared" si="649"/>
        <v>0.14868613138686126</v>
      </c>
      <c r="AT350" s="603">
        <f t="shared" si="649"/>
        <v>1.5311270125223708E-2</v>
      </c>
      <c r="AU350" s="779">
        <f t="shared" ref="AU350" si="650">AU351-AU349</f>
        <v>3.606060606060596E-2</v>
      </c>
      <c r="AV350" s="457"/>
      <c r="AW350" s="457"/>
      <c r="AX350" s="457"/>
      <c r="AY350" s="479"/>
      <c r="AZ350" s="457"/>
      <c r="BA350" s="457"/>
      <c r="BB350" s="457"/>
      <c r="BC350" s="457"/>
      <c r="BD350" s="479"/>
      <c r="BE350" s="479"/>
      <c r="BF350" s="479"/>
      <c r="BG350" s="479"/>
      <c r="BH350" s="363"/>
    </row>
    <row r="351" spans="1:60" s="262" customFormat="1" hidden="1" outlineLevel="1" x14ac:dyDescent="0.35">
      <c r="A351" s="589" t="s">
        <v>908</v>
      </c>
      <c r="B351" s="465"/>
      <c r="C351" s="479"/>
      <c r="D351" s="479"/>
      <c r="E351" s="479"/>
      <c r="F351" s="479"/>
      <c r="G351" s="457"/>
      <c r="H351" s="457"/>
      <c r="I351" s="457"/>
      <c r="J351" s="457"/>
      <c r="K351" s="479"/>
      <c r="L351" s="457"/>
      <c r="M351" s="457"/>
      <c r="N351" s="457"/>
      <c r="O351" s="457"/>
      <c r="P351" s="479"/>
      <c r="Q351" s="457"/>
      <c r="R351" s="457"/>
      <c r="S351" s="457"/>
      <c r="T351" s="457"/>
      <c r="U351" s="479"/>
      <c r="V351" s="457"/>
      <c r="W351" s="457"/>
      <c r="X351" s="457"/>
      <c r="Y351" s="457"/>
      <c r="Z351" s="479"/>
      <c r="AA351" s="457"/>
      <c r="AB351" s="457"/>
      <c r="AC351" s="457"/>
      <c r="AD351" s="457"/>
      <c r="AE351" s="603">
        <f>AE373/Z373-1</f>
        <v>2.2727272727272707E-2</v>
      </c>
      <c r="AF351" s="457"/>
      <c r="AG351" s="457"/>
      <c r="AH351" s="457"/>
      <c r="AI351" s="457"/>
      <c r="AJ351" s="603">
        <f t="shared" ref="AJ351" si="651">AJ373/AE373-1</f>
        <v>-1.8803418803418848E-2</v>
      </c>
      <c r="AK351" s="604">
        <f t="shared" ref="AK351" si="652">AK373/AF373-1</f>
        <v>-5.3691275167785268E-2</v>
      </c>
      <c r="AL351" s="604">
        <f t="shared" ref="AL351" si="653">AL373/AG373-1</f>
        <v>-7.2368421052631526E-2</v>
      </c>
      <c r="AM351" s="604">
        <f t="shared" ref="AM351" si="654">AM373/AH373-1</f>
        <v>2.1897810218978186E-2</v>
      </c>
      <c r="AN351" s="604">
        <f t="shared" ref="AN351" si="655">AN373/AI373-1</f>
        <v>7.3529411764705621E-3</v>
      </c>
      <c r="AO351" s="603">
        <f t="shared" ref="AO351" si="656">AO373/AJ373-1</f>
        <v>-2.6132404181184676E-2</v>
      </c>
      <c r="AP351" s="604">
        <f t="shared" ref="AP351" si="657">AP373/AK373-1</f>
        <v>-6.3829787234042534E-2</v>
      </c>
      <c r="AQ351" s="604">
        <f t="shared" ref="AQ351" si="658">AQ373/AL373-1</f>
        <v>-0.11347517730496459</v>
      </c>
      <c r="AR351" s="604">
        <f t="shared" ref="AR351" si="659">AR373/AM373-1</f>
        <v>0.10000000000000009</v>
      </c>
      <c r="AS351" s="604">
        <f t="shared" ref="AS351" si="660">AS373/AN373-1</f>
        <v>0.13868613138686126</v>
      </c>
      <c r="AT351" s="603">
        <f t="shared" ref="AT351:AU351" si="661">AT373/AO373-1</f>
        <v>1.4311270125223707E-2</v>
      </c>
      <c r="AU351" s="779">
        <f t="shared" si="661"/>
        <v>0.10606060606060597</v>
      </c>
      <c r="AV351" s="457"/>
      <c r="AW351" s="457"/>
      <c r="AX351" s="457"/>
      <c r="AY351" s="479"/>
      <c r="AZ351" s="457"/>
      <c r="BA351" s="457"/>
      <c r="BB351" s="457"/>
      <c r="BC351" s="457"/>
      <c r="BD351" s="479"/>
      <c r="BE351" s="479"/>
      <c r="BF351" s="479"/>
      <c r="BG351" s="479"/>
      <c r="BH351" s="363"/>
    </row>
    <row r="352" spans="1:60" s="225" customFormat="1" hidden="1" outlineLevel="1" x14ac:dyDescent="0.35">
      <c r="A352" s="227" t="s">
        <v>909</v>
      </c>
      <c r="B352" s="176"/>
      <c r="C352" s="113"/>
      <c r="D352" s="113"/>
      <c r="E352" s="113"/>
      <c r="F352" s="113"/>
      <c r="G352" s="177"/>
      <c r="H352" s="177"/>
      <c r="I352" s="177"/>
      <c r="J352" s="177"/>
      <c r="K352" s="113"/>
      <c r="L352" s="177"/>
      <c r="M352" s="177"/>
      <c r="N352" s="177"/>
      <c r="O352" s="177"/>
      <c r="P352" s="113"/>
      <c r="Q352" s="177"/>
      <c r="R352" s="177"/>
      <c r="S352" s="177"/>
      <c r="T352" s="177"/>
      <c r="U352" s="113"/>
      <c r="V352" s="177"/>
      <c r="W352" s="177"/>
      <c r="X352" s="177"/>
      <c r="Y352" s="177"/>
      <c r="Z352" s="113"/>
      <c r="AA352" s="226">
        <f t="shared" ref="AA352" si="662">AA375/V375-1</f>
        <v>5.2539404553415547E-3</v>
      </c>
      <c r="AB352" s="226">
        <f t="shared" ref="AB352" si="663">AB375/W375-1</f>
        <v>9.7323600973235891E-3</v>
      </c>
      <c r="AC352" s="226">
        <f t="shared" ref="AC352" si="664">AC375/X375-1</f>
        <v>3.935185185185186E-2</v>
      </c>
      <c r="AD352" s="226">
        <f t="shared" ref="AD352" si="665">AD375/Y375-1</f>
        <v>8.3904109589041154E-2</v>
      </c>
      <c r="AE352" s="223">
        <f t="shared" ref="AE352" si="666">AE375/Z375-1</f>
        <v>3.4511262657573871E-2</v>
      </c>
      <c r="AF352" s="226">
        <f t="shared" ref="AF352" si="667">AF375/AA375-1</f>
        <v>5.2264808362369353E-2</v>
      </c>
      <c r="AG352" s="226">
        <f t="shared" ref="AG352" si="668">AG375/AB375-1</f>
        <v>5.1405622489959946E-2</v>
      </c>
      <c r="AH352" s="226">
        <f t="shared" ref="AH352" si="669">AH375/AC375-1</f>
        <v>-3.3407572383073458E-2</v>
      </c>
      <c r="AI352" s="226">
        <f t="shared" ref="AI352" si="670">AI375/AD375-1</f>
        <v>7.898894154818592E-4</v>
      </c>
      <c r="AJ352" s="223">
        <f t="shared" ref="AJ352" si="671">AJ375/AE375-1</f>
        <v>1.5980823012385237E-2</v>
      </c>
      <c r="AK352" s="226">
        <f t="shared" ref="AK352" si="672">AK375/AF375-1</f>
        <v>-6.6225165562914245E-3</v>
      </c>
      <c r="AL352" s="226">
        <f t="shared" ref="AL352" si="673">AL375/AG375-1</f>
        <v>8.4033613445377853E-3</v>
      </c>
      <c r="AM352" s="226">
        <f t="shared" ref="AM352" si="674">AM375/AH375-1</f>
        <v>3.0721966205837115E-2</v>
      </c>
      <c r="AN352" s="226">
        <f t="shared" ref="AN352" si="675">AN375/AI375-1</f>
        <v>1.7363851617995252E-2</v>
      </c>
      <c r="AO352" s="223">
        <f t="shared" ref="AO352" si="676">AO375/AJ375-1</f>
        <v>1.2780180888714021E-2</v>
      </c>
      <c r="AP352" s="226">
        <f>AP359</f>
        <v>4.6666666666666634E-2</v>
      </c>
      <c r="AQ352" s="226">
        <f t="shared" ref="AQ352:AT352" si="677">AQ359</f>
        <v>-6.2121212121212133E-2</v>
      </c>
      <c r="AR352" s="226">
        <f t="shared" si="677"/>
        <v>5.5886736214605159E-2</v>
      </c>
      <c r="AS352" s="226">
        <f t="shared" si="677"/>
        <v>0.10550814584949575</v>
      </c>
      <c r="AT352" s="223">
        <f t="shared" si="677"/>
        <v>3.5915356241506435E-2</v>
      </c>
      <c r="AU352" s="773">
        <f>AU359</f>
        <v>9.8400000000000043E-2</v>
      </c>
      <c r="AV352" s="177"/>
      <c r="AW352" s="177"/>
      <c r="AX352" s="177"/>
      <c r="AY352" s="113"/>
      <c r="AZ352" s="226">
        <f>AZ375/AU375-1</f>
        <v>4.5000000000000151E-2</v>
      </c>
      <c r="BA352" s="226">
        <f>BA375/AV375-1</f>
        <v>4.4999999999999929E-2</v>
      </c>
      <c r="BB352" s="226">
        <f>BB375/AW375-1</f>
        <v>4.4999999999999929E-2</v>
      </c>
      <c r="BC352" s="226">
        <f>BC375/AX375-1</f>
        <v>4.4999999999999929E-2</v>
      </c>
      <c r="BD352" s="223">
        <f>BD375/AY375-1</f>
        <v>4.4999999999999929E-2</v>
      </c>
      <c r="BE352" s="223">
        <f>BE375/BD375-1</f>
        <v>4.4999999999999929E-2</v>
      </c>
      <c r="BF352" s="223">
        <f>BF375/BE375-1</f>
        <v>4.4999999999999929E-2</v>
      </c>
      <c r="BG352" s="223">
        <f>BG375/BF375-1</f>
        <v>4.5000000000000151E-2</v>
      </c>
      <c r="BH352" s="94"/>
    </row>
    <row r="353" spans="1:60" s="262" customFormat="1" hidden="1" outlineLevel="1" x14ac:dyDescent="0.35">
      <c r="A353" s="514"/>
      <c r="B353" s="312"/>
      <c r="C353" s="105"/>
      <c r="D353" s="105"/>
      <c r="E353" s="105"/>
      <c r="F353" s="105"/>
      <c r="G353" s="200"/>
      <c r="H353" s="200"/>
      <c r="I353" s="200"/>
      <c r="J353" s="200"/>
      <c r="K353" s="105"/>
      <c r="L353" s="200"/>
      <c r="M353" s="200"/>
      <c r="N353" s="200"/>
      <c r="O353" s="200"/>
      <c r="P353" s="105"/>
      <c r="Q353" s="200"/>
      <c r="R353" s="200"/>
      <c r="S353" s="200"/>
      <c r="T353" s="200"/>
      <c r="U353" s="105"/>
      <c r="V353" s="200"/>
      <c r="W353" s="200"/>
      <c r="X353" s="200"/>
      <c r="Y353" s="200"/>
      <c r="Z353" s="105"/>
      <c r="AA353" s="200"/>
      <c r="AB353" s="200"/>
      <c r="AC353" s="200"/>
      <c r="AD353" s="200"/>
      <c r="AE353" s="105"/>
      <c r="AF353" s="200"/>
      <c r="AG353" s="200"/>
      <c r="AH353" s="200"/>
      <c r="AI353" s="200"/>
      <c r="AJ353" s="105"/>
      <c r="AK353" s="200"/>
      <c r="AL353" s="200"/>
      <c r="AM353" s="200"/>
      <c r="AN353" s="200"/>
      <c r="AO353" s="105"/>
      <c r="AP353" s="200"/>
      <c r="AQ353" s="200"/>
      <c r="AR353" s="200"/>
      <c r="AS353" s="200"/>
      <c r="AT353" s="105"/>
      <c r="AU353" s="761"/>
      <c r="AV353" s="200"/>
      <c r="AW353" s="200"/>
      <c r="AX353" s="200"/>
      <c r="AY353" s="105"/>
      <c r="AZ353" s="200"/>
      <c r="BA353" s="200"/>
      <c r="BB353" s="200"/>
      <c r="BC353" s="200"/>
      <c r="BD353" s="105"/>
      <c r="BE353" s="105"/>
      <c r="BF353" s="105"/>
      <c r="BG353" s="105"/>
      <c r="BH353" s="363"/>
    </row>
    <row r="354" spans="1:60" s="262" customFormat="1" hidden="1" outlineLevel="1" x14ac:dyDescent="0.35">
      <c r="A354" s="311" t="s">
        <v>19</v>
      </c>
      <c r="B354" s="312"/>
      <c r="C354" s="105"/>
      <c r="D354" s="105"/>
      <c r="E354" s="105"/>
      <c r="F354" s="105"/>
      <c r="G354" s="200"/>
      <c r="H354" s="200"/>
      <c r="I354" s="200"/>
      <c r="J354" s="200"/>
      <c r="K354" s="105"/>
      <c r="L354" s="200"/>
      <c r="M354" s="200"/>
      <c r="N354" s="200"/>
      <c r="O354" s="200"/>
      <c r="P354" s="105"/>
      <c r="Q354" s="200"/>
      <c r="R354" s="200"/>
      <c r="S354" s="200"/>
      <c r="T354" s="200"/>
      <c r="U354" s="105"/>
      <c r="V354" s="200"/>
      <c r="W354" s="200"/>
      <c r="X354" s="200"/>
      <c r="Y354" s="200"/>
      <c r="Z354" s="105"/>
      <c r="AA354" s="200">
        <v>1E-3</v>
      </c>
      <c r="AB354" s="200">
        <v>1.2E-2</v>
      </c>
      <c r="AC354" s="200">
        <v>3.5999999999999997E-2</v>
      </c>
      <c r="AD354" s="200">
        <v>6.5000000000000002E-2</v>
      </c>
      <c r="AE354" s="105">
        <f>AE362/AE$361</f>
        <v>2.8624509196114901E-2</v>
      </c>
      <c r="AF354" s="200">
        <v>2.1000000000000001E-2</v>
      </c>
      <c r="AG354" s="200">
        <v>4.5999999999999999E-2</v>
      </c>
      <c r="AH354" s="200">
        <v>-2.1999999999999999E-2</v>
      </c>
      <c r="AI354" s="200">
        <v>1.9E-2</v>
      </c>
      <c r="AJ354" s="105">
        <f>AJ362/AJ$361</f>
        <v>1.5141430283659609E-2</v>
      </c>
      <c r="AK354" s="200">
        <v>1.6E-2</v>
      </c>
      <c r="AL354" s="200">
        <v>7.0000000000000001E-3</v>
      </c>
      <c r="AM354" s="200">
        <v>2.5999999999999999E-2</v>
      </c>
      <c r="AN354" s="200">
        <v>2E-3</v>
      </c>
      <c r="AO354" s="105">
        <f>AO362/AO$361</f>
        <v>1.2755996854109318E-2</v>
      </c>
      <c r="AP354" s="200">
        <v>6.0999999999999999E-2</v>
      </c>
      <c r="AQ354" s="200">
        <v>-0.05</v>
      </c>
      <c r="AR354" s="200">
        <v>5.5E-2</v>
      </c>
      <c r="AS354" s="200">
        <v>9.9000000000000005E-2</v>
      </c>
      <c r="AT354" s="105">
        <f>AT362/AT$361</f>
        <v>4.0501067753834212E-2</v>
      </c>
      <c r="AU354" s="761">
        <v>7.8E-2</v>
      </c>
      <c r="AV354" s="200"/>
      <c r="AW354" s="200"/>
      <c r="AX354" s="200"/>
      <c r="AY354" s="105"/>
      <c r="AZ354" s="942">
        <f>Drivers!AZ67</f>
        <v>3.5000000000000003E-2</v>
      </c>
      <c r="BA354" s="942">
        <f>Drivers!BA67</f>
        <v>3.5000000000000003E-2</v>
      </c>
      <c r="BB354" s="942">
        <f>Drivers!BB67</f>
        <v>3.5000000000000003E-2</v>
      </c>
      <c r="BC354" s="942">
        <f>Drivers!BC67</f>
        <v>3.5000000000000003E-2</v>
      </c>
      <c r="BD354" s="105">
        <f>BD362/BD$361</f>
        <v>3.5000000000000003E-2</v>
      </c>
      <c r="BE354" s="942">
        <f>Drivers!BE67</f>
        <v>3.5000000000000003E-2</v>
      </c>
      <c r="BF354" s="942">
        <f>Drivers!BF67</f>
        <v>3.5000000000000003E-2</v>
      </c>
      <c r="BG354" s="942">
        <f>Drivers!BG67</f>
        <v>3.5000000000000003E-2</v>
      </c>
      <c r="BH354" s="363"/>
    </row>
    <row r="355" spans="1:60" s="262" customFormat="1" hidden="1" outlineLevel="1" x14ac:dyDescent="0.35">
      <c r="A355" s="311" t="s">
        <v>435</v>
      </c>
      <c r="B355" s="312"/>
      <c r="C355" s="105"/>
      <c r="D355" s="105"/>
      <c r="E355" s="105"/>
      <c r="F355" s="105"/>
      <c r="G355" s="200"/>
      <c r="H355" s="200"/>
      <c r="I355" s="200"/>
      <c r="J355" s="200"/>
      <c r="K355" s="105"/>
      <c r="L355" s="200"/>
      <c r="M355" s="200"/>
      <c r="N355" s="200"/>
      <c r="O355" s="200"/>
      <c r="P355" s="105"/>
      <c r="Q355" s="200"/>
      <c r="R355" s="200"/>
      <c r="S355" s="200"/>
      <c r="T355" s="200"/>
      <c r="U355" s="105"/>
      <c r="V355" s="200"/>
      <c r="W355" s="200"/>
      <c r="X355" s="200"/>
      <c r="Y355" s="200"/>
      <c r="Z355" s="105"/>
      <c r="AA355" s="200"/>
      <c r="AB355" s="200"/>
      <c r="AC355" s="200"/>
      <c r="AD355" s="200"/>
      <c r="AE355" s="105">
        <f>AE363/AE$361</f>
        <v>0</v>
      </c>
      <c r="AF355" s="200">
        <v>3.0000000000000001E-3</v>
      </c>
      <c r="AG355" s="200">
        <v>2E-3</v>
      </c>
      <c r="AH355" s="200">
        <v>2E-3</v>
      </c>
      <c r="AI355" s="200"/>
      <c r="AJ355" s="105">
        <f>AJ363/AJ$361</f>
        <v>1.7235317618857372E-3</v>
      </c>
      <c r="AK355" s="200"/>
      <c r="AL355" s="200"/>
      <c r="AM355" s="200"/>
      <c r="AN355" s="200"/>
      <c r="AO355" s="105">
        <f>AO363/AO$361</f>
        <v>0</v>
      </c>
      <c r="AP355" s="200"/>
      <c r="AQ355" s="200"/>
      <c r="AR355" s="200"/>
      <c r="AS355" s="200"/>
      <c r="AT355" s="105">
        <f>AT363/AT$361</f>
        <v>0</v>
      </c>
      <c r="AU355" s="761"/>
      <c r="AV355" s="200"/>
      <c r="AW355" s="200"/>
      <c r="AX355" s="200"/>
      <c r="AY355" s="105"/>
      <c r="AZ355" s="942">
        <f>Drivers!AZ68</f>
        <v>0</v>
      </c>
      <c r="BA355" s="942">
        <f>Drivers!BA68</f>
        <v>0</v>
      </c>
      <c r="BB355" s="942">
        <f>Drivers!BB68</f>
        <v>0</v>
      </c>
      <c r="BC355" s="942">
        <f>Drivers!BC68</f>
        <v>0</v>
      </c>
      <c r="BD355" s="105">
        <f>BD363/BD$361</f>
        <v>0</v>
      </c>
      <c r="BE355" s="942">
        <f>Drivers!BE68</f>
        <v>0</v>
      </c>
      <c r="BF355" s="942">
        <f>Drivers!BF68</f>
        <v>0</v>
      </c>
      <c r="BG355" s="942">
        <f>Drivers!BG68</f>
        <v>0</v>
      </c>
      <c r="BH355" s="363"/>
    </row>
    <row r="356" spans="1:60" s="262" customFormat="1" hidden="1" outlineLevel="1" x14ac:dyDescent="0.35">
      <c r="A356" s="311" t="s">
        <v>436</v>
      </c>
      <c r="B356" s="312"/>
      <c r="C356" s="105"/>
      <c r="D356" s="105"/>
      <c r="E356" s="105"/>
      <c r="F356" s="105"/>
      <c r="G356" s="200"/>
      <c r="H356" s="200"/>
      <c r="I356" s="200"/>
      <c r="J356" s="200"/>
      <c r="K356" s="105"/>
      <c r="L356" s="200"/>
      <c r="M356" s="200"/>
      <c r="N356" s="200"/>
      <c r="O356" s="200"/>
      <c r="P356" s="105"/>
      <c r="Q356" s="200"/>
      <c r="R356" s="200"/>
      <c r="S356" s="200"/>
      <c r="T356" s="200"/>
      <c r="U356" s="105"/>
      <c r="V356" s="200"/>
      <c r="W356" s="200"/>
      <c r="X356" s="200"/>
      <c r="Y356" s="200"/>
      <c r="Z356" s="105"/>
      <c r="AA356" s="200"/>
      <c r="AB356" s="200"/>
      <c r="AC356" s="200"/>
      <c r="AD356" s="200"/>
      <c r="AE356" s="105">
        <f>AE364/AE$361</f>
        <v>0</v>
      </c>
      <c r="AF356" s="200"/>
      <c r="AG356" s="200"/>
      <c r="AH356" s="200"/>
      <c r="AI356" s="200"/>
      <c r="AJ356" s="105">
        <f>AJ364/AJ$361</f>
        <v>0</v>
      </c>
      <c r="AK356" s="200"/>
      <c r="AL356" s="200"/>
      <c r="AM356" s="200"/>
      <c r="AN356" s="200"/>
      <c r="AO356" s="105">
        <f>AO364/AO$361</f>
        <v>0</v>
      </c>
      <c r="AP356" s="200"/>
      <c r="AQ356" s="200"/>
      <c r="AR356" s="200"/>
      <c r="AS356" s="200"/>
      <c r="AT356" s="105">
        <f>AT364/AT$361</f>
        <v>0</v>
      </c>
      <c r="AU356" s="761"/>
      <c r="AV356" s="200"/>
      <c r="AW356" s="200"/>
      <c r="AX356" s="200"/>
      <c r="AY356" s="105"/>
      <c r="AZ356" s="942">
        <f>Drivers!AZ69</f>
        <v>0</v>
      </c>
      <c r="BA356" s="942">
        <f>Drivers!BA69</f>
        <v>0</v>
      </c>
      <c r="BB356" s="942">
        <f>Drivers!BB69</f>
        <v>0</v>
      </c>
      <c r="BC356" s="942">
        <f>Drivers!BC69</f>
        <v>0</v>
      </c>
      <c r="BD356" s="105">
        <f>BD364/BD$361</f>
        <v>0</v>
      </c>
      <c r="BE356" s="942">
        <f>Drivers!BE69</f>
        <v>0</v>
      </c>
      <c r="BF356" s="942">
        <f>Drivers!BF69</f>
        <v>0</v>
      </c>
      <c r="BG356" s="942">
        <f>Drivers!BG69</f>
        <v>0</v>
      </c>
      <c r="BH356" s="363"/>
    </row>
    <row r="357" spans="1:60" s="262" customFormat="1" hidden="1" outlineLevel="1" x14ac:dyDescent="0.35">
      <c r="A357" s="311" t="s">
        <v>437</v>
      </c>
      <c r="B357" s="312"/>
      <c r="C357" s="105"/>
      <c r="D357" s="105"/>
      <c r="E357" s="105"/>
      <c r="F357" s="105"/>
      <c r="G357" s="200"/>
      <c r="H357" s="200"/>
      <c r="I357" s="200"/>
      <c r="J357" s="200"/>
      <c r="K357" s="105"/>
      <c r="L357" s="200"/>
      <c r="M357" s="200"/>
      <c r="N357" s="200"/>
      <c r="O357" s="200"/>
      <c r="P357" s="105"/>
      <c r="Q357" s="200"/>
      <c r="R357" s="200"/>
      <c r="S357" s="200"/>
      <c r="T357" s="200"/>
      <c r="U357" s="105"/>
      <c r="V357" s="200"/>
      <c r="W357" s="200"/>
      <c r="X357" s="200"/>
      <c r="Y357" s="200"/>
      <c r="Z357" s="105"/>
      <c r="AA357" s="200">
        <v>4.0000000000000001E-3</v>
      </c>
      <c r="AB357" s="200">
        <v>-2E-3</v>
      </c>
      <c r="AC357" s="200">
        <v>3.0000000000000001E-3</v>
      </c>
      <c r="AD357" s="200">
        <v>1.7999999999999999E-2</v>
      </c>
      <c r="AE357" s="105">
        <f>AE365/AE$361</f>
        <v>5.5825583798305425E-3</v>
      </c>
      <c r="AF357" s="200">
        <v>2.8000000000000001E-2</v>
      </c>
      <c r="AG357" s="200">
        <v>3.0000000000000001E-3</v>
      </c>
      <c r="AH357" s="200">
        <v>-1.2999999999999999E-2</v>
      </c>
      <c r="AI357" s="200">
        <v>-1.7000000000000001E-2</v>
      </c>
      <c r="AJ357" s="105">
        <f>AJ365/AJ$361</f>
        <v>-6.3004394726328479E-4</v>
      </c>
      <c r="AK357" s="200">
        <v>-2.7E-2</v>
      </c>
      <c r="AL357" s="200">
        <v>-1.2E-2</v>
      </c>
      <c r="AM357" s="200">
        <v>-8.9999999999999993E-3</v>
      </c>
      <c r="AN357" s="200">
        <v>-2E-3</v>
      </c>
      <c r="AO357" s="105">
        <f>AO365/AO$361</f>
        <v>-1.230357845064884E-2</v>
      </c>
      <c r="AP357" s="200">
        <v>-1.4999999999999999E-2</v>
      </c>
      <c r="AQ357" s="200">
        <v>-1.2E-2</v>
      </c>
      <c r="AR357" s="200">
        <v>1E-3</v>
      </c>
      <c r="AS357" s="200">
        <v>7.0000000000000001E-3</v>
      </c>
      <c r="AT357" s="105">
        <f>AT365/AT$361</f>
        <v>-4.5573675014560291E-3</v>
      </c>
      <c r="AU357" s="761">
        <v>0.02</v>
      </c>
      <c r="AV357" s="200"/>
      <c r="AW357" s="200"/>
      <c r="AX357" s="200"/>
      <c r="AY357" s="105"/>
      <c r="AZ357" s="942">
        <f>Drivers!AZ70</f>
        <v>0.01</v>
      </c>
      <c r="BA357" s="942">
        <f>Drivers!BA70</f>
        <v>0.01</v>
      </c>
      <c r="BB357" s="942">
        <f>Drivers!BB70</f>
        <v>0.01</v>
      </c>
      <c r="BC357" s="942">
        <f>Drivers!BC70</f>
        <v>0.01</v>
      </c>
      <c r="BD357" s="105">
        <f>BD365/BD$361</f>
        <v>0.01</v>
      </c>
      <c r="BE357" s="942">
        <f>Drivers!BE70</f>
        <v>0.01</v>
      </c>
      <c r="BF357" s="942">
        <f>Drivers!BF70</f>
        <v>0.01</v>
      </c>
      <c r="BG357" s="942">
        <f>Drivers!BG70</f>
        <v>0.01</v>
      </c>
      <c r="BH357" s="363"/>
    </row>
    <row r="358" spans="1:60" s="262" customFormat="1" hidden="1" outlineLevel="1" x14ac:dyDescent="0.35">
      <c r="A358" s="311" t="s">
        <v>489</v>
      </c>
      <c r="B358" s="312"/>
      <c r="C358" s="105"/>
      <c r="D358" s="105"/>
      <c r="E358" s="105"/>
      <c r="F358" s="105"/>
      <c r="G358" s="200"/>
      <c r="H358" s="200"/>
      <c r="I358" s="200"/>
      <c r="J358" s="200"/>
      <c r="K358" s="105"/>
      <c r="L358" s="200"/>
      <c r="M358" s="200"/>
      <c r="N358" s="200"/>
      <c r="O358" s="200"/>
      <c r="P358" s="105"/>
      <c r="Q358" s="200"/>
      <c r="R358" s="200"/>
      <c r="S358" s="200"/>
      <c r="T358" s="200"/>
      <c r="U358" s="105"/>
      <c r="V358" s="200"/>
      <c r="W358" s="200"/>
      <c r="X358" s="200"/>
      <c r="Y358" s="200"/>
      <c r="Z358" s="105"/>
      <c r="AA358" s="200">
        <f t="shared" ref="AA358:AJ358" si="678">AA359-SUM(AA354:AA357)</f>
        <v>2.5394045534155463E-4</v>
      </c>
      <c r="AB358" s="200">
        <f t="shared" si="678"/>
        <v>-2.6763990267641112E-4</v>
      </c>
      <c r="AC358" s="200">
        <f t="shared" si="678"/>
        <v>3.5185185185186013E-4</v>
      </c>
      <c r="AD358" s="200">
        <f t="shared" si="678"/>
        <v>9.0410958904114935E-4</v>
      </c>
      <c r="AE358" s="105">
        <f t="shared" si="678"/>
        <v>3.041950816284264E-4</v>
      </c>
      <c r="AF358" s="200">
        <f t="shared" si="678"/>
        <v>2.6480836236934813E-4</v>
      </c>
      <c r="AG358" s="200">
        <f t="shared" si="678"/>
        <v>4.0562248995994199E-4</v>
      </c>
      <c r="AH358" s="200">
        <f t="shared" si="678"/>
        <v>-4.0757238307346372E-4</v>
      </c>
      <c r="AI358" s="200">
        <f t="shared" si="678"/>
        <v>-1.2101105845181391E-3</v>
      </c>
      <c r="AJ358" s="105">
        <f t="shared" si="678"/>
        <v>-2.540950858968237E-4</v>
      </c>
      <c r="AK358" s="200"/>
      <c r="AL358" s="200"/>
      <c r="AM358" s="200"/>
      <c r="AN358" s="200"/>
      <c r="AO358" s="105"/>
      <c r="AP358" s="200">
        <f t="shared" ref="AP358:AU358" si="679">AP359-SUM(AP354:AP357)</f>
        <v>6.6666666666663488E-4</v>
      </c>
      <c r="AQ358" s="200">
        <f t="shared" si="679"/>
        <v>-1.2121212121213309E-4</v>
      </c>
      <c r="AR358" s="200">
        <f t="shared" si="679"/>
        <v>-1.1326378539484178E-4</v>
      </c>
      <c r="AS358" s="200">
        <f t="shared" si="679"/>
        <v>-4.9185415050426173E-4</v>
      </c>
      <c r="AT358" s="105">
        <f t="shared" si="679"/>
        <v>-2.8344010871747538E-5</v>
      </c>
      <c r="AU358" s="761">
        <f t="shared" si="679"/>
        <v>4.0000000000003921E-4</v>
      </c>
      <c r="AV358" s="200"/>
      <c r="AW358" s="200"/>
      <c r="AX358" s="200"/>
      <c r="AY358" s="105"/>
      <c r="AZ358" s="942">
        <f>Drivers!AZ71</f>
        <v>0</v>
      </c>
      <c r="BA358" s="942">
        <f>Drivers!BA71</f>
        <v>0</v>
      </c>
      <c r="BB358" s="942">
        <f>Drivers!BB71</f>
        <v>0</v>
      </c>
      <c r="BC358" s="942">
        <f>Drivers!BC71</f>
        <v>0</v>
      </c>
      <c r="BD358" s="105">
        <f>BD366/BD$361</f>
        <v>0</v>
      </c>
      <c r="BE358" s="942">
        <f>Drivers!BE71</f>
        <v>0</v>
      </c>
      <c r="BF358" s="942">
        <f>Drivers!BF71</f>
        <v>0</v>
      </c>
      <c r="BG358" s="942">
        <f>Drivers!BG71</f>
        <v>0</v>
      </c>
      <c r="BH358" s="363"/>
    </row>
    <row r="359" spans="1:60" s="225" customFormat="1" hidden="1" outlineLevel="1" x14ac:dyDescent="0.35">
      <c r="A359" s="313" t="s">
        <v>16</v>
      </c>
      <c r="B359" s="180"/>
      <c r="C359" s="107"/>
      <c r="D359" s="107"/>
      <c r="E359" s="107"/>
      <c r="F359" s="107"/>
      <c r="G359" s="106"/>
      <c r="H359" s="106"/>
      <c r="I359" s="106"/>
      <c r="J359" s="106"/>
      <c r="K359" s="107"/>
      <c r="L359" s="106"/>
      <c r="M359" s="106"/>
      <c r="N359" s="106"/>
      <c r="O359" s="106"/>
      <c r="P359" s="107"/>
      <c r="Q359" s="106"/>
      <c r="R359" s="106"/>
      <c r="S359" s="106"/>
      <c r="T359" s="106"/>
      <c r="U359" s="107"/>
      <c r="V359" s="106"/>
      <c r="W359" s="106"/>
      <c r="X359" s="106"/>
      <c r="Y359" s="106"/>
      <c r="Z359" s="107"/>
      <c r="AA359" s="106">
        <f t="shared" ref="AA359:AQ359" si="680">+AA367/AA361-1</f>
        <v>5.2539404553415547E-3</v>
      </c>
      <c r="AB359" s="106">
        <f t="shared" si="680"/>
        <v>9.7323600973235891E-3</v>
      </c>
      <c r="AC359" s="106">
        <f t="shared" si="680"/>
        <v>3.935185185185186E-2</v>
      </c>
      <c r="AD359" s="106">
        <f t="shared" si="680"/>
        <v>8.3904109589041154E-2</v>
      </c>
      <c r="AE359" s="107">
        <f t="shared" si="680"/>
        <v>3.4511262657573871E-2</v>
      </c>
      <c r="AF359" s="106">
        <f t="shared" si="680"/>
        <v>5.2264808362369353E-2</v>
      </c>
      <c r="AG359" s="106">
        <f t="shared" si="680"/>
        <v>5.1405622489959946E-2</v>
      </c>
      <c r="AH359" s="106">
        <f t="shared" si="680"/>
        <v>-3.3407572383073458E-2</v>
      </c>
      <c r="AI359" s="106">
        <f t="shared" si="680"/>
        <v>7.898894154818592E-4</v>
      </c>
      <c r="AJ359" s="107">
        <f t="shared" si="680"/>
        <v>1.5980823012385237E-2</v>
      </c>
      <c r="AK359" s="106">
        <f t="shared" si="680"/>
        <v>-6.6225165562914245E-3</v>
      </c>
      <c r="AL359" s="106">
        <f t="shared" si="680"/>
        <v>8.4033613445377853E-3</v>
      </c>
      <c r="AM359" s="106">
        <f t="shared" si="680"/>
        <v>3.0721966205837115E-2</v>
      </c>
      <c r="AN359" s="106">
        <f t="shared" si="680"/>
        <v>1.7363851617995252E-2</v>
      </c>
      <c r="AO359" s="107">
        <f t="shared" si="680"/>
        <v>1.2780180888714021E-2</v>
      </c>
      <c r="AP359" s="106">
        <f t="shared" si="680"/>
        <v>4.6666666666666634E-2</v>
      </c>
      <c r="AQ359" s="106">
        <f t="shared" si="680"/>
        <v>-6.2121212121212133E-2</v>
      </c>
      <c r="AR359" s="106">
        <f>+AR367/AR361-1</f>
        <v>5.5886736214605159E-2</v>
      </c>
      <c r="AS359" s="106">
        <f>+AS367/AS361-1</f>
        <v>0.10550814584949575</v>
      </c>
      <c r="AT359" s="107">
        <f>+AT367/AT361-1</f>
        <v>3.5915356241506435E-2</v>
      </c>
      <c r="AU359" s="760">
        <f t="shared" ref="AU359" si="681">+AU367/AU361-1</f>
        <v>9.8400000000000043E-2</v>
      </c>
      <c r="AV359" s="106"/>
      <c r="AW359" s="106"/>
      <c r="AX359" s="106"/>
      <c r="AY359" s="107"/>
      <c r="AZ359" s="106">
        <f t="shared" ref="AZ359:BG359" si="682">+AZ367/AZ361-1</f>
        <v>4.5000000000000151E-2</v>
      </c>
      <c r="BA359" s="106">
        <f t="shared" si="682"/>
        <v>4.4999999999999929E-2</v>
      </c>
      <c r="BB359" s="106">
        <f t="shared" si="682"/>
        <v>4.4999999999999929E-2</v>
      </c>
      <c r="BC359" s="106">
        <f t="shared" si="682"/>
        <v>4.4999999999999929E-2</v>
      </c>
      <c r="BD359" s="107">
        <f t="shared" si="682"/>
        <v>4.4999999999999929E-2</v>
      </c>
      <c r="BE359" s="107">
        <f t="shared" si="682"/>
        <v>4.4999999999999929E-2</v>
      </c>
      <c r="BF359" s="107">
        <f t="shared" si="682"/>
        <v>4.4999999999999929E-2</v>
      </c>
      <c r="BG359" s="107">
        <f t="shared" si="682"/>
        <v>4.5000000000000151E-2</v>
      </c>
      <c r="BH359" s="94"/>
    </row>
    <row r="360" spans="1:60" s="225" customFormat="1" hidden="1" outlineLevel="1" x14ac:dyDescent="0.35">
      <c r="A360" s="538"/>
      <c r="B360" s="176"/>
      <c r="C360" s="113"/>
      <c r="D360" s="113"/>
      <c r="E360" s="113"/>
      <c r="F360" s="113"/>
      <c r="G360" s="177"/>
      <c r="H360" s="177"/>
      <c r="I360" s="177"/>
      <c r="J360" s="177"/>
      <c r="K360" s="113"/>
      <c r="L360" s="177"/>
      <c r="M360" s="177"/>
      <c r="N360" s="177"/>
      <c r="O360" s="177"/>
      <c r="P360" s="113"/>
      <c r="Q360" s="177"/>
      <c r="R360" s="177"/>
      <c r="S360" s="177"/>
      <c r="T360" s="177"/>
      <c r="U360" s="113"/>
      <c r="V360" s="177"/>
      <c r="W360" s="177"/>
      <c r="X360" s="177"/>
      <c r="Y360" s="177"/>
      <c r="Z360" s="113"/>
      <c r="AA360" s="177"/>
      <c r="AB360" s="177"/>
      <c r="AC360" s="177"/>
      <c r="AD360" s="177"/>
      <c r="AE360" s="113"/>
      <c r="AF360" s="177"/>
      <c r="AG360" s="177"/>
      <c r="AH360" s="177"/>
      <c r="AI360" s="177"/>
      <c r="AJ360" s="113"/>
      <c r="AK360" s="177"/>
      <c r="AL360" s="177"/>
      <c r="AM360" s="177"/>
      <c r="AN360" s="177"/>
      <c r="AO360" s="113"/>
      <c r="AP360" s="177"/>
      <c r="AQ360" s="177"/>
      <c r="AR360" s="177"/>
      <c r="AS360" s="177"/>
      <c r="AT360" s="113"/>
      <c r="AU360" s="780"/>
      <c r="AV360" s="177"/>
      <c r="AW360" s="177"/>
      <c r="AX360" s="177"/>
      <c r="AY360" s="113"/>
      <c r="AZ360" s="177"/>
      <c r="BA360" s="177"/>
      <c r="BB360" s="177"/>
      <c r="BC360" s="177"/>
      <c r="BD360" s="113"/>
      <c r="BE360" s="113"/>
      <c r="BF360" s="113"/>
      <c r="BG360" s="113"/>
      <c r="BH360" s="94"/>
    </row>
    <row r="361" spans="1:60" s="69" customFormat="1" hidden="1" outlineLevel="1" x14ac:dyDescent="0.35">
      <c r="A361" s="426" t="s">
        <v>490</v>
      </c>
      <c r="B361" s="518"/>
      <c r="C361" s="519"/>
      <c r="D361" s="519"/>
      <c r="E361" s="519"/>
      <c r="F361" s="519"/>
      <c r="G361" s="520"/>
      <c r="H361" s="520"/>
      <c r="I361" s="520"/>
      <c r="J361" s="520"/>
      <c r="K361" s="519"/>
      <c r="L361" s="520"/>
      <c r="M361" s="520"/>
      <c r="N361" s="520"/>
      <c r="O361" s="520"/>
      <c r="P361" s="519"/>
      <c r="Q361" s="520"/>
      <c r="R361" s="520"/>
      <c r="S361" s="520"/>
      <c r="T361" s="520"/>
      <c r="U361" s="519"/>
      <c r="V361" s="520"/>
      <c r="W361" s="520"/>
      <c r="X361" s="520"/>
      <c r="Y361" s="520"/>
      <c r="Z361" s="519"/>
      <c r="AA361" s="520">
        <f t="shared" ref="AA361:AO361" si="683">V367</f>
        <v>1142</v>
      </c>
      <c r="AB361" s="520">
        <f t="shared" si="683"/>
        <v>1233</v>
      </c>
      <c r="AC361" s="520">
        <f t="shared" si="683"/>
        <v>1296</v>
      </c>
      <c r="AD361" s="520">
        <f t="shared" si="683"/>
        <v>1168</v>
      </c>
      <c r="AE361" s="519">
        <f t="shared" si="683"/>
        <v>4839</v>
      </c>
      <c r="AF361" s="520">
        <f t="shared" si="683"/>
        <v>1148</v>
      </c>
      <c r="AG361" s="520">
        <f t="shared" si="683"/>
        <v>1245</v>
      </c>
      <c r="AH361" s="520">
        <f t="shared" si="683"/>
        <v>1347</v>
      </c>
      <c r="AI361" s="520">
        <f t="shared" si="683"/>
        <v>1266</v>
      </c>
      <c r="AJ361" s="519">
        <f t="shared" si="683"/>
        <v>5006</v>
      </c>
      <c r="AK361" s="520">
        <f t="shared" si="683"/>
        <v>1208</v>
      </c>
      <c r="AL361" s="520">
        <f t="shared" si="683"/>
        <v>1309</v>
      </c>
      <c r="AM361" s="520">
        <f t="shared" si="683"/>
        <v>1302</v>
      </c>
      <c r="AN361" s="520">
        <f t="shared" si="683"/>
        <v>1267</v>
      </c>
      <c r="AO361" s="519">
        <f t="shared" si="683"/>
        <v>5086</v>
      </c>
      <c r="AP361" s="520">
        <f t="shared" ref="AP361" si="684">AK367</f>
        <v>1200</v>
      </c>
      <c r="AQ361" s="520">
        <f t="shared" ref="AQ361" si="685">AL367</f>
        <v>1320</v>
      </c>
      <c r="AR361" s="520">
        <f t="shared" ref="AR361" si="686">AM367</f>
        <v>1342</v>
      </c>
      <c r="AS361" s="520">
        <f t="shared" ref="AS361" si="687">AN367</f>
        <v>1289</v>
      </c>
      <c r="AT361" s="519">
        <f t="shared" ref="AT361" si="688">AO367</f>
        <v>5151</v>
      </c>
      <c r="AU361" s="766">
        <v>1250</v>
      </c>
      <c r="AV361" s="520"/>
      <c r="AW361" s="520"/>
      <c r="AX361" s="520"/>
      <c r="AY361" s="519"/>
      <c r="AZ361" s="520">
        <f>AU367</f>
        <v>1373</v>
      </c>
      <c r="BA361" s="520">
        <f>AV367</f>
        <v>1293.71</v>
      </c>
      <c r="BB361" s="520">
        <f>AW367</f>
        <v>1300</v>
      </c>
      <c r="BC361" s="520">
        <f>AX367</f>
        <v>1300</v>
      </c>
      <c r="BD361" s="519">
        <f>AY367</f>
        <v>5266.71</v>
      </c>
      <c r="BE361" s="519">
        <f>BD367</f>
        <v>5503.7119499999999</v>
      </c>
      <c r="BF361" s="519">
        <f>BE367</f>
        <v>5751.3789877499994</v>
      </c>
      <c r="BG361" s="519">
        <f>BF367</f>
        <v>6010.1910421987495</v>
      </c>
      <c r="BH361" s="79"/>
    </row>
    <row r="362" spans="1:60" s="345" customFormat="1" hidden="1" outlineLevel="1" x14ac:dyDescent="0.35">
      <c r="A362" s="350" t="s">
        <v>491</v>
      </c>
      <c r="B362" s="444"/>
      <c r="C362" s="445"/>
      <c r="D362" s="445"/>
      <c r="E362" s="445"/>
      <c r="F362" s="445"/>
      <c r="G362" s="446"/>
      <c r="H362" s="446"/>
      <c r="I362" s="446"/>
      <c r="J362" s="446"/>
      <c r="K362" s="445"/>
      <c r="L362" s="446"/>
      <c r="M362" s="446"/>
      <c r="N362" s="446"/>
      <c r="O362" s="446"/>
      <c r="P362" s="445"/>
      <c r="Q362" s="446"/>
      <c r="R362" s="446"/>
      <c r="S362" s="446"/>
      <c r="T362" s="446"/>
      <c r="U362" s="445"/>
      <c r="V362" s="446"/>
      <c r="W362" s="446"/>
      <c r="X362" s="446"/>
      <c r="Y362" s="446"/>
      <c r="Z362" s="445"/>
      <c r="AA362" s="437">
        <f t="shared" ref="AA362:AD366" si="689">AA$361*AA354</f>
        <v>1.1420000000000001</v>
      </c>
      <c r="AB362" s="437">
        <f t="shared" si="689"/>
        <v>14.796000000000001</v>
      </c>
      <c r="AC362" s="437">
        <f t="shared" si="689"/>
        <v>46.655999999999999</v>
      </c>
      <c r="AD362" s="437">
        <f t="shared" si="689"/>
        <v>75.92</v>
      </c>
      <c r="AE362" s="436">
        <f>SUM(AA362,AB362,AC362,AD362)</f>
        <v>138.51400000000001</v>
      </c>
      <c r="AF362" s="437">
        <f t="shared" ref="AF362:AI366" si="690">AF$361*AF354</f>
        <v>24.108000000000001</v>
      </c>
      <c r="AG362" s="437">
        <f t="shared" si="690"/>
        <v>57.269999999999996</v>
      </c>
      <c r="AH362" s="437">
        <f t="shared" si="690"/>
        <v>-29.633999999999997</v>
      </c>
      <c r="AI362" s="437">
        <f t="shared" si="690"/>
        <v>24.053999999999998</v>
      </c>
      <c r="AJ362" s="436">
        <f>SUM(AF362,AG362,AH362,AI362)</f>
        <v>75.798000000000002</v>
      </c>
      <c r="AK362" s="437">
        <f t="shared" ref="AK362:AN365" si="691">AK$361*AK354</f>
        <v>19.327999999999999</v>
      </c>
      <c r="AL362" s="437">
        <f t="shared" si="691"/>
        <v>9.1630000000000003</v>
      </c>
      <c r="AM362" s="437">
        <f t="shared" si="691"/>
        <v>33.851999999999997</v>
      </c>
      <c r="AN362" s="437">
        <f t="shared" si="691"/>
        <v>2.5340000000000003</v>
      </c>
      <c r="AO362" s="436">
        <f>SUM(AK362,AL362,AM362,AN362)</f>
        <v>64.876999999999995</v>
      </c>
      <c r="AP362" s="437">
        <f t="shared" ref="AP362:AQ366" si="692">AP$361*AP354</f>
        <v>73.2</v>
      </c>
      <c r="AQ362" s="437">
        <f t="shared" si="692"/>
        <v>-66</v>
      </c>
      <c r="AR362" s="437">
        <f t="shared" ref="AR362:AS366" si="693">AR$361*AR354</f>
        <v>73.81</v>
      </c>
      <c r="AS362" s="437">
        <f t="shared" si="693"/>
        <v>127.611</v>
      </c>
      <c r="AT362" s="436">
        <f t="shared" ref="AT362:AT366" si="694">SUM(AP362,AQ362,AR362,AS362)</f>
        <v>208.62100000000001</v>
      </c>
      <c r="AU362" s="763">
        <f t="shared" ref="AU362" si="695">AU$361*AU354</f>
        <v>97.5</v>
      </c>
      <c r="AV362" s="446"/>
      <c r="AW362" s="446"/>
      <c r="AX362" s="446"/>
      <c r="AY362" s="445"/>
      <c r="AZ362" s="437">
        <f t="shared" ref="AZ362:BC366" si="696">AZ$361*AZ354</f>
        <v>48.055000000000007</v>
      </c>
      <c r="BA362" s="437">
        <f t="shared" si="696"/>
        <v>45.279850000000003</v>
      </c>
      <c r="BB362" s="437">
        <f t="shared" si="696"/>
        <v>45.500000000000007</v>
      </c>
      <c r="BC362" s="437">
        <f t="shared" si="696"/>
        <v>45.500000000000007</v>
      </c>
      <c r="BD362" s="436">
        <f>SUM(AZ362,BA362,BB362,BC362)</f>
        <v>184.33485000000002</v>
      </c>
      <c r="BE362" s="436">
        <f>BE361*BE354</f>
        <v>192.62991825</v>
      </c>
      <c r="BF362" s="436">
        <f>BF361*BF354</f>
        <v>201.29826457125</v>
      </c>
      <c r="BG362" s="436">
        <f>BG361*BG354</f>
        <v>210.35668647695624</v>
      </c>
      <c r="BH362" s="351"/>
    </row>
    <row r="363" spans="1:60" s="345" customFormat="1" hidden="1" outlineLevel="1" x14ac:dyDescent="0.35">
      <c r="A363" s="350" t="s">
        <v>492</v>
      </c>
      <c r="B363" s="444"/>
      <c r="C363" s="445"/>
      <c r="D363" s="445"/>
      <c r="E363" s="445"/>
      <c r="F363" s="445"/>
      <c r="G363" s="446"/>
      <c r="H363" s="446"/>
      <c r="I363" s="446"/>
      <c r="J363" s="446"/>
      <c r="K363" s="445"/>
      <c r="L363" s="446"/>
      <c r="M363" s="446"/>
      <c r="N363" s="446"/>
      <c r="O363" s="446"/>
      <c r="P363" s="445"/>
      <c r="Q363" s="446"/>
      <c r="R363" s="446"/>
      <c r="S363" s="446"/>
      <c r="T363" s="446"/>
      <c r="U363" s="445"/>
      <c r="V363" s="446"/>
      <c r="W363" s="446"/>
      <c r="X363" s="446"/>
      <c r="Y363" s="446"/>
      <c r="Z363" s="445"/>
      <c r="AA363" s="437">
        <f t="shared" si="689"/>
        <v>0</v>
      </c>
      <c r="AB363" s="437">
        <f t="shared" si="689"/>
        <v>0</v>
      </c>
      <c r="AC363" s="437">
        <f t="shared" si="689"/>
        <v>0</v>
      </c>
      <c r="AD363" s="437">
        <f t="shared" si="689"/>
        <v>0</v>
      </c>
      <c r="AE363" s="436">
        <f>SUM(AA363,AB363,AC363,AD363)</f>
        <v>0</v>
      </c>
      <c r="AF363" s="437">
        <f t="shared" si="690"/>
        <v>3.444</v>
      </c>
      <c r="AG363" s="437">
        <f t="shared" si="690"/>
        <v>2.4900000000000002</v>
      </c>
      <c r="AH363" s="437">
        <f t="shared" si="690"/>
        <v>2.694</v>
      </c>
      <c r="AI363" s="437">
        <f t="shared" si="690"/>
        <v>0</v>
      </c>
      <c r="AJ363" s="436">
        <f>SUM(AF363,AG363,AH363,AI363)</f>
        <v>8.6280000000000001</v>
      </c>
      <c r="AK363" s="437">
        <f t="shared" si="691"/>
        <v>0</v>
      </c>
      <c r="AL363" s="437">
        <f t="shared" si="691"/>
        <v>0</v>
      </c>
      <c r="AM363" s="437">
        <f t="shared" si="691"/>
        <v>0</v>
      </c>
      <c r="AN363" s="437">
        <f t="shared" si="691"/>
        <v>0</v>
      </c>
      <c r="AO363" s="436">
        <f>SUM(AK363,AL363,AM363,AN363)</f>
        <v>0</v>
      </c>
      <c r="AP363" s="437">
        <f t="shared" si="692"/>
        <v>0</v>
      </c>
      <c r="AQ363" s="437">
        <f t="shared" si="692"/>
        <v>0</v>
      </c>
      <c r="AR363" s="437">
        <f t="shared" si="693"/>
        <v>0</v>
      </c>
      <c r="AS363" s="437">
        <f t="shared" si="693"/>
        <v>0</v>
      </c>
      <c r="AT363" s="436">
        <f t="shared" si="694"/>
        <v>0</v>
      </c>
      <c r="AU363" s="763">
        <f t="shared" ref="AU363" si="697">AU$361*AU355</f>
        <v>0</v>
      </c>
      <c r="AV363" s="446"/>
      <c r="AW363" s="446"/>
      <c r="AX363" s="446"/>
      <c r="AY363" s="445"/>
      <c r="AZ363" s="437">
        <f t="shared" si="696"/>
        <v>0</v>
      </c>
      <c r="BA363" s="437">
        <f t="shared" si="696"/>
        <v>0</v>
      </c>
      <c r="BB363" s="437">
        <f t="shared" si="696"/>
        <v>0</v>
      </c>
      <c r="BC363" s="437">
        <f t="shared" si="696"/>
        <v>0</v>
      </c>
      <c r="BD363" s="436">
        <f>SUM(AZ363,BA363,BB363,BC363)</f>
        <v>0</v>
      </c>
      <c r="BE363" s="436">
        <f>BE361*BE355</f>
        <v>0</v>
      </c>
      <c r="BF363" s="436">
        <f>BF361*BF355</f>
        <v>0</v>
      </c>
      <c r="BG363" s="436">
        <f>BG361*BG355</f>
        <v>0</v>
      </c>
      <c r="BH363" s="351"/>
    </row>
    <row r="364" spans="1:60" s="345" customFormat="1" hidden="1" outlineLevel="1" x14ac:dyDescent="0.35">
      <c r="A364" s="350" t="s">
        <v>493</v>
      </c>
      <c r="B364" s="444"/>
      <c r="C364" s="445"/>
      <c r="D364" s="445"/>
      <c r="E364" s="445"/>
      <c r="F364" s="445"/>
      <c r="G364" s="446"/>
      <c r="H364" s="446"/>
      <c r="I364" s="446"/>
      <c r="J364" s="446"/>
      <c r="K364" s="445"/>
      <c r="L364" s="446"/>
      <c r="M364" s="446"/>
      <c r="N364" s="446"/>
      <c r="O364" s="446"/>
      <c r="P364" s="445"/>
      <c r="Q364" s="446"/>
      <c r="R364" s="446"/>
      <c r="S364" s="446"/>
      <c r="T364" s="446"/>
      <c r="U364" s="445"/>
      <c r="V364" s="446"/>
      <c r="W364" s="446"/>
      <c r="X364" s="446"/>
      <c r="Y364" s="446"/>
      <c r="Z364" s="445"/>
      <c r="AA364" s="437">
        <f t="shared" si="689"/>
        <v>0</v>
      </c>
      <c r="AB364" s="437">
        <f t="shared" si="689"/>
        <v>0</v>
      </c>
      <c r="AC364" s="437">
        <f t="shared" si="689"/>
        <v>0</v>
      </c>
      <c r="AD364" s="437">
        <f t="shared" si="689"/>
        <v>0</v>
      </c>
      <c r="AE364" s="436">
        <f>SUM(AA364,AB364,AC364,AD364)</f>
        <v>0</v>
      </c>
      <c r="AF364" s="437">
        <f t="shared" si="690"/>
        <v>0</v>
      </c>
      <c r="AG364" s="437">
        <f t="shared" si="690"/>
        <v>0</v>
      </c>
      <c r="AH364" s="437">
        <f t="shared" si="690"/>
        <v>0</v>
      </c>
      <c r="AI364" s="437">
        <f t="shared" si="690"/>
        <v>0</v>
      </c>
      <c r="AJ364" s="436">
        <f>SUM(AF364,AG364,AH364,AI364)</f>
        <v>0</v>
      </c>
      <c r="AK364" s="437">
        <f t="shared" si="691"/>
        <v>0</v>
      </c>
      <c r="AL364" s="437">
        <f t="shared" si="691"/>
        <v>0</v>
      </c>
      <c r="AM364" s="437">
        <f t="shared" si="691"/>
        <v>0</v>
      </c>
      <c r="AN364" s="437">
        <f t="shared" si="691"/>
        <v>0</v>
      </c>
      <c r="AO364" s="436">
        <f>SUM(AK364,AL364,AM364,AN364)</f>
        <v>0</v>
      </c>
      <c r="AP364" s="437">
        <f t="shared" si="692"/>
        <v>0</v>
      </c>
      <c r="AQ364" s="437">
        <f t="shared" si="692"/>
        <v>0</v>
      </c>
      <c r="AR364" s="437">
        <f t="shared" si="693"/>
        <v>0</v>
      </c>
      <c r="AS364" s="437">
        <f t="shared" si="693"/>
        <v>0</v>
      </c>
      <c r="AT364" s="436">
        <f t="shared" si="694"/>
        <v>0</v>
      </c>
      <c r="AU364" s="763">
        <f t="shared" ref="AU364" si="698">AU$361*AU356</f>
        <v>0</v>
      </c>
      <c r="AV364" s="446"/>
      <c r="AW364" s="446"/>
      <c r="AX364" s="446"/>
      <c r="AY364" s="445"/>
      <c r="AZ364" s="437">
        <f t="shared" si="696"/>
        <v>0</v>
      </c>
      <c r="BA364" s="437">
        <f t="shared" si="696"/>
        <v>0</v>
      </c>
      <c r="BB364" s="437">
        <f t="shared" si="696"/>
        <v>0</v>
      </c>
      <c r="BC364" s="437">
        <f t="shared" si="696"/>
        <v>0</v>
      </c>
      <c r="BD364" s="436">
        <f>SUM(AZ364,BA364,BB364,BC364)</f>
        <v>0</v>
      </c>
      <c r="BE364" s="436">
        <f>BE361*BE356</f>
        <v>0</v>
      </c>
      <c r="BF364" s="436">
        <f>BF361*BF356</f>
        <v>0</v>
      </c>
      <c r="BG364" s="436">
        <f>BG361*BG356</f>
        <v>0</v>
      </c>
      <c r="BH364" s="351"/>
    </row>
    <row r="365" spans="1:60" s="345" customFormat="1" hidden="1" outlineLevel="1" x14ac:dyDescent="0.35">
      <c r="A365" s="350" t="s">
        <v>494</v>
      </c>
      <c r="B365" s="444"/>
      <c r="C365" s="445"/>
      <c r="D365" s="445"/>
      <c r="E365" s="445"/>
      <c r="F365" s="445"/>
      <c r="G365" s="446"/>
      <c r="H365" s="446"/>
      <c r="I365" s="446"/>
      <c r="J365" s="446"/>
      <c r="K365" s="445"/>
      <c r="L365" s="446"/>
      <c r="M365" s="446"/>
      <c r="N365" s="446"/>
      <c r="O365" s="446"/>
      <c r="P365" s="445"/>
      <c r="Q365" s="446"/>
      <c r="R365" s="446"/>
      <c r="S365" s="446"/>
      <c r="T365" s="446"/>
      <c r="U365" s="445"/>
      <c r="V365" s="446"/>
      <c r="W365" s="446"/>
      <c r="X365" s="446"/>
      <c r="Y365" s="446"/>
      <c r="Z365" s="445"/>
      <c r="AA365" s="437">
        <f t="shared" si="689"/>
        <v>4.5680000000000005</v>
      </c>
      <c r="AB365" s="437">
        <f t="shared" si="689"/>
        <v>-2.4660000000000002</v>
      </c>
      <c r="AC365" s="437">
        <f t="shared" si="689"/>
        <v>3.8879999999999999</v>
      </c>
      <c r="AD365" s="437">
        <f t="shared" si="689"/>
        <v>21.023999999999997</v>
      </c>
      <c r="AE365" s="436">
        <f>SUM(AA365,AB365,AC365,AD365)</f>
        <v>27.013999999999996</v>
      </c>
      <c r="AF365" s="437">
        <f t="shared" si="690"/>
        <v>32.143999999999998</v>
      </c>
      <c r="AG365" s="437">
        <f t="shared" si="690"/>
        <v>3.7349999999999999</v>
      </c>
      <c r="AH365" s="437">
        <f t="shared" si="690"/>
        <v>-17.510999999999999</v>
      </c>
      <c r="AI365" s="437">
        <f t="shared" si="690"/>
        <v>-21.522000000000002</v>
      </c>
      <c r="AJ365" s="436">
        <f>SUM(AF365,AG365,AH365,AI365)</f>
        <v>-3.1540000000000035</v>
      </c>
      <c r="AK365" s="437">
        <f t="shared" si="691"/>
        <v>-32.616</v>
      </c>
      <c r="AL365" s="437">
        <f t="shared" si="691"/>
        <v>-15.708</v>
      </c>
      <c r="AM365" s="437">
        <f t="shared" si="691"/>
        <v>-11.718</v>
      </c>
      <c r="AN365" s="437">
        <f t="shared" si="691"/>
        <v>-2.5340000000000003</v>
      </c>
      <c r="AO365" s="436">
        <f>SUM(AK365,AL365,AM365,AN365)</f>
        <v>-62.576000000000001</v>
      </c>
      <c r="AP365" s="437">
        <f t="shared" si="692"/>
        <v>-18</v>
      </c>
      <c r="AQ365" s="437">
        <f t="shared" si="692"/>
        <v>-15.84</v>
      </c>
      <c r="AR365" s="437">
        <f t="shared" si="693"/>
        <v>1.3420000000000001</v>
      </c>
      <c r="AS365" s="437">
        <f t="shared" si="693"/>
        <v>9.0229999999999997</v>
      </c>
      <c r="AT365" s="436">
        <f t="shared" si="694"/>
        <v>-23.475000000000005</v>
      </c>
      <c r="AU365" s="763">
        <f t="shared" ref="AU365" si="699">AU$361*AU357</f>
        <v>25</v>
      </c>
      <c r="AV365" s="446"/>
      <c r="AW365" s="446"/>
      <c r="AX365" s="446"/>
      <c r="AY365" s="445"/>
      <c r="AZ365" s="437">
        <f t="shared" si="696"/>
        <v>13.73</v>
      </c>
      <c r="BA365" s="437">
        <f t="shared" si="696"/>
        <v>12.937100000000001</v>
      </c>
      <c r="BB365" s="437">
        <f t="shared" si="696"/>
        <v>13</v>
      </c>
      <c r="BC365" s="437">
        <f t="shared" si="696"/>
        <v>13</v>
      </c>
      <c r="BD365" s="436">
        <f>SUM(AZ365,BA365,BB365,BC365)</f>
        <v>52.667100000000005</v>
      </c>
      <c r="BE365" s="436">
        <f>BE361*BE357</f>
        <v>55.037119500000003</v>
      </c>
      <c r="BF365" s="436">
        <f>BF361*BF357</f>
        <v>57.513789877499995</v>
      </c>
      <c r="BG365" s="436">
        <f>BG361*BG357</f>
        <v>60.101910421987498</v>
      </c>
      <c r="BH365" s="351"/>
    </row>
    <row r="366" spans="1:60" s="345" customFormat="1" hidden="1" outlineLevel="1" x14ac:dyDescent="0.35">
      <c r="A366" s="350" t="s">
        <v>495</v>
      </c>
      <c r="B366" s="444"/>
      <c r="C366" s="445"/>
      <c r="D366" s="445"/>
      <c r="E366" s="445"/>
      <c r="F366" s="445"/>
      <c r="G366" s="446"/>
      <c r="H366" s="446"/>
      <c r="I366" s="446"/>
      <c r="J366" s="446"/>
      <c r="K366" s="445"/>
      <c r="L366" s="446"/>
      <c r="M366" s="446"/>
      <c r="N366" s="446"/>
      <c r="O366" s="446"/>
      <c r="P366" s="445"/>
      <c r="Q366" s="446"/>
      <c r="R366" s="446"/>
      <c r="S366" s="446"/>
      <c r="T366" s="446"/>
      <c r="U366" s="445"/>
      <c r="V366" s="446"/>
      <c r="W366" s="446"/>
      <c r="X366" s="446"/>
      <c r="Y366" s="446"/>
      <c r="Z366" s="445"/>
      <c r="AA366" s="437">
        <f t="shared" si="689"/>
        <v>0.29000000000005538</v>
      </c>
      <c r="AB366" s="437">
        <f t="shared" si="689"/>
        <v>-0.33000000000001489</v>
      </c>
      <c r="AC366" s="437">
        <f t="shared" si="689"/>
        <v>0.45600000000001073</v>
      </c>
      <c r="AD366" s="437">
        <f t="shared" si="689"/>
        <v>1.0560000000000624</v>
      </c>
      <c r="AE366" s="436">
        <f>SUM(AA366,AB366,AC366,AD366)</f>
        <v>1.4720000000001137</v>
      </c>
      <c r="AF366" s="437">
        <f t="shared" si="690"/>
        <v>0.30400000000001165</v>
      </c>
      <c r="AG366" s="437">
        <f t="shared" si="690"/>
        <v>0.50500000000012779</v>
      </c>
      <c r="AH366" s="437">
        <f t="shared" si="690"/>
        <v>-0.54899999999995563</v>
      </c>
      <c r="AI366" s="437">
        <f t="shared" si="690"/>
        <v>-1.5319999999999641</v>
      </c>
      <c r="AJ366" s="436">
        <f>SUM(AF366,AG366,AH366,AI366)</f>
        <v>-1.2719999999997804</v>
      </c>
      <c r="AK366" s="446"/>
      <c r="AL366" s="446"/>
      <c r="AM366" s="446"/>
      <c r="AN366" s="446"/>
      <c r="AO366" s="445"/>
      <c r="AP366" s="437">
        <f t="shared" si="692"/>
        <v>0.79999999999996185</v>
      </c>
      <c r="AQ366" s="437">
        <f t="shared" si="692"/>
        <v>-0.16000000000001569</v>
      </c>
      <c r="AR366" s="437">
        <f t="shared" si="693"/>
        <v>-0.15199999999987768</v>
      </c>
      <c r="AS366" s="437">
        <f t="shared" si="693"/>
        <v>-0.63399999999999335</v>
      </c>
      <c r="AT366" s="436">
        <f t="shared" si="694"/>
        <v>-0.14599999999992486</v>
      </c>
      <c r="AU366" s="763">
        <f t="shared" ref="AU366" si="700">AU$361*AU358</f>
        <v>0.50000000000004907</v>
      </c>
      <c r="AV366" s="446"/>
      <c r="AW366" s="446"/>
      <c r="AX366" s="446"/>
      <c r="AY366" s="445"/>
      <c r="AZ366" s="437">
        <f t="shared" si="696"/>
        <v>0</v>
      </c>
      <c r="BA366" s="437">
        <f t="shared" si="696"/>
        <v>0</v>
      </c>
      <c r="BB366" s="437">
        <f t="shared" si="696"/>
        <v>0</v>
      </c>
      <c r="BC366" s="437">
        <f t="shared" si="696"/>
        <v>0</v>
      </c>
      <c r="BD366" s="436">
        <f>SUM(AZ366,BA366,BB366,BC366)</f>
        <v>0</v>
      </c>
      <c r="BE366" s="436">
        <f>BE361*BE358</f>
        <v>0</v>
      </c>
      <c r="BF366" s="436">
        <f>BF361*BF358</f>
        <v>0</v>
      </c>
      <c r="BG366" s="436">
        <f>BG361*BG358</f>
        <v>0</v>
      </c>
      <c r="BH366" s="351"/>
    </row>
    <row r="367" spans="1:60" s="69" customFormat="1" hidden="1" outlineLevel="1" x14ac:dyDescent="0.35">
      <c r="A367" s="89" t="s">
        <v>21</v>
      </c>
      <c r="B367" s="452"/>
      <c r="C367" s="453"/>
      <c r="D367" s="453"/>
      <c r="E367" s="453"/>
      <c r="F367" s="453"/>
      <c r="G367" s="454"/>
      <c r="H367" s="454"/>
      <c r="I367" s="454"/>
      <c r="J367" s="454"/>
      <c r="K367" s="453"/>
      <c r="L367" s="454"/>
      <c r="M367" s="454"/>
      <c r="N367" s="454"/>
      <c r="O367" s="454"/>
      <c r="P367" s="453"/>
      <c r="Q367" s="454"/>
      <c r="R367" s="454"/>
      <c r="S367" s="454"/>
      <c r="T367" s="454"/>
      <c r="U367" s="453"/>
      <c r="V367" s="439">
        <f t="shared" ref="V367:AP367" si="701">V375</f>
        <v>1142</v>
      </c>
      <c r="W367" s="439">
        <f t="shared" si="701"/>
        <v>1233</v>
      </c>
      <c r="X367" s="439">
        <f t="shared" si="701"/>
        <v>1296</v>
      </c>
      <c r="Y367" s="439">
        <f t="shared" si="701"/>
        <v>1168</v>
      </c>
      <c r="Z367" s="438">
        <f t="shared" si="701"/>
        <v>4839</v>
      </c>
      <c r="AA367" s="439">
        <f t="shared" si="701"/>
        <v>1148</v>
      </c>
      <c r="AB367" s="439">
        <f t="shared" si="701"/>
        <v>1245</v>
      </c>
      <c r="AC367" s="439">
        <f t="shared" si="701"/>
        <v>1347</v>
      </c>
      <c r="AD367" s="439">
        <f t="shared" si="701"/>
        <v>1266</v>
      </c>
      <c r="AE367" s="438">
        <f t="shared" si="701"/>
        <v>5006</v>
      </c>
      <c r="AF367" s="439">
        <f t="shared" si="701"/>
        <v>1208</v>
      </c>
      <c r="AG367" s="439">
        <f t="shared" si="701"/>
        <v>1309</v>
      </c>
      <c r="AH367" s="439">
        <f t="shared" si="701"/>
        <v>1302</v>
      </c>
      <c r="AI367" s="439">
        <f t="shared" si="701"/>
        <v>1267</v>
      </c>
      <c r="AJ367" s="438">
        <f t="shared" si="701"/>
        <v>5086</v>
      </c>
      <c r="AK367" s="439">
        <f t="shared" si="701"/>
        <v>1200</v>
      </c>
      <c r="AL367" s="439">
        <f t="shared" si="701"/>
        <v>1320</v>
      </c>
      <c r="AM367" s="439">
        <f t="shared" si="701"/>
        <v>1342</v>
      </c>
      <c r="AN367" s="439">
        <f t="shared" si="701"/>
        <v>1289</v>
      </c>
      <c r="AO367" s="438">
        <f t="shared" si="701"/>
        <v>5151</v>
      </c>
      <c r="AP367" s="439">
        <f t="shared" si="701"/>
        <v>1256</v>
      </c>
      <c r="AQ367" s="439">
        <f>AQ39</f>
        <v>1238</v>
      </c>
      <c r="AR367" s="439">
        <f>AR375</f>
        <v>1417</v>
      </c>
      <c r="AS367" s="439">
        <f>AS375</f>
        <v>1425</v>
      </c>
      <c r="AT367" s="438">
        <f>AT375</f>
        <v>5336</v>
      </c>
      <c r="AU367" s="765">
        <f>AU375</f>
        <v>1373</v>
      </c>
      <c r="AV367" s="944">
        <f>Drivers!AV72</f>
        <v>1293.71</v>
      </c>
      <c r="AW367" s="944">
        <f>Drivers!AW72</f>
        <v>1300</v>
      </c>
      <c r="AX367" s="944">
        <f>Drivers!AX72</f>
        <v>1300</v>
      </c>
      <c r="AY367" s="438">
        <f>SUM(AU367,AV367,AW367,AX367)</f>
        <v>5266.71</v>
      </c>
      <c r="AZ367" s="439">
        <f t="shared" ref="AZ367:BG367" si="702">SUM(AZ361:AZ366)</f>
        <v>1434.7850000000001</v>
      </c>
      <c r="BA367" s="439">
        <f t="shared" si="702"/>
        <v>1351.92695</v>
      </c>
      <c r="BB367" s="439">
        <f t="shared" si="702"/>
        <v>1358.5</v>
      </c>
      <c r="BC367" s="439">
        <f t="shared" si="702"/>
        <v>1358.5</v>
      </c>
      <c r="BD367" s="438">
        <f t="shared" si="702"/>
        <v>5503.7119499999999</v>
      </c>
      <c r="BE367" s="438">
        <f t="shared" si="702"/>
        <v>5751.3789877499994</v>
      </c>
      <c r="BF367" s="438">
        <f t="shared" si="702"/>
        <v>6010.1910421987495</v>
      </c>
      <c r="BG367" s="438">
        <f t="shared" si="702"/>
        <v>6280.6496390976936</v>
      </c>
      <c r="BH367" s="79"/>
    </row>
    <row r="368" spans="1:60" s="225" customFormat="1" hidden="1" outlineLevel="1" x14ac:dyDescent="0.35">
      <c r="A368" s="538"/>
      <c r="B368" s="176"/>
      <c r="C368" s="113"/>
      <c r="D368" s="113"/>
      <c r="E368" s="113"/>
      <c r="F368" s="113"/>
      <c r="G368" s="177"/>
      <c r="H368" s="177"/>
      <c r="I368" s="177"/>
      <c r="J368" s="177"/>
      <c r="K368" s="113"/>
      <c r="L368" s="177"/>
      <c r="M368" s="177"/>
      <c r="N368" s="177"/>
      <c r="O368" s="177"/>
      <c r="P368" s="113"/>
      <c r="Q368" s="177"/>
      <c r="R368" s="177"/>
      <c r="S368" s="177"/>
      <c r="T368" s="177"/>
      <c r="U368" s="113"/>
      <c r="V368" s="177"/>
      <c r="W368" s="177"/>
      <c r="X368" s="177"/>
      <c r="Y368" s="177"/>
      <c r="Z368" s="113"/>
      <c r="AA368" s="177"/>
      <c r="AB368" s="177"/>
      <c r="AC368" s="177"/>
      <c r="AD368" s="177"/>
      <c r="AE368" s="113"/>
      <c r="AF368" s="177"/>
      <c r="AG368" s="177"/>
      <c r="AH368" s="177"/>
      <c r="AI368" s="177"/>
      <c r="AJ368" s="113"/>
      <c r="AK368" s="177"/>
      <c r="AL368" s="177"/>
      <c r="AM368" s="177"/>
      <c r="AN368" s="177"/>
      <c r="AO368" s="113"/>
      <c r="AP368" s="177"/>
      <c r="AQ368" s="177"/>
      <c r="AR368" s="177"/>
      <c r="AS368" s="177"/>
      <c r="AT368" s="113"/>
      <c r="AU368" s="780"/>
      <c r="AV368" s="177"/>
      <c r="AW368" s="177"/>
      <c r="AX368" s="177"/>
      <c r="AY368" s="113"/>
      <c r="AZ368" s="177"/>
      <c r="BA368" s="177"/>
      <c r="BB368" s="177"/>
      <c r="BC368" s="177"/>
      <c r="BD368" s="113"/>
      <c r="BE368" s="113"/>
      <c r="BF368" s="113"/>
      <c r="BG368" s="113"/>
      <c r="BH368" s="94"/>
    </row>
    <row r="369" spans="1:60" s="345" customFormat="1" hidden="1" outlineLevel="2" x14ac:dyDescent="0.35">
      <c r="A369" s="161" t="s">
        <v>496</v>
      </c>
      <c r="B369" s="444"/>
      <c r="C369" s="445"/>
      <c r="D369" s="445"/>
      <c r="E369" s="445"/>
      <c r="F369" s="445"/>
      <c r="G369" s="446"/>
      <c r="H369" s="446"/>
      <c r="I369" s="446"/>
      <c r="J369" s="446"/>
      <c r="K369" s="445"/>
      <c r="L369" s="446"/>
      <c r="M369" s="446"/>
      <c r="N369" s="446"/>
      <c r="O369" s="446"/>
      <c r="P369" s="445"/>
      <c r="Q369" s="446"/>
      <c r="R369" s="446"/>
      <c r="S369" s="446"/>
      <c r="T369" s="446"/>
      <c r="U369" s="445"/>
      <c r="V369" s="446"/>
      <c r="W369" s="446"/>
      <c r="X369" s="446"/>
      <c r="Y369" s="446"/>
      <c r="Z369" s="436">
        <v>2922</v>
      </c>
      <c r="AA369" s="446"/>
      <c r="AB369" s="446"/>
      <c r="AC369" s="446"/>
      <c r="AD369" s="446"/>
      <c r="AE369" s="436">
        <v>2943</v>
      </c>
      <c r="AF369" s="437">
        <v>658</v>
      </c>
      <c r="AG369" s="437">
        <v>797</v>
      </c>
      <c r="AH369" s="437">
        <v>818</v>
      </c>
      <c r="AI369" s="437">
        <f>AJ369-SUM(AF369,AG369,AH369)</f>
        <v>772</v>
      </c>
      <c r="AJ369" s="436">
        <v>3045</v>
      </c>
      <c r="AK369" s="446"/>
      <c r="AL369" s="446"/>
      <c r="AM369" s="446"/>
      <c r="AN369" s="446"/>
      <c r="AO369" s="445"/>
      <c r="AP369" s="446"/>
      <c r="AQ369" s="446"/>
      <c r="AR369" s="446"/>
      <c r="AS369" s="446"/>
      <c r="AT369" s="445"/>
      <c r="AU369" s="767"/>
      <c r="AV369" s="446"/>
      <c r="AW369" s="446"/>
      <c r="AX369" s="446"/>
      <c r="AY369" s="445"/>
      <c r="AZ369" s="446"/>
      <c r="BA369" s="446"/>
      <c r="BB369" s="446"/>
      <c r="BC369" s="446"/>
      <c r="BD369" s="445"/>
      <c r="BE369" s="445"/>
      <c r="BF369" s="445"/>
      <c r="BG369" s="445"/>
      <c r="BH369" s="351"/>
    </row>
    <row r="370" spans="1:60" s="345" customFormat="1" hidden="1" outlineLevel="2" x14ac:dyDescent="0.35">
      <c r="A370" s="101" t="s">
        <v>499</v>
      </c>
      <c r="B370" s="501"/>
      <c r="C370" s="502"/>
      <c r="D370" s="502"/>
      <c r="E370" s="502"/>
      <c r="F370" s="502"/>
      <c r="G370" s="463"/>
      <c r="H370" s="463"/>
      <c r="I370" s="463"/>
      <c r="J370" s="463"/>
      <c r="K370" s="502"/>
      <c r="L370" s="463"/>
      <c r="M370" s="463"/>
      <c r="N370" s="463"/>
      <c r="O370" s="463"/>
      <c r="P370" s="502"/>
      <c r="Q370" s="463"/>
      <c r="R370" s="463"/>
      <c r="S370" s="463"/>
      <c r="T370" s="463"/>
      <c r="U370" s="502"/>
      <c r="V370" s="463"/>
      <c r="W370" s="463"/>
      <c r="X370" s="463"/>
      <c r="Y370" s="463"/>
      <c r="Z370" s="480">
        <v>423</v>
      </c>
      <c r="AA370" s="463"/>
      <c r="AB370" s="463"/>
      <c r="AC370" s="463"/>
      <c r="AD370" s="463"/>
      <c r="AE370" s="480">
        <v>450</v>
      </c>
      <c r="AF370" s="458">
        <v>110</v>
      </c>
      <c r="AG370" s="458">
        <v>110</v>
      </c>
      <c r="AH370" s="458">
        <v>110</v>
      </c>
      <c r="AI370" s="458">
        <f>AJ370-SUM(AF370,AG370,AH370)</f>
        <v>117</v>
      </c>
      <c r="AJ370" s="480">
        <v>447</v>
      </c>
      <c r="AK370" s="463"/>
      <c r="AL370" s="463"/>
      <c r="AM370" s="463"/>
      <c r="AN370" s="463"/>
      <c r="AO370" s="502"/>
      <c r="AP370" s="463"/>
      <c r="AQ370" s="463"/>
      <c r="AR370" s="463"/>
      <c r="AS370" s="463"/>
      <c r="AT370" s="502"/>
      <c r="AU370" s="768"/>
      <c r="AV370" s="463"/>
      <c r="AW370" s="463"/>
      <c r="AX370" s="463"/>
      <c r="AY370" s="502"/>
      <c r="AZ370" s="463"/>
      <c r="BA370" s="463"/>
      <c r="BB370" s="463"/>
      <c r="BC370" s="463"/>
      <c r="BD370" s="502"/>
      <c r="BE370" s="502"/>
      <c r="BF370" s="502"/>
      <c r="BG370" s="502"/>
      <c r="BH370" s="351"/>
    </row>
    <row r="371" spans="1:60" s="345" customFormat="1" hidden="1" outlineLevel="1" x14ac:dyDescent="0.35">
      <c r="A371" s="350" t="s">
        <v>734</v>
      </c>
      <c r="B371" s="444"/>
      <c r="C371" s="445"/>
      <c r="D371" s="445"/>
      <c r="E371" s="445"/>
      <c r="F371" s="445"/>
      <c r="G371" s="446"/>
      <c r="H371" s="446"/>
      <c r="I371" s="446"/>
      <c r="J371" s="446"/>
      <c r="K371" s="445"/>
      <c r="L371" s="446"/>
      <c r="M371" s="446"/>
      <c r="N371" s="446"/>
      <c r="O371" s="446"/>
      <c r="P371" s="445"/>
      <c r="Q371" s="446"/>
      <c r="R371" s="446"/>
      <c r="S371" s="446"/>
      <c r="T371" s="446"/>
      <c r="U371" s="445"/>
      <c r="V371" s="446"/>
      <c r="W371" s="446"/>
      <c r="X371" s="446"/>
      <c r="Y371" s="446"/>
      <c r="Z371" s="436">
        <f>SUM(Z369:Z370)</f>
        <v>3345</v>
      </c>
      <c r="AA371" s="446"/>
      <c r="AB371" s="446"/>
      <c r="AC371" s="446"/>
      <c r="AD371" s="446"/>
      <c r="AE371" s="436">
        <f t="shared" ref="AE371:AJ371" si="703">SUM(AE369:AE370)</f>
        <v>3393</v>
      </c>
      <c r="AF371" s="437">
        <f t="shared" si="703"/>
        <v>768</v>
      </c>
      <c r="AG371" s="437">
        <f t="shared" si="703"/>
        <v>907</v>
      </c>
      <c r="AH371" s="437">
        <f t="shared" si="703"/>
        <v>928</v>
      </c>
      <c r="AI371" s="437">
        <f t="shared" si="703"/>
        <v>889</v>
      </c>
      <c r="AJ371" s="436">
        <f t="shared" si="703"/>
        <v>3492</v>
      </c>
      <c r="AK371" s="437">
        <v>803</v>
      </c>
      <c r="AL371" s="437">
        <v>945</v>
      </c>
      <c r="AM371" s="437">
        <v>975</v>
      </c>
      <c r="AN371" s="437">
        <f>AO371-SUM(AK371,AL371,AM371)</f>
        <v>918</v>
      </c>
      <c r="AO371" s="436">
        <v>3641</v>
      </c>
      <c r="AP371" s="437">
        <v>874</v>
      </c>
      <c r="AQ371" s="437">
        <v>895</v>
      </c>
      <c r="AR371" s="437">
        <v>1032</v>
      </c>
      <c r="AS371" s="437">
        <f>AT371-SUM(AP371,AQ371,AR371)</f>
        <v>1031</v>
      </c>
      <c r="AT371" s="436">
        <v>3832</v>
      </c>
      <c r="AU371" s="767">
        <v>949</v>
      </c>
      <c r="AV371" s="446"/>
      <c r="AW371" s="446"/>
      <c r="AX371" s="446"/>
      <c r="AY371" s="445"/>
      <c r="AZ371" s="446"/>
      <c r="BA371" s="446"/>
      <c r="BB371" s="446"/>
      <c r="BC371" s="446"/>
      <c r="BD371" s="445"/>
      <c r="BE371" s="445"/>
      <c r="BF371" s="445"/>
      <c r="BG371" s="445"/>
      <c r="BH371" s="351"/>
    </row>
    <row r="372" spans="1:60" s="345" customFormat="1" hidden="1" outlineLevel="1" x14ac:dyDescent="0.35">
      <c r="A372" s="350" t="s">
        <v>497</v>
      </c>
      <c r="B372" s="444"/>
      <c r="C372" s="445"/>
      <c r="D372" s="445"/>
      <c r="E372" s="445"/>
      <c r="F372" s="445"/>
      <c r="G372" s="446"/>
      <c r="H372" s="446"/>
      <c r="I372" s="446"/>
      <c r="J372" s="446"/>
      <c r="K372" s="445"/>
      <c r="L372" s="446"/>
      <c r="M372" s="446"/>
      <c r="N372" s="446"/>
      <c r="O372" s="446"/>
      <c r="P372" s="445"/>
      <c r="Q372" s="446"/>
      <c r="R372" s="446"/>
      <c r="S372" s="446"/>
      <c r="T372" s="446"/>
      <c r="U372" s="445"/>
      <c r="V372" s="446"/>
      <c r="W372" s="446"/>
      <c r="X372" s="446"/>
      <c r="Y372" s="446"/>
      <c r="Z372" s="436">
        <v>921</v>
      </c>
      <c r="AA372" s="446"/>
      <c r="AB372" s="446"/>
      <c r="AC372" s="446"/>
      <c r="AD372" s="446"/>
      <c r="AE372" s="436">
        <v>1029</v>
      </c>
      <c r="AF372" s="437">
        <v>290</v>
      </c>
      <c r="AG372" s="437">
        <v>251</v>
      </c>
      <c r="AH372" s="437">
        <v>237</v>
      </c>
      <c r="AI372" s="437">
        <f>AJ372-SUM(AF372,AG372,AH372)</f>
        <v>243</v>
      </c>
      <c r="AJ372" s="436">
        <v>1021</v>
      </c>
      <c r="AK372" s="437">
        <v>257</v>
      </c>
      <c r="AL372" s="437">
        <v>233</v>
      </c>
      <c r="AM372" s="437">
        <v>228</v>
      </c>
      <c r="AN372" s="437">
        <f>AO372-SUM(AK372,AL372,AM372)</f>
        <v>234</v>
      </c>
      <c r="AO372" s="436">
        <v>952</v>
      </c>
      <c r="AP372" s="437">
        <v>250</v>
      </c>
      <c r="AQ372" s="437">
        <v>218</v>
      </c>
      <c r="AR372" s="437">
        <v>231</v>
      </c>
      <c r="AS372" s="437">
        <f>AT372-SUM(AP372,AQ372,AR372)</f>
        <v>240</v>
      </c>
      <c r="AT372" s="436">
        <v>939</v>
      </c>
      <c r="AU372" s="767">
        <v>278</v>
      </c>
      <c r="AV372" s="446"/>
      <c r="AW372" s="446"/>
      <c r="AX372" s="446"/>
      <c r="AY372" s="445"/>
      <c r="AZ372" s="446"/>
      <c r="BA372" s="446"/>
      <c r="BB372" s="446"/>
      <c r="BC372" s="446"/>
      <c r="BD372" s="445"/>
      <c r="BE372" s="445"/>
      <c r="BF372" s="445"/>
      <c r="BG372" s="445"/>
      <c r="BH372" s="351"/>
    </row>
    <row r="373" spans="1:60" s="345" customFormat="1" hidden="1" outlineLevel="1" x14ac:dyDescent="0.35">
      <c r="A373" s="350" t="s">
        <v>498</v>
      </c>
      <c r="B373" s="444"/>
      <c r="C373" s="445"/>
      <c r="D373" s="445"/>
      <c r="E373" s="445"/>
      <c r="F373" s="445"/>
      <c r="G373" s="446"/>
      <c r="H373" s="446"/>
      <c r="I373" s="446"/>
      <c r="J373" s="446"/>
      <c r="K373" s="445"/>
      <c r="L373" s="446"/>
      <c r="M373" s="446"/>
      <c r="N373" s="446"/>
      <c r="O373" s="446"/>
      <c r="P373" s="445"/>
      <c r="Q373" s="446"/>
      <c r="R373" s="446"/>
      <c r="S373" s="446"/>
      <c r="T373" s="446"/>
      <c r="U373" s="445"/>
      <c r="V373" s="446"/>
      <c r="W373" s="446"/>
      <c r="X373" s="446"/>
      <c r="Y373" s="446"/>
      <c r="Z373" s="436">
        <v>572</v>
      </c>
      <c r="AA373" s="446"/>
      <c r="AB373" s="446"/>
      <c r="AC373" s="446"/>
      <c r="AD373" s="446"/>
      <c r="AE373" s="436">
        <v>585</v>
      </c>
      <c r="AF373" s="437">
        <v>149</v>
      </c>
      <c r="AG373" s="437">
        <v>152</v>
      </c>
      <c r="AH373" s="437">
        <v>137</v>
      </c>
      <c r="AI373" s="437">
        <f>AJ373-SUM(AF373,AG373,AH373)</f>
        <v>136</v>
      </c>
      <c r="AJ373" s="436">
        <v>574</v>
      </c>
      <c r="AK373" s="437">
        <v>141</v>
      </c>
      <c r="AL373" s="437">
        <v>141</v>
      </c>
      <c r="AM373" s="437">
        <v>140</v>
      </c>
      <c r="AN373" s="437">
        <f>AO373-SUM(AK373,AL373,AM373)</f>
        <v>137</v>
      </c>
      <c r="AO373" s="436">
        <v>559</v>
      </c>
      <c r="AP373" s="437">
        <v>132</v>
      </c>
      <c r="AQ373" s="437">
        <v>125</v>
      </c>
      <c r="AR373" s="437">
        <v>154</v>
      </c>
      <c r="AS373" s="437">
        <f>AT373-SUM(AP373,AQ373,AR373)</f>
        <v>156</v>
      </c>
      <c r="AT373" s="436">
        <v>567</v>
      </c>
      <c r="AU373" s="767">
        <v>146</v>
      </c>
      <c r="AV373" s="446"/>
      <c r="AW373" s="446"/>
      <c r="AX373" s="446"/>
      <c r="AY373" s="445"/>
      <c r="AZ373" s="446"/>
      <c r="BA373" s="446"/>
      <c r="BB373" s="446"/>
      <c r="BC373" s="446"/>
      <c r="BD373" s="445"/>
      <c r="BE373" s="445"/>
      <c r="BF373" s="445"/>
      <c r="BG373" s="445"/>
      <c r="BH373" s="351"/>
    </row>
    <row r="374" spans="1:60" s="345" customFormat="1" hidden="1" outlineLevel="1" x14ac:dyDescent="0.35">
      <c r="A374" s="350" t="s">
        <v>692</v>
      </c>
      <c r="B374" s="444"/>
      <c r="C374" s="445"/>
      <c r="D374" s="445"/>
      <c r="E374" s="445"/>
      <c r="F374" s="445"/>
      <c r="G374" s="446"/>
      <c r="H374" s="446"/>
      <c r="I374" s="446"/>
      <c r="J374" s="446"/>
      <c r="K374" s="445"/>
      <c r="L374" s="446"/>
      <c r="M374" s="446"/>
      <c r="N374" s="446"/>
      <c r="O374" s="446"/>
      <c r="P374" s="445"/>
      <c r="Q374" s="446"/>
      <c r="R374" s="446"/>
      <c r="S374" s="446"/>
      <c r="T374" s="446"/>
      <c r="U374" s="445"/>
      <c r="V374" s="446"/>
      <c r="W374" s="446"/>
      <c r="X374" s="446"/>
      <c r="Y374" s="446"/>
      <c r="Z374" s="436">
        <v>1</v>
      </c>
      <c r="AA374" s="446"/>
      <c r="AB374" s="446"/>
      <c r="AC374" s="446"/>
      <c r="AD374" s="446"/>
      <c r="AE374" s="436">
        <v>-1</v>
      </c>
      <c r="AF374" s="437">
        <v>1</v>
      </c>
      <c r="AG374" s="437">
        <v>-1</v>
      </c>
      <c r="AH374" s="446"/>
      <c r="AI374" s="437">
        <f>AJ374-SUM(AF374,AG374,AH374)</f>
        <v>-1</v>
      </c>
      <c r="AJ374" s="436">
        <v>-1</v>
      </c>
      <c r="AK374" s="437">
        <v>-1</v>
      </c>
      <c r="AL374" s="437">
        <v>1</v>
      </c>
      <c r="AM374" s="437">
        <v>-1</v>
      </c>
      <c r="AN374" s="437">
        <f>AO374-SUM(AK374,AL374,AM374)</f>
        <v>0</v>
      </c>
      <c r="AO374" s="436">
        <v>-1</v>
      </c>
      <c r="AP374" s="446"/>
      <c r="AQ374" s="446"/>
      <c r="AR374" s="446"/>
      <c r="AS374" s="437">
        <f>AT374-SUM(AP374,AQ374,AR374)</f>
        <v>-2</v>
      </c>
      <c r="AT374" s="436">
        <v>-2</v>
      </c>
      <c r="AU374" s="767"/>
      <c r="AV374" s="446"/>
      <c r="AW374" s="446"/>
      <c r="AX374" s="446"/>
      <c r="AY374" s="445"/>
      <c r="AZ374" s="446"/>
      <c r="BA374" s="446"/>
      <c r="BB374" s="446"/>
      <c r="BC374" s="446"/>
      <c r="BD374" s="445"/>
      <c r="BE374" s="445"/>
      <c r="BF374" s="445"/>
      <c r="BG374" s="445"/>
      <c r="BH374" s="351"/>
    </row>
    <row r="375" spans="1:60" s="69" customFormat="1" hidden="1" outlineLevel="1" x14ac:dyDescent="0.35">
      <c r="A375" s="89" t="s">
        <v>21</v>
      </c>
      <c r="B375" s="452"/>
      <c r="C375" s="453"/>
      <c r="D375" s="453"/>
      <c r="E375" s="453"/>
      <c r="F375" s="453"/>
      <c r="G375" s="454"/>
      <c r="H375" s="454"/>
      <c r="I375" s="454"/>
      <c r="J375" s="454"/>
      <c r="K375" s="453"/>
      <c r="L375" s="454"/>
      <c r="M375" s="454"/>
      <c r="N375" s="454"/>
      <c r="O375" s="454"/>
      <c r="P375" s="453"/>
      <c r="Q375" s="454"/>
      <c r="R375" s="454"/>
      <c r="S375" s="454"/>
      <c r="T375" s="454"/>
      <c r="U375" s="453"/>
      <c r="V375" s="439">
        <f>V39</f>
        <v>1142</v>
      </c>
      <c r="W375" s="439">
        <f>W39</f>
        <v>1233</v>
      </c>
      <c r="X375" s="439">
        <f>X39</f>
        <v>1296</v>
      </c>
      <c r="Y375" s="439">
        <f>Y39</f>
        <v>1168</v>
      </c>
      <c r="Z375" s="438">
        <f>SUM(Z371:Z374)</f>
        <v>4839</v>
      </c>
      <c r="AA375" s="439">
        <f>AA39</f>
        <v>1148</v>
      </c>
      <c r="AB375" s="439">
        <f>AB39</f>
        <v>1245</v>
      </c>
      <c r="AC375" s="439">
        <f>AC39</f>
        <v>1347</v>
      </c>
      <c r="AD375" s="439">
        <f>AD39</f>
        <v>1266</v>
      </c>
      <c r="AE375" s="438">
        <f t="shared" ref="AE375:AU375" si="704">SUM(AE371:AE374)</f>
        <v>5006</v>
      </c>
      <c r="AF375" s="439">
        <f t="shared" si="704"/>
        <v>1208</v>
      </c>
      <c r="AG375" s="439">
        <f t="shared" si="704"/>
        <v>1309</v>
      </c>
      <c r="AH375" s="439">
        <f t="shared" si="704"/>
        <v>1302</v>
      </c>
      <c r="AI375" s="439">
        <f t="shared" si="704"/>
        <v>1267</v>
      </c>
      <c r="AJ375" s="438">
        <f t="shared" si="704"/>
        <v>5086</v>
      </c>
      <c r="AK375" s="439">
        <f t="shared" si="704"/>
        <v>1200</v>
      </c>
      <c r="AL375" s="439">
        <f t="shared" si="704"/>
        <v>1320</v>
      </c>
      <c r="AM375" s="439">
        <f t="shared" si="704"/>
        <v>1342</v>
      </c>
      <c r="AN375" s="439">
        <f t="shared" si="704"/>
        <v>1289</v>
      </c>
      <c r="AO375" s="438">
        <f t="shared" si="704"/>
        <v>5151</v>
      </c>
      <c r="AP375" s="439">
        <f t="shared" si="704"/>
        <v>1256</v>
      </c>
      <c r="AQ375" s="439">
        <f t="shared" si="704"/>
        <v>1238</v>
      </c>
      <c r="AR375" s="439">
        <f t="shared" si="704"/>
        <v>1417</v>
      </c>
      <c r="AS375" s="439">
        <f t="shared" si="704"/>
        <v>1425</v>
      </c>
      <c r="AT375" s="438">
        <f t="shared" si="704"/>
        <v>5336</v>
      </c>
      <c r="AU375" s="765">
        <f t="shared" si="704"/>
        <v>1373</v>
      </c>
      <c r="AV375" s="439">
        <f>AV367</f>
        <v>1293.71</v>
      </c>
      <c r="AW375" s="439">
        <f>AW367</f>
        <v>1300</v>
      </c>
      <c r="AX375" s="439">
        <f>AX367</f>
        <v>1300</v>
      </c>
      <c r="AY375" s="438">
        <f>SUM(AU375,AV375,AW375,AX375)</f>
        <v>5266.71</v>
      </c>
      <c r="AZ375" s="439">
        <f>AZ367</f>
        <v>1434.7850000000001</v>
      </c>
      <c r="BA375" s="439">
        <f>BA367</f>
        <v>1351.92695</v>
      </c>
      <c r="BB375" s="439">
        <f>BB367</f>
        <v>1358.5</v>
      </c>
      <c r="BC375" s="439">
        <f>BC367</f>
        <v>1358.5</v>
      </c>
      <c r="BD375" s="438">
        <f>SUM(AZ375,BA375,BB375,BC375)</f>
        <v>5503.7119499999999</v>
      </c>
      <c r="BE375" s="438">
        <f>BE367</f>
        <v>5751.3789877499994</v>
      </c>
      <c r="BF375" s="438">
        <f>BF367</f>
        <v>6010.1910421987495</v>
      </c>
      <c r="BG375" s="438">
        <f>BG367</f>
        <v>6280.6496390976936</v>
      </c>
      <c r="BH375" s="79"/>
    </row>
    <row r="376" spans="1:60" s="69" customFormat="1" hidden="1" outlineLevel="1" x14ac:dyDescent="0.35">
      <c r="A376" s="426"/>
      <c r="B376" s="518"/>
      <c r="C376" s="519"/>
      <c r="D376" s="519"/>
      <c r="E376" s="519"/>
      <c r="F376" s="519"/>
      <c r="G376" s="520"/>
      <c r="H376" s="520"/>
      <c r="I376" s="520"/>
      <c r="J376" s="520"/>
      <c r="K376" s="519"/>
      <c r="L376" s="520"/>
      <c r="M376" s="520"/>
      <c r="N376" s="520"/>
      <c r="O376" s="520"/>
      <c r="P376" s="519"/>
      <c r="Q376" s="520"/>
      <c r="R376" s="520"/>
      <c r="S376" s="520"/>
      <c r="T376" s="520"/>
      <c r="U376" s="519"/>
      <c r="V376" s="520"/>
      <c r="W376" s="520"/>
      <c r="X376" s="520"/>
      <c r="Y376" s="520"/>
      <c r="Z376" s="519"/>
      <c r="AA376" s="520"/>
      <c r="AB376" s="520"/>
      <c r="AC376" s="520"/>
      <c r="AD376" s="520"/>
      <c r="AE376" s="519"/>
      <c r="AF376" s="520"/>
      <c r="AG376" s="520"/>
      <c r="AH376" s="520"/>
      <c r="AI376" s="520"/>
      <c r="AJ376" s="519"/>
      <c r="AK376" s="520"/>
      <c r="AL376" s="520"/>
      <c r="AM376" s="520"/>
      <c r="AN376" s="520"/>
      <c r="AO376" s="519"/>
      <c r="AP376" s="520"/>
      <c r="AQ376" s="520"/>
      <c r="AR376" s="520"/>
      <c r="AS376" s="520"/>
      <c r="AT376" s="519"/>
      <c r="AU376" s="766"/>
      <c r="AV376" s="520"/>
      <c r="AW376" s="520"/>
      <c r="AX376" s="520"/>
      <c r="AY376" s="519"/>
      <c r="AZ376" s="520"/>
      <c r="BA376" s="520"/>
      <c r="BB376" s="520"/>
      <c r="BC376" s="520"/>
      <c r="BD376" s="519"/>
      <c r="BE376" s="519"/>
      <c r="BF376" s="519"/>
      <c r="BG376" s="519"/>
      <c r="BH376" s="79"/>
    </row>
    <row r="377" spans="1:60" s="69" customFormat="1" hidden="1" outlineLevel="1" x14ac:dyDescent="0.35">
      <c r="A377" s="90" t="s">
        <v>389</v>
      </c>
      <c r="B377" s="518"/>
      <c r="C377" s="519"/>
      <c r="D377" s="519"/>
      <c r="E377" s="519"/>
      <c r="F377" s="519"/>
      <c r="G377" s="520"/>
      <c r="H377" s="520"/>
      <c r="I377" s="520"/>
      <c r="J377" s="520"/>
      <c r="K377" s="519"/>
      <c r="L377" s="520"/>
      <c r="M377" s="520"/>
      <c r="N377" s="520"/>
      <c r="O377" s="520"/>
      <c r="P377" s="519"/>
      <c r="Q377" s="520"/>
      <c r="R377" s="520"/>
      <c r="S377" s="520"/>
      <c r="T377" s="520"/>
      <c r="U377" s="519"/>
      <c r="V377" s="441">
        <f t="shared" ref="V377:AT377" si="705">V60</f>
        <v>249</v>
      </c>
      <c r="W377" s="441">
        <f t="shared" si="705"/>
        <v>293</v>
      </c>
      <c r="X377" s="441">
        <f t="shared" si="705"/>
        <v>325</v>
      </c>
      <c r="Y377" s="441">
        <f t="shared" si="705"/>
        <v>229</v>
      </c>
      <c r="Z377" s="440">
        <f t="shared" si="705"/>
        <v>1096</v>
      </c>
      <c r="AA377" s="441">
        <f t="shared" si="705"/>
        <v>237</v>
      </c>
      <c r="AB377" s="441">
        <f t="shared" si="705"/>
        <v>214</v>
      </c>
      <c r="AC377" s="441">
        <f t="shared" si="705"/>
        <v>323</v>
      </c>
      <c r="AD377" s="441">
        <f t="shared" si="705"/>
        <v>277</v>
      </c>
      <c r="AE377" s="440">
        <f t="shared" si="705"/>
        <v>1051</v>
      </c>
      <c r="AF377" s="441">
        <f t="shared" si="705"/>
        <v>232</v>
      </c>
      <c r="AG377" s="441">
        <f t="shared" si="705"/>
        <v>279</v>
      </c>
      <c r="AH377" s="441">
        <f t="shared" si="705"/>
        <v>300</v>
      </c>
      <c r="AI377" s="441">
        <f t="shared" si="705"/>
        <v>260</v>
      </c>
      <c r="AJ377" s="440">
        <f t="shared" si="705"/>
        <v>1071</v>
      </c>
      <c r="AK377" s="441">
        <f t="shared" si="705"/>
        <v>235</v>
      </c>
      <c r="AL377" s="441">
        <f t="shared" si="705"/>
        <v>273</v>
      </c>
      <c r="AM377" s="441">
        <f t="shared" si="705"/>
        <v>313</v>
      </c>
      <c r="AN377" s="441">
        <f t="shared" si="705"/>
        <v>303</v>
      </c>
      <c r="AO377" s="440">
        <f t="shared" si="705"/>
        <v>1124</v>
      </c>
      <c r="AP377" s="441">
        <f t="shared" si="705"/>
        <v>269</v>
      </c>
      <c r="AQ377" s="441">
        <f t="shared" si="705"/>
        <v>287</v>
      </c>
      <c r="AR377" s="441">
        <f t="shared" si="705"/>
        <v>358</v>
      </c>
      <c r="AS377" s="441">
        <f t="shared" si="705"/>
        <v>335</v>
      </c>
      <c r="AT377" s="440">
        <f t="shared" si="705"/>
        <v>1249</v>
      </c>
      <c r="AU377" s="762">
        <f t="shared" ref="AU377" si="706">AU60</f>
        <v>289</v>
      </c>
      <c r="AV377" s="441">
        <f>AV375*AV385</f>
        <v>271.67910000000001</v>
      </c>
      <c r="AW377" s="441">
        <f>AW375*AW385</f>
        <v>273</v>
      </c>
      <c r="AX377" s="441">
        <f>AX375*AX385</f>
        <v>273</v>
      </c>
      <c r="AY377" s="440">
        <f>SUM(AU377,AV377,AW377,AX377)</f>
        <v>1106.6791000000001</v>
      </c>
      <c r="AZ377" s="441">
        <f>AZ375*AZ385</f>
        <v>316.35284999999999</v>
      </c>
      <c r="BA377" s="441">
        <f>BA375*BA385</f>
        <v>270.38538999999997</v>
      </c>
      <c r="BB377" s="441">
        <f>BB375*BB385</f>
        <v>244.53</v>
      </c>
      <c r="BC377" s="441">
        <f>BC375*BC385</f>
        <v>258.11500000000001</v>
      </c>
      <c r="BD377" s="440">
        <f>SUM(AZ377,BA377,BB377,BC377)</f>
        <v>1089.3832399999999</v>
      </c>
      <c r="BE377" s="440">
        <f>BE375*BE385</f>
        <v>1149.9082437754998</v>
      </c>
      <c r="BF377" s="440">
        <f>BF375*BF385</f>
        <v>1213.6744968297949</v>
      </c>
      <c r="BG377" s="440">
        <f>BG375*BG385</f>
        <v>1280.8511484653311</v>
      </c>
      <c r="BH377" s="79"/>
    </row>
    <row r="378" spans="1:60" s="345" customFormat="1" hidden="1" outlineLevel="1" x14ac:dyDescent="0.35">
      <c r="A378" s="91" t="s">
        <v>985</v>
      </c>
      <c r="B378" s="501"/>
      <c r="C378" s="502"/>
      <c r="D378" s="502"/>
      <c r="E378" s="502"/>
      <c r="F378" s="502"/>
      <c r="G378" s="463"/>
      <c r="H378" s="463"/>
      <c r="I378" s="463"/>
      <c r="J378" s="463"/>
      <c r="K378" s="502"/>
      <c r="L378" s="463"/>
      <c r="M378" s="463"/>
      <c r="N378" s="463"/>
      <c r="O378" s="463"/>
      <c r="P378" s="502"/>
      <c r="Q378" s="463"/>
      <c r="R378" s="463"/>
      <c r="S378" s="463"/>
      <c r="T378" s="463"/>
      <c r="U378" s="502"/>
      <c r="V378" s="463"/>
      <c r="W378" s="463"/>
      <c r="X378" s="463"/>
      <c r="Y378" s="463"/>
      <c r="Z378" s="502"/>
      <c r="AA378" s="463"/>
      <c r="AB378" s="463"/>
      <c r="AC378" s="463"/>
      <c r="AD378" s="463"/>
      <c r="AE378" s="502"/>
      <c r="AF378" s="463"/>
      <c r="AG378" s="463"/>
      <c r="AH378" s="463"/>
      <c r="AI378" s="463"/>
      <c r="AJ378" s="502"/>
      <c r="AK378" s="463"/>
      <c r="AL378" s="463"/>
      <c r="AM378" s="463"/>
      <c r="AN378" s="463"/>
      <c r="AO378" s="502"/>
      <c r="AP378" s="463"/>
      <c r="AQ378" s="463"/>
      <c r="AR378" s="463"/>
      <c r="AS378" s="463"/>
      <c r="AT378" s="502"/>
      <c r="AU378" s="768"/>
      <c r="AV378" s="463"/>
      <c r="AW378" s="463"/>
      <c r="AX378" s="463"/>
      <c r="AY378" s="480">
        <f>SUM(AU378,AV378,AW378,AX378)</f>
        <v>0</v>
      </c>
      <c r="AZ378" s="463"/>
      <c r="BA378" s="463"/>
      <c r="BB378" s="463"/>
      <c r="BC378" s="463"/>
      <c r="BD378" s="480">
        <f>SUM(AZ378,BA378,BB378,BC378)</f>
        <v>0</v>
      </c>
      <c r="BE378" s="502"/>
      <c r="BF378" s="502"/>
      <c r="BG378" s="502"/>
      <c r="BH378" s="351"/>
    </row>
    <row r="379" spans="1:60" s="69" customFormat="1" hidden="1" outlineLevel="1" x14ac:dyDescent="0.35">
      <c r="A379" s="89" t="s">
        <v>977</v>
      </c>
      <c r="B379" s="452"/>
      <c r="C379" s="453"/>
      <c r="D379" s="453"/>
      <c r="E379" s="453"/>
      <c r="F379" s="453"/>
      <c r="G379" s="454"/>
      <c r="H379" s="454"/>
      <c r="I379" s="454"/>
      <c r="J379" s="454"/>
      <c r="K379" s="453"/>
      <c r="L379" s="454"/>
      <c r="M379" s="454"/>
      <c r="N379" s="454"/>
      <c r="O379" s="454"/>
      <c r="P379" s="453"/>
      <c r="Q379" s="454"/>
      <c r="R379" s="454"/>
      <c r="S379" s="454"/>
      <c r="T379" s="454"/>
      <c r="U379" s="453"/>
      <c r="V379" s="454"/>
      <c r="W379" s="454"/>
      <c r="X379" s="454"/>
      <c r="Y379" s="454"/>
      <c r="Z379" s="453"/>
      <c r="AA379" s="454"/>
      <c r="AB379" s="454"/>
      <c r="AC379" s="454"/>
      <c r="AD379" s="454"/>
      <c r="AE379" s="453"/>
      <c r="AF379" s="454"/>
      <c r="AG379" s="454"/>
      <c r="AH379" s="454"/>
      <c r="AI379" s="454"/>
      <c r="AJ379" s="453"/>
      <c r="AK379" s="441">
        <f t="shared" ref="AK379:AO379" si="707">SUM(AK377:AK378)</f>
        <v>235</v>
      </c>
      <c r="AL379" s="441">
        <f t="shared" si="707"/>
        <v>273</v>
      </c>
      <c r="AM379" s="441">
        <f t="shared" si="707"/>
        <v>313</v>
      </c>
      <c r="AN379" s="441">
        <f t="shared" si="707"/>
        <v>303</v>
      </c>
      <c r="AO379" s="440">
        <f t="shared" si="707"/>
        <v>1124</v>
      </c>
      <c r="AP379" s="439">
        <f t="shared" ref="AP379:AY379" si="708">SUM(AP377:AP378)</f>
        <v>269</v>
      </c>
      <c r="AQ379" s="439">
        <f t="shared" si="708"/>
        <v>287</v>
      </c>
      <c r="AR379" s="439">
        <f t="shared" si="708"/>
        <v>358</v>
      </c>
      <c r="AS379" s="439">
        <f t="shared" si="708"/>
        <v>335</v>
      </c>
      <c r="AT379" s="438">
        <f t="shared" si="708"/>
        <v>1249</v>
      </c>
      <c r="AU379" s="765">
        <f t="shared" ref="AU379" si="709">SUM(AU377:AU378)</f>
        <v>289</v>
      </c>
      <c r="AV379" s="439">
        <f t="shared" si="708"/>
        <v>271.67910000000001</v>
      </c>
      <c r="AW379" s="439">
        <f t="shared" si="708"/>
        <v>273</v>
      </c>
      <c r="AX379" s="439">
        <f t="shared" si="708"/>
        <v>273</v>
      </c>
      <c r="AY379" s="438">
        <f t="shared" si="708"/>
        <v>1106.6791000000001</v>
      </c>
      <c r="AZ379" s="439">
        <f t="shared" ref="AZ379:BG379" si="710">SUM(AZ377:AZ378)</f>
        <v>316.35284999999999</v>
      </c>
      <c r="BA379" s="439">
        <f t="shared" si="710"/>
        <v>270.38538999999997</v>
      </c>
      <c r="BB379" s="439">
        <f t="shared" si="710"/>
        <v>244.53</v>
      </c>
      <c r="BC379" s="439">
        <f t="shared" si="710"/>
        <v>258.11500000000001</v>
      </c>
      <c r="BD379" s="438">
        <f t="shared" si="710"/>
        <v>1089.3832399999999</v>
      </c>
      <c r="BE379" s="438">
        <f t="shared" si="710"/>
        <v>1149.9082437754998</v>
      </c>
      <c r="BF379" s="438">
        <f t="shared" si="710"/>
        <v>1213.6744968297949</v>
      </c>
      <c r="BG379" s="438">
        <f t="shared" si="710"/>
        <v>1280.8511484653311</v>
      </c>
      <c r="BH379" s="79"/>
    </row>
    <row r="380" spans="1:60" s="345" customFormat="1" hidden="1" outlineLevel="1" x14ac:dyDescent="0.35">
      <c r="A380" s="466" t="s">
        <v>956</v>
      </c>
      <c r="B380" s="501"/>
      <c r="C380" s="502"/>
      <c r="D380" s="502"/>
      <c r="E380" s="502"/>
      <c r="F380" s="502"/>
      <c r="G380" s="463"/>
      <c r="H380" s="463"/>
      <c r="I380" s="463"/>
      <c r="J380" s="463"/>
      <c r="K380" s="502"/>
      <c r="L380" s="463"/>
      <c r="M380" s="463"/>
      <c r="N380" s="463"/>
      <c r="O380" s="463"/>
      <c r="P380" s="502"/>
      <c r="Q380" s="463"/>
      <c r="R380" s="463"/>
      <c r="S380" s="463"/>
      <c r="T380" s="463"/>
      <c r="U380" s="502"/>
      <c r="V380" s="463"/>
      <c r="W380" s="463"/>
      <c r="X380" s="463"/>
      <c r="Y380" s="463"/>
      <c r="Z380" s="502"/>
      <c r="AA380" s="463"/>
      <c r="AB380" s="463"/>
      <c r="AC380" s="463"/>
      <c r="AD380" s="463"/>
      <c r="AE380" s="502"/>
      <c r="AF380" s="463"/>
      <c r="AG380" s="463"/>
      <c r="AH380" s="463"/>
      <c r="AI380" s="463"/>
      <c r="AJ380" s="502"/>
      <c r="AK380" s="463">
        <v>23</v>
      </c>
      <c r="AL380" s="463">
        <v>24</v>
      </c>
      <c r="AM380" s="463">
        <v>24</v>
      </c>
      <c r="AN380" s="463">
        <v>35</v>
      </c>
      <c r="AO380" s="502">
        <v>134</v>
      </c>
      <c r="AP380" s="463">
        <v>16</v>
      </c>
      <c r="AQ380" s="463">
        <v>26</v>
      </c>
      <c r="AR380" s="463">
        <v>25</v>
      </c>
      <c r="AS380" s="463">
        <v>36</v>
      </c>
      <c r="AT380" s="502">
        <v>140</v>
      </c>
      <c r="AU380" s="768">
        <v>34</v>
      </c>
      <c r="AV380" s="945">
        <f>Drivers!AV73</f>
        <v>25</v>
      </c>
      <c r="AW380" s="945">
        <f>Drivers!AW73</f>
        <v>25</v>
      </c>
      <c r="AX380" s="945">
        <f>Drivers!AX73</f>
        <v>25</v>
      </c>
      <c r="AY380" s="502">
        <f>SUM(AU380,AV380,AW380,AX380)</f>
        <v>109</v>
      </c>
      <c r="AZ380" s="945">
        <f>Drivers!AZ73</f>
        <v>25</v>
      </c>
      <c r="BA380" s="945">
        <f>Drivers!BA73</f>
        <v>25</v>
      </c>
      <c r="BB380" s="945">
        <f>Drivers!BB73</f>
        <v>25</v>
      </c>
      <c r="BC380" s="945">
        <f>Drivers!BC73</f>
        <v>25</v>
      </c>
      <c r="BD380" s="502">
        <f>SUM(AZ380,BA380,BB380,BC380)</f>
        <v>100</v>
      </c>
      <c r="BE380" s="945">
        <f>Drivers!BE73</f>
        <v>100</v>
      </c>
      <c r="BF380" s="945">
        <f>Drivers!BF73</f>
        <v>100</v>
      </c>
      <c r="BG380" s="945">
        <f>Drivers!BG73</f>
        <v>100</v>
      </c>
      <c r="BH380" s="351"/>
    </row>
    <row r="381" spans="1:60" s="69" customFormat="1" hidden="1" outlineLevel="1" x14ac:dyDescent="0.35">
      <c r="A381" s="90" t="s">
        <v>954</v>
      </c>
      <c r="B381" s="518"/>
      <c r="C381" s="519"/>
      <c r="D381" s="519"/>
      <c r="E381" s="519"/>
      <c r="F381" s="519"/>
      <c r="G381" s="520"/>
      <c r="H381" s="520"/>
      <c r="I381" s="520"/>
      <c r="J381" s="520"/>
      <c r="K381" s="519"/>
      <c r="L381" s="520"/>
      <c r="M381" s="520"/>
      <c r="N381" s="520"/>
      <c r="O381" s="520"/>
      <c r="P381" s="519"/>
      <c r="Q381" s="520"/>
      <c r="R381" s="520"/>
      <c r="S381" s="520"/>
      <c r="T381" s="520"/>
      <c r="U381" s="519"/>
      <c r="V381" s="520"/>
      <c r="W381" s="520"/>
      <c r="X381" s="520"/>
      <c r="Y381" s="520"/>
      <c r="Z381" s="519"/>
      <c r="AA381" s="520"/>
      <c r="AB381" s="520"/>
      <c r="AC381" s="520"/>
      <c r="AD381" s="520"/>
      <c r="AE381" s="519"/>
      <c r="AF381" s="520"/>
      <c r="AG381" s="520"/>
      <c r="AH381" s="520"/>
      <c r="AI381" s="520"/>
      <c r="AJ381" s="519"/>
      <c r="AK381" s="441">
        <f>SUM(AK379:AK380)</f>
        <v>258</v>
      </c>
      <c r="AL381" s="441">
        <f t="shared" ref="AL381" si="711">SUM(AL379:AL380)</f>
        <v>297</v>
      </c>
      <c r="AM381" s="441">
        <f t="shared" ref="AM381" si="712">SUM(AM379:AM380)</f>
        <v>337</v>
      </c>
      <c r="AN381" s="441">
        <f t="shared" ref="AN381" si="713">SUM(AN379:AN380)</f>
        <v>338</v>
      </c>
      <c r="AO381" s="440">
        <f t="shared" ref="AO381" si="714">SUM(AO379:AO380)</f>
        <v>1258</v>
      </c>
      <c r="AP381" s="441">
        <f>SUM(AP379:AP380)</f>
        <v>285</v>
      </c>
      <c r="AQ381" s="441">
        <f t="shared" ref="AQ381:AY381" si="715">SUM(AQ379:AQ380)</f>
        <v>313</v>
      </c>
      <c r="AR381" s="441">
        <f t="shared" si="715"/>
        <v>383</v>
      </c>
      <c r="AS381" s="441">
        <f t="shared" si="715"/>
        <v>371</v>
      </c>
      <c r="AT381" s="440">
        <f t="shared" si="715"/>
        <v>1389</v>
      </c>
      <c r="AU381" s="762">
        <f>SUM(AU379:AU380)</f>
        <v>323</v>
      </c>
      <c r="AV381" s="441">
        <f t="shared" si="715"/>
        <v>296.67910000000001</v>
      </c>
      <c r="AW381" s="441">
        <f t="shared" si="715"/>
        <v>298</v>
      </c>
      <c r="AX381" s="441">
        <f t="shared" si="715"/>
        <v>298</v>
      </c>
      <c r="AY381" s="440">
        <f t="shared" si="715"/>
        <v>1215.6791000000001</v>
      </c>
      <c r="AZ381" s="441">
        <f t="shared" ref="AZ381:BG381" si="716">SUM(AZ379:AZ380)</f>
        <v>341.35284999999999</v>
      </c>
      <c r="BA381" s="441">
        <f t="shared" si="716"/>
        <v>295.38538999999997</v>
      </c>
      <c r="BB381" s="441">
        <f t="shared" si="716"/>
        <v>269.52999999999997</v>
      </c>
      <c r="BC381" s="441">
        <f t="shared" si="716"/>
        <v>283.11500000000001</v>
      </c>
      <c r="BD381" s="440">
        <f t="shared" si="716"/>
        <v>1189.3832399999999</v>
      </c>
      <c r="BE381" s="440">
        <f t="shared" si="716"/>
        <v>1249.9082437754998</v>
      </c>
      <c r="BF381" s="440">
        <f t="shared" si="716"/>
        <v>1313.6744968297949</v>
      </c>
      <c r="BG381" s="440">
        <f t="shared" si="716"/>
        <v>1380.8511484653311</v>
      </c>
      <c r="BH381" s="79"/>
    </row>
    <row r="382" spans="1:60" s="69" customFormat="1" hidden="1" outlineLevel="1" x14ac:dyDescent="0.35">
      <c r="A382" s="426"/>
      <c r="B382" s="518"/>
      <c r="C382" s="519"/>
      <c r="D382" s="519"/>
      <c r="E382" s="519"/>
      <c r="F382" s="519"/>
      <c r="G382" s="520"/>
      <c r="H382" s="520"/>
      <c r="I382" s="520"/>
      <c r="J382" s="520"/>
      <c r="K382" s="519"/>
      <c r="L382" s="520"/>
      <c r="M382" s="520"/>
      <c r="N382" s="520"/>
      <c r="O382" s="520"/>
      <c r="P382" s="519"/>
      <c r="Q382" s="520"/>
      <c r="R382" s="520"/>
      <c r="S382" s="520"/>
      <c r="T382" s="520"/>
      <c r="U382" s="519"/>
      <c r="V382" s="520"/>
      <c r="W382" s="520"/>
      <c r="X382" s="520"/>
      <c r="Y382" s="520"/>
      <c r="Z382" s="519"/>
      <c r="AA382" s="520"/>
      <c r="AB382" s="520"/>
      <c r="AC382" s="520"/>
      <c r="AD382" s="520"/>
      <c r="AE382" s="519"/>
      <c r="AF382" s="520"/>
      <c r="AG382" s="520"/>
      <c r="AH382" s="520"/>
      <c r="AI382" s="520"/>
      <c r="AJ382" s="519"/>
      <c r="AK382" s="520"/>
      <c r="AL382" s="520"/>
      <c r="AM382" s="520"/>
      <c r="AN382" s="520"/>
      <c r="AO382" s="519"/>
      <c r="AP382" s="520"/>
      <c r="AQ382" s="520"/>
      <c r="AR382" s="520"/>
      <c r="AS382" s="520"/>
      <c r="AT382" s="519"/>
      <c r="AU382" s="766"/>
      <c r="AV382" s="520"/>
      <c r="AW382" s="520"/>
      <c r="AX382" s="520"/>
      <c r="AY382" s="519"/>
      <c r="AZ382" s="520"/>
      <c r="BA382" s="520"/>
      <c r="BB382" s="520"/>
      <c r="BC382" s="520"/>
      <c r="BD382" s="519"/>
      <c r="BE382" s="519"/>
      <c r="BF382" s="519"/>
      <c r="BG382" s="519"/>
      <c r="BH382" s="79"/>
    </row>
    <row r="383" spans="1:60" s="225" customFormat="1" hidden="1" outlineLevel="1" x14ac:dyDescent="0.35">
      <c r="A383" s="538" t="s">
        <v>955</v>
      </c>
      <c r="B383" s="176"/>
      <c r="C383" s="113"/>
      <c r="D383" s="113"/>
      <c r="E383" s="113"/>
      <c r="F383" s="113"/>
      <c r="G383" s="177"/>
      <c r="H383" s="177"/>
      <c r="I383" s="177"/>
      <c r="J383" s="177"/>
      <c r="K383" s="113"/>
      <c r="L383" s="177"/>
      <c r="M383" s="177"/>
      <c r="N383" s="177"/>
      <c r="O383" s="177"/>
      <c r="P383" s="113"/>
      <c r="Q383" s="177"/>
      <c r="R383" s="177"/>
      <c r="S383" s="177"/>
      <c r="T383" s="177"/>
      <c r="U383" s="113"/>
      <c r="V383" s="177"/>
      <c r="W383" s="177"/>
      <c r="X383" s="177"/>
      <c r="Y383" s="177"/>
      <c r="Z383" s="113"/>
      <c r="AA383" s="177"/>
      <c r="AB383" s="177"/>
      <c r="AC383" s="177"/>
      <c r="AD383" s="177"/>
      <c r="AE383" s="113"/>
      <c r="AF383" s="177"/>
      <c r="AG383" s="177"/>
      <c r="AH383" s="177"/>
      <c r="AI383" s="177"/>
      <c r="AJ383" s="113"/>
      <c r="AK383" s="226">
        <f t="shared" ref="AK383:AO383" si="717">AK381/AK375</f>
        <v>0.215</v>
      </c>
      <c r="AL383" s="226">
        <f t="shared" si="717"/>
        <v>0.22500000000000001</v>
      </c>
      <c r="AM383" s="226">
        <f t="shared" si="717"/>
        <v>0.25111773472429211</v>
      </c>
      <c r="AN383" s="226">
        <f t="shared" si="717"/>
        <v>0.26221877424359968</v>
      </c>
      <c r="AO383" s="223">
        <f t="shared" si="717"/>
        <v>0.24422442244224424</v>
      </c>
      <c r="AP383" s="226">
        <f t="shared" ref="AP383:AY383" si="718">AP381/AP375</f>
        <v>0.22691082802547771</v>
      </c>
      <c r="AQ383" s="226">
        <f t="shared" si="718"/>
        <v>0.25282714054927302</v>
      </c>
      <c r="AR383" s="226">
        <f t="shared" si="718"/>
        <v>0.27028934368383911</v>
      </c>
      <c r="AS383" s="226">
        <f t="shared" ref="AS383:AU383" si="719">AS381/AS375</f>
        <v>0.26035087719298244</v>
      </c>
      <c r="AT383" s="223">
        <f t="shared" si="719"/>
        <v>0.26030734632683661</v>
      </c>
      <c r="AU383" s="773">
        <f t="shared" si="719"/>
        <v>0.23525127458120904</v>
      </c>
      <c r="AV383" s="226">
        <f t="shared" si="718"/>
        <v>0.22932426896290514</v>
      </c>
      <c r="AW383" s="226">
        <f t="shared" si="718"/>
        <v>0.22923076923076924</v>
      </c>
      <c r="AX383" s="226">
        <f t="shared" si="718"/>
        <v>0.22923076923076924</v>
      </c>
      <c r="AY383" s="223">
        <f t="shared" si="718"/>
        <v>0.23082324639101071</v>
      </c>
      <c r="AZ383" s="226">
        <f t="shared" ref="AZ383:BG383" si="720">AZ381/AZ375</f>
        <v>0.23791219590391591</v>
      </c>
      <c r="BA383" s="226">
        <f t="shared" si="720"/>
        <v>0.21849212340947857</v>
      </c>
      <c r="BB383" s="226">
        <f t="shared" si="720"/>
        <v>0.19840264998159732</v>
      </c>
      <c r="BC383" s="226">
        <f t="shared" si="720"/>
        <v>0.20840264998159735</v>
      </c>
      <c r="BD383" s="223">
        <f t="shared" si="720"/>
        <v>0.21610564847965924</v>
      </c>
      <c r="BE383" s="223">
        <f t="shared" si="720"/>
        <v>0.21732322742731952</v>
      </c>
      <c r="BF383" s="223">
        <f t="shared" si="720"/>
        <v>0.21857449914756857</v>
      </c>
      <c r="BG383" s="223">
        <f t="shared" si="720"/>
        <v>0.21985801275546241</v>
      </c>
      <c r="BH383" s="94"/>
    </row>
    <row r="384" spans="1:60" s="225" customFormat="1" hidden="1" outlineLevel="1" x14ac:dyDescent="0.35">
      <c r="A384" s="538" t="s">
        <v>978</v>
      </c>
      <c r="B384" s="176"/>
      <c r="C384" s="113"/>
      <c r="D384" s="113"/>
      <c r="E384" s="113"/>
      <c r="F384" s="113"/>
      <c r="G384" s="177"/>
      <c r="H384" s="177"/>
      <c r="I384" s="177"/>
      <c r="J384" s="177"/>
      <c r="K384" s="113"/>
      <c r="L384" s="177"/>
      <c r="M384" s="177"/>
      <c r="N384" s="177"/>
      <c r="O384" s="177"/>
      <c r="P384" s="113"/>
      <c r="Q384" s="177"/>
      <c r="R384" s="177"/>
      <c r="S384" s="177"/>
      <c r="T384" s="177"/>
      <c r="U384" s="113"/>
      <c r="V384" s="177"/>
      <c r="W384" s="177"/>
      <c r="X384" s="177"/>
      <c r="Y384" s="177"/>
      <c r="Z384" s="113"/>
      <c r="AA384" s="177"/>
      <c r="AB384" s="177"/>
      <c r="AC384" s="177"/>
      <c r="AD384" s="177"/>
      <c r="AE384" s="113"/>
      <c r="AF384" s="177"/>
      <c r="AG384" s="177"/>
      <c r="AH384" s="177"/>
      <c r="AI384" s="177"/>
      <c r="AJ384" s="113"/>
      <c r="AK384" s="226">
        <f t="shared" ref="AK384:AO384" si="721">AK379/AK375</f>
        <v>0.19583333333333333</v>
      </c>
      <c r="AL384" s="226">
        <f t="shared" si="721"/>
        <v>0.20681818181818182</v>
      </c>
      <c r="AM384" s="226">
        <f t="shared" si="721"/>
        <v>0.23323397913561847</v>
      </c>
      <c r="AN384" s="226">
        <f t="shared" si="721"/>
        <v>0.23506594259115593</v>
      </c>
      <c r="AO384" s="223">
        <f t="shared" si="721"/>
        <v>0.21821005629974763</v>
      </c>
      <c r="AP384" s="226">
        <f t="shared" ref="AP384:AY384" si="722">AP379/AP375</f>
        <v>0.214171974522293</v>
      </c>
      <c r="AQ384" s="226">
        <f t="shared" si="722"/>
        <v>0.23182552504038773</v>
      </c>
      <c r="AR384" s="226">
        <f t="shared" si="722"/>
        <v>0.25264643613267468</v>
      </c>
      <c r="AS384" s="226">
        <f t="shared" ref="AS384:AU384" si="723">AS379/AS375</f>
        <v>0.23508771929824562</v>
      </c>
      <c r="AT384" s="223">
        <f t="shared" si="723"/>
        <v>0.2340704647676162</v>
      </c>
      <c r="AU384" s="773">
        <f t="shared" si="723"/>
        <v>0.21048798252002912</v>
      </c>
      <c r="AV384" s="226">
        <f t="shared" si="722"/>
        <v>0.21</v>
      </c>
      <c r="AW384" s="226">
        <f t="shared" si="722"/>
        <v>0.21</v>
      </c>
      <c r="AX384" s="226">
        <f t="shared" si="722"/>
        <v>0.21</v>
      </c>
      <c r="AY384" s="223">
        <f t="shared" si="722"/>
        <v>0.21012721414317478</v>
      </c>
      <c r="AZ384" s="226">
        <f t="shared" ref="AZ384:BG384" si="724">AZ379/AZ375</f>
        <v>0.2204879825200291</v>
      </c>
      <c r="BA384" s="226">
        <f t="shared" si="724"/>
        <v>0.19999999999999998</v>
      </c>
      <c r="BB384" s="226">
        <f t="shared" si="724"/>
        <v>0.18</v>
      </c>
      <c r="BC384" s="226">
        <f t="shared" si="724"/>
        <v>0.19</v>
      </c>
      <c r="BD384" s="223">
        <f t="shared" si="724"/>
        <v>0.19793609293088094</v>
      </c>
      <c r="BE384" s="223">
        <f t="shared" si="724"/>
        <v>0.19993609293088094</v>
      </c>
      <c r="BF384" s="223">
        <f t="shared" si="724"/>
        <v>0.20193609293088094</v>
      </c>
      <c r="BG384" s="223">
        <f t="shared" si="724"/>
        <v>0.20393609293088094</v>
      </c>
      <c r="BH384" s="94"/>
    </row>
    <row r="385" spans="1:60" s="249" customFormat="1" hidden="1" outlineLevel="1" x14ac:dyDescent="0.35">
      <c r="A385" s="538" t="s">
        <v>401</v>
      </c>
      <c r="B385" s="607"/>
      <c r="C385" s="522"/>
      <c r="D385" s="522"/>
      <c r="E385" s="522"/>
      <c r="F385" s="522"/>
      <c r="G385" s="234"/>
      <c r="H385" s="234"/>
      <c r="I385" s="234"/>
      <c r="J385" s="234"/>
      <c r="K385" s="522"/>
      <c r="L385" s="234"/>
      <c r="M385" s="234"/>
      <c r="N385" s="234"/>
      <c r="O385" s="234"/>
      <c r="P385" s="522"/>
      <c r="Q385" s="234"/>
      <c r="R385" s="234"/>
      <c r="S385" s="234"/>
      <c r="T385" s="234"/>
      <c r="U385" s="522"/>
      <c r="V385" s="234">
        <f t="shared" ref="V385:AU385" si="725">V377/V375</f>
        <v>0.2180385288966725</v>
      </c>
      <c r="W385" s="234">
        <f t="shared" si="725"/>
        <v>0.23763179237631793</v>
      </c>
      <c r="X385" s="234">
        <f t="shared" si="725"/>
        <v>0.25077160493827161</v>
      </c>
      <c r="Y385" s="234">
        <f t="shared" si="725"/>
        <v>0.19606164383561644</v>
      </c>
      <c r="Z385" s="522">
        <f t="shared" si="725"/>
        <v>0.22649307708204175</v>
      </c>
      <c r="AA385" s="234">
        <f t="shared" si="725"/>
        <v>0.20644599303135888</v>
      </c>
      <c r="AB385" s="234">
        <f t="shared" si="725"/>
        <v>0.17188755020080321</v>
      </c>
      <c r="AC385" s="234">
        <f t="shared" si="725"/>
        <v>0.23979213066072755</v>
      </c>
      <c r="AD385" s="234">
        <f t="shared" si="725"/>
        <v>0.21879936808846762</v>
      </c>
      <c r="AE385" s="522">
        <f t="shared" si="725"/>
        <v>0.20994806232520974</v>
      </c>
      <c r="AF385" s="234">
        <f t="shared" si="725"/>
        <v>0.19205298013245034</v>
      </c>
      <c r="AG385" s="234">
        <f t="shared" si="725"/>
        <v>0.2131398013750955</v>
      </c>
      <c r="AH385" s="234">
        <f t="shared" si="725"/>
        <v>0.2304147465437788</v>
      </c>
      <c r="AI385" s="234">
        <f t="shared" si="725"/>
        <v>0.20520915548539859</v>
      </c>
      <c r="AJ385" s="522">
        <f t="shared" si="725"/>
        <v>0.2105780574125049</v>
      </c>
      <c r="AK385" s="234">
        <f t="shared" si="725"/>
        <v>0.19583333333333333</v>
      </c>
      <c r="AL385" s="234">
        <f t="shared" si="725"/>
        <v>0.20681818181818182</v>
      </c>
      <c r="AM385" s="234">
        <f t="shared" si="725"/>
        <v>0.23323397913561847</v>
      </c>
      <c r="AN385" s="234">
        <f t="shared" si="725"/>
        <v>0.23506594259115593</v>
      </c>
      <c r="AO385" s="522">
        <f t="shared" si="725"/>
        <v>0.21821005629974763</v>
      </c>
      <c r="AP385" s="234">
        <f t="shared" si="725"/>
        <v>0.214171974522293</v>
      </c>
      <c r="AQ385" s="234">
        <f t="shared" si="725"/>
        <v>0.23182552504038773</v>
      </c>
      <c r="AR385" s="234">
        <f t="shared" si="725"/>
        <v>0.25264643613267468</v>
      </c>
      <c r="AS385" s="234">
        <f t="shared" si="725"/>
        <v>0.23508771929824562</v>
      </c>
      <c r="AT385" s="522">
        <f t="shared" si="725"/>
        <v>0.2340704647676162</v>
      </c>
      <c r="AU385" s="781">
        <f t="shared" si="725"/>
        <v>0.21048798252002912</v>
      </c>
      <c r="AV385" s="946">
        <f>Drivers!AV74</f>
        <v>0.21</v>
      </c>
      <c r="AW385" s="946">
        <f>Drivers!AW74</f>
        <v>0.21</v>
      </c>
      <c r="AX385" s="946">
        <f>Drivers!AX74</f>
        <v>0.21</v>
      </c>
      <c r="AY385" s="522">
        <f>AY377/AY375</f>
        <v>0.21012721414317478</v>
      </c>
      <c r="AZ385" s="234">
        <f>AU385+AZ386/10000</f>
        <v>0.22048798252002913</v>
      </c>
      <c r="BA385" s="234">
        <f>AV385+BA386/10000</f>
        <v>0.19999999999999998</v>
      </c>
      <c r="BB385" s="234">
        <f>AW385+BB386/10000</f>
        <v>0.18</v>
      </c>
      <c r="BC385" s="234">
        <f>AX385+BC386/10000</f>
        <v>0.19</v>
      </c>
      <c r="BD385" s="522">
        <f>BD377/BD375</f>
        <v>0.19793609293088094</v>
      </c>
      <c r="BE385" s="522">
        <f>BD385+BE386/10000</f>
        <v>0.19993609293088094</v>
      </c>
      <c r="BF385" s="522">
        <f>BE385+BF386/10000</f>
        <v>0.20193609293088094</v>
      </c>
      <c r="BG385" s="522">
        <f>BF385+BG386/10000</f>
        <v>0.20393609293088094</v>
      </c>
      <c r="BH385" s="235"/>
    </row>
    <row r="386" spans="1:60" s="597" customFormat="1" hidden="1" outlineLevel="1" x14ac:dyDescent="0.35">
      <c r="A386" s="634" t="s">
        <v>828</v>
      </c>
      <c r="B386" s="635"/>
      <c r="C386" s="163"/>
      <c r="D386" s="163"/>
      <c r="E386" s="163"/>
      <c r="F386" s="163"/>
      <c r="G386" s="164"/>
      <c r="H386" s="164"/>
      <c r="I386" s="164"/>
      <c r="J386" s="164"/>
      <c r="K386" s="163"/>
      <c r="L386" s="164"/>
      <c r="M386" s="164"/>
      <c r="N386" s="164"/>
      <c r="O386" s="164"/>
      <c r="P386" s="163"/>
      <c r="Q386" s="164"/>
      <c r="R386" s="164"/>
      <c r="S386" s="164"/>
      <c r="T386" s="164"/>
      <c r="U386" s="163"/>
      <c r="V386" s="164"/>
      <c r="W386" s="164"/>
      <c r="X386" s="164"/>
      <c r="Y386" s="164"/>
      <c r="Z386" s="163"/>
      <c r="AA386" s="164">
        <f t="shared" ref="AA386:AU386" si="726">(AA385-V385)*10000</f>
        <v>-115.92535865313613</v>
      </c>
      <c r="AB386" s="164">
        <f t="shared" si="726"/>
        <v>-657.44242175514717</v>
      </c>
      <c r="AC386" s="164">
        <f t="shared" si="726"/>
        <v>-109.7947427754406</v>
      </c>
      <c r="AD386" s="164">
        <f t="shared" si="726"/>
        <v>227.37724252851172</v>
      </c>
      <c r="AE386" s="163">
        <f t="shared" si="726"/>
        <v>-165.45014756832012</v>
      </c>
      <c r="AF386" s="164">
        <f t="shared" si="726"/>
        <v>-143.9301289890854</v>
      </c>
      <c r="AG386" s="164">
        <f t="shared" si="726"/>
        <v>412.52251174292292</v>
      </c>
      <c r="AH386" s="164">
        <f t="shared" si="726"/>
        <v>-93.773841169487454</v>
      </c>
      <c r="AI386" s="164">
        <f t="shared" si="726"/>
        <v>-135.90212603069028</v>
      </c>
      <c r="AJ386" s="163">
        <f t="shared" si="726"/>
        <v>6.299950872951654</v>
      </c>
      <c r="AK386" s="164">
        <f t="shared" si="726"/>
        <v>37.803532008829912</v>
      </c>
      <c r="AL386" s="164">
        <f t="shared" si="726"/>
        <v>-63.216195569136822</v>
      </c>
      <c r="AM386" s="164">
        <f t="shared" si="726"/>
        <v>28.192325918396655</v>
      </c>
      <c r="AN386" s="164">
        <f t="shared" si="726"/>
        <v>298.56787105757343</v>
      </c>
      <c r="AO386" s="163">
        <f t="shared" si="726"/>
        <v>76.319988872427245</v>
      </c>
      <c r="AP386" s="164">
        <f t="shared" si="726"/>
        <v>183.3864118895967</v>
      </c>
      <c r="AQ386" s="164">
        <f t="shared" si="726"/>
        <v>250.07343222205907</v>
      </c>
      <c r="AR386" s="164">
        <f t="shared" si="726"/>
        <v>194.12456997056211</v>
      </c>
      <c r="AS386" s="164">
        <f t="shared" si="726"/>
        <v>0.21776707089693481</v>
      </c>
      <c r="AT386" s="163">
        <f t="shared" si="726"/>
        <v>158.60408467868569</v>
      </c>
      <c r="AU386" s="782">
        <f t="shared" si="726"/>
        <v>-36.839920022638807</v>
      </c>
      <c r="AV386" s="639"/>
      <c r="AW386" s="639"/>
      <c r="AX386" s="639"/>
      <c r="AY386" s="636"/>
      <c r="AZ386" s="950">
        <f>Drivers!AZ75</f>
        <v>100</v>
      </c>
      <c r="BA386" s="950">
        <f>Drivers!BA75</f>
        <v>-100</v>
      </c>
      <c r="BB386" s="950">
        <f>Drivers!BB75</f>
        <v>-300</v>
      </c>
      <c r="BC386" s="950">
        <f>Drivers!BC75</f>
        <v>-200</v>
      </c>
      <c r="BD386" s="636">
        <f>(BD385-AY385)*10000</f>
        <v>-121.91121212293848</v>
      </c>
      <c r="BE386" s="950">
        <f>Drivers!BE75</f>
        <v>20</v>
      </c>
      <c r="BF386" s="950">
        <f>Drivers!BF75</f>
        <v>20</v>
      </c>
      <c r="BG386" s="950">
        <f>Drivers!BG75</f>
        <v>20</v>
      </c>
      <c r="BH386" s="596"/>
    </row>
    <row r="387" spans="1:60" s="602" customFormat="1" hidden="1" outlineLevel="1" x14ac:dyDescent="0.35">
      <c r="A387" s="598" t="s">
        <v>829</v>
      </c>
      <c r="B387" s="679"/>
      <c r="C387" s="182"/>
      <c r="D387" s="182"/>
      <c r="E387" s="182"/>
      <c r="F387" s="182"/>
      <c r="G387" s="183"/>
      <c r="H387" s="183"/>
      <c r="I387" s="183"/>
      <c r="J387" s="183"/>
      <c r="K387" s="182"/>
      <c r="L387" s="183"/>
      <c r="M387" s="183"/>
      <c r="N387" s="183"/>
      <c r="O387" s="183"/>
      <c r="P387" s="182"/>
      <c r="Q387" s="183"/>
      <c r="R387" s="183"/>
      <c r="S387" s="183"/>
      <c r="T387" s="183"/>
      <c r="U387" s="182"/>
      <c r="V387" s="183"/>
      <c r="W387" s="183"/>
      <c r="X387" s="183"/>
      <c r="Y387" s="183"/>
      <c r="Z387" s="182"/>
      <c r="AA387" s="442">
        <f t="shared" ref="AA387:AU387" si="727">IFERROR((AA377-V377)/(AA375-V375),"N/A")</f>
        <v>-2</v>
      </c>
      <c r="AB387" s="442">
        <f t="shared" si="727"/>
        <v>-6.583333333333333</v>
      </c>
      <c r="AC387" s="442">
        <f t="shared" si="727"/>
        <v>-3.9215686274509803E-2</v>
      </c>
      <c r="AD387" s="442">
        <f t="shared" si="727"/>
        <v>0.48979591836734693</v>
      </c>
      <c r="AE387" s="623">
        <f t="shared" si="727"/>
        <v>-0.26946107784431139</v>
      </c>
      <c r="AF387" s="442">
        <f t="shared" si="727"/>
        <v>-8.3333333333333329E-2</v>
      </c>
      <c r="AG387" s="442">
        <f t="shared" si="727"/>
        <v>1.015625</v>
      </c>
      <c r="AH387" s="442">
        <f t="shared" si="727"/>
        <v>0.51111111111111107</v>
      </c>
      <c r="AI387" s="442">
        <f t="shared" si="727"/>
        <v>-17</v>
      </c>
      <c r="AJ387" s="623">
        <f t="shared" si="727"/>
        <v>0.25</v>
      </c>
      <c r="AK387" s="442">
        <f t="shared" si="727"/>
        <v>-0.375</v>
      </c>
      <c r="AL387" s="442">
        <f t="shared" si="727"/>
        <v>-0.54545454545454541</v>
      </c>
      <c r="AM387" s="442">
        <f t="shared" si="727"/>
        <v>0.32500000000000001</v>
      </c>
      <c r="AN387" s="442">
        <f t="shared" si="727"/>
        <v>1.9545454545454546</v>
      </c>
      <c r="AO387" s="623">
        <f t="shared" si="727"/>
        <v>0.81538461538461537</v>
      </c>
      <c r="AP387" s="442">
        <f t="shared" si="727"/>
        <v>0.6071428571428571</v>
      </c>
      <c r="AQ387" s="183">
        <f t="shared" si="727"/>
        <v>-0.17073170731707318</v>
      </c>
      <c r="AR387" s="183">
        <f t="shared" si="727"/>
        <v>0.6</v>
      </c>
      <c r="AS387" s="442">
        <f>IFERROR((AS377-AN377)/(AS375-AN375),"N/A")</f>
        <v>0.23529411764705882</v>
      </c>
      <c r="AT387" s="623">
        <f>IFERROR((AT377-AO377)/(AT375-AO375),"N/A")</f>
        <v>0.67567567567567566</v>
      </c>
      <c r="AU387" s="777">
        <f t="shared" si="727"/>
        <v>0.17094017094017094</v>
      </c>
      <c r="AV387" s="600"/>
      <c r="AW387" s="600"/>
      <c r="AX387" s="600"/>
      <c r="AY387" s="601"/>
      <c r="AZ387" s="600">
        <f>IFERROR((AZ377-AU377)/(AZ375-AU375),"N/A")</f>
        <v>0.44271020474225059</v>
      </c>
      <c r="BA387" s="600">
        <f>IFERROR((BA377-AV377)/(BA375-AV375),"N/A")</f>
        <v>-2.2222222222222785E-2</v>
      </c>
      <c r="BB387" s="600">
        <f>IFERROR((BB377-AW377)/(BB375-AW375),"N/A")</f>
        <v>-0.48666666666666664</v>
      </c>
      <c r="BC387" s="600">
        <f>IFERROR((BC377-AX377)/(BC375-AX375),"N/A")</f>
        <v>-0.25444444444444431</v>
      </c>
      <c r="BD387" s="601">
        <f>IFERROR((BD377-AY377)/(BD375-AY375),"N/A")</f>
        <v>-7.2977711786760352E-2</v>
      </c>
      <c r="BE387" s="601">
        <f>IFERROR((BE377-BD377)/(BE375-BD375),"N/A")</f>
        <v>0.2443805373753257</v>
      </c>
      <c r="BF387" s="601">
        <f>IFERROR((BF377-BE377)/(BF375-BE375),"N/A")</f>
        <v>0.24638053737532534</v>
      </c>
      <c r="BG387" s="601">
        <f>IFERROR((BG377-BF377)/(BG375-BF375),"N/A")</f>
        <v>0.24838053737532542</v>
      </c>
      <c r="BH387" s="599"/>
    </row>
    <row r="388" spans="1:60" s="69" customFormat="1" hidden="1" outlineLevel="1" x14ac:dyDescent="0.35">
      <c r="A388" s="426"/>
      <c r="B388" s="518"/>
      <c r="C388" s="519"/>
      <c r="D388" s="519"/>
      <c r="E388" s="519"/>
      <c r="F388" s="519"/>
      <c r="G388" s="520"/>
      <c r="H388" s="520"/>
      <c r="I388" s="520"/>
      <c r="J388" s="520"/>
      <c r="K388" s="519"/>
      <c r="L388" s="520"/>
      <c r="M388" s="520"/>
      <c r="N388" s="520"/>
      <c r="O388" s="520"/>
      <c r="P388" s="519"/>
      <c r="Q388" s="520"/>
      <c r="R388" s="520"/>
      <c r="S388" s="520"/>
      <c r="T388" s="520"/>
      <c r="U388" s="519"/>
      <c r="V388" s="520"/>
      <c r="W388" s="520"/>
      <c r="X388" s="520"/>
      <c r="Y388" s="520"/>
      <c r="Z388" s="519"/>
      <c r="AA388" s="520"/>
      <c r="AB388" s="520"/>
      <c r="AC388" s="520"/>
      <c r="AD388" s="520"/>
      <c r="AE388" s="519"/>
      <c r="AF388" s="520"/>
      <c r="AG388" s="520"/>
      <c r="AH388" s="520"/>
      <c r="AI388" s="520"/>
      <c r="AJ388" s="519"/>
      <c r="AK388" s="520"/>
      <c r="AL388" s="520"/>
      <c r="AM388" s="520"/>
      <c r="AN388" s="520"/>
      <c r="AO388" s="519"/>
      <c r="AP388" s="520"/>
      <c r="AQ388" s="520"/>
      <c r="AR388" s="520"/>
      <c r="AS388" s="520"/>
      <c r="AT388" s="519"/>
      <c r="AU388" s="766"/>
      <c r="AV388" s="520"/>
      <c r="AW388" s="520"/>
      <c r="AX388" s="520"/>
      <c r="AY388" s="519"/>
      <c r="AZ388" s="520"/>
      <c r="BA388" s="520"/>
      <c r="BB388" s="520"/>
      <c r="BC388" s="520"/>
      <c r="BD388" s="519"/>
      <c r="BE388" s="519"/>
      <c r="BF388" s="519"/>
      <c r="BG388" s="519"/>
      <c r="BH388" s="79"/>
    </row>
    <row r="389" spans="1:60" s="262" customFormat="1" hidden="1" outlineLevel="2" x14ac:dyDescent="0.35">
      <c r="A389" s="513" t="s">
        <v>866</v>
      </c>
      <c r="B389" s="312"/>
      <c r="C389" s="105"/>
      <c r="D389" s="105"/>
      <c r="E389" s="105"/>
      <c r="F389" s="105"/>
      <c r="G389" s="200"/>
      <c r="H389" s="200"/>
      <c r="I389" s="200"/>
      <c r="J389" s="200"/>
      <c r="K389" s="105"/>
      <c r="L389" s="200"/>
      <c r="M389" s="200"/>
      <c r="N389" s="200"/>
      <c r="O389" s="200"/>
      <c r="P389" s="105"/>
      <c r="Q389" s="200"/>
      <c r="R389" s="200"/>
      <c r="S389" s="200"/>
      <c r="T389" s="200"/>
      <c r="U389" s="105"/>
      <c r="V389" s="200"/>
      <c r="W389" s="200"/>
      <c r="X389" s="200"/>
      <c r="Y389" s="200"/>
      <c r="Z389" s="47">
        <f t="shared" ref="Z389:Z394" si="728">Z369/Z$375</f>
        <v>0.60384376937383755</v>
      </c>
      <c r="AA389" s="200"/>
      <c r="AB389" s="200"/>
      <c r="AC389" s="200"/>
      <c r="AD389" s="200"/>
      <c r="AE389" s="47">
        <f t="shared" ref="AE389:AJ389" si="729">AE369/AE$375</f>
        <v>0.58789452656811825</v>
      </c>
      <c r="AF389" s="78">
        <f t="shared" si="729"/>
        <v>0.54470198675496684</v>
      </c>
      <c r="AG389" s="78">
        <f t="shared" si="729"/>
        <v>0.60886172650878534</v>
      </c>
      <c r="AH389" s="78">
        <f t="shared" si="729"/>
        <v>0.62826420890937018</v>
      </c>
      <c r="AI389" s="78">
        <f t="shared" si="729"/>
        <v>0.6093133385951065</v>
      </c>
      <c r="AJ389" s="47">
        <f t="shared" si="729"/>
        <v>0.59870232009437674</v>
      </c>
      <c r="AK389" s="200"/>
      <c r="AL389" s="200"/>
      <c r="AM389" s="200"/>
      <c r="AN389" s="200"/>
      <c r="AO389" s="105"/>
      <c r="AP389" s="200"/>
      <c r="AQ389" s="200"/>
      <c r="AR389" s="200"/>
      <c r="AS389" s="200"/>
      <c r="AT389" s="105"/>
      <c r="AU389" s="761"/>
      <c r="AV389" s="200"/>
      <c r="AW389" s="200"/>
      <c r="AX389" s="200"/>
      <c r="AY389" s="105"/>
      <c r="AZ389" s="200"/>
      <c r="BA389" s="200"/>
      <c r="BB389" s="200"/>
      <c r="BC389" s="200"/>
      <c r="BD389" s="105"/>
      <c r="BE389" s="105"/>
      <c r="BF389" s="105"/>
      <c r="BG389" s="105"/>
      <c r="BH389" s="363"/>
    </row>
    <row r="390" spans="1:60" s="262" customFormat="1" hidden="1" outlineLevel="2" x14ac:dyDescent="0.35">
      <c r="A390" s="605" t="s">
        <v>860</v>
      </c>
      <c r="B390" s="465"/>
      <c r="C390" s="479"/>
      <c r="D390" s="479"/>
      <c r="E390" s="479"/>
      <c r="F390" s="479"/>
      <c r="G390" s="457"/>
      <c r="H390" s="457"/>
      <c r="I390" s="457"/>
      <c r="J390" s="457"/>
      <c r="K390" s="479"/>
      <c r="L390" s="457"/>
      <c r="M390" s="457"/>
      <c r="N390" s="457"/>
      <c r="O390" s="457"/>
      <c r="P390" s="479"/>
      <c r="Q390" s="457"/>
      <c r="R390" s="457"/>
      <c r="S390" s="457"/>
      <c r="T390" s="457"/>
      <c r="U390" s="479"/>
      <c r="V390" s="457"/>
      <c r="W390" s="457"/>
      <c r="X390" s="457"/>
      <c r="Y390" s="457"/>
      <c r="Z390" s="603">
        <f t="shared" si="728"/>
        <v>8.7414755114693113E-2</v>
      </c>
      <c r="AA390" s="457"/>
      <c r="AB390" s="457"/>
      <c r="AC390" s="457"/>
      <c r="AD390" s="457"/>
      <c r="AE390" s="603">
        <f t="shared" ref="AE390:AJ390" si="730">AE370/AE$375</f>
        <v>8.9892129444666402E-2</v>
      </c>
      <c r="AF390" s="604">
        <f t="shared" si="730"/>
        <v>9.1059602649006616E-2</v>
      </c>
      <c r="AG390" s="604">
        <f t="shared" si="730"/>
        <v>8.4033613445378158E-2</v>
      </c>
      <c r="AH390" s="604">
        <f t="shared" si="730"/>
        <v>8.4485407066052232E-2</v>
      </c>
      <c r="AI390" s="604">
        <f t="shared" si="730"/>
        <v>9.2344119968429367E-2</v>
      </c>
      <c r="AJ390" s="603">
        <f t="shared" si="730"/>
        <v>8.7888320880849385E-2</v>
      </c>
      <c r="AK390" s="457"/>
      <c r="AL390" s="457"/>
      <c r="AM390" s="457"/>
      <c r="AN390" s="457"/>
      <c r="AO390" s="479"/>
      <c r="AP390" s="457"/>
      <c r="AQ390" s="457"/>
      <c r="AR390" s="457"/>
      <c r="AS390" s="457"/>
      <c r="AT390" s="479"/>
      <c r="AU390" s="779"/>
      <c r="AV390" s="457"/>
      <c r="AW390" s="457"/>
      <c r="AX390" s="457"/>
      <c r="AY390" s="479"/>
      <c r="AZ390" s="457"/>
      <c r="BA390" s="457"/>
      <c r="BB390" s="457"/>
      <c r="BC390" s="457"/>
      <c r="BD390" s="479"/>
      <c r="BE390" s="479"/>
      <c r="BF390" s="479"/>
      <c r="BG390" s="479"/>
      <c r="BH390" s="363"/>
    </row>
    <row r="391" spans="1:60" s="262" customFormat="1" hidden="1" outlineLevel="1" x14ac:dyDescent="0.35">
      <c r="A391" s="154" t="s">
        <v>861</v>
      </c>
      <c r="B391" s="312"/>
      <c r="C391" s="105"/>
      <c r="D391" s="105"/>
      <c r="E391" s="105"/>
      <c r="F391" s="105"/>
      <c r="G391" s="200"/>
      <c r="H391" s="200"/>
      <c r="I391" s="200"/>
      <c r="J391" s="200"/>
      <c r="K391" s="105"/>
      <c r="L391" s="200"/>
      <c r="M391" s="200"/>
      <c r="N391" s="200"/>
      <c r="O391" s="200"/>
      <c r="P391" s="105"/>
      <c r="Q391" s="200"/>
      <c r="R391" s="200"/>
      <c r="S391" s="200"/>
      <c r="T391" s="200"/>
      <c r="U391" s="105"/>
      <c r="V391" s="200"/>
      <c r="W391" s="200"/>
      <c r="X391" s="200"/>
      <c r="Y391" s="200"/>
      <c r="Z391" s="47">
        <f t="shared" si="728"/>
        <v>0.69125852448853065</v>
      </c>
      <c r="AA391" s="200"/>
      <c r="AB391" s="200"/>
      <c r="AC391" s="200"/>
      <c r="AD391" s="200"/>
      <c r="AE391" s="47">
        <f t="shared" ref="AE391:AO391" si="731">AE371/AE$375</f>
        <v>0.67778665601278465</v>
      </c>
      <c r="AF391" s="78">
        <f t="shared" si="731"/>
        <v>0.63576158940397354</v>
      </c>
      <c r="AG391" s="78">
        <f t="shared" si="731"/>
        <v>0.69289533995416352</v>
      </c>
      <c r="AH391" s="78">
        <f t="shared" si="731"/>
        <v>0.71274961597542241</v>
      </c>
      <c r="AI391" s="78">
        <f t="shared" si="731"/>
        <v>0.7016574585635359</v>
      </c>
      <c r="AJ391" s="47">
        <f t="shared" si="731"/>
        <v>0.68659064097522615</v>
      </c>
      <c r="AK391" s="78">
        <f t="shared" si="731"/>
        <v>0.66916666666666669</v>
      </c>
      <c r="AL391" s="78">
        <f t="shared" si="731"/>
        <v>0.71590909090909094</v>
      </c>
      <c r="AM391" s="78">
        <f t="shared" si="731"/>
        <v>0.72652757078986585</v>
      </c>
      <c r="AN391" s="78">
        <f t="shared" si="731"/>
        <v>0.71217998448409625</v>
      </c>
      <c r="AO391" s="47">
        <f t="shared" si="731"/>
        <v>0.70685303824500101</v>
      </c>
      <c r="AP391" s="78">
        <f t="shared" ref="AP391:AT394" si="732">AP371/AP$375</f>
        <v>0.69585987261146498</v>
      </c>
      <c r="AQ391" s="78">
        <f t="shared" si="732"/>
        <v>0.72294022617124398</v>
      </c>
      <c r="AR391" s="78">
        <f t="shared" si="732"/>
        <v>0.72829922371206779</v>
      </c>
      <c r="AS391" s="78">
        <f t="shared" si="732"/>
        <v>0.72350877192982455</v>
      </c>
      <c r="AT391" s="47">
        <f t="shared" si="732"/>
        <v>0.71814092953523234</v>
      </c>
      <c r="AU391" s="761">
        <f t="shared" ref="AU391" si="733">AU371/AU$375</f>
        <v>0.6911871813546977</v>
      </c>
      <c r="AV391" s="200"/>
      <c r="AW391" s="200"/>
      <c r="AX391" s="200"/>
      <c r="AY391" s="105"/>
      <c r="AZ391" s="200"/>
      <c r="BA391" s="200"/>
      <c r="BB391" s="200"/>
      <c r="BC391" s="200"/>
      <c r="BD391" s="105"/>
      <c r="BE391" s="105"/>
      <c r="BF391" s="105"/>
      <c r="BG391" s="105"/>
      <c r="BH391" s="363"/>
    </row>
    <row r="392" spans="1:60" s="262" customFormat="1" hidden="1" outlineLevel="1" x14ac:dyDescent="0.35">
      <c r="A392" s="154" t="s">
        <v>862</v>
      </c>
      <c r="B392" s="312"/>
      <c r="C392" s="105"/>
      <c r="D392" s="105"/>
      <c r="E392" s="105"/>
      <c r="F392" s="105"/>
      <c r="G392" s="200"/>
      <c r="H392" s="200"/>
      <c r="I392" s="200"/>
      <c r="J392" s="200"/>
      <c r="K392" s="105"/>
      <c r="L392" s="200"/>
      <c r="M392" s="200"/>
      <c r="N392" s="200"/>
      <c r="O392" s="200"/>
      <c r="P392" s="105"/>
      <c r="Q392" s="200"/>
      <c r="R392" s="200"/>
      <c r="S392" s="200"/>
      <c r="T392" s="200"/>
      <c r="U392" s="105"/>
      <c r="V392" s="200"/>
      <c r="W392" s="200"/>
      <c r="X392" s="200"/>
      <c r="Y392" s="200"/>
      <c r="Z392" s="47">
        <f t="shared" si="728"/>
        <v>0.1903285802851829</v>
      </c>
      <c r="AA392" s="200"/>
      <c r="AB392" s="200"/>
      <c r="AC392" s="200"/>
      <c r="AD392" s="200"/>
      <c r="AE392" s="47">
        <f t="shared" ref="AE392:AO392" si="734">AE372/AE$375</f>
        <v>0.20555333599680384</v>
      </c>
      <c r="AF392" s="78">
        <f t="shared" si="734"/>
        <v>0.24006622516556292</v>
      </c>
      <c r="AG392" s="78">
        <f t="shared" si="734"/>
        <v>0.1917494270435447</v>
      </c>
      <c r="AH392" s="78">
        <f t="shared" si="734"/>
        <v>0.18202764976958524</v>
      </c>
      <c r="AI392" s="78">
        <f t="shared" si="734"/>
        <v>0.19179163378058406</v>
      </c>
      <c r="AJ392" s="47">
        <f t="shared" si="734"/>
        <v>0.20074714903657098</v>
      </c>
      <c r="AK392" s="78">
        <f t="shared" si="734"/>
        <v>0.21416666666666667</v>
      </c>
      <c r="AL392" s="78">
        <f t="shared" si="734"/>
        <v>0.17651515151515151</v>
      </c>
      <c r="AM392" s="78">
        <f t="shared" si="734"/>
        <v>0.16989567809239942</v>
      </c>
      <c r="AN392" s="78">
        <f t="shared" si="734"/>
        <v>0.18153607447633824</v>
      </c>
      <c r="AO392" s="47">
        <f t="shared" si="734"/>
        <v>0.18481848184818481</v>
      </c>
      <c r="AP392" s="78">
        <f t="shared" si="732"/>
        <v>0.19904458598726116</v>
      </c>
      <c r="AQ392" s="78">
        <f t="shared" si="732"/>
        <v>0.17609046849757673</v>
      </c>
      <c r="AR392" s="78">
        <f t="shared" si="732"/>
        <v>0.16302046577275936</v>
      </c>
      <c r="AS392" s="78">
        <f t="shared" si="732"/>
        <v>0.16842105263157894</v>
      </c>
      <c r="AT392" s="47">
        <f t="shared" si="732"/>
        <v>0.17597451274362819</v>
      </c>
      <c r="AU392" s="761">
        <f t="shared" ref="AU392" si="735">AU372/AU$375</f>
        <v>0.20247632920611799</v>
      </c>
      <c r="AV392" s="200"/>
      <c r="AW392" s="200"/>
      <c r="AX392" s="200"/>
      <c r="AY392" s="105"/>
      <c r="AZ392" s="200"/>
      <c r="BA392" s="200"/>
      <c r="BB392" s="200"/>
      <c r="BC392" s="200"/>
      <c r="BD392" s="105"/>
      <c r="BE392" s="105"/>
      <c r="BF392" s="105"/>
      <c r="BG392" s="105"/>
      <c r="BH392" s="363"/>
    </row>
    <row r="393" spans="1:60" s="262" customFormat="1" hidden="1" outlineLevel="1" x14ac:dyDescent="0.35">
      <c r="A393" s="154" t="s">
        <v>863</v>
      </c>
      <c r="B393" s="312"/>
      <c r="C393" s="105"/>
      <c r="D393" s="105"/>
      <c r="E393" s="105"/>
      <c r="F393" s="105"/>
      <c r="G393" s="200"/>
      <c r="H393" s="200"/>
      <c r="I393" s="200"/>
      <c r="J393" s="200"/>
      <c r="K393" s="105"/>
      <c r="L393" s="200"/>
      <c r="M393" s="200"/>
      <c r="N393" s="200"/>
      <c r="O393" s="200"/>
      <c r="P393" s="105"/>
      <c r="Q393" s="200"/>
      <c r="R393" s="200"/>
      <c r="S393" s="200"/>
      <c r="T393" s="200"/>
      <c r="U393" s="105"/>
      <c r="V393" s="200"/>
      <c r="W393" s="200"/>
      <c r="X393" s="200"/>
      <c r="Y393" s="200"/>
      <c r="Z393" s="47">
        <f t="shared" si="728"/>
        <v>0.1182062409588758</v>
      </c>
      <c r="AA393" s="200"/>
      <c r="AB393" s="200"/>
      <c r="AC393" s="200"/>
      <c r="AD393" s="200"/>
      <c r="AE393" s="47">
        <f t="shared" ref="AE393:AO393" si="736">AE373/AE$375</f>
        <v>0.11685976827806632</v>
      </c>
      <c r="AF393" s="78">
        <f t="shared" si="736"/>
        <v>0.12334437086092716</v>
      </c>
      <c r="AG393" s="78">
        <f t="shared" si="736"/>
        <v>0.11611917494270435</v>
      </c>
      <c r="AH393" s="78">
        <f t="shared" si="736"/>
        <v>0.10522273425499232</v>
      </c>
      <c r="AI393" s="78">
        <f t="shared" si="736"/>
        <v>0.10734017363851618</v>
      </c>
      <c r="AJ393" s="47">
        <f t="shared" si="736"/>
        <v>0.11285882815572158</v>
      </c>
      <c r="AK393" s="78">
        <f t="shared" si="736"/>
        <v>0.11749999999999999</v>
      </c>
      <c r="AL393" s="78">
        <f t="shared" si="736"/>
        <v>0.10681818181818181</v>
      </c>
      <c r="AM393" s="78">
        <f t="shared" si="736"/>
        <v>0.10432190760059612</v>
      </c>
      <c r="AN393" s="78">
        <f t="shared" si="736"/>
        <v>0.10628394103956555</v>
      </c>
      <c r="AO393" s="47">
        <f t="shared" si="736"/>
        <v>0.10852261696757912</v>
      </c>
      <c r="AP393" s="78">
        <f t="shared" si="732"/>
        <v>0.10509554140127389</v>
      </c>
      <c r="AQ393" s="78">
        <f t="shared" si="732"/>
        <v>0.10096930533117932</v>
      </c>
      <c r="AR393" s="78">
        <f t="shared" si="732"/>
        <v>0.10868031051517291</v>
      </c>
      <c r="AS393" s="78">
        <f t="shared" si="732"/>
        <v>0.10947368421052632</v>
      </c>
      <c r="AT393" s="47">
        <f t="shared" si="732"/>
        <v>0.10625937031484257</v>
      </c>
      <c r="AU393" s="761">
        <f t="shared" ref="AU393" si="737">AU373/AU$375</f>
        <v>0.10633648943918426</v>
      </c>
      <c r="AV393" s="200"/>
      <c r="AW393" s="200"/>
      <c r="AX393" s="200"/>
      <c r="AY393" s="105"/>
      <c r="AZ393" s="200"/>
      <c r="BA393" s="200"/>
      <c r="BB393" s="200"/>
      <c r="BC393" s="200"/>
      <c r="BD393" s="105"/>
      <c r="BE393" s="105"/>
      <c r="BF393" s="105"/>
      <c r="BG393" s="105"/>
      <c r="BH393" s="363"/>
    </row>
    <row r="394" spans="1:60" s="262" customFormat="1" hidden="1" outlineLevel="1" x14ac:dyDescent="0.35">
      <c r="A394" s="589" t="s">
        <v>864</v>
      </c>
      <c r="B394" s="465"/>
      <c r="C394" s="479"/>
      <c r="D394" s="479"/>
      <c r="E394" s="479"/>
      <c r="F394" s="479"/>
      <c r="G394" s="457"/>
      <c r="H394" s="457"/>
      <c r="I394" s="457"/>
      <c r="J394" s="457"/>
      <c r="K394" s="479"/>
      <c r="L394" s="457"/>
      <c r="M394" s="457"/>
      <c r="N394" s="457"/>
      <c r="O394" s="457"/>
      <c r="P394" s="479"/>
      <c r="Q394" s="457"/>
      <c r="R394" s="457"/>
      <c r="S394" s="457"/>
      <c r="T394" s="457"/>
      <c r="U394" s="479"/>
      <c r="V394" s="457"/>
      <c r="W394" s="457"/>
      <c r="X394" s="457"/>
      <c r="Y394" s="457"/>
      <c r="Z394" s="603">
        <f t="shared" si="728"/>
        <v>2.0665426741062204E-4</v>
      </c>
      <c r="AA394" s="457"/>
      <c r="AB394" s="457"/>
      <c r="AC394" s="457"/>
      <c r="AD394" s="457"/>
      <c r="AE394" s="603">
        <f t="shared" ref="AE394:AO394" si="738">AE374/AE$375</f>
        <v>-1.9976028765481422E-4</v>
      </c>
      <c r="AF394" s="604">
        <f t="shared" si="738"/>
        <v>8.2781456953642384E-4</v>
      </c>
      <c r="AG394" s="604">
        <f t="shared" si="738"/>
        <v>-7.6394194041252863E-4</v>
      </c>
      <c r="AH394" s="604">
        <f t="shared" si="738"/>
        <v>0</v>
      </c>
      <c r="AI394" s="604">
        <f t="shared" si="738"/>
        <v>-7.8926598263614838E-4</v>
      </c>
      <c r="AJ394" s="603">
        <f t="shared" si="738"/>
        <v>-1.9661816751867872E-4</v>
      </c>
      <c r="AK394" s="604">
        <f t="shared" si="738"/>
        <v>-8.3333333333333339E-4</v>
      </c>
      <c r="AL394" s="604">
        <f t="shared" si="738"/>
        <v>7.5757575757575758E-4</v>
      </c>
      <c r="AM394" s="604">
        <f t="shared" si="738"/>
        <v>-7.4515648286140089E-4</v>
      </c>
      <c r="AN394" s="604">
        <f t="shared" si="738"/>
        <v>0</v>
      </c>
      <c r="AO394" s="603">
        <f t="shared" si="738"/>
        <v>-1.9413706076490002E-4</v>
      </c>
      <c r="AP394" s="604">
        <f t="shared" si="732"/>
        <v>0</v>
      </c>
      <c r="AQ394" s="604">
        <f t="shared" si="732"/>
        <v>0</v>
      </c>
      <c r="AR394" s="604">
        <f t="shared" si="732"/>
        <v>0</v>
      </c>
      <c r="AS394" s="604">
        <f t="shared" si="732"/>
        <v>-1.4035087719298245E-3</v>
      </c>
      <c r="AT394" s="603">
        <f t="shared" si="732"/>
        <v>-3.7481259370314841E-4</v>
      </c>
      <c r="AU394" s="779">
        <f t="shared" ref="AU394" si="739">AU374/AU$375</f>
        <v>0</v>
      </c>
      <c r="AV394" s="457"/>
      <c r="AW394" s="457"/>
      <c r="AX394" s="457"/>
      <c r="AY394" s="479"/>
      <c r="AZ394" s="457"/>
      <c r="BA394" s="457"/>
      <c r="BB394" s="457"/>
      <c r="BC394" s="457"/>
      <c r="BD394" s="479"/>
      <c r="BE394" s="479"/>
      <c r="BF394" s="479"/>
      <c r="BG394" s="479"/>
      <c r="BH394" s="363"/>
    </row>
    <row r="395" spans="1:60" s="225" customFormat="1" hidden="1" outlineLevel="1" x14ac:dyDescent="0.35">
      <c r="A395" s="227" t="s">
        <v>865</v>
      </c>
      <c r="B395" s="176"/>
      <c r="C395" s="113"/>
      <c r="D395" s="113"/>
      <c r="E395" s="113"/>
      <c r="F395" s="113"/>
      <c r="G395" s="177"/>
      <c r="H395" s="177"/>
      <c r="I395" s="177"/>
      <c r="J395" s="177"/>
      <c r="K395" s="113"/>
      <c r="L395" s="177"/>
      <c r="M395" s="177"/>
      <c r="N395" s="177"/>
      <c r="O395" s="177"/>
      <c r="P395" s="113"/>
      <c r="Q395" s="177"/>
      <c r="R395" s="177"/>
      <c r="S395" s="177"/>
      <c r="T395" s="177"/>
      <c r="U395" s="113"/>
      <c r="V395" s="177"/>
      <c r="W395" s="177"/>
      <c r="X395" s="177"/>
      <c r="Y395" s="177"/>
      <c r="Z395" s="223">
        <f>SUM(Z391:Z394)</f>
        <v>1</v>
      </c>
      <c r="AA395" s="177"/>
      <c r="AB395" s="177"/>
      <c r="AC395" s="177"/>
      <c r="AD395" s="177"/>
      <c r="AE395" s="223">
        <f t="shared" ref="AE395:AR395" si="740">SUM(AE391:AE394)</f>
        <v>1</v>
      </c>
      <c r="AF395" s="226">
        <f t="shared" si="740"/>
        <v>1</v>
      </c>
      <c r="AG395" s="226">
        <f t="shared" si="740"/>
        <v>1</v>
      </c>
      <c r="AH395" s="226">
        <f t="shared" si="740"/>
        <v>1</v>
      </c>
      <c r="AI395" s="226">
        <f t="shared" si="740"/>
        <v>0.99999999999999989</v>
      </c>
      <c r="AJ395" s="223">
        <f t="shared" si="740"/>
        <v>1.0000000000000002</v>
      </c>
      <c r="AK395" s="226">
        <f t="shared" si="740"/>
        <v>0.99999999999999989</v>
      </c>
      <c r="AL395" s="226">
        <f t="shared" si="740"/>
        <v>1</v>
      </c>
      <c r="AM395" s="226">
        <f t="shared" si="740"/>
        <v>0.99999999999999989</v>
      </c>
      <c r="AN395" s="226">
        <f t="shared" si="740"/>
        <v>1</v>
      </c>
      <c r="AO395" s="223">
        <f t="shared" si="740"/>
        <v>1</v>
      </c>
      <c r="AP395" s="226">
        <f t="shared" si="740"/>
        <v>1</v>
      </c>
      <c r="AQ395" s="226">
        <f t="shared" si="740"/>
        <v>1</v>
      </c>
      <c r="AR395" s="226">
        <f t="shared" si="740"/>
        <v>1</v>
      </c>
      <c r="AS395" s="226">
        <f t="shared" ref="AS395:AT395" si="741">SUM(AS391:AS394)</f>
        <v>0.99999999999999989</v>
      </c>
      <c r="AT395" s="223">
        <f t="shared" si="741"/>
        <v>0.99999999999999989</v>
      </c>
      <c r="AU395" s="780">
        <f t="shared" ref="AU395" si="742">SUM(AU391:AU394)</f>
        <v>1</v>
      </c>
      <c r="AV395" s="177"/>
      <c r="AW395" s="177"/>
      <c r="AX395" s="177"/>
      <c r="AY395" s="113"/>
      <c r="AZ395" s="177"/>
      <c r="BA395" s="177"/>
      <c r="BB395" s="177"/>
      <c r="BC395" s="177"/>
      <c r="BD395" s="113"/>
      <c r="BE395" s="113"/>
      <c r="BF395" s="113"/>
      <c r="BG395" s="113"/>
      <c r="BH395" s="94"/>
    </row>
    <row r="396" spans="1:60" s="69" customFormat="1" hidden="1" outlineLevel="1" x14ac:dyDescent="0.35">
      <c r="A396" s="426"/>
      <c r="B396" s="518"/>
      <c r="C396" s="519"/>
      <c r="D396" s="519"/>
      <c r="E396" s="519"/>
      <c r="F396" s="519"/>
      <c r="G396" s="520"/>
      <c r="H396" s="520"/>
      <c r="I396" s="520"/>
      <c r="J396" s="520"/>
      <c r="K396" s="519"/>
      <c r="L396" s="520"/>
      <c r="M396" s="520"/>
      <c r="N396" s="520"/>
      <c r="O396" s="520"/>
      <c r="P396" s="519"/>
      <c r="Q396" s="520"/>
      <c r="R396" s="520"/>
      <c r="S396" s="520"/>
      <c r="T396" s="520"/>
      <c r="U396" s="519"/>
      <c r="V396" s="520"/>
      <c r="W396" s="520"/>
      <c r="X396" s="520"/>
      <c r="Y396" s="520"/>
      <c r="Z396" s="519"/>
      <c r="AA396" s="520"/>
      <c r="AB396" s="520"/>
      <c r="AC396" s="520"/>
      <c r="AD396" s="520"/>
      <c r="AE396" s="519"/>
      <c r="AF396" s="520"/>
      <c r="AG396" s="520"/>
      <c r="AH396" s="520"/>
      <c r="AI396" s="520"/>
      <c r="AJ396" s="519"/>
      <c r="AK396" s="520"/>
      <c r="AL396" s="520"/>
      <c r="AM396" s="520"/>
      <c r="AN396" s="520"/>
      <c r="AO396" s="519"/>
      <c r="AP396" s="520"/>
      <c r="AQ396" s="520"/>
      <c r="AR396" s="520"/>
      <c r="AS396" s="520"/>
      <c r="AT396" s="519"/>
      <c r="AU396" s="766"/>
      <c r="AV396" s="520"/>
      <c r="AW396" s="520"/>
      <c r="AX396" s="520"/>
      <c r="AY396" s="519"/>
      <c r="AZ396" s="520"/>
      <c r="BA396" s="520"/>
      <c r="BB396" s="520"/>
      <c r="BC396" s="520"/>
      <c r="BD396" s="519"/>
      <c r="BE396" s="519"/>
      <c r="BF396" s="519"/>
      <c r="BG396" s="519"/>
      <c r="BH396" s="79"/>
    </row>
    <row r="397" spans="1:60" s="345" customFormat="1" hidden="1" outlineLevel="1" x14ac:dyDescent="0.35">
      <c r="A397" s="350" t="s">
        <v>508</v>
      </c>
      <c r="B397" s="444"/>
      <c r="C397" s="445"/>
      <c r="D397" s="445"/>
      <c r="E397" s="445"/>
      <c r="F397" s="445"/>
      <c r="G397" s="446"/>
      <c r="H397" s="446"/>
      <c r="I397" s="446"/>
      <c r="J397" s="446"/>
      <c r="K397" s="445"/>
      <c r="L397" s="446"/>
      <c r="M397" s="446"/>
      <c r="N397" s="446"/>
      <c r="O397" s="446"/>
      <c r="P397" s="445"/>
      <c r="Q397" s="446"/>
      <c r="R397" s="446"/>
      <c r="S397" s="446"/>
      <c r="T397" s="446"/>
      <c r="U397" s="445"/>
      <c r="V397" s="446"/>
      <c r="W397" s="446"/>
      <c r="X397" s="446"/>
      <c r="Y397" s="446"/>
      <c r="Z397" s="436">
        <v>381</v>
      </c>
      <c r="AA397" s="446"/>
      <c r="AB397" s="446"/>
      <c r="AC397" s="446"/>
      <c r="AD397" s="446"/>
      <c r="AE397" s="436">
        <v>425</v>
      </c>
      <c r="AF397" s="437">
        <v>102</v>
      </c>
      <c r="AG397" s="437">
        <v>101</v>
      </c>
      <c r="AH397" s="437">
        <v>97</v>
      </c>
      <c r="AI397" s="437">
        <f>AJ397-SUM(AF397,AG397,AH397)</f>
        <v>91</v>
      </c>
      <c r="AJ397" s="436">
        <v>391</v>
      </c>
      <c r="AK397" s="437">
        <v>97</v>
      </c>
      <c r="AL397" s="437">
        <v>101</v>
      </c>
      <c r="AM397" s="437">
        <v>97</v>
      </c>
      <c r="AN397" s="437">
        <f>AO397-SUM(AK397,AL397,AM397)</f>
        <v>84</v>
      </c>
      <c r="AO397" s="436">
        <v>379</v>
      </c>
      <c r="AP397" s="437">
        <v>99</v>
      </c>
      <c r="AQ397" s="437">
        <v>83</v>
      </c>
      <c r="AR397" s="437">
        <v>96</v>
      </c>
      <c r="AS397" s="437">
        <v>88</v>
      </c>
      <c r="AT397" s="436">
        <f>SUM(AP397,AQ397,AR397,AS397)</f>
        <v>366</v>
      </c>
      <c r="AU397" s="763">
        <v>150</v>
      </c>
      <c r="AV397" s="446"/>
      <c r="AW397" s="446"/>
      <c r="AX397" s="446"/>
      <c r="AY397" s="445"/>
      <c r="AZ397" s="446"/>
      <c r="BA397" s="446"/>
      <c r="BB397" s="446"/>
      <c r="BC397" s="446"/>
      <c r="BD397" s="445"/>
      <c r="BE397" s="445"/>
      <c r="BF397" s="445"/>
      <c r="BG397" s="445"/>
      <c r="BH397" s="351"/>
    </row>
    <row r="398" spans="1:60" s="345" customFormat="1" hidden="1" outlineLevel="1" x14ac:dyDescent="0.35">
      <c r="A398" s="350" t="s">
        <v>509</v>
      </c>
      <c r="B398" s="444"/>
      <c r="C398" s="445"/>
      <c r="D398" s="445"/>
      <c r="E398" s="445"/>
      <c r="F398" s="445"/>
      <c r="G398" s="446"/>
      <c r="H398" s="446"/>
      <c r="I398" s="446"/>
      <c r="J398" s="446"/>
      <c r="K398" s="445"/>
      <c r="L398" s="446"/>
      <c r="M398" s="446"/>
      <c r="N398" s="446"/>
      <c r="O398" s="446"/>
      <c r="P398" s="445"/>
      <c r="Q398" s="446"/>
      <c r="R398" s="446"/>
      <c r="S398" s="446"/>
      <c r="T398" s="446"/>
      <c r="U398" s="445"/>
      <c r="V398" s="446"/>
      <c r="W398" s="446"/>
      <c r="X398" s="446"/>
      <c r="Y398" s="446"/>
      <c r="Z398" s="436">
        <v>1006</v>
      </c>
      <c r="AA398" s="446"/>
      <c r="AB398" s="446"/>
      <c r="AC398" s="446"/>
      <c r="AD398" s="446"/>
      <c r="AE398" s="436">
        <v>1028</v>
      </c>
      <c r="AF398" s="437">
        <v>269</v>
      </c>
      <c r="AG398" s="437">
        <v>255</v>
      </c>
      <c r="AH398" s="437">
        <v>249</v>
      </c>
      <c r="AI398" s="437">
        <f>AJ398-SUM(AF398,AG398,AH398)</f>
        <v>239</v>
      </c>
      <c r="AJ398" s="436">
        <v>1012</v>
      </c>
      <c r="AK398" s="437">
        <v>257</v>
      </c>
      <c r="AL398" s="437">
        <v>247</v>
      </c>
      <c r="AM398" s="437">
        <v>243</v>
      </c>
      <c r="AN398" s="437">
        <f>AO398-SUM(AK398,AL398,AM398)</f>
        <v>244</v>
      </c>
      <c r="AO398" s="436">
        <v>991</v>
      </c>
      <c r="AP398" s="437">
        <v>270</v>
      </c>
      <c r="AQ398" s="437">
        <v>258</v>
      </c>
      <c r="AR398" s="437">
        <v>268</v>
      </c>
      <c r="AS398" s="437">
        <v>270</v>
      </c>
      <c r="AT398" s="436">
        <f>SUM(AP398,AQ398,AR398,AS398)</f>
        <v>1066</v>
      </c>
      <c r="AU398" s="763">
        <v>279</v>
      </c>
      <c r="AV398" s="446"/>
      <c r="AW398" s="446"/>
      <c r="AX398" s="446"/>
      <c r="AY398" s="445"/>
      <c r="AZ398" s="446"/>
      <c r="BA398" s="446"/>
      <c r="BB398" s="446"/>
      <c r="BC398" s="446"/>
      <c r="BD398" s="445"/>
      <c r="BE398" s="445"/>
      <c r="BF398" s="445"/>
      <c r="BG398" s="445"/>
      <c r="BH398" s="351"/>
    </row>
    <row r="399" spans="1:60" s="345" customFormat="1" hidden="1" outlineLevel="1" x14ac:dyDescent="0.35">
      <c r="A399" s="350" t="s">
        <v>510</v>
      </c>
      <c r="B399" s="444"/>
      <c r="C399" s="445"/>
      <c r="D399" s="445"/>
      <c r="E399" s="445"/>
      <c r="F399" s="445"/>
      <c r="G399" s="446"/>
      <c r="H399" s="446"/>
      <c r="I399" s="446"/>
      <c r="J399" s="446"/>
      <c r="K399" s="445"/>
      <c r="L399" s="446"/>
      <c r="M399" s="446"/>
      <c r="N399" s="446"/>
      <c r="O399" s="446"/>
      <c r="P399" s="445"/>
      <c r="Q399" s="446"/>
      <c r="R399" s="446"/>
      <c r="S399" s="446"/>
      <c r="T399" s="446"/>
      <c r="U399" s="445"/>
      <c r="V399" s="446"/>
      <c r="W399" s="446"/>
      <c r="X399" s="446"/>
      <c r="Y399" s="446"/>
      <c r="Z399" s="436">
        <v>1977</v>
      </c>
      <c r="AA399" s="446"/>
      <c r="AB399" s="446"/>
      <c r="AC399" s="446"/>
      <c r="AD399" s="446"/>
      <c r="AE399" s="436">
        <v>2118</v>
      </c>
      <c r="AF399" s="437">
        <v>522</v>
      </c>
      <c r="AG399" s="437">
        <v>593</v>
      </c>
      <c r="AH399" s="437">
        <v>579</v>
      </c>
      <c r="AI399" s="437">
        <f>AJ399-SUM(AF399,AG399,AH399)</f>
        <v>539</v>
      </c>
      <c r="AJ399" s="436">
        <v>2233</v>
      </c>
      <c r="AK399" s="437">
        <v>528</v>
      </c>
      <c r="AL399" s="437">
        <v>589</v>
      </c>
      <c r="AM399" s="437">
        <v>612</v>
      </c>
      <c r="AN399" s="437">
        <f>AO399-SUM(AK399,AL399,AM399)</f>
        <v>568</v>
      </c>
      <c r="AO399" s="436">
        <v>2297</v>
      </c>
      <c r="AP399" s="437">
        <v>576</v>
      </c>
      <c r="AQ399" s="437">
        <v>601</v>
      </c>
      <c r="AR399" s="437">
        <v>686</v>
      </c>
      <c r="AS399" s="437">
        <v>664</v>
      </c>
      <c r="AT399" s="436">
        <f>SUM(AP399,AQ399,AR399,AS399)</f>
        <v>2527</v>
      </c>
      <c r="AU399" s="763">
        <v>623</v>
      </c>
      <c r="AV399" s="446"/>
      <c r="AW399" s="446"/>
      <c r="AX399" s="446"/>
      <c r="AY399" s="445"/>
      <c r="AZ399" s="446"/>
      <c r="BA399" s="446"/>
      <c r="BB399" s="446"/>
      <c r="BC399" s="446"/>
      <c r="BD399" s="445"/>
      <c r="BE399" s="445"/>
      <c r="BF399" s="445"/>
      <c r="BG399" s="445"/>
      <c r="BH399" s="351"/>
    </row>
    <row r="400" spans="1:60" s="345" customFormat="1" hidden="1" outlineLevel="1" x14ac:dyDescent="0.35">
      <c r="A400" s="350" t="s">
        <v>511</v>
      </c>
      <c r="B400" s="444"/>
      <c r="C400" s="445"/>
      <c r="D400" s="445"/>
      <c r="E400" s="445"/>
      <c r="F400" s="445"/>
      <c r="G400" s="446"/>
      <c r="H400" s="446"/>
      <c r="I400" s="446"/>
      <c r="J400" s="446"/>
      <c r="K400" s="445"/>
      <c r="L400" s="446"/>
      <c r="M400" s="446"/>
      <c r="N400" s="446"/>
      <c r="O400" s="446"/>
      <c r="P400" s="445"/>
      <c r="Q400" s="446"/>
      <c r="R400" s="446"/>
      <c r="S400" s="446"/>
      <c r="T400" s="446"/>
      <c r="U400" s="445"/>
      <c r="V400" s="446"/>
      <c r="W400" s="446"/>
      <c r="X400" s="446"/>
      <c r="Y400" s="446"/>
      <c r="Z400" s="436">
        <v>1439</v>
      </c>
      <c r="AA400" s="446"/>
      <c r="AB400" s="446"/>
      <c r="AC400" s="446"/>
      <c r="AD400" s="446"/>
      <c r="AE400" s="436">
        <v>1386</v>
      </c>
      <c r="AF400" s="437">
        <v>303</v>
      </c>
      <c r="AG400" s="437">
        <v>352</v>
      </c>
      <c r="AH400" s="437">
        <v>367</v>
      </c>
      <c r="AI400" s="437">
        <f>AJ400-SUM(AF400,AG400,AH400)</f>
        <v>374</v>
      </c>
      <c r="AJ400" s="436">
        <v>1396</v>
      </c>
      <c r="AK400" s="437">
        <v>295</v>
      </c>
      <c r="AL400" s="437">
        <v>351</v>
      </c>
      <c r="AM400" s="437">
        <v>362</v>
      </c>
      <c r="AN400" s="437">
        <f>AO400-SUM(AK400,AL400,AM400)</f>
        <v>370</v>
      </c>
      <c r="AO400" s="436">
        <v>1378</v>
      </c>
      <c r="AP400" s="437">
        <v>273</v>
      </c>
      <c r="AQ400" s="437">
        <v>263</v>
      </c>
      <c r="AR400" s="437">
        <v>323</v>
      </c>
      <c r="AS400" s="437">
        <v>364</v>
      </c>
      <c r="AT400" s="436">
        <f>SUM(AP400,AQ400,AR400,AS400)</f>
        <v>1223</v>
      </c>
      <c r="AU400" s="763">
        <v>285</v>
      </c>
      <c r="AV400" s="446"/>
      <c r="AW400" s="446"/>
      <c r="AX400" s="446"/>
      <c r="AY400" s="445"/>
      <c r="AZ400" s="446"/>
      <c r="BA400" s="446"/>
      <c r="BB400" s="446"/>
      <c r="BC400" s="446"/>
      <c r="BD400" s="445"/>
      <c r="BE400" s="445"/>
      <c r="BF400" s="445"/>
      <c r="BG400" s="445"/>
      <c r="BH400" s="351"/>
    </row>
    <row r="401" spans="1:60" s="345" customFormat="1" hidden="1" outlineLevel="1" x14ac:dyDescent="0.35">
      <c r="A401" s="350" t="s">
        <v>500</v>
      </c>
      <c r="B401" s="444"/>
      <c r="C401" s="445"/>
      <c r="D401" s="445"/>
      <c r="E401" s="445"/>
      <c r="F401" s="445"/>
      <c r="G401" s="446"/>
      <c r="H401" s="446"/>
      <c r="I401" s="446"/>
      <c r="J401" s="446"/>
      <c r="K401" s="445"/>
      <c r="L401" s="446"/>
      <c r="M401" s="446"/>
      <c r="N401" s="446"/>
      <c r="O401" s="446"/>
      <c r="P401" s="445"/>
      <c r="Q401" s="446"/>
      <c r="R401" s="446"/>
      <c r="S401" s="446"/>
      <c r="T401" s="446"/>
      <c r="U401" s="445"/>
      <c r="V401" s="446"/>
      <c r="W401" s="446"/>
      <c r="X401" s="446"/>
      <c r="Y401" s="446"/>
      <c r="Z401" s="436">
        <v>36</v>
      </c>
      <c r="AA401" s="446"/>
      <c r="AB401" s="446"/>
      <c r="AC401" s="446"/>
      <c r="AD401" s="446"/>
      <c r="AE401" s="436">
        <v>49</v>
      </c>
      <c r="AF401" s="437">
        <v>12</v>
      </c>
      <c r="AG401" s="437">
        <v>8</v>
      </c>
      <c r="AH401" s="437">
        <v>10</v>
      </c>
      <c r="AI401" s="437">
        <f>AJ401-SUM(AF401,AG401,AH401)</f>
        <v>24</v>
      </c>
      <c r="AJ401" s="436">
        <v>54</v>
      </c>
      <c r="AK401" s="437">
        <v>23</v>
      </c>
      <c r="AL401" s="437">
        <v>32</v>
      </c>
      <c r="AM401" s="437">
        <v>28</v>
      </c>
      <c r="AN401" s="437">
        <f>AO401-SUM(AK401,AL401,AM401)</f>
        <v>23</v>
      </c>
      <c r="AO401" s="436">
        <v>106</v>
      </c>
      <c r="AP401" s="437">
        <v>38</v>
      </c>
      <c r="AQ401" s="437">
        <v>33</v>
      </c>
      <c r="AR401" s="437">
        <v>44</v>
      </c>
      <c r="AS401" s="437">
        <v>39</v>
      </c>
      <c r="AT401" s="436">
        <f>SUM(AP401,AQ401,AR401,AS401)</f>
        <v>154</v>
      </c>
      <c r="AU401" s="763">
        <v>36</v>
      </c>
      <c r="AV401" s="446"/>
      <c r="AW401" s="446"/>
      <c r="AX401" s="446"/>
      <c r="AY401" s="445"/>
      <c r="AZ401" s="446"/>
      <c r="BA401" s="446"/>
      <c r="BB401" s="446"/>
      <c r="BC401" s="446"/>
      <c r="BD401" s="445"/>
      <c r="BE401" s="445"/>
      <c r="BF401" s="445"/>
      <c r="BG401" s="445"/>
      <c r="BH401" s="351"/>
    </row>
    <row r="402" spans="1:60" s="69" customFormat="1" hidden="1" outlineLevel="1" x14ac:dyDescent="0.35">
      <c r="A402" s="89" t="s">
        <v>21</v>
      </c>
      <c r="B402" s="452"/>
      <c r="C402" s="453"/>
      <c r="D402" s="453"/>
      <c r="E402" s="453"/>
      <c r="F402" s="453"/>
      <c r="G402" s="454"/>
      <c r="H402" s="454"/>
      <c r="I402" s="454"/>
      <c r="J402" s="454"/>
      <c r="K402" s="453"/>
      <c r="L402" s="454"/>
      <c r="M402" s="454"/>
      <c r="N402" s="454"/>
      <c r="O402" s="454"/>
      <c r="P402" s="453"/>
      <c r="Q402" s="454"/>
      <c r="R402" s="454"/>
      <c r="S402" s="454"/>
      <c r="T402" s="454"/>
      <c r="U402" s="453"/>
      <c r="V402" s="454"/>
      <c r="W402" s="454"/>
      <c r="X402" s="454"/>
      <c r="Y402" s="454"/>
      <c r="Z402" s="438">
        <f>SUM(Z397:Z401)</f>
        <v>4839</v>
      </c>
      <c r="AA402" s="454"/>
      <c r="AB402" s="454"/>
      <c r="AC402" s="454"/>
      <c r="AD402" s="454"/>
      <c r="AE402" s="438">
        <f t="shared" ref="AE402:AQ402" si="743">SUM(AE397:AE401)</f>
        <v>5006</v>
      </c>
      <c r="AF402" s="439">
        <f t="shared" si="743"/>
        <v>1208</v>
      </c>
      <c r="AG402" s="439">
        <f t="shared" si="743"/>
        <v>1309</v>
      </c>
      <c r="AH402" s="439">
        <f t="shared" si="743"/>
        <v>1302</v>
      </c>
      <c r="AI402" s="439">
        <f t="shared" si="743"/>
        <v>1267</v>
      </c>
      <c r="AJ402" s="438">
        <f t="shared" si="743"/>
        <v>5086</v>
      </c>
      <c r="AK402" s="439">
        <f t="shared" si="743"/>
        <v>1200</v>
      </c>
      <c r="AL402" s="439">
        <f t="shared" si="743"/>
        <v>1320</v>
      </c>
      <c r="AM402" s="439">
        <f t="shared" si="743"/>
        <v>1342</v>
      </c>
      <c r="AN402" s="439">
        <f t="shared" si="743"/>
        <v>1289</v>
      </c>
      <c r="AO402" s="438">
        <f t="shared" si="743"/>
        <v>5151</v>
      </c>
      <c r="AP402" s="439">
        <f t="shared" si="743"/>
        <v>1256</v>
      </c>
      <c r="AQ402" s="439">
        <f t="shared" si="743"/>
        <v>1238</v>
      </c>
      <c r="AR402" s="439">
        <f>SUM(AR397:AR401)</f>
        <v>1417</v>
      </c>
      <c r="AS402" s="439">
        <f>SUM(AS397:AS401)</f>
        <v>1425</v>
      </c>
      <c r="AT402" s="438">
        <f>SUM(AT397:AT401)</f>
        <v>5336</v>
      </c>
      <c r="AU402" s="765">
        <f t="shared" ref="AU402" si="744">SUM(AU397:AU401)</f>
        <v>1373</v>
      </c>
      <c r="AV402" s="454"/>
      <c r="AW402" s="454"/>
      <c r="AX402" s="454"/>
      <c r="AY402" s="453"/>
      <c r="AZ402" s="454"/>
      <c r="BA402" s="454"/>
      <c r="BB402" s="454"/>
      <c r="BC402" s="454"/>
      <c r="BD402" s="453"/>
      <c r="BE402" s="453"/>
      <c r="BF402" s="453"/>
      <c r="BG402" s="453"/>
      <c r="BH402" s="79"/>
    </row>
    <row r="403" spans="1:60" s="69" customFormat="1" hidden="1" outlineLevel="1" x14ac:dyDescent="0.35">
      <c r="A403" s="426"/>
      <c r="B403" s="518"/>
      <c r="C403" s="519"/>
      <c r="D403" s="519"/>
      <c r="E403" s="519"/>
      <c r="F403" s="519"/>
      <c r="G403" s="520"/>
      <c r="H403" s="520"/>
      <c r="I403" s="520"/>
      <c r="J403" s="520"/>
      <c r="K403" s="519"/>
      <c r="L403" s="520"/>
      <c r="M403" s="520"/>
      <c r="N403" s="520"/>
      <c r="O403" s="520"/>
      <c r="P403" s="519"/>
      <c r="Q403" s="520"/>
      <c r="R403" s="520"/>
      <c r="S403" s="520"/>
      <c r="T403" s="520"/>
      <c r="U403" s="519"/>
      <c r="V403" s="520"/>
      <c r="W403" s="520"/>
      <c r="X403" s="520"/>
      <c r="Y403" s="520"/>
      <c r="Z403" s="519"/>
      <c r="AA403" s="520"/>
      <c r="AB403" s="520"/>
      <c r="AC403" s="520"/>
      <c r="AD403" s="520"/>
      <c r="AE403" s="519"/>
      <c r="AF403" s="520"/>
      <c r="AG403" s="520"/>
      <c r="AH403" s="520"/>
      <c r="AI403" s="520"/>
      <c r="AJ403" s="519"/>
      <c r="AK403" s="520"/>
      <c r="AL403" s="520"/>
      <c r="AM403" s="520"/>
      <c r="AN403" s="520"/>
      <c r="AO403" s="519"/>
      <c r="AP403" s="520"/>
      <c r="AQ403" s="520"/>
      <c r="AR403" s="520"/>
      <c r="AS403" s="520"/>
      <c r="AT403" s="519"/>
      <c r="AU403" s="766"/>
      <c r="AV403" s="520"/>
      <c r="AW403" s="520"/>
      <c r="AX403" s="520"/>
      <c r="AY403" s="519"/>
      <c r="AZ403" s="520"/>
      <c r="BA403" s="520"/>
      <c r="BB403" s="520"/>
      <c r="BC403" s="520"/>
      <c r="BD403" s="519"/>
      <c r="BE403" s="519"/>
      <c r="BF403" s="519"/>
      <c r="BG403" s="519"/>
      <c r="BH403" s="79"/>
    </row>
    <row r="404" spans="1:60" s="69" customFormat="1" hidden="1" outlineLevel="1" x14ac:dyDescent="0.35">
      <c r="A404" s="90" t="s">
        <v>956</v>
      </c>
      <c r="B404" s="518"/>
      <c r="C404" s="519"/>
      <c r="D404" s="519"/>
      <c r="E404" s="519"/>
      <c r="F404" s="519"/>
      <c r="G404" s="520"/>
      <c r="H404" s="520"/>
      <c r="I404" s="520"/>
      <c r="J404" s="520"/>
      <c r="K404" s="519"/>
      <c r="L404" s="520"/>
      <c r="M404" s="520"/>
      <c r="N404" s="520"/>
      <c r="O404" s="520"/>
      <c r="P404" s="519"/>
      <c r="Q404" s="520"/>
      <c r="R404" s="520"/>
      <c r="S404" s="520"/>
      <c r="T404" s="520"/>
      <c r="U404" s="519"/>
      <c r="V404" s="520"/>
      <c r="W404" s="520"/>
      <c r="X404" s="520"/>
      <c r="Y404" s="520"/>
      <c r="Z404" s="519"/>
      <c r="AA404" s="520"/>
      <c r="AB404" s="520"/>
      <c r="AC404" s="520"/>
      <c r="AD404" s="520"/>
      <c r="AE404" s="440">
        <v>117</v>
      </c>
      <c r="AF404" s="520"/>
      <c r="AG404" s="520"/>
      <c r="AH404" s="520"/>
      <c r="AI404" s="520"/>
      <c r="AJ404" s="440">
        <v>97</v>
      </c>
      <c r="AK404" s="520"/>
      <c r="AL404" s="520"/>
      <c r="AM404" s="520"/>
      <c r="AN404" s="520"/>
      <c r="AO404" s="440">
        <v>134</v>
      </c>
      <c r="AP404" s="520"/>
      <c r="AQ404" s="520"/>
      <c r="AR404" s="520"/>
      <c r="AS404" s="520"/>
      <c r="AT404" s="440">
        <v>140</v>
      </c>
      <c r="AU404" s="766"/>
      <c r="AV404" s="520"/>
      <c r="AW404" s="520"/>
      <c r="AX404" s="520"/>
      <c r="AY404" s="519"/>
      <c r="AZ404" s="520"/>
      <c r="BA404" s="520"/>
      <c r="BB404" s="520"/>
      <c r="BC404" s="520"/>
      <c r="BD404" s="519"/>
      <c r="BE404" s="519"/>
      <c r="BF404" s="519"/>
      <c r="BG404" s="519"/>
      <c r="BH404" s="79"/>
    </row>
    <row r="405" spans="1:60" s="69" customFormat="1" hidden="1" outlineLevel="1" x14ac:dyDescent="0.35">
      <c r="A405" s="90" t="s">
        <v>1060</v>
      </c>
      <c r="B405" s="518"/>
      <c r="C405" s="519"/>
      <c r="D405" s="519"/>
      <c r="E405" s="519"/>
      <c r="F405" s="519"/>
      <c r="G405" s="520"/>
      <c r="H405" s="520"/>
      <c r="I405" s="520"/>
      <c r="J405" s="520"/>
      <c r="K405" s="519"/>
      <c r="L405" s="520"/>
      <c r="M405" s="520"/>
      <c r="N405" s="520"/>
      <c r="O405" s="520"/>
      <c r="P405" s="519"/>
      <c r="Q405" s="520"/>
      <c r="R405" s="520"/>
      <c r="S405" s="520"/>
      <c r="T405" s="520"/>
      <c r="U405" s="519"/>
      <c r="V405" s="520"/>
      <c r="W405" s="520"/>
      <c r="X405" s="520"/>
      <c r="Y405" s="520"/>
      <c r="Z405" s="519"/>
      <c r="AA405" s="520"/>
      <c r="AB405" s="520"/>
      <c r="AC405" s="520"/>
      <c r="AD405" s="520"/>
      <c r="AE405" s="440">
        <v>110</v>
      </c>
      <c r="AF405" s="520"/>
      <c r="AG405" s="520"/>
      <c r="AH405" s="520"/>
      <c r="AI405" s="520"/>
      <c r="AJ405" s="440">
        <v>115</v>
      </c>
      <c r="AK405" s="520"/>
      <c r="AL405" s="520"/>
      <c r="AM405" s="520"/>
      <c r="AN405" s="520"/>
      <c r="AO405" s="440">
        <v>130</v>
      </c>
      <c r="AP405" s="520"/>
      <c r="AQ405" s="520"/>
      <c r="AR405" s="520"/>
      <c r="AS405" s="520"/>
      <c r="AT405" s="440">
        <v>120</v>
      </c>
      <c r="AU405" s="766"/>
      <c r="AV405" s="520"/>
      <c r="AW405" s="520"/>
      <c r="AX405" s="520"/>
      <c r="AY405" s="519"/>
      <c r="AZ405" s="520"/>
      <c r="BA405" s="520"/>
      <c r="BB405" s="520"/>
      <c r="BC405" s="520"/>
      <c r="BD405" s="519"/>
      <c r="BE405" s="519"/>
      <c r="BF405" s="519"/>
      <c r="BG405" s="519"/>
      <c r="BH405" s="79"/>
    </row>
    <row r="406" spans="1:60" s="345" customFormat="1" hidden="1" outlineLevel="1" x14ac:dyDescent="0.35">
      <c r="A406" s="236" t="s">
        <v>1055</v>
      </c>
      <c r="B406" s="444"/>
      <c r="C406" s="445"/>
      <c r="D406" s="445"/>
      <c r="E406" s="445"/>
      <c r="F406" s="445"/>
      <c r="G406" s="446"/>
      <c r="H406" s="446"/>
      <c r="I406" s="446"/>
      <c r="J406" s="446"/>
      <c r="K406" s="445"/>
      <c r="L406" s="446"/>
      <c r="M406" s="446"/>
      <c r="N406" s="446"/>
      <c r="O406" s="446"/>
      <c r="P406" s="445"/>
      <c r="Q406" s="446"/>
      <c r="R406" s="446"/>
      <c r="S406" s="446"/>
      <c r="T406" s="446"/>
      <c r="U406" s="445"/>
      <c r="V406" s="446"/>
      <c r="W406" s="446"/>
      <c r="X406" s="446"/>
      <c r="Y406" s="446"/>
      <c r="Z406" s="445"/>
      <c r="AA406" s="446"/>
      <c r="AB406" s="446"/>
      <c r="AC406" s="446"/>
      <c r="AD406" s="446"/>
      <c r="AE406" s="436">
        <v>233</v>
      </c>
      <c r="AF406" s="446"/>
      <c r="AG406" s="446"/>
      <c r="AH406" s="446"/>
      <c r="AI406" s="446"/>
      <c r="AJ406" s="436">
        <v>230</v>
      </c>
      <c r="AK406" s="446"/>
      <c r="AL406" s="446"/>
      <c r="AM406" s="446"/>
      <c r="AN406" s="446"/>
      <c r="AO406" s="436">
        <v>254</v>
      </c>
      <c r="AP406" s="446"/>
      <c r="AQ406" s="446"/>
      <c r="AR406" s="446"/>
      <c r="AS406" s="446"/>
      <c r="AT406" s="436">
        <v>265</v>
      </c>
      <c r="AU406" s="767"/>
      <c r="AV406" s="446"/>
      <c r="AW406" s="446"/>
      <c r="AX406" s="446"/>
      <c r="AY406" s="445"/>
      <c r="AZ406" s="446"/>
      <c r="BA406" s="446"/>
      <c r="BB406" s="446"/>
      <c r="BC406" s="446"/>
      <c r="BD406" s="445"/>
      <c r="BE406" s="445"/>
      <c r="BF406" s="445"/>
      <c r="BG406" s="445"/>
      <c r="BH406" s="351"/>
    </row>
    <row r="407" spans="1:60" s="345" customFormat="1" hidden="1" outlineLevel="1" x14ac:dyDescent="0.35">
      <c r="A407" s="236" t="s">
        <v>999</v>
      </c>
      <c r="B407" s="444"/>
      <c r="C407" s="445"/>
      <c r="D407" s="445"/>
      <c r="E407" s="445"/>
      <c r="F407" s="445"/>
      <c r="G407" s="446"/>
      <c r="H407" s="446"/>
      <c r="I407" s="446"/>
      <c r="J407" s="446"/>
      <c r="K407" s="445"/>
      <c r="L407" s="446"/>
      <c r="M407" s="446"/>
      <c r="N407" s="446"/>
      <c r="O407" s="446"/>
      <c r="P407" s="445"/>
      <c r="Q407" s="446"/>
      <c r="R407" s="446"/>
      <c r="S407" s="446"/>
      <c r="T407" s="446"/>
      <c r="U407" s="445"/>
      <c r="V407" s="446"/>
      <c r="W407" s="446"/>
      <c r="X407" s="446"/>
      <c r="Y407" s="446"/>
      <c r="Z407" s="445"/>
      <c r="AA407" s="446"/>
      <c r="AB407" s="446"/>
      <c r="AC407" s="446"/>
      <c r="AD407" s="446"/>
      <c r="AE407" s="436">
        <v>2909</v>
      </c>
      <c r="AF407" s="446"/>
      <c r="AG407" s="446"/>
      <c r="AH407" s="446"/>
      <c r="AI407" s="446"/>
      <c r="AJ407" s="436">
        <v>2963</v>
      </c>
      <c r="AK407" s="446"/>
      <c r="AL407" s="446"/>
      <c r="AM407" s="446"/>
      <c r="AN407" s="446"/>
      <c r="AO407" s="436">
        <v>2428</v>
      </c>
      <c r="AP407" s="446"/>
      <c r="AQ407" s="446"/>
      <c r="AR407" s="446"/>
      <c r="AS407" s="446"/>
      <c r="AT407" s="436">
        <v>2567</v>
      </c>
      <c r="AU407" s="767"/>
      <c r="AV407" s="446"/>
      <c r="AW407" s="446"/>
      <c r="AX407" s="446"/>
      <c r="AY407" s="445"/>
      <c r="AZ407" s="446"/>
      <c r="BA407" s="446"/>
      <c r="BB407" s="446"/>
      <c r="BC407" s="446"/>
      <c r="BD407" s="445"/>
      <c r="BE407" s="445"/>
      <c r="BF407" s="445"/>
      <c r="BG407" s="445"/>
      <c r="BH407" s="351"/>
    </row>
    <row r="408" spans="1:60" s="345" customFormat="1" hidden="1" outlineLevel="1" x14ac:dyDescent="0.35">
      <c r="A408" s="236" t="s">
        <v>1000</v>
      </c>
      <c r="B408" s="444"/>
      <c r="C408" s="445"/>
      <c r="D408" s="445"/>
      <c r="E408" s="445"/>
      <c r="F408" s="445"/>
      <c r="G408" s="446"/>
      <c r="H408" s="446"/>
      <c r="I408" s="446"/>
      <c r="J408" s="446"/>
      <c r="K408" s="445"/>
      <c r="L408" s="446"/>
      <c r="M408" s="446"/>
      <c r="N408" s="446"/>
      <c r="O408" s="446"/>
      <c r="P408" s="445"/>
      <c r="Q408" s="446"/>
      <c r="R408" s="446"/>
      <c r="S408" s="446"/>
      <c r="T408" s="446"/>
      <c r="U408" s="445"/>
      <c r="V408" s="446"/>
      <c r="W408" s="446"/>
      <c r="X408" s="446"/>
      <c r="Y408" s="446"/>
      <c r="Z408" s="445"/>
      <c r="AA408" s="446"/>
      <c r="AB408" s="446"/>
      <c r="AC408" s="446"/>
      <c r="AD408" s="446"/>
      <c r="AE408" s="445"/>
      <c r="AF408" s="446"/>
      <c r="AG408" s="446"/>
      <c r="AH408" s="446"/>
      <c r="AI408" s="446"/>
      <c r="AJ408" s="436">
        <f>AVERAGE(AJ407,AE407)</f>
        <v>2936</v>
      </c>
      <c r="AK408" s="446"/>
      <c r="AL408" s="446"/>
      <c r="AM408" s="446"/>
      <c r="AN408" s="446"/>
      <c r="AO408" s="436">
        <f>AVERAGE(AO407,AJ407)</f>
        <v>2695.5</v>
      </c>
      <c r="AP408" s="446"/>
      <c r="AQ408" s="446"/>
      <c r="AR408" s="446"/>
      <c r="AS408" s="446"/>
      <c r="AT408" s="436">
        <f>AVERAGE(AT407,AO407)</f>
        <v>2497.5</v>
      </c>
      <c r="AU408" s="767"/>
      <c r="AV408" s="446"/>
      <c r="AW408" s="446"/>
      <c r="AX408" s="446"/>
      <c r="AY408" s="445"/>
      <c r="AZ408" s="446"/>
      <c r="BA408" s="446"/>
      <c r="BB408" s="446"/>
      <c r="BC408" s="446"/>
      <c r="BD408" s="445"/>
      <c r="BE408" s="445"/>
      <c r="BF408" s="445"/>
      <c r="BG408" s="445"/>
      <c r="BH408" s="351"/>
    </row>
    <row r="409" spans="1:60" s="345" customFormat="1" hidden="1" outlineLevel="1" x14ac:dyDescent="0.35">
      <c r="A409" s="236" t="s">
        <v>1001</v>
      </c>
      <c r="B409" s="444"/>
      <c r="C409" s="445"/>
      <c r="D409" s="445"/>
      <c r="E409" s="445"/>
      <c r="F409" s="445"/>
      <c r="G409" s="446"/>
      <c r="H409" s="446"/>
      <c r="I409" s="446"/>
      <c r="J409" s="446"/>
      <c r="K409" s="445"/>
      <c r="L409" s="446"/>
      <c r="M409" s="446"/>
      <c r="N409" s="446"/>
      <c r="O409" s="446"/>
      <c r="P409" s="445"/>
      <c r="Q409" s="446"/>
      <c r="R409" s="446"/>
      <c r="S409" s="446"/>
      <c r="T409" s="446"/>
      <c r="U409" s="445"/>
      <c r="V409" s="446"/>
      <c r="W409" s="446"/>
      <c r="X409" s="446"/>
      <c r="Y409" s="446"/>
      <c r="Z409" s="445"/>
      <c r="AA409" s="446"/>
      <c r="AB409" s="446"/>
      <c r="AC409" s="446"/>
      <c r="AD409" s="446"/>
      <c r="AE409" s="445"/>
      <c r="AF409" s="446"/>
      <c r="AG409" s="446"/>
      <c r="AH409" s="446"/>
      <c r="AI409" s="446"/>
      <c r="AJ409" s="436">
        <f>AJ377</f>
        <v>1071</v>
      </c>
      <c r="AK409" s="446"/>
      <c r="AL409" s="446"/>
      <c r="AM409" s="446"/>
      <c r="AN409" s="446"/>
      <c r="AO409" s="436">
        <f>AO377</f>
        <v>1124</v>
      </c>
      <c r="AP409" s="446"/>
      <c r="AQ409" s="446"/>
      <c r="AR409" s="446"/>
      <c r="AS409" s="446"/>
      <c r="AT409" s="436">
        <f>AT377</f>
        <v>1249</v>
      </c>
      <c r="AU409" s="767"/>
      <c r="AV409" s="446"/>
      <c r="AW409" s="446"/>
      <c r="AX409" s="446"/>
      <c r="AY409" s="445"/>
      <c r="AZ409" s="446"/>
      <c r="BA409" s="446"/>
      <c r="BB409" s="446"/>
      <c r="BC409" s="446"/>
      <c r="BD409" s="445"/>
      <c r="BE409" s="445"/>
      <c r="BF409" s="445"/>
      <c r="BG409" s="445"/>
      <c r="BH409" s="351"/>
    </row>
    <row r="410" spans="1:60" s="225" customFormat="1" hidden="1" outlineLevel="1" x14ac:dyDescent="0.35">
      <c r="A410" s="227" t="s">
        <v>1002</v>
      </c>
      <c r="B410" s="176"/>
      <c r="C410" s="113"/>
      <c r="D410" s="113"/>
      <c r="E410" s="113"/>
      <c r="F410" s="113"/>
      <c r="G410" s="177"/>
      <c r="H410" s="177"/>
      <c r="I410" s="177"/>
      <c r="J410" s="177"/>
      <c r="K410" s="113"/>
      <c r="L410" s="177"/>
      <c r="M410" s="177"/>
      <c r="N410" s="177"/>
      <c r="O410" s="177"/>
      <c r="P410" s="113"/>
      <c r="Q410" s="177"/>
      <c r="R410" s="177"/>
      <c r="S410" s="177"/>
      <c r="T410" s="177"/>
      <c r="U410" s="113"/>
      <c r="V410" s="177"/>
      <c r="W410" s="177"/>
      <c r="X410" s="177"/>
      <c r="Y410" s="177"/>
      <c r="Z410" s="113"/>
      <c r="AA410" s="177"/>
      <c r="AB410" s="177"/>
      <c r="AC410" s="177"/>
      <c r="AD410" s="177"/>
      <c r="AE410" s="113"/>
      <c r="AF410" s="177"/>
      <c r="AG410" s="177"/>
      <c r="AH410" s="177"/>
      <c r="AI410" s="177"/>
      <c r="AJ410" s="223">
        <f>AJ409/AJ408</f>
        <v>0.36478201634877383</v>
      </c>
      <c r="AK410" s="177"/>
      <c r="AL410" s="177"/>
      <c r="AM410" s="177"/>
      <c r="AN410" s="177"/>
      <c r="AO410" s="223">
        <f>AO409/AO408</f>
        <v>0.41699128176590616</v>
      </c>
      <c r="AP410" s="177"/>
      <c r="AQ410" s="177"/>
      <c r="AR410" s="177"/>
      <c r="AS410" s="177"/>
      <c r="AT410" s="223">
        <f>AT409/AT408</f>
        <v>0.50010010010010009</v>
      </c>
      <c r="AU410" s="780"/>
      <c r="AV410" s="177"/>
      <c r="AW410" s="177"/>
      <c r="AX410" s="177"/>
      <c r="AY410" s="113"/>
      <c r="AZ410" s="177"/>
      <c r="BA410" s="177"/>
      <c r="BB410" s="177"/>
      <c r="BC410" s="177"/>
      <c r="BD410" s="113"/>
      <c r="BE410" s="113"/>
      <c r="BF410" s="113"/>
      <c r="BG410" s="113"/>
      <c r="BH410" s="94"/>
    </row>
    <row r="411" spans="1:60" s="225" customFormat="1" collapsed="1" x14ac:dyDescent="0.35">
      <c r="A411" s="538"/>
      <c r="B411" s="176"/>
      <c r="C411" s="113"/>
      <c r="D411" s="113"/>
      <c r="E411" s="113"/>
      <c r="F411" s="113"/>
      <c r="G411" s="177"/>
      <c r="H411" s="177"/>
      <c r="I411" s="177"/>
      <c r="J411" s="177"/>
      <c r="K411" s="113"/>
      <c r="L411" s="177"/>
      <c r="M411" s="177"/>
      <c r="N411" s="177"/>
      <c r="O411" s="177"/>
      <c r="P411" s="113"/>
      <c r="Q411" s="177"/>
      <c r="R411" s="177"/>
      <c r="S411" s="177"/>
      <c r="T411" s="177"/>
      <c r="U411" s="113"/>
      <c r="V411" s="177"/>
      <c r="W411" s="177"/>
      <c r="X411" s="177"/>
      <c r="Y411" s="177"/>
      <c r="Z411" s="113"/>
      <c r="AA411" s="177"/>
      <c r="AB411" s="177"/>
      <c r="AC411" s="177"/>
      <c r="AD411" s="177"/>
      <c r="AE411" s="113"/>
      <c r="AF411" s="177"/>
      <c r="AG411" s="177"/>
      <c r="AH411" s="177"/>
      <c r="AI411" s="177"/>
      <c r="AJ411" s="113"/>
      <c r="AK411" s="177"/>
      <c r="AL411" s="177"/>
      <c r="AM411" s="177"/>
      <c r="AN411" s="177"/>
      <c r="AO411" s="113"/>
      <c r="AP411" s="177"/>
      <c r="AQ411" s="177"/>
      <c r="AR411" s="177"/>
      <c r="AS411" s="177"/>
      <c r="AT411" s="113"/>
      <c r="AU411" s="780"/>
      <c r="AV411" s="177"/>
      <c r="AW411" s="177"/>
      <c r="AX411" s="177"/>
      <c r="AY411" s="113"/>
      <c r="AZ411" s="177"/>
      <c r="BA411" s="177"/>
      <c r="BB411" s="177"/>
      <c r="BC411" s="177"/>
      <c r="BD411" s="113"/>
      <c r="BE411" s="113"/>
      <c r="BF411" s="113"/>
      <c r="BG411" s="113"/>
      <c r="BH411" s="94"/>
    </row>
    <row r="412" spans="1:60" s="21" customFormat="1" x14ac:dyDescent="0.35">
      <c r="A412" s="746" t="s">
        <v>587</v>
      </c>
      <c r="B412" s="746"/>
      <c r="C412" s="874"/>
      <c r="D412" s="874"/>
      <c r="E412" s="874"/>
      <c r="F412" s="874"/>
      <c r="G412" s="874"/>
      <c r="H412" s="874"/>
      <c r="I412" s="874"/>
      <c r="J412" s="874"/>
      <c r="K412" s="874"/>
      <c r="L412" s="874"/>
      <c r="M412" s="874"/>
      <c r="N412" s="874"/>
      <c r="O412" s="874"/>
      <c r="P412" s="874"/>
      <c r="Q412" s="874"/>
      <c r="R412" s="874"/>
      <c r="S412" s="874"/>
      <c r="T412" s="874"/>
      <c r="U412" s="874"/>
      <c r="V412" s="874"/>
      <c r="W412" s="874"/>
      <c r="X412" s="874"/>
      <c r="Y412" s="874"/>
      <c r="Z412" s="874"/>
      <c r="AA412" s="874"/>
      <c r="AB412" s="874"/>
      <c r="AC412" s="874"/>
      <c r="AD412" s="874"/>
      <c r="AE412" s="874"/>
      <c r="AF412" s="874"/>
      <c r="AG412" s="874"/>
      <c r="AH412" s="874"/>
      <c r="AI412" s="874"/>
      <c r="AJ412" s="874"/>
      <c r="AK412" s="874"/>
      <c r="AL412" s="874"/>
      <c r="AM412" s="874"/>
      <c r="AN412" s="874"/>
      <c r="AO412" s="874"/>
      <c r="AP412" s="874"/>
      <c r="AQ412" s="874"/>
      <c r="AR412" s="874"/>
      <c r="AS412" s="874"/>
      <c r="AT412" s="874"/>
      <c r="AU412" s="875"/>
      <c r="AV412" s="874"/>
      <c r="AW412" s="874"/>
      <c r="AX412" s="874"/>
      <c r="AY412" s="874"/>
      <c r="AZ412" s="874"/>
      <c r="BA412" s="874"/>
      <c r="BB412" s="874"/>
      <c r="BC412" s="874"/>
      <c r="BD412" s="874"/>
      <c r="BE412" s="874"/>
      <c r="BF412" s="874"/>
      <c r="BG412" s="874"/>
      <c r="BH412" s="651"/>
    </row>
    <row r="413" spans="1:60" s="345" customFormat="1" hidden="1" outlineLevel="1" x14ac:dyDescent="0.35">
      <c r="A413" s="161" t="s">
        <v>512</v>
      </c>
      <c r="B413" s="444"/>
      <c r="C413" s="445"/>
      <c r="D413" s="445"/>
      <c r="E413" s="445"/>
      <c r="F413" s="445"/>
      <c r="G413" s="446"/>
      <c r="H413" s="446"/>
      <c r="I413" s="446"/>
      <c r="J413" s="446"/>
      <c r="K413" s="445"/>
      <c r="L413" s="446"/>
      <c r="M413" s="446"/>
      <c r="N413" s="446"/>
      <c r="O413" s="446"/>
      <c r="P413" s="445"/>
      <c r="Q413" s="446"/>
      <c r="R413" s="446"/>
      <c r="S413" s="446"/>
      <c r="T413" s="446"/>
      <c r="U413" s="445"/>
      <c r="V413" s="446"/>
      <c r="W413" s="446"/>
      <c r="X413" s="446"/>
      <c r="Y413" s="446"/>
      <c r="Z413" s="436">
        <v>6</v>
      </c>
      <c r="AA413" s="446"/>
      <c r="AB413" s="446"/>
      <c r="AC413" s="446"/>
      <c r="AD413" s="446"/>
      <c r="AE413" s="436">
        <v>6</v>
      </c>
      <c r="AF413" s="446"/>
      <c r="AG413" s="437">
        <v>7</v>
      </c>
      <c r="AH413" s="437">
        <v>36</v>
      </c>
      <c r="AI413" s="437">
        <f>AJ413-SUM(AF413,AG413,AH413)</f>
        <v>5</v>
      </c>
      <c r="AJ413" s="436">
        <v>48</v>
      </c>
      <c r="AK413" s="446"/>
      <c r="AL413" s="446"/>
      <c r="AM413" s="446"/>
      <c r="AN413" s="446"/>
      <c r="AO413" s="445"/>
      <c r="AP413" s="446"/>
      <c r="AQ413" s="446"/>
      <c r="AR413" s="446"/>
      <c r="AS413" s="446"/>
      <c r="AT413" s="445"/>
      <c r="AU413" s="767"/>
      <c r="AV413" s="446"/>
      <c r="AW413" s="446"/>
      <c r="AX413" s="446"/>
      <c r="AY413" s="445"/>
      <c r="AZ413" s="446"/>
      <c r="BA413" s="446"/>
      <c r="BB413" s="446"/>
      <c r="BC413" s="446"/>
      <c r="BD413" s="445"/>
      <c r="BE413" s="445"/>
      <c r="BF413" s="445"/>
      <c r="BG413" s="445"/>
      <c r="BH413" s="351"/>
    </row>
    <row r="414" spans="1:60" s="345" customFormat="1" hidden="1" outlineLevel="1" x14ac:dyDescent="0.35">
      <c r="A414" s="101" t="s">
        <v>515</v>
      </c>
      <c r="B414" s="501"/>
      <c r="C414" s="502"/>
      <c r="D414" s="502"/>
      <c r="E414" s="502"/>
      <c r="F414" s="502"/>
      <c r="G414" s="463"/>
      <c r="H414" s="463"/>
      <c r="I414" s="463"/>
      <c r="J414" s="463"/>
      <c r="K414" s="502"/>
      <c r="L414" s="463"/>
      <c r="M414" s="463"/>
      <c r="N414" s="463"/>
      <c r="O414" s="463"/>
      <c r="P414" s="502"/>
      <c r="Q414" s="463"/>
      <c r="R414" s="463"/>
      <c r="S414" s="463"/>
      <c r="T414" s="463"/>
      <c r="U414" s="502"/>
      <c r="V414" s="463"/>
      <c r="W414" s="463"/>
      <c r="X414" s="463"/>
      <c r="Y414" s="463"/>
      <c r="Z414" s="480">
        <v>-1</v>
      </c>
      <c r="AA414" s="463"/>
      <c r="AB414" s="463"/>
      <c r="AC414" s="463"/>
      <c r="AD414" s="463"/>
      <c r="AE414" s="480">
        <v>-4</v>
      </c>
      <c r="AF414" s="463"/>
      <c r="AG414" s="458">
        <v>3</v>
      </c>
      <c r="AH414" s="463"/>
      <c r="AI414" s="458">
        <f>AJ414-SUM(AF414,AG414,AH414)</f>
        <v>0</v>
      </c>
      <c r="AJ414" s="480">
        <v>3</v>
      </c>
      <c r="AK414" s="463"/>
      <c r="AL414" s="463"/>
      <c r="AM414" s="463"/>
      <c r="AN414" s="463"/>
      <c r="AO414" s="502"/>
      <c r="AP414" s="463"/>
      <c r="AQ414" s="463"/>
      <c r="AR414" s="463"/>
      <c r="AS414" s="463"/>
      <c r="AT414" s="502"/>
      <c r="AU414" s="768"/>
      <c r="AV414" s="463"/>
      <c r="AW414" s="463"/>
      <c r="AX414" s="463"/>
      <c r="AY414" s="502"/>
      <c r="AZ414" s="463"/>
      <c r="BA414" s="463"/>
      <c r="BB414" s="463"/>
      <c r="BC414" s="463"/>
      <c r="BD414" s="502"/>
      <c r="BE414" s="502"/>
      <c r="BF414" s="502"/>
      <c r="BG414" s="502"/>
      <c r="BH414" s="351"/>
    </row>
    <row r="415" spans="1:60" s="345" customFormat="1" hidden="1" outlineLevel="1" x14ac:dyDescent="0.35">
      <c r="A415" s="350" t="s">
        <v>735</v>
      </c>
      <c r="B415" s="444"/>
      <c r="C415" s="445"/>
      <c r="D415" s="445"/>
      <c r="E415" s="445"/>
      <c r="F415" s="445"/>
      <c r="G415" s="446"/>
      <c r="H415" s="446"/>
      <c r="I415" s="446"/>
      <c r="J415" s="446"/>
      <c r="K415" s="445"/>
      <c r="L415" s="446"/>
      <c r="M415" s="446"/>
      <c r="N415" s="446"/>
      <c r="O415" s="446"/>
      <c r="P415" s="445"/>
      <c r="Q415" s="446"/>
      <c r="R415" s="446"/>
      <c r="S415" s="446"/>
      <c r="T415" s="446"/>
      <c r="U415" s="445"/>
      <c r="V415" s="446"/>
      <c r="W415" s="446"/>
      <c r="X415" s="446"/>
      <c r="Y415" s="446"/>
      <c r="Z415" s="436">
        <f>SUM(Z413:Z414)</f>
        <v>5</v>
      </c>
      <c r="AA415" s="446"/>
      <c r="AB415" s="446"/>
      <c r="AC415" s="446"/>
      <c r="AD415" s="446"/>
      <c r="AE415" s="436">
        <f t="shared" ref="AE415:AJ415" si="745">SUM(AE413:AE414)</f>
        <v>2</v>
      </c>
      <c r="AF415" s="437">
        <f t="shared" si="745"/>
        <v>0</v>
      </c>
      <c r="AG415" s="437">
        <f t="shared" si="745"/>
        <v>10</v>
      </c>
      <c r="AH415" s="437">
        <f t="shared" si="745"/>
        <v>36</v>
      </c>
      <c r="AI415" s="437">
        <f t="shared" si="745"/>
        <v>5</v>
      </c>
      <c r="AJ415" s="436">
        <f t="shared" si="745"/>
        <v>51</v>
      </c>
      <c r="AK415" s="437">
        <v>21</v>
      </c>
      <c r="AL415" s="437">
        <v>49</v>
      </c>
      <c r="AM415" s="437">
        <v>27</v>
      </c>
      <c r="AN415" s="437">
        <f>AO415-SUM(AK415,AL415,AM415)</f>
        <v>12</v>
      </c>
      <c r="AO415" s="436">
        <v>109</v>
      </c>
      <c r="AP415" s="437">
        <v>1</v>
      </c>
      <c r="AQ415" s="437">
        <v>-1</v>
      </c>
      <c r="AR415" s="437">
        <v>-1</v>
      </c>
      <c r="AS415" s="437">
        <f>AT415-SUM(AP415,AQ415,AR415)</f>
        <v>0</v>
      </c>
      <c r="AT415" s="436">
        <v>-1</v>
      </c>
      <c r="AU415" s="767">
        <v>-1</v>
      </c>
      <c r="AV415" s="446"/>
      <c r="AW415" s="446"/>
      <c r="AX415" s="446"/>
      <c r="AY415" s="445"/>
      <c r="AZ415" s="446"/>
      <c r="BA415" s="446"/>
      <c r="BB415" s="446"/>
      <c r="BC415" s="446"/>
      <c r="BD415" s="445"/>
      <c r="BE415" s="445"/>
      <c r="BF415" s="445"/>
      <c r="BG415" s="445"/>
      <c r="BH415" s="351"/>
    </row>
    <row r="416" spans="1:60" s="345" customFormat="1" hidden="1" outlineLevel="1" x14ac:dyDescent="0.35">
      <c r="A416" s="350" t="s">
        <v>513</v>
      </c>
      <c r="B416" s="444"/>
      <c r="C416" s="445"/>
      <c r="D416" s="445"/>
      <c r="E416" s="445"/>
      <c r="F416" s="445"/>
      <c r="G416" s="446"/>
      <c r="H416" s="446"/>
      <c r="I416" s="446"/>
      <c r="J416" s="446"/>
      <c r="K416" s="445"/>
      <c r="L416" s="446"/>
      <c r="M416" s="446"/>
      <c r="N416" s="446"/>
      <c r="O416" s="446"/>
      <c r="P416" s="445"/>
      <c r="Q416" s="446"/>
      <c r="R416" s="446"/>
      <c r="S416" s="446"/>
      <c r="T416" s="446"/>
      <c r="U416" s="445"/>
      <c r="V416" s="446"/>
      <c r="W416" s="446"/>
      <c r="X416" s="446"/>
      <c r="Y416" s="446"/>
      <c r="Z416" s="445"/>
      <c r="AA416" s="446"/>
      <c r="AB416" s="446"/>
      <c r="AC416" s="446"/>
      <c r="AD416" s="446"/>
      <c r="AE416" s="436">
        <v>-1</v>
      </c>
      <c r="AF416" s="437">
        <v>1</v>
      </c>
      <c r="AG416" s="437">
        <v>-1</v>
      </c>
      <c r="AH416" s="446"/>
      <c r="AI416" s="437">
        <f>AJ416-SUM(AF416,AG416,AH416)</f>
        <v>0</v>
      </c>
      <c r="AJ416" s="445"/>
      <c r="AK416" s="437">
        <v>2</v>
      </c>
      <c r="AL416" s="437">
        <v>-2</v>
      </c>
      <c r="AM416" s="437">
        <v>1</v>
      </c>
      <c r="AN416" s="437">
        <f>AO416-SUM(AK416,AL416,AM416)</f>
        <v>-1</v>
      </c>
      <c r="AO416" s="445"/>
      <c r="AP416" s="446"/>
      <c r="AQ416" s="446"/>
      <c r="AR416" s="446"/>
      <c r="AS416" s="437">
        <f>AT416-SUM(AP416,AQ416,AR416)</f>
        <v>0</v>
      </c>
      <c r="AT416" s="445"/>
      <c r="AU416" s="767"/>
      <c r="AV416" s="446"/>
      <c r="AW416" s="446"/>
      <c r="AX416" s="446"/>
      <c r="AY416" s="445"/>
      <c r="AZ416" s="446"/>
      <c r="BA416" s="446"/>
      <c r="BB416" s="446"/>
      <c r="BC416" s="446"/>
      <c r="BD416" s="445"/>
      <c r="BE416" s="445"/>
      <c r="BF416" s="445"/>
      <c r="BG416" s="445"/>
      <c r="BH416" s="351"/>
    </row>
    <row r="417" spans="1:60" s="345" customFormat="1" hidden="1" outlineLevel="1" x14ac:dyDescent="0.35">
      <c r="A417" s="350" t="s">
        <v>514</v>
      </c>
      <c r="B417" s="444"/>
      <c r="C417" s="445"/>
      <c r="D417" s="445"/>
      <c r="E417" s="445"/>
      <c r="F417" s="445"/>
      <c r="G417" s="446"/>
      <c r="H417" s="446"/>
      <c r="I417" s="446"/>
      <c r="J417" s="446"/>
      <c r="K417" s="445"/>
      <c r="L417" s="446"/>
      <c r="M417" s="446"/>
      <c r="N417" s="446"/>
      <c r="O417" s="446"/>
      <c r="P417" s="445"/>
      <c r="Q417" s="446"/>
      <c r="R417" s="446"/>
      <c r="S417" s="446"/>
      <c r="T417" s="446"/>
      <c r="U417" s="445"/>
      <c r="V417" s="446"/>
      <c r="W417" s="446"/>
      <c r="X417" s="446"/>
      <c r="Y417" s="446"/>
      <c r="Z417" s="436">
        <v>1</v>
      </c>
      <c r="AA417" s="446"/>
      <c r="AB417" s="446"/>
      <c r="AC417" s="446"/>
      <c r="AD417" s="446"/>
      <c r="AE417" s="436">
        <v>1</v>
      </c>
      <c r="AF417" s="446"/>
      <c r="AG417" s="446"/>
      <c r="AH417" s="446"/>
      <c r="AI417" s="437">
        <f>AJ417-SUM(AF417,AG417,AH417)</f>
        <v>0</v>
      </c>
      <c r="AJ417" s="445"/>
      <c r="AK417" s="437">
        <v>1</v>
      </c>
      <c r="AL417" s="437">
        <v>-1</v>
      </c>
      <c r="AM417" s="437">
        <v>1</v>
      </c>
      <c r="AN417" s="437">
        <f>AO417-SUM(AK417,AL417,AM417)</f>
        <v>0</v>
      </c>
      <c r="AO417" s="436">
        <v>1</v>
      </c>
      <c r="AP417" s="446"/>
      <c r="AQ417" s="446"/>
      <c r="AR417" s="446"/>
      <c r="AS417" s="437">
        <f>AT417-SUM(AP417,AQ417,AR417)</f>
        <v>0</v>
      </c>
      <c r="AT417" s="445"/>
      <c r="AU417" s="767"/>
      <c r="AV417" s="446"/>
      <c r="AW417" s="446"/>
      <c r="AX417" s="446"/>
      <c r="AY417" s="445"/>
      <c r="AZ417" s="446"/>
      <c r="BA417" s="446"/>
      <c r="BB417" s="446"/>
      <c r="BC417" s="446"/>
      <c r="BD417" s="445"/>
      <c r="BE417" s="445"/>
      <c r="BF417" s="445"/>
      <c r="BG417" s="445"/>
      <c r="BH417" s="351"/>
    </row>
    <row r="418" spans="1:60" s="345" customFormat="1" hidden="1" outlineLevel="1" x14ac:dyDescent="0.35">
      <c r="A418" s="350" t="s">
        <v>516</v>
      </c>
      <c r="B418" s="444"/>
      <c r="C418" s="445"/>
      <c r="D418" s="445"/>
      <c r="E418" s="445"/>
      <c r="F418" s="445"/>
      <c r="G418" s="446"/>
      <c r="H418" s="446"/>
      <c r="I418" s="446"/>
      <c r="J418" s="446"/>
      <c r="K418" s="445"/>
      <c r="L418" s="446"/>
      <c r="M418" s="446"/>
      <c r="N418" s="446"/>
      <c r="O418" s="446"/>
      <c r="P418" s="445"/>
      <c r="Q418" s="446"/>
      <c r="R418" s="446"/>
      <c r="S418" s="446"/>
      <c r="T418" s="446"/>
      <c r="U418" s="445"/>
      <c r="V418" s="446"/>
      <c r="W418" s="446"/>
      <c r="X418" s="446"/>
      <c r="Y418" s="446"/>
      <c r="Z418" s="445"/>
      <c r="AA418" s="446"/>
      <c r="AB418" s="446"/>
      <c r="AC418" s="446"/>
      <c r="AD418" s="446"/>
      <c r="AE418" s="445"/>
      <c r="AF418" s="437">
        <v>-1</v>
      </c>
      <c r="AG418" s="437">
        <v>3</v>
      </c>
      <c r="AH418" s="437">
        <v>-1</v>
      </c>
      <c r="AI418" s="437">
        <f>AJ418-SUM(AF418,AG418,AH418)</f>
        <v>-2</v>
      </c>
      <c r="AJ418" s="436">
        <v>-1</v>
      </c>
      <c r="AK418" s="437">
        <v>-2</v>
      </c>
      <c r="AL418" s="437">
        <v>2</v>
      </c>
      <c r="AM418" s="437">
        <v>-1</v>
      </c>
      <c r="AN418" s="437">
        <f>AO418-SUM(AK418,AL418,AM418)</f>
        <v>1</v>
      </c>
      <c r="AO418" s="445"/>
      <c r="AP418" s="446"/>
      <c r="AQ418" s="437">
        <v>-1</v>
      </c>
      <c r="AR418" s="437">
        <v>1</v>
      </c>
      <c r="AS418" s="437">
        <f>AT418-SUM(AP418,AQ418,AR418)</f>
        <v>0</v>
      </c>
      <c r="AT418" s="445"/>
      <c r="AU418" s="767">
        <v>-1</v>
      </c>
      <c r="AV418" s="446"/>
      <c r="AW418" s="446"/>
      <c r="AX418" s="446"/>
      <c r="AY418" s="445"/>
      <c r="AZ418" s="446"/>
      <c r="BA418" s="446"/>
      <c r="BB418" s="446"/>
      <c r="BC418" s="446"/>
      <c r="BD418" s="445"/>
      <c r="BE418" s="445"/>
      <c r="BF418" s="445"/>
      <c r="BG418" s="445"/>
      <c r="BH418" s="351"/>
    </row>
    <row r="419" spans="1:60" s="69" customFormat="1" hidden="1" outlineLevel="1" x14ac:dyDescent="0.35">
      <c r="A419" s="318" t="s">
        <v>22</v>
      </c>
      <c r="B419" s="452"/>
      <c r="C419" s="453"/>
      <c r="D419" s="453"/>
      <c r="E419" s="453"/>
      <c r="F419" s="453"/>
      <c r="G419" s="454"/>
      <c r="H419" s="454"/>
      <c r="I419" s="454"/>
      <c r="J419" s="454"/>
      <c r="K419" s="453"/>
      <c r="L419" s="454"/>
      <c r="M419" s="454"/>
      <c r="N419" s="454"/>
      <c r="O419" s="454"/>
      <c r="P419" s="453"/>
      <c r="Q419" s="454"/>
      <c r="R419" s="454"/>
      <c r="S419" s="454"/>
      <c r="T419" s="454"/>
      <c r="U419" s="453"/>
      <c r="V419" s="454">
        <f>V41</f>
        <v>0</v>
      </c>
      <c r="W419" s="454">
        <f>W41</f>
        <v>4</v>
      </c>
      <c r="X419" s="454">
        <f>X41</f>
        <v>0</v>
      </c>
      <c r="Y419" s="454">
        <f>Y41</f>
        <v>2</v>
      </c>
      <c r="Z419" s="453">
        <f>SUM(Z415:Z418)</f>
        <v>6</v>
      </c>
      <c r="AA419" s="454">
        <f>AA41</f>
        <v>2</v>
      </c>
      <c r="AB419" s="454">
        <f>AB41</f>
        <v>3</v>
      </c>
      <c r="AC419" s="454">
        <f>AC41</f>
        <v>0</v>
      </c>
      <c r="AD419" s="454">
        <f>AD41</f>
        <v>-3</v>
      </c>
      <c r="AE419" s="453">
        <f t="shared" ref="AE419:AU419" si="746">SUM(AE415:AE418)</f>
        <v>2</v>
      </c>
      <c r="AF419" s="454">
        <f t="shared" si="746"/>
        <v>0</v>
      </c>
      <c r="AG419" s="454">
        <f t="shared" si="746"/>
        <v>12</v>
      </c>
      <c r="AH419" s="454">
        <f t="shared" si="746"/>
        <v>35</v>
      </c>
      <c r="AI419" s="454">
        <f t="shared" si="746"/>
        <v>3</v>
      </c>
      <c r="AJ419" s="453">
        <f t="shared" si="746"/>
        <v>50</v>
      </c>
      <c r="AK419" s="454">
        <f t="shared" si="746"/>
        <v>22</v>
      </c>
      <c r="AL419" s="454">
        <f t="shared" si="746"/>
        <v>48</v>
      </c>
      <c r="AM419" s="454">
        <f t="shared" si="746"/>
        <v>28</v>
      </c>
      <c r="AN419" s="454">
        <f t="shared" si="746"/>
        <v>12</v>
      </c>
      <c r="AO419" s="453">
        <f t="shared" si="746"/>
        <v>110</v>
      </c>
      <c r="AP419" s="454">
        <f t="shared" si="746"/>
        <v>1</v>
      </c>
      <c r="AQ419" s="454">
        <f t="shared" si="746"/>
        <v>-2</v>
      </c>
      <c r="AR419" s="454">
        <f t="shared" si="746"/>
        <v>0</v>
      </c>
      <c r="AS419" s="454">
        <f t="shared" si="746"/>
        <v>0</v>
      </c>
      <c r="AT419" s="453">
        <f t="shared" si="746"/>
        <v>-1</v>
      </c>
      <c r="AU419" s="783">
        <f t="shared" si="746"/>
        <v>-2</v>
      </c>
      <c r="AV419" s="944">
        <f>Drivers!AV78</f>
        <v>1</v>
      </c>
      <c r="AW419" s="944">
        <f>Drivers!AW78</f>
        <v>1</v>
      </c>
      <c r="AX419" s="944">
        <f>Drivers!AX78</f>
        <v>1</v>
      </c>
      <c r="AY419" s="453">
        <f>SUM(AU419,AV419,AW419,AX419)</f>
        <v>1</v>
      </c>
      <c r="AZ419" s="944">
        <f>Drivers!AZ78</f>
        <v>1</v>
      </c>
      <c r="BA419" s="944">
        <f>Drivers!BA78</f>
        <v>1</v>
      </c>
      <c r="BB419" s="944">
        <f>Drivers!BB78</f>
        <v>1</v>
      </c>
      <c r="BC419" s="944">
        <f>Drivers!BC78</f>
        <v>1</v>
      </c>
      <c r="BD419" s="453">
        <f>SUM(AZ419,BA419,BB419,BC419)</f>
        <v>4</v>
      </c>
      <c r="BE419" s="944">
        <f>Drivers!BE78</f>
        <v>4</v>
      </c>
      <c r="BF419" s="944">
        <f>Drivers!BF78</f>
        <v>4</v>
      </c>
      <c r="BG419" s="944">
        <f>Drivers!BG78</f>
        <v>4</v>
      </c>
      <c r="BH419" s="79"/>
    </row>
    <row r="420" spans="1:60" s="69" customFormat="1" hidden="1" outlineLevel="1" x14ac:dyDescent="0.35">
      <c r="A420" s="426"/>
      <c r="B420" s="518"/>
      <c r="C420" s="519"/>
      <c r="D420" s="519"/>
      <c r="E420" s="519"/>
      <c r="F420" s="519"/>
      <c r="G420" s="520"/>
      <c r="H420" s="520"/>
      <c r="I420" s="520"/>
      <c r="J420" s="520"/>
      <c r="K420" s="519"/>
      <c r="L420" s="520"/>
      <c r="M420" s="520"/>
      <c r="N420" s="520"/>
      <c r="O420" s="520"/>
      <c r="P420" s="519"/>
      <c r="Q420" s="520"/>
      <c r="R420" s="520"/>
      <c r="S420" s="520"/>
      <c r="T420" s="520"/>
      <c r="U420" s="519"/>
      <c r="V420" s="520"/>
      <c r="W420" s="520"/>
      <c r="X420" s="520"/>
      <c r="Y420" s="520"/>
      <c r="Z420" s="519"/>
      <c r="AA420" s="520"/>
      <c r="AB420" s="520"/>
      <c r="AC420" s="520"/>
      <c r="AD420" s="520"/>
      <c r="AE420" s="519"/>
      <c r="AF420" s="520"/>
      <c r="AG420" s="520"/>
      <c r="AH420" s="520"/>
      <c r="AI420" s="520"/>
      <c r="AJ420" s="519"/>
      <c r="AK420" s="520"/>
      <c r="AL420" s="520"/>
      <c r="AM420" s="520"/>
      <c r="AN420" s="520"/>
      <c r="AO420" s="519"/>
      <c r="AP420" s="520"/>
      <c r="AQ420" s="520"/>
      <c r="AR420" s="520"/>
      <c r="AS420" s="520"/>
      <c r="AT420" s="519"/>
      <c r="AU420" s="766"/>
      <c r="AV420" s="520"/>
      <c r="AW420" s="520"/>
      <c r="AX420" s="520"/>
      <c r="AY420" s="519"/>
      <c r="AZ420" s="520"/>
      <c r="BA420" s="520"/>
      <c r="BB420" s="520"/>
      <c r="BC420" s="520"/>
      <c r="BD420" s="519"/>
      <c r="BE420" s="519"/>
      <c r="BF420" s="519"/>
      <c r="BG420" s="519"/>
      <c r="BH420" s="79"/>
    </row>
    <row r="421" spans="1:60" s="69" customFormat="1" hidden="1" outlineLevel="1" x14ac:dyDescent="0.35">
      <c r="A421" s="426" t="s">
        <v>782</v>
      </c>
      <c r="B421" s="518"/>
      <c r="C421" s="519"/>
      <c r="D421" s="519"/>
      <c r="E421" s="519"/>
      <c r="F421" s="519"/>
      <c r="G421" s="520"/>
      <c r="H421" s="520"/>
      <c r="I421" s="520"/>
      <c r="J421" s="520"/>
      <c r="K421" s="519"/>
      <c r="L421" s="520"/>
      <c r="M421" s="520"/>
      <c r="N421" s="520"/>
      <c r="O421" s="520"/>
      <c r="P421" s="519"/>
      <c r="Q421" s="520"/>
      <c r="R421" s="520"/>
      <c r="S421" s="520"/>
      <c r="T421" s="520"/>
      <c r="U421" s="519"/>
      <c r="V421" s="520">
        <f t="shared" ref="V421:AT421" si="747">V63</f>
        <v>-43</v>
      </c>
      <c r="W421" s="520">
        <f t="shared" si="747"/>
        <v>-104</v>
      </c>
      <c r="X421" s="520">
        <f t="shared" si="747"/>
        <v>-66</v>
      </c>
      <c r="Y421" s="520">
        <f t="shared" si="747"/>
        <v>-72</v>
      </c>
      <c r="Z421" s="519">
        <f t="shared" si="747"/>
        <v>-285</v>
      </c>
      <c r="AA421" s="520">
        <f t="shared" si="747"/>
        <v>-84</v>
      </c>
      <c r="AB421" s="520">
        <f t="shared" si="747"/>
        <v>-47</v>
      </c>
      <c r="AC421" s="520">
        <f t="shared" si="747"/>
        <v>-108</v>
      </c>
      <c r="AD421" s="520">
        <f t="shared" si="747"/>
        <v>-128</v>
      </c>
      <c r="AE421" s="519">
        <f t="shared" si="747"/>
        <v>-367</v>
      </c>
      <c r="AF421" s="520">
        <f t="shared" si="747"/>
        <v>-1036</v>
      </c>
      <c r="AG421" s="520">
        <f t="shared" si="747"/>
        <v>-200</v>
      </c>
      <c r="AH421" s="520">
        <f t="shared" si="747"/>
        <v>-57</v>
      </c>
      <c r="AI421" s="520">
        <f t="shared" si="747"/>
        <v>-116</v>
      </c>
      <c r="AJ421" s="519">
        <f t="shared" si="747"/>
        <v>-1409</v>
      </c>
      <c r="AK421" s="520">
        <f t="shared" si="747"/>
        <v>-625</v>
      </c>
      <c r="AL421" s="520">
        <f t="shared" si="747"/>
        <v>-192</v>
      </c>
      <c r="AM421" s="520">
        <f t="shared" si="747"/>
        <v>66</v>
      </c>
      <c r="AN421" s="520">
        <f t="shared" si="747"/>
        <v>-387</v>
      </c>
      <c r="AO421" s="519">
        <f t="shared" si="747"/>
        <v>-1130</v>
      </c>
      <c r="AP421" s="520">
        <f t="shared" si="747"/>
        <v>-156</v>
      </c>
      <c r="AQ421" s="520">
        <f t="shared" si="747"/>
        <v>252</v>
      </c>
      <c r="AR421" s="520">
        <f t="shared" si="747"/>
        <v>-187</v>
      </c>
      <c r="AS421" s="520">
        <f t="shared" si="747"/>
        <v>-274</v>
      </c>
      <c r="AT421" s="519">
        <f t="shared" si="747"/>
        <v>-363</v>
      </c>
      <c r="AU421" s="766">
        <f t="shared" ref="AU421" si="748">AU63</f>
        <v>-47</v>
      </c>
      <c r="AV421" s="520">
        <f>-AV42*AV426</f>
        <v>-46.009315200000003</v>
      </c>
      <c r="AW421" s="520">
        <f>-AW42*AW426</f>
        <v>-52.473432000000003</v>
      </c>
      <c r="AX421" s="520">
        <f>-AX42*AX426</f>
        <v>-53.89409160000001</v>
      </c>
      <c r="AY421" s="519">
        <f>SUM(AU421,AV421,AW421,AX421)</f>
        <v>-199.37683880000003</v>
      </c>
      <c r="AZ421" s="520">
        <f>-AZ42*AZ426</f>
        <v>-56.905090200000011</v>
      </c>
      <c r="BA421" s="520">
        <f>-BA42*BA426</f>
        <v>-48.948992898000007</v>
      </c>
      <c r="BB421" s="520">
        <f>-BB42*BB426</f>
        <v>-55.847997407999998</v>
      </c>
      <c r="BC421" s="520">
        <f>-BC42*BC426</f>
        <v>-57.358076388000001</v>
      </c>
      <c r="BD421" s="519">
        <f>SUM(AZ421,BA421,BB421,BC421)</f>
        <v>-219.06015689400002</v>
      </c>
      <c r="BE421" s="519">
        <f>-BE42*BE426</f>
        <v>-233.16186994106994</v>
      </c>
      <c r="BF421" s="519">
        <f>-BF42*BF426</f>
        <v>-248.21066584278725</v>
      </c>
      <c r="BG421" s="519">
        <f>-BG42*BG426</f>
        <v>-264.27242345220276</v>
      </c>
      <c r="BH421" s="79"/>
    </row>
    <row r="422" spans="1:60" s="345" customFormat="1" hidden="1" outlineLevel="1" x14ac:dyDescent="0.35">
      <c r="A422" s="466" t="s">
        <v>986</v>
      </c>
      <c r="B422" s="501"/>
      <c r="C422" s="502"/>
      <c r="D422" s="502"/>
      <c r="E422" s="502"/>
      <c r="F422" s="502"/>
      <c r="G422" s="463"/>
      <c r="H422" s="463"/>
      <c r="I422" s="463"/>
      <c r="J422" s="463"/>
      <c r="K422" s="502"/>
      <c r="L422" s="463"/>
      <c r="M422" s="463"/>
      <c r="N422" s="463"/>
      <c r="O422" s="463"/>
      <c r="P422" s="502"/>
      <c r="Q422" s="463"/>
      <c r="R422" s="463"/>
      <c r="S422" s="463"/>
      <c r="T422" s="463"/>
      <c r="U422" s="502"/>
      <c r="V422" s="463"/>
      <c r="W422" s="463"/>
      <c r="X422" s="463"/>
      <c r="Y422" s="463"/>
      <c r="Z422" s="502"/>
      <c r="AA422" s="463"/>
      <c r="AB422" s="463"/>
      <c r="AC422" s="463"/>
      <c r="AD422" s="463"/>
      <c r="AE422" s="502"/>
      <c r="AF422" s="463"/>
      <c r="AG422" s="463"/>
      <c r="AH422" s="463"/>
      <c r="AI422" s="463"/>
      <c r="AJ422" s="502"/>
      <c r="AK422" s="463">
        <v>548</v>
      </c>
      <c r="AL422" s="463"/>
      <c r="AM422" s="463">
        <v>-106</v>
      </c>
      <c r="AN422" s="463">
        <v>214</v>
      </c>
      <c r="AO422" s="502">
        <f>762-114</f>
        <v>648</v>
      </c>
      <c r="AP422" s="463">
        <v>17</v>
      </c>
      <c r="AQ422" s="463">
        <f>55-387</f>
        <v>-332</v>
      </c>
      <c r="AR422" s="463"/>
      <c r="AS422" s="463"/>
      <c r="AT422" s="502">
        <f>17-389+55</f>
        <v>-317</v>
      </c>
      <c r="AU422" s="768"/>
      <c r="AV422" s="463"/>
      <c r="AW422" s="463"/>
      <c r="AX422" s="463"/>
      <c r="AY422" s="502">
        <f>SUM(AU422,AV422,AW422,AX422)</f>
        <v>0</v>
      </c>
      <c r="AZ422" s="463"/>
      <c r="BA422" s="463"/>
      <c r="BB422" s="463"/>
      <c r="BC422" s="463"/>
      <c r="BD422" s="502">
        <f>SUM(AZ422,BA422,BB422,BC422)</f>
        <v>0</v>
      </c>
      <c r="BE422" s="502"/>
      <c r="BF422" s="502"/>
      <c r="BG422" s="502"/>
      <c r="BH422" s="351"/>
    </row>
    <row r="423" spans="1:60" s="69" customFormat="1" hidden="1" outlineLevel="1" x14ac:dyDescent="0.35">
      <c r="A423" s="426" t="s">
        <v>979</v>
      </c>
      <c r="B423" s="518"/>
      <c r="C423" s="519"/>
      <c r="D423" s="519"/>
      <c r="E423" s="519"/>
      <c r="F423" s="519"/>
      <c r="G423" s="520"/>
      <c r="H423" s="520"/>
      <c r="I423" s="520"/>
      <c r="J423" s="520"/>
      <c r="K423" s="519"/>
      <c r="L423" s="520"/>
      <c r="M423" s="520"/>
      <c r="N423" s="520"/>
      <c r="O423" s="520"/>
      <c r="P423" s="519"/>
      <c r="Q423" s="520"/>
      <c r="R423" s="520"/>
      <c r="S423" s="520"/>
      <c r="T423" s="520"/>
      <c r="U423" s="519"/>
      <c r="V423" s="520"/>
      <c r="W423" s="520"/>
      <c r="X423" s="520"/>
      <c r="Y423" s="520"/>
      <c r="Z423" s="519"/>
      <c r="AA423" s="520"/>
      <c r="AB423" s="520"/>
      <c r="AC423" s="520"/>
      <c r="AD423" s="520"/>
      <c r="AE423" s="519"/>
      <c r="AF423" s="520"/>
      <c r="AG423" s="520"/>
      <c r="AH423" s="520"/>
      <c r="AI423" s="520"/>
      <c r="AJ423" s="519"/>
      <c r="AK423" s="441">
        <f t="shared" ref="AK423:AO423" si="749">SUM(AK421:AK422)</f>
        <v>-77</v>
      </c>
      <c r="AL423" s="441">
        <f t="shared" si="749"/>
        <v>-192</v>
      </c>
      <c r="AM423" s="441">
        <f t="shared" si="749"/>
        <v>-40</v>
      </c>
      <c r="AN423" s="441">
        <f t="shared" si="749"/>
        <v>-173</v>
      </c>
      <c r="AO423" s="440">
        <f t="shared" si="749"/>
        <v>-482</v>
      </c>
      <c r="AP423" s="441">
        <f t="shared" ref="AP423:AY423" si="750">SUM(AP421:AP422)</f>
        <v>-139</v>
      </c>
      <c r="AQ423" s="441">
        <f t="shared" si="750"/>
        <v>-80</v>
      </c>
      <c r="AR423" s="441">
        <f t="shared" si="750"/>
        <v>-187</v>
      </c>
      <c r="AS423" s="520">
        <f t="shared" si="750"/>
        <v>-274</v>
      </c>
      <c r="AT423" s="519">
        <f t="shared" si="750"/>
        <v>-680</v>
      </c>
      <c r="AU423" s="762">
        <f t="shared" ref="AU423" si="751">SUM(AU421:AU422)</f>
        <v>-47</v>
      </c>
      <c r="AV423" s="441">
        <f t="shared" si="750"/>
        <v>-46.009315200000003</v>
      </c>
      <c r="AW423" s="441">
        <f t="shared" si="750"/>
        <v>-52.473432000000003</v>
      </c>
      <c r="AX423" s="441">
        <f t="shared" si="750"/>
        <v>-53.89409160000001</v>
      </c>
      <c r="AY423" s="440">
        <f t="shared" si="750"/>
        <v>-199.37683880000003</v>
      </c>
      <c r="AZ423" s="441">
        <f t="shared" ref="AZ423:BG423" si="752">SUM(AZ421:AZ422)</f>
        <v>-56.905090200000011</v>
      </c>
      <c r="BA423" s="441">
        <f t="shared" si="752"/>
        <v>-48.948992898000007</v>
      </c>
      <c r="BB423" s="441">
        <f t="shared" si="752"/>
        <v>-55.847997407999998</v>
      </c>
      <c r="BC423" s="441">
        <f t="shared" si="752"/>
        <v>-57.358076388000001</v>
      </c>
      <c r="BD423" s="440">
        <f t="shared" si="752"/>
        <v>-219.06015689400002</v>
      </c>
      <c r="BE423" s="440">
        <f t="shared" si="752"/>
        <v>-233.16186994106994</v>
      </c>
      <c r="BF423" s="440">
        <f t="shared" si="752"/>
        <v>-248.21066584278725</v>
      </c>
      <c r="BG423" s="440">
        <f t="shared" si="752"/>
        <v>-264.27242345220276</v>
      </c>
      <c r="BH423" s="79"/>
    </row>
    <row r="424" spans="1:60" s="345" customFormat="1" hidden="1" outlineLevel="1" x14ac:dyDescent="0.35">
      <c r="A424" s="466" t="s">
        <v>980</v>
      </c>
      <c r="B424" s="501"/>
      <c r="C424" s="502"/>
      <c r="D424" s="502"/>
      <c r="E424" s="502"/>
      <c r="F424" s="502"/>
      <c r="G424" s="463"/>
      <c r="H424" s="463"/>
      <c r="I424" s="463"/>
      <c r="J424" s="463"/>
      <c r="K424" s="502"/>
      <c r="L424" s="463"/>
      <c r="M424" s="463"/>
      <c r="N424" s="463"/>
      <c r="O424" s="463"/>
      <c r="P424" s="502"/>
      <c r="Q424" s="463"/>
      <c r="R424" s="463"/>
      <c r="S424" s="463"/>
      <c r="T424" s="463"/>
      <c r="U424" s="502"/>
      <c r="V424" s="463"/>
      <c r="W424" s="463"/>
      <c r="X424" s="463"/>
      <c r="Y424" s="463"/>
      <c r="Z424" s="502"/>
      <c r="AA424" s="463"/>
      <c r="AB424" s="463"/>
      <c r="AC424" s="463"/>
      <c r="AD424" s="463"/>
      <c r="AE424" s="502"/>
      <c r="AF424" s="463"/>
      <c r="AG424" s="463"/>
      <c r="AH424" s="463"/>
      <c r="AI424" s="463"/>
      <c r="AJ424" s="502"/>
      <c r="AK424" s="463">
        <v>121</v>
      </c>
      <c r="AL424" s="463">
        <v>111</v>
      </c>
      <c r="AM424" s="463">
        <v>117</v>
      </c>
      <c r="AN424" s="463">
        <v>33</v>
      </c>
      <c r="AO424" s="502">
        <v>157</v>
      </c>
      <c r="AP424" s="463">
        <v>120</v>
      </c>
      <c r="AQ424" s="463">
        <v>119</v>
      </c>
      <c r="AR424" s="463">
        <v>96</v>
      </c>
      <c r="AS424" s="463">
        <v>46</v>
      </c>
      <c r="AT424" s="502">
        <v>154</v>
      </c>
      <c r="AU424" s="768">
        <v>28</v>
      </c>
      <c r="AV424" s="945">
        <f>Drivers!AV79</f>
        <v>45</v>
      </c>
      <c r="AW424" s="945">
        <f>Drivers!AW79</f>
        <v>45</v>
      </c>
      <c r="AX424" s="945">
        <f>Drivers!AX79</f>
        <v>45</v>
      </c>
      <c r="AY424" s="502">
        <f>SUM(AU424,AV424,AW424,AX424)</f>
        <v>163</v>
      </c>
      <c r="AZ424" s="945">
        <f>Drivers!AZ79</f>
        <v>45</v>
      </c>
      <c r="BA424" s="945">
        <f>Drivers!BA79</f>
        <v>45</v>
      </c>
      <c r="BB424" s="945">
        <f>Drivers!BB79</f>
        <v>45</v>
      </c>
      <c r="BC424" s="945">
        <f>Drivers!BC79</f>
        <v>45</v>
      </c>
      <c r="BD424" s="502">
        <f>SUM(AZ424,BA424,BB424,BC424)</f>
        <v>180</v>
      </c>
      <c r="BE424" s="945">
        <f>Drivers!BE79</f>
        <v>180</v>
      </c>
      <c r="BF424" s="945">
        <f>Drivers!BF79</f>
        <v>180</v>
      </c>
      <c r="BG424" s="945">
        <f>Drivers!BG79</f>
        <v>180</v>
      </c>
      <c r="BH424" s="351"/>
    </row>
    <row r="425" spans="1:60" s="69" customFormat="1" hidden="1" outlineLevel="1" x14ac:dyDescent="0.35">
      <c r="A425" s="426" t="s">
        <v>981</v>
      </c>
      <c r="B425" s="518"/>
      <c r="C425" s="519"/>
      <c r="D425" s="519"/>
      <c r="E425" s="519"/>
      <c r="F425" s="519"/>
      <c r="G425" s="520"/>
      <c r="H425" s="520"/>
      <c r="I425" s="520"/>
      <c r="J425" s="520"/>
      <c r="K425" s="519"/>
      <c r="L425" s="520"/>
      <c r="M425" s="520"/>
      <c r="N425" s="520"/>
      <c r="O425" s="520"/>
      <c r="P425" s="519"/>
      <c r="Q425" s="520"/>
      <c r="R425" s="520"/>
      <c r="S425" s="520"/>
      <c r="T425" s="520"/>
      <c r="U425" s="519"/>
      <c r="V425" s="520"/>
      <c r="W425" s="520"/>
      <c r="X425" s="520"/>
      <c r="Y425" s="520"/>
      <c r="Z425" s="519"/>
      <c r="AA425" s="520"/>
      <c r="AB425" s="520"/>
      <c r="AC425" s="520"/>
      <c r="AD425" s="520"/>
      <c r="AE425" s="519"/>
      <c r="AF425" s="520"/>
      <c r="AG425" s="520"/>
      <c r="AH425" s="520"/>
      <c r="AI425" s="520"/>
      <c r="AJ425" s="519"/>
      <c r="AK425" s="441">
        <f>SUM(AK423:AK424)</f>
        <v>44</v>
      </c>
      <c r="AL425" s="441">
        <f t="shared" ref="AL425" si="753">SUM(AL423:AL424)</f>
        <v>-81</v>
      </c>
      <c r="AM425" s="441">
        <f t="shared" ref="AM425" si="754">SUM(AM423:AM424)</f>
        <v>77</v>
      </c>
      <c r="AN425" s="441">
        <f t="shared" ref="AN425" si="755">SUM(AN423:AN424)</f>
        <v>-140</v>
      </c>
      <c r="AO425" s="440">
        <f t="shared" ref="AO425" si="756">SUM(AO423:AO424)</f>
        <v>-325</v>
      </c>
      <c r="AP425" s="441">
        <f>SUM(AP423:AP424)</f>
        <v>-19</v>
      </c>
      <c r="AQ425" s="441">
        <f t="shared" ref="AQ425" si="757">SUM(AQ423:AQ424)</f>
        <v>39</v>
      </c>
      <c r="AR425" s="441">
        <f t="shared" ref="AR425:AT425" si="758">SUM(AR423:AR424)</f>
        <v>-91</v>
      </c>
      <c r="AS425" s="520">
        <f t="shared" si="758"/>
        <v>-228</v>
      </c>
      <c r="AT425" s="519">
        <f t="shared" si="758"/>
        <v>-526</v>
      </c>
      <c r="AU425" s="762">
        <f>SUM(AU423:AU424)</f>
        <v>-19</v>
      </c>
      <c r="AV425" s="441">
        <f t="shared" ref="AV425" si="759">SUM(AV423:AV424)</f>
        <v>-1.0093152000000032</v>
      </c>
      <c r="AW425" s="441">
        <f t="shared" ref="AW425" si="760">SUM(AW423:AW424)</f>
        <v>-7.4734320000000025</v>
      </c>
      <c r="AX425" s="441">
        <f t="shared" ref="AX425" si="761">SUM(AX423:AX424)</f>
        <v>-8.8940916000000101</v>
      </c>
      <c r="AY425" s="440">
        <f t="shared" ref="AY425" si="762">SUM(AY423:AY424)</f>
        <v>-36.37683880000003</v>
      </c>
      <c r="AZ425" s="441">
        <f t="shared" ref="AZ425:BG425" si="763">SUM(AZ423:AZ424)</f>
        <v>-11.905090200000011</v>
      </c>
      <c r="BA425" s="441">
        <f t="shared" si="763"/>
        <v>-3.9489928980000073</v>
      </c>
      <c r="BB425" s="441">
        <f t="shared" si="763"/>
        <v>-10.847997407999998</v>
      </c>
      <c r="BC425" s="441">
        <f t="shared" si="763"/>
        <v>-12.358076388000001</v>
      </c>
      <c r="BD425" s="440">
        <f t="shared" si="763"/>
        <v>-39.060156894000016</v>
      </c>
      <c r="BE425" s="440">
        <f t="shared" si="763"/>
        <v>-53.161869941069938</v>
      </c>
      <c r="BF425" s="440">
        <f t="shared" si="763"/>
        <v>-68.21066584278725</v>
      </c>
      <c r="BG425" s="440">
        <f t="shared" si="763"/>
        <v>-84.272423452202759</v>
      </c>
      <c r="BH425" s="79"/>
    </row>
    <row r="426" spans="1:60" s="443" customFormat="1" hidden="1" outlineLevel="1" x14ac:dyDescent="0.35">
      <c r="A426" s="243" t="s">
        <v>830</v>
      </c>
      <c r="B426" s="447"/>
      <c r="C426" s="448"/>
      <c r="D426" s="448"/>
      <c r="E426" s="448"/>
      <c r="F426" s="448"/>
      <c r="G426" s="449"/>
      <c r="H426" s="449"/>
      <c r="I426" s="449"/>
      <c r="J426" s="449"/>
      <c r="K426" s="448"/>
      <c r="L426" s="449"/>
      <c r="M426" s="449"/>
      <c r="N426" s="449"/>
      <c r="O426" s="449"/>
      <c r="P426" s="448"/>
      <c r="Q426" s="449"/>
      <c r="R426" s="449"/>
      <c r="S426" s="449"/>
      <c r="T426" s="449"/>
      <c r="U426" s="448"/>
      <c r="V426" s="449">
        <f t="shared" ref="V426:AU426" si="764">-V421/V42</f>
        <v>5.803752193278445E-3</v>
      </c>
      <c r="W426" s="449">
        <f t="shared" si="764"/>
        <v>1.357347950926651E-2</v>
      </c>
      <c r="X426" s="449">
        <f t="shared" si="764"/>
        <v>8.5614217148787131E-3</v>
      </c>
      <c r="Y426" s="449">
        <f t="shared" si="764"/>
        <v>9.8239869013507976E-3</v>
      </c>
      <c r="Z426" s="448">
        <f t="shared" si="764"/>
        <v>9.4656082898801029E-3</v>
      </c>
      <c r="AA426" s="449">
        <f t="shared" si="764"/>
        <v>1.0930383864671439E-2</v>
      </c>
      <c r="AB426" s="449">
        <f t="shared" si="764"/>
        <v>6.0179257362355954E-3</v>
      </c>
      <c r="AC426" s="449">
        <f t="shared" si="764"/>
        <v>1.3215859030837005E-2</v>
      </c>
      <c r="AD426" s="449">
        <f t="shared" si="764"/>
        <v>1.602002503128911E-2</v>
      </c>
      <c r="AE426" s="448">
        <f t="shared" si="764"/>
        <v>1.1593012603847491E-2</v>
      </c>
      <c r="AF426" s="449">
        <f t="shared" si="764"/>
        <v>0.12515100265764678</v>
      </c>
      <c r="AG426" s="449">
        <f t="shared" si="764"/>
        <v>2.3837902264600714E-2</v>
      </c>
      <c r="AH426" s="449">
        <f t="shared" si="764"/>
        <v>6.9921491658488715E-3</v>
      </c>
      <c r="AI426" s="449">
        <f t="shared" si="764"/>
        <v>1.4600377595972309E-2</v>
      </c>
      <c r="AJ426" s="448">
        <f t="shared" si="764"/>
        <v>4.3003204639096598E-2</v>
      </c>
      <c r="AK426" s="449">
        <f t="shared" si="764"/>
        <v>7.9486201195472464E-2</v>
      </c>
      <c r="AL426" s="449">
        <f t="shared" si="764"/>
        <v>2.349773589523926E-2</v>
      </c>
      <c r="AM426" s="449">
        <f t="shared" si="764"/>
        <v>-8.259291703166062E-3</v>
      </c>
      <c r="AN426" s="449">
        <f t="shared" si="764"/>
        <v>4.7712982369621501E-2</v>
      </c>
      <c r="AO426" s="448">
        <f t="shared" si="764"/>
        <v>3.5163057007717199E-2</v>
      </c>
      <c r="AP426" s="449">
        <f t="shared" si="764"/>
        <v>1.9318885448916408E-2</v>
      </c>
      <c r="AQ426" s="449">
        <f t="shared" si="764"/>
        <v>-3.5117056856187288E-2</v>
      </c>
      <c r="AR426" s="449">
        <f t="shared" si="764"/>
        <v>2.2395209580838325E-2</v>
      </c>
      <c r="AS426" s="449">
        <f t="shared" si="764"/>
        <v>3.1923569847372713E-2</v>
      </c>
      <c r="AT426" s="448">
        <f t="shared" si="764"/>
        <v>1.1278896346010439E-2</v>
      </c>
      <c r="AU426" s="784">
        <f t="shared" si="764"/>
        <v>5.3101344480849626E-3</v>
      </c>
      <c r="AV426" s="952">
        <f>Drivers!AV80</f>
        <v>6.0000000000000001E-3</v>
      </c>
      <c r="AW426" s="952">
        <f>Drivers!AW80</f>
        <v>6.0000000000000001E-3</v>
      </c>
      <c r="AX426" s="952">
        <f>Drivers!AX80</f>
        <v>6.0000000000000001E-3</v>
      </c>
      <c r="AY426" s="448">
        <f>-AY421/AY42</f>
        <v>5.8217077386415799E-3</v>
      </c>
      <c r="AZ426" s="952">
        <f>Drivers!AZ80</f>
        <v>6.0000000000000001E-3</v>
      </c>
      <c r="BA426" s="952">
        <f>Drivers!BA80</f>
        <v>6.0000000000000001E-3</v>
      </c>
      <c r="BB426" s="952">
        <f>Drivers!BB80</f>
        <v>6.0000000000000001E-3</v>
      </c>
      <c r="BC426" s="952">
        <f>Drivers!BC80</f>
        <v>6.0000000000000001E-3</v>
      </c>
      <c r="BD426" s="448">
        <f>-BD421/BD42</f>
        <v>5.9999999999999993E-3</v>
      </c>
      <c r="BE426" s="952">
        <f>Drivers!BE80</f>
        <v>5.9999999999999984E-3</v>
      </c>
      <c r="BF426" s="952">
        <f>Drivers!BF80</f>
        <v>5.9999999999999984E-3</v>
      </c>
      <c r="BG426" s="952">
        <f>Drivers!BG80</f>
        <v>5.9999999999999984E-3</v>
      </c>
      <c r="BH426" s="442"/>
    </row>
    <row r="427" spans="1:60" s="443" customFormat="1" hidden="1" outlineLevel="1" x14ac:dyDescent="0.35">
      <c r="A427" s="243"/>
      <c r="B427" s="447"/>
      <c r="C427" s="448"/>
      <c r="D427" s="448"/>
      <c r="E427" s="448"/>
      <c r="F427" s="448"/>
      <c r="G427" s="449"/>
      <c r="H427" s="449"/>
      <c r="I427" s="449"/>
      <c r="J427" s="449"/>
      <c r="K427" s="448"/>
      <c r="L427" s="449"/>
      <c r="M427" s="449"/>
      <c r="N427" s="449"/>
      <c r="O427" s="449"/>
      <c r="P427" s="448"/>
      <c r="Q427" s="449"/>
      <c r="R427" s="449"/>
      <c r="S427" s="449"/>
      <c r="T427" s="449"/>
      <c r="U427" s="448"/>
      <c r="V427" s="449"/>
      <c r="W427" s="449"/>
      <c r="X427" s="449"/>
      <c r="Y427" s="449"/>
      <c r="Z427" s="448"/>
      <c r="AA427" s="449"/>
      <c r="AB427" s="449"/>
      <c r="AC427" s="449"/>
      <c r="AD427" s="449"/>
      <c r="AE427" s="448"/>
      <c r="AF427" s="449"/>
      <c r="AG427" s="449"/>
      <c r="AH427" s="449"/>
      <c r="AI427" s="449"/>
      <c r="AJ427" s="448"/>
      <c r="AK427" s="449"/>
      <c r="AL427" s="449"/>
      <c r="AM427" s="449"/>
      <c r="AN427" s="449"/>
      <c r="AO427" s="448"/>
      <c r="AP427" s="449"/>
      <c r="AQ427" s="449"/>
      <c r="AR427" s="449"/>
      <c r="AS427" s="449"/>
      <c r="AT427" s="448"/>
      <c r="AU427" s="784"/>
      <c r="AV427" s="449"/>
      <c r="AW427" s="449"/>
      <c r="AX427" s="449"/>
      <c r="AY427" s="448"/>
      <c r="AZ427" s="449"/>
      <c r="BA427" s="449"/>
      <c r="BB427" s="449"/>
      <c r="BC427" s="449"/>
      <c r="BD427" s="448"/>
      <c r="BE427" s="448"/>
      <c r="BF427" s="448"/>
      <c r="BG427" s="448"/>
      <c r="BH427" s="442"/>
    </row>
    <row r="428" spans="1:60" s="69" customFormat="1" hidden="1" outlineLevel="1" x14ac:dyDescent="0.35">
      <c r="A428" s="90" t="s">
        <v>980</v>
      </c>
      <c r="B428" s="518"/>
      <c r="C428" s="519"/>
      <c r="D428" s="519"/>
      <c r="E428" s="519"/>
      <c r="F428" s="519"/>
      <c r="G428" s="520"/>
      <c r="H428" s="520"/>
      <c r="I428" s="520"/>
      <c r="J428" s="520"/>
      <c r="K428" s="519"/>
      <c r="L428" s="520"/>
      <c r="M428" s="520"/>
      <c r="N428" s="520"/>
      <c r="O428" s="520"/>
      <c r="P428" s="519"/>
      <c r="Q428" s="520"/>
      <c r="R428" s="520"/>
      <c r="S428" s="520"/>
      <c r="T428" s="520"/>
      <c r="U428" s="519"/>
      <c r="V428" s="520"/>
      <c r="W428" s="520"/>
      <c r="X428" s="520"/>
      <c r="Y428" s="520"/>
      <c r="Z428" s="519"/>
      <c r="AA428" s="520"/>
      <c r="AB428" s="520"/>
      <c r="AC428" s="520"/>
      <c r="AD428" s="520"/>
      <c r="AE428" s="440">
        <v>309</v>
      </c>
      <c r="AF428" s="520"/>
      <c r="AG428" s="520"/>
      <c r="AH428" s="520"/>
      <c r="AI428" s="520"/>
      <c r="AJ428" s="440">
        <v>310</v>
      </c>
      <c r="AK428" s="520"/>
      <c r="AL428" s="520"/>
      <c r="AM428" s="520"/>
      <c r="AN428" s="520"/>
      <c r="AO428" s="440">
        <v>157</v>
      </c>
      <c r="AP428" s="520"/>
      <c r="AQ428" s="520"/>
      <c r="AR428" s="520"/>
      <c r="AS428" s="520"/>
      <c r="AT428" s="440">
        <v>154</v>
      </c>
      <c r="AU428" s="766"/>
      <c r="AV428" s="520"/>
      <c r="AW428" s="520"/>
      <c r="AX428" s="520"/>
      <c r="AY428" s="519"/>
      <c r="AZ428" s="520"/>
      <c r="BA428" s="520"/>
      <c r="BB428" s="520"/>
      <c r="BC428" s="520"/>
      <c r="BD428" s="519"/>
      <c r="BE428" s="519"/>
      <c r="BF428" s="519"/>
      <c r="BG428" s="519"/>
      <c r="BH428" s="79"/>
    </row>
    <row r="429" spans="1:60" s="69" customFormat="1" hidden="1" outlineLevel="1" x14ac:dyDescent="0.35">
      <c r="A429" s="90" t="s">
        <v>1061</v>
      </c>
      <c r="B429" s="518"/>
      <c r="C429" s="519"/>
      <c r="D429" s="519"/>
      <c r="E429" s="519"/>
      <c r="F429" s="519"/>
      <c r="G429" s="520"/>
      <c r="H429" s="520"/>
      <c r="I429" s="520"/>
      <c r="J429" s="520"/>
      <c r="K429" s="519"/>
      <c r="L429" s="520"/>
      <c r="M429" s="520"/>
      <c r="N429" s="520"/>
      <c r="O429" s="520"/>
      <c r="P429" s="519"/>
      <c r="Q429" s="520"/>
      <c r="R429" s="520"/>
      <c r="S429" s="520"/>
      <c r="T429" s="520"/>
      <c r="U429" s="519"/>
      <c r="V429" s="520"/>
      <c r="W429" s="520"/>
      <c r="X429" s="520"/>
      <c r="Y429" s="520"/>
      <c r="Z429" s="519"/>
      <c r="AA429" s="520"/>
      <c r="AB429" s="520"/>
      <c r="AC429" s="520"/>
      <c r="AD429" s="520"/>
      <c r="AE429" s="440">
        <v>409</v>
      </c>
      <c r="AF429" s="520"/>
      <c r="AG429" s="520"/>
      <c r="AH429" s="520"/>
      <c r="AI429" s="520"/>
      <c r="AJ429" s="440">
        <v>503</v>
      </c>
      <c r="AK429" s="520"/>
      <c r="AL429" s="520"/>
      <c r="AM429" s="520"/>
      <c r="AN429" s="520"/>
      <c r="AO429" s="440">
        <v>524</v>
      </c>
      <c r="AP429" s="520"/>
      <c r="AQ429" s="520"/>
      <c r="AR429" s="520"/>
      <c r="AS429" s="520"/>
      <c r="AT429" s="440">
        <v>225</v>
      </c>
      <c r="AU429" s="766"/>
      <c r="AV429" s="520"/>
      <c r="AW429" s="520"/>
      <c r="AX429" s="520"/>
      <c r="AY429" s="519"/>
      <c r="AZ429" s="520"/>
      <c r="BA429" s="520"/>
      <c r="BB429" s="520"/>
      <c r="BC429" s="520"/>
      <c r="BD429" s="519"/>
      <c r="BE429" s="519"/>
      <c r="BF429" s="519"/>
      <c r="BG429" s="519"/>
      <c r="BH429" s="79"/>
    </row>
    <row r="430" spans="1:60" s="345" customFormat="1" hidden="1" outlineLevel="1" x14ac:dyDescent="0.35">
      <c r="A430" s="236" t="s">
        <v>1003</v>
      </c>
      <c r="B430" s="444"/>
      <c r="C430" s="445"/>
      <c r="D430" s="445"/>
      <c r="E430" s="445"/>
      <c r="F430" s="445"/>
      <c r="G430" s="446"/>
      <c r="H430" s="446"/>
      <c r="I430" s="446"/>
      <c r="J430" s="446"/>
      <c r="K430" s="445"/>
      <c r="L430" s="446"/>
      <c r="M430" s="446"/>
      <c r="N430" s="446"/>
      <c r="O430" s="446"/>
      <c r="P430" s="445"/>
      <c r="Q430" s="446"/>
      <c r="R430" s="446"/>
      <c r="S430" s="446"/>
      <c r="T430" s="446"/>
      <c r="U430" s="445"/>
      <c r="V430" s="446"/>
      <c r="W430" s="446"/>
      <c r="X430" s="446"/>
      <c r="Y430" s="446"/>
      <c r="Z430" s="445"/>
      <c r="AA430" s="446"/>
      <c r="AB430" s="446"/>
      <c r="AC430" s="446"/>
      <c r="AD430" s="446"/>
      <c r="AE430" s="436">
        <v>6474</v>
      </c>
      <c r="AF430" s="446"/>
      <c r="AG430" s="446"/>
      <c r="AH430" s="446"/>
      <c r="AI430" s="446"/>
      <c r="AJ430" s="436">
        <v>5586</v>
      </c>
      <c r="AK430" s="446"/>
      <c r="AL430" s="446"/>
      <c r="AM430" s="446"/>
      <c r="AN430" s="446"/>
      <c r="AO430" s="436">
        <v>8888</v>
      </c>
      <c r="AP430" s="446"/>
      <c r="AQ430" s="446"/>
      <c r="AR430" s="446"/>
      <c r="AS430" s="446"/>
      <c r="AT430" s="436">
        <v>11538</v>
      </c>
      <c r="AU430" s="767"/>
      <c r="AV430" s="446"/>
      <c r="AW430" s="446"/>
      <c r="AX430" s="446"/>
      <c r="AY430" s="445"/>
      <c r="AZ430" s="446"/>
      <c r="BA430" s="446"/>
      <c r="BB430" s="446"/>
      <c r="BC430" s="446"/>
      <c r="BD430" s="445"/>
      <c r="BE430" s="445"/>
      <c r="BF430" s="445"/>
      <c r="BG430" s="445"/>
      <c r="BH430" s="351"/>
    </row>
    <row r="431" spans="1:60" s="225" customFormat="1" collapsed="1" x14ac:dyDescent="0.35">
      <c r="A431" s="538"/>
      <c r="B431" s="176"/>
      <c r="C431" s="113"/>
      <c r="D431" s="113"/>
      <c r="E431" s="113"/>
      <c r="F431" s="113"/>
      <c r="G431" s="177"/>
      <c r="H431" s="177"/>
      <c r="I431" s="177"/>
      <c r="J431" s="177"/>
      <c r="K431" s="113"/>
      <c r="L431" s="177"/>
      <c r="M431" s="177"/>
      <c r="N431" s="177"/>
      <c r="O431" s="177"/>
      <c r="P431" s="113"/>
      <c r="Q431" s="177"/>
      <c r="R431" s="177"/>
      <c r="S431" s="177"/>
      <c r="T431" s="177"/>
      <c r="U431" s="113"/>
      <c r="V431" s="177"/>
      <c r="W431" s="177"/>
      <c r="X431" s="177"/>
      <c r="Y431" s="177"/>
      <c r="Z431" s="113"/>
      <c r="AA431" s="177"/>
      <c r="AB431" s="177"/>
      <c r="AC431" s="177"/>
      <c r="AD431" s="177"/>
      <c r="AE431" s="113"/>
      <c r="AF431" s="177"/>
      <c r="AG431" s="177"/>
      <c r="AH431" s="177"/>
      <c r="AI431" s="177"/>
      <c r="AJ431" s="113"/>
      <c r="AK431" s="177"/>
      <c r="AL431" s="177"/>
      <c r="AM431" s="177"/>
      <c r="AN431" s="177"/>
      <c r="AO431" s="113"/>
      <c r="AP431" s="177"/>
      <c r="AQ431" s="177"/>
      <c r="AR431" s="177"/>
      <c r="AS431" s="177"/>
      <c r="AT431" s="113"/>
      <c r="AU431" s="780"/>
      <c r="AV431" s="177"/>
      <c r="AW431" s="177"/>
      <c r="AX431" s="177"/>
      <c r="AY431" s="113"/>
      <c r="AZ431" s="177"/>
      <c r="BA431" s="177"/>
      <c r="BB431" s="177"/>
      <c r="BC431" s="177"/>
      <c r="BD431" s="113"/>
      <c r="BE431" s="113"/>
      <c r="BF431" s="113"/>
      <c r="BG431" s="113"/>
      <c r="BH431" s="94"/>
    </row>
    <row r="432" spans="1:60" s="21" customFormat="1" x14ac:dyDescent="0.35">
      <c r="A432" s="746" t="s">
        <v>586</v>
      </c>
      <c r="B432" s="746"/>
      <c r="C432" s="874"/>
      <c r="D432" s="874"/>
      <c r="E432" s="874"/>
      <c r="F432" s="874"/>
      <c r="G432" s="874"/>
      <c r="H432" s="874"/>
      <c r="I432" s="874"/>
      <c r="J432" s="874"/>
      <c r="K432" s="874"/>
      <c r="L432" s="874"/>
      <c r="M432" s="874"/>
      <c r="N432" s="874"/>
      <c r="O432" s="874"/>
      <c r="P432" s="874"/>
      <c r="Q432" s="874"/>
      <c r="R432" s="874"/>
      <c r="S432" s="874"/>
      <c r="T432" s="874"/>
      <c r="U432" s="874"/>
      <c r="V432" s="874"/>
      <c r="W432" s="874"/>
      <c r="X432" s="874"/>
      <c r="Y432" s="874"/>
      <c r="Z432" s="874"/>
      <c r="AA432" s="874"/>
      <c r="AB432" s="874"/>
      <c r="AC432" s="874"/>
      <c r="AD432" s="874"/>
      <c r="AE432" s="874"/>
      <c r="AF432" s="874"/>
      <c r="AG432" s="874"/>
      <c r="AH432" s="874"/>
      <c r="AI432" s="874"/>
      <c r="AJ432" s="874"/>
      <c r="AK432" s="874"/>
      <c r="AL432" s="874"/>
      <c r="AM432" s="874"/>
      <c r="AN432" s="874"/>
      <c r="AO432" s="874"/>
      <c r="AP432" s="874"/>
      <c r="AQ432" s="874"/>
      <c r="AR432" s="874"/>
      <c r="AS432" s="874"/>
      <c r="AT432" s="874"/>
      <c r="AU432" s="875"/>
      <c r="AV432" s="874"/>
      <c r="AW432" s="874"/>
      <c r="AX432" s="874"/>
      <c r="AY432" s="874"/>
      <c r="AZ432" s="874"/>
      <c r="BA432" s="874"/>
      <c r="BB432" s="874"/>
      <c r="BC432" s="874"/>
      <c r="BD432" s="874"/>
      <c r="BE432" s="874"/>
      <c r="BF432" s="874"/>
      <c r="BG432" s="874"/>
      <c r="BH432" s="651"/>
    </row>
    <row r="433" spans="1:60" s="345" customFormat="1" hidden="1" outlineLevel="1" x14ac:dyDescent="0.35">
      <c r="A433" s="161" t="s">
        <v>517</v>
      </c>
      <c r="B433" s="444"/>
      <c r="C433" s="445"/>
      <c r="D433" s="445"/>
      <c r="E433" s="445"/>
      <c r="F433" s="445"/>
      <c r="G433" s="446"/>
      <c r="H433" s="446"/>
      <c r="I433" s="446"/>
      <c r="J433" s="446"/>
      <c r="K433" s="445"/>
      <c r="L433" s="446"/>
      <c r="M433" s="446"/>
      <c r="N433" s="446"/>
      <c r="O433" s="446"/>
      <c r="P433" s="445"/>
      <c r="Q433" s="446"/>
      <c r="R433" s="446"/>
      <c r="S433" s="446"/>
      <c r="T433" s="446"/>
      <c r="U433" s="445"/>
      <c r="V433" s="446"/>
      <c r="W433" s="446"/>
      <c r="X433" s="446"/>
      <c r="Y433" s="446"/>
      <c r="Z433" s="436">
        <v>-542</v>
      </c>
      <c r="AA433" s="446"/>
      <c r="AB433" s="446"/>
      <c r="AC433" s="446"/>
      <c r="AD433" s="446"/>
      <c r="AE433" s="436">
        <v>-591</v>
      </c>
      <c r="AF433" s="437">
        <v>-147</v>
      </c>
      <c r="AG433" s="437">
        <v>-160</v>
      </c>
      <c r="AH433" s="437">
        <v>-164</v>
      </c>
      <c r="AI433" s="437">
        <f>AJ433-SUM(AF433,AG433,AH433)</f>
        <v>-148</v>
      </c>
      <c r="AJ433" s="436">
        <v>-619</v>
      </c>
      <c r="AK433" s="446"/>
      <c r="AL433" s="446"/>
      <c r="AM433" s="446"/>
      <c r="AN433" s="446"/>
      <c r="AO433" s="445"/>
      <c r="AP433" s="446"/>
      <c r="AQ433" s="446"/>
      <c r="AR433" s="446"/>
      <c r="AS433" s="446"/>
      <c r="AT433" s="445"/>
      <c r="AU433" s="767"/>
      <c r="AV433" s="446"/>
      <c r="AW433" s="446"/>
      <c r="AX433" s="446"/>
      <c r="AY433" s="445"/>
      <c r="AZ433" s="446"/>
      <c r="BA433" s="446"/>
      <c r="BB433" s="446"/>
      <c r="BC433" s="446"/>
      <c r="BD433" s="445"/>
      <c r="BE433" s="445"/>
      <c r="BF433" s="445"/>
      <c r="BG433" s="445"/>
      <c r="BH433" s="351"/>
    </row>
    <row r="434" spans="1:60" s="345" customFormat="1" hidden="1" outlineLevel="1" x14ac:dyDescent="0.35">
      <c r="A434" s="101" t="s">
        <v>520</v>
      </c>
      <c r="B434" s="501"/>
      <c r="C434" s="502"/>
      <c r="D434" s="502"/>
      <c r="E434" s="502"/>
      <c r="F434" s="502"/>
      <c r="G434" s="463"/>
      <c r="H434" s="463"/>
      <c r="I434" s="463"/>
      <c r="J434" s="463"/>
      <c r="K434" s="502"/>
      <c r="L434" s="463"/>
      <c r="M434" s="463"/>
      <c r="N434" s="463"/>
      <c r="O434" s="463"/>
      <c r="P434" s="502"/>
      <c r="Q434" s="463"/>
      <c r="R434" s="463"/>
      <c r="S434" s="463"/>
      <c r="T434" s="463"/>
      <c r="U434" s="502"/>
      <c r="V434" s="463"/>
      <c r="W434" s="463"/>
      <c r="X434" s="463"/>
      <c r="Y434" s="463"/>
      <c r="Z434" s="480">
        <v>-112</v>
      </c>
      <c r="AA434" s="463"/>
      <c r="AB434" s="463"/>
      <c r="AC434" s="463"/>
      <c r="AD434" s="463"/>
      <c r="AE434" s="480">
        <v>-112</v>
      </c>
      <c r="AF434" s="458">
        <v>-28</v>
      </c>
      <c r="AG434" s="458">
        <v>-28</v>
      </c>
      <c r="AH434" s="458">
        <v>-25</v>
      </c>
      <c r="AI434" s="458">
        <f>AJ434-SUM(AF434,AG434,AH434)</f>
        <v>-27</v>
      </c>
      <c r="AJ434" s="480">
        <v>-108</v>
      </c>
      <c r="AK434" s="463"/>
      <c r="AL434" s="463"/>
      <c r="AM434" s="463"/>
      <c r="AN434" s="463"/>
      <c r="AO434" s="502"/>
      <c r="AP434" s="463"/>
      <c r="AQ434" s="463"/>
      <c r="AR434" s="463"/>
      <c r="AS434" s="463"/>
      <c r="AT434" s="502"/>
      <c r="AU434" s="768"/>
      <c r="AV434" s="463"/>
      <c r="AW434" s="463"/>
      <c r="AX434" s="463"/>
      <c r="AY434" s="502"/>
      <c r="AZ434" s="463"/>
      <c r="BA434" s="463"/>
      <c r="BB434" s="463"/>
      <c r="BC434" s="463"/>
      <c r="BD434" s="502"/>
      <c r="BE434" s="502"/>
      <c r="BF434" s="502"/>
      <c r="BG434" s="502"/>
      <c r="BH434" s="351"/>
    </row>
    <row r="435" spans="1:60" s="345" customFormat="1" hidden="1" outlineLevel="1" x14ac:dyDescent="0.35">
      <c r="A435" s="350" t="s">
        <v>739</v>
      </c>
      <c r="B435" s="444"/>
      <c r="C435" s="445"/>
      <c r="D435" s="445"/>
      <c r="E435" s="445"/>
      <c r="F435" s="445"/>
      <c r="G435" s="446"/>
      <c r="H435" s="446"/>
      <c r="I435" s="446"/>
      <c r="J435" s="446"/>
      <c r="K435" s="445"/>
      <c r="L435" s="446"/>
      <c r="M435" s="446"/>
      <c r="N435" s="446"/>
      <c r="O435" s="446"/>
      <c r="P435" s="445"/>
      <c r="Q435" s="446"/>
      <c r="R435" s="446"/>
      <c r="S435" s="446"/>
      <c r="T435" s="446"/>
      <c r="U435" s="445"/>
      <c r="V435" s="446"/>
      <c r="W435" s="446"/>
      <c r="X435" s="446"/>
      <c r="Y435" s="446"/>
      <c r="Z435" s="436">
        <f>SUM(Z433:Z434)</f>
        <v>-654</v>
      </c>
      <c r="AA435" s="446"/>
      <c r="AB435" s="446"/>
      <c r="AC435" s="446"/>
      <c r="AD435" s="446"/>
      <c r="AE435" s="436">
        <f t="shared" ref="AE435:AJ435" si="765">SUM(AE433:AE434)</f>
        <v>-703</v>
      </c>
      <c r="AF435" s="437">
        <f t="shared" si="765"/>
        <v>-175</v>
      </c>
      <c r="AG435" s="437">
        <f t="shared" si="765"/>
        <v>-188</v>
      </c>
      <c r="AH435" s="437">
        <f t="shared" si="765"/>
        <v>-189</v>
      </c>
      <c r="AI435" s="437">
        <f t="shared" si="765"/>
        <v>-175</v>
      </c>
      <c r="AJ435" s="436">
        <f t="shared" si="765"/>
        <v>-727</v>
      </c>
      <c r="AK435" s="437">
        <v>-182</v>
      </c>
      <c r="AL435" s="437">
        <v>-195</v>
      </c>
      <c r="AM435" s="437">
        <v>-185</v>
      </c>
      <c r="AN435" s="437">
        <f>AO435-SUM(AK435,AL435,AM435)</f>
        <v>-173</v>
      </c>
      <c r="AO435" s="436">
        <v>-735</v>
      </c>
      <c r="AP435" s="437">
        <v>-208</v>
      </c>
      <c r="AQ435" s="437">
        <v>-234</v>
      </c>
      <c r="AR435" s="437">
        <v>-282</v>
      </c>
      <c r="AS435" s="437">
        <f>AT435-SUM(AP435,AQ435,AR435)</f>
        <v>-276</v>
      </c>
      <c r="AT435" s="436">
        <v>-1000</v>
      </c>
      <c r="AU435" s="767">
        <v>-278</v>
      </c>
      <c r="AV435" s="446"/>
      <c r="AW435" s="446"/>
      <c r="AX435" s="446"/>
      <c r="AY435" s="445"/>
      <c r="AZ435" s="446"/>
      <c r="BA435" s="446"/>
      <c r="BB435" s="446"/>
      <c r="BC435" s="446"/>
      <c r="BD435" s="445"/>
      <c r="BE435" s="445"/>
      <c r="BF435" s="445"/>
      <c r="BG435" s="445"/>
      <c r="BH435" s="351"/>
    </row>
    <row r="436" spans="1:60" s="345" customFormat="1" hidden="1" outlineLevel="1" x14ac:dyDescent="0.35">
      <c r="A436" s="350" t="s">
        <v>518</v>
      </c>
      <c r="B436" s="444"/>
      <c r="C436" s="445"/>
      <c r="D436" s="445"/>
      <c r="E436" s="445"/>
      <c r="F436" s="445"/>
      <c r="G436" s="446"/>
      <c r="H436" s="446"/>
      <c r="I436" s="446"/>
      <c r="J436" s="446"/>
      <c r="K436" s="445"/>
      <c r="L436" s="446"/>
      <c r="M436" s="446"/>
      <c r="N436" s="446"/>
      <c r="O436" s="446"/>
      <c r="P436" s="445"/>
      <c r="Q436" s="446"/>
      <c r="R436" s="446"/>
      <c r="S436" s="446"/>
      <c r="T436" s="446"/>
      <c r="U436" s="445"/>
      <c r="V436" s="446"/>
      <c r="W436" s="446"/>
      <c r="X436" s="446"/>
      <c r="Y436" s="446"/>
      <c r="Z436" s="436">
        <v>-737</v>
      </c>
      <c r="AA436" s="446"/>
      <c r="AB436" s="446"/>
      <c r="AC436" s="446"/>
      <c r="AD436" s="446"/>
      <c r="AE436" s="436">
        <v>-874</v>
      </c>
      <c r="AF436" s="437">
        <v>-223</v>
      </c>
      <c r="AG436" s="437">
        <v>-191</v>
      </c>
      <c r="AH436" s="437">
        <v>-225</v>
      </c>
      <c r="AI436" s="437">
        <f>AJ436-SUM(AF436,AG436,AH436)</f>
        <v>-199</v>
      </c>
      <c r="AJ436" s="436">
        <v>-838</v>
      </c>
      <c r="AK436" s="437">
        <v>-175</v>
      </c>
      <c r="AL436" s="437">
        <v>-166</v>
      </c>
      <c r="AM436" s="437">
        <v>-193</v>
      </c>
      <c r="AN436" s="437">
        <f>AO436-SUM(AK436,AL436,AM436)</f>
        <v>-177</v>
      </c>
      <c r="AO436" s="436">
        <v>-711</v>
      </c>
      <c r="AP436" s="437">
        <v>-181</v>
      </c>
      <c r="AQ436" s="437">
        <v>-172</v>
      </c>
      <c r="AR436" s="437">
        <v>-197</v>
      </c>
      <c r="AS436" s="437">
        <f>AT436-SUM(AP436,AQ436,AR436)</f>
        <v>-200</v>
      </c>
      <c r="AT436" s="436">
        <v>-750</v>
      </c>
      <c r="AU436" s="767">
        <v>-230</v>
      </c>
      <c r="AV436" s="446"/>
      <c r="AW436" s="446"/>
      <c r="AX436" s="446"/>
      <c r="AY436" s="445"/>
      <c r="AZ436" s="446"/>
      <c r="BA436" s="446"/>
      <c r="BB436" s="446"/>
      <c r="BC436" s="446"/>
      <c r="BD436" s="445"/>
      <c r="BE436" s="445"/>
      <c r="BF436" s="445"/>
      <c r="BG436" s="445"/>
      <c r="BH436" s="351"/>
    </row>
    <row r="437" spans="1:60" s="345" customFormat="1" hidden="1" outlineLevel="1" x14ac:dyDescent="0.35">
      <c r="A437" s="350" t="s">
        <v>519</v>
      </c>
      <c r="B437" s="444"/>
      <c r="C437" s="445"/>
      <c r="D437" s="445"/>
      <c r="E437" s="445"/>
      <c r="F437" s="445"/>
      <c r="G437" s="446"/>
      <c r="H437" s="446"/>
      <c r="I437" s="446"/>
      <c r="J437" s="446"/>
      <c r="K437" s="445"/>
      <c r="L437" s="446"/>
      <c r="M437" s="446"/>
      <c r="N437" s="446"/>
      <c r="O437" s="446"/>
      <c r="P437" s="445"/>
      <c r="Q437" s="446"/>
      <c r="R437" s="446"/>
      <c r="S437" s="446"/>
      <c r="T437" s="446"/>
      <c r="U437" s="445"/>
      <c r="V437" s="446"/>
      <c r="W437" s="446"/>
      <c r="X437" s="446"/>
      <c r="Y437" s="446"/>
      <c r="Z437" s="436">
        <v>-205</v>
      </c>
      <c r="AA437" s="446"/>
      <c r="AB437" s="446"/>
      <c r="AC437" s="446"/>
      <c r="AD437" s="446"/>
      <c r="AE437" s="436">
        <v>-216</v>
      </c>
      <c r="AF437" s="437">
        <v>-65</v>
      </c>
      <c r="AG437" s="437">
        <v>-61</v>
      </c>
      <c r="AH437" s="437">
        <v>-52</v>
      </c>
      <c r="AI437" s="437">
        <f>AJ437-SUM(AF437,AG437,AH437)</f>
        <v>-54</v>
      </c>
      <c r="AJ437" s="436">
        <v>-232</v>
      </c>
      <c r="AK437" s="437">
        <v>-61</v>
      </c>
      <c r="AL437" s="437">
        <v>-51</v>
      </c>
      <c r="AM437" s="437">
        <v>-52</v>
      </c>
      <c r="AN437" s="437">
        <f>AO437-SUM(AK437,AL437,AM437)</f>
        <v>-51</v>
      </c>
      <c r="AO437" s="436">
        <v>-215</v>
      </c>
      <c r="AP437" s="437">
        <v>-69</v>
      </c>
      <c r="AQ437" s="437">
        <v>-84</v>
      </c>
      <c r="AR437" s="437">
        <v>-86</v>
      </c>
      <c r="AS437" s="437">
        <f>AT437-SUM(AP437,AQ437,AR437)</f>
        <v>-101</v>
      </c>
      <c r="AT437" s="436">
        <v>-340</v>
      </c>
      <c r="AU437" s="767">
        <v>-118</v>
      </c>
      <c r="AV437" s="446"/>
      <c r="AW437" s="446"/>
      <c r="AX437" s="446"/>
      <c r="AY437" s="445"/>
      <c r="AZ437" s="446"/>
      <c r="BA437" s="446"/>
      <c r="BB437" s="446"/>
      <c r="BC437" s="446"/>
      <c r="BD437" s="445"/>
      <c r="BE437" s="445"/>
      <c r="BF437" s="445"/>
      <c r="BG437" s="445"/>
      <c r="BH437" s="351"/>
    </row>
    <row r="438" spans="1:60" s="345" customFormat="1" hidden="1" outlineLevel="1" x14ac:dyDescent="0.35">
      <c r="A438" s="350" t="s">
        <v>521</v>
      </c>
      <c r="B438" s="444"/>
      <c r="C438" s="445"/>
      <c r="D438" s="445"/>
      <c r="E438" s="445"/>
      <c r="F438" s="445"/>
      <c r="G438" s="446"/>
      <c r="H438" s="446"/>
      <c r="I438" s="446"/>
      <c r="J438" s="446"/>
      <c r="K438" s="445"/>
      <c r="L438" s="446"/>
      <c r="M438" s="446"/>
      <c r="N438" s="446"/>
      <c r="O438" s="446"/>
      <c r="P438" s="445"/>
      <c r="Q438" s="446"/>
      <c r="R438" s="446"/>
      <c r="S438" s="446"/>
      <c r="T438" s="446"/>
      <c r="U438" s="445"/>
      <c r="V438" s="446"/>
      <c r="W438" s="446"/>
      <c r="X438" s="446"/>
      <c r="Y438" s="446"/>
      <c r="Z438" s="445"/>
      <c r="AA438" s="446"/>
      <c r="AB438" s="446"/>
      <c r="AC438" s="446"/>
      <c r="AD438" s="446"/>
      <c r="AE438" s="445"/>
      <c r="AF438" s="437">
        <v>1</v>
      </c>
      <c r="AG438" s="437">
        <v>-1</v>
      </c>
      <c r="AH438" s="437">
        <v>-2</v>
      </c>
      <c r="AI438" s="437">
        <f>AJ438-SUM(AF438,AG438,AH438)</f>
        <v>2</v>
      </c>
      <c r="AJ438" s="445"/>
      <c r="AK438" s="437">
        <v>3</v>
      </c>
      <c r="AL438" s="437">
        <v>-3</v>
      </c>
      <c r="AM438" s="437">
        <v>1</v>
      </c>
      <c r="AN438" s="437">
        <f>AO438-SUM(AK438,AL438,AM438)</f>
        <v>-1</v>
      </c>
      <c r="AO438" s="445"/>
      <c r="AP438" s="446"/>
      <c r="AQ438" s="446"/>
      <c r="AR438" s="446"/>
      <c r="AS438" s="437">
        <f>AT438-SUM(AP438,AQ438,AR438)</f>
        <v>0</v>
      </c>
      <c r="AT438" s="445"/>
      <c r="AU438" s="767"/>
      <c r="AV438" s="446"/>
      <c r="AW438" s="446"/>
      <c r="AX438" s="446"/>
      <c r="AY438" s="445"/>
      <c r="AZ438" s="446"/>
      <c r="BA438" s="446"/>
      <c r="BB438" s="446"/>
      <c r="BC438" s="446"/>
      <c r="BD438" s="445"/>
      <c r="BE438" s="445"/>
      <c r="BF438" s="445"/>
      <c r="BG438" s="445"/>
      <c r="BH438" s="351"/>
    </row>
    <row r="439" spans="1:60" s="69" customFormat="1" hidden="1" outlineLevel="1" x14ac:dyDescent="0.35">
      <c r="A439" s="89" t="s">
        <v>522</v>
      </c>
      <c r="B439" s="452"/>
      <c r="C439" s="453"/>
      <c r="D439" s="453"/>
      <c r="E439" s="453"/>
      <c r="F439" s="453"/>
      <c r="G439" s="454"/>
      <c r="H439" s="454"/>
      <c r="I439" s="454"/>
      <c r="J439" s="454"/>
      <c r="K439" s="453"/>
      <c r="L439" s="454"/>
      <c r="M439" s="454"/>
      <c r="N439" s="454"/>
      <c r="O439" s="454"/>
      <c r="P439" s="453"/>
      <c r="Q439" s="454"/>
      <c r="R439" s="454"/>
      <c r="S439" s="454"/>
      <c r="T439" s="454"/>
      <c r="U439" s="453"/>
      <c r="V439" s="439">
        <f>V40</f>
        <v>-399</v>
      </c>
      <c r="W439" s="439">
        <f>W40</f>
        <v>-388</v>
      </c>
      <c r="X439" s="439">
        <f>X40</f>
        <v>-417</v>
      </c>
      <c r="Y439" s="439">
        <f>Y40</f>
        <v>-392</v>
      </c>
      <c r="Z439" s="438">
        <f>SUM(Z435:Z438)</f>
        <v>-1596</v>
      </c>
      <c r="AA439" s="439">
        <f>AA40</f>
        <v>-436</v>
      </c>
      <c r="AB439" s="439">
        <f>AB40</f>
        <v>-424</v>
      </c>
      <c r="AC439" s="439">
        <f>AC40</f>
        <v>-488</v>
      </c>
      <c r="AD439" s="439">
        <f>AD40</f>
        <v>-445</v>
      </c>
      <c r="AE439" s="438">
        <f t="shared" ref="AE439:AU439" si="766">SUM(AE435:AE438)</f>
        <v>-1793</v>
      </c>
      <c r="AF439" s="439">
        <f t="shared" si="766"/>
        <v>-462</v>
      </c>
      <c r="AG439" s="439">
        <f t="shared" si="766"/>
        <v>-441</v>
      </c>
      <c r="AH439" s="439">
        <f t="shared" si="766"/>
        <v>-468</v>
      </c>
      <c r="AI439" s="439">
        <f t="shared" si="766"/>
        <v>-426</v>
      </c>
      <c r="AJ439" s="438">
        <f t="shared" si="766"/>
        <v>-1797</v>
      </c>
      <c r="AK439" s="439">
        <f t="shared" si="766"/>
        <v>-415</v>
      </c>
      <c r="AL439" s="439">
        <f t="shared" si="766"/>
        <v>-415</v>
      </c>
      <c r="AM439" s="439">
        <f t="shared" si="766"/>
        <v>-429</v>
      </c>
      <c r="AN439" s="439">
        <f t="shared" si="766"/>
        <v>-402</v>
      </c>
      <c r="AO439" s="438">
        <f t="shared" si="766"/>
        <v>-1661</v>
      </c>
      <c r="AP439" s="439">
        <f t="shared" si="766"/>
        <v>-458</v>
      </c>
      <c r="AQ439" s="439">
        <f t="shared" si="766"/>
        <v>-490</v>
      </c>
      <c r="AR439" s="454">
        <f t="shared" si="766"/>
        <v>-565</v>
      </c>
      <c r="AS439" s="439">
        <f t="shared" si="766"/>
        <v>-577</v>
      </c>
      <c r="AT439" s="438">
        <f t="shared" si="766"/>
        <v>-2090</v>
      </c>
      <c r="AU439" s="765">
        <f t="shared" si="766"/>
        <v>-626</v>
      </c>
      <c r="AV439" s="439">
        <f>-SUM(AV36:AV39,AV41)*AV440</f>
        <v>-489.46080000000001</v>
      </c>
      <c r="AW439" s="439">
        <f>-SUM(AW36:AW39,AW41)*AW440</f>
        <v>-558.22799999999995</v>
      </c>
      <c r="AX439" s="439">
        <f>-SUM(AX36:AX39,AX41)*AX440</f>
        <v>-573.34140000000002</v>
      </c>
      <c r="AY439" s="438">
        <f>SUM(AU439,AV439,AW439,AX439)</f>
        <v>-2247.0302000000001</v>
      </c>
      <c r="AZ439" s="439">
        <f>-SUM(AZ36:AZ39,AZ41)*AZ440</f>
        <v>-605.37329999999997</v>
      </c>
      <c r="BA439" s="439">
        <f>-SUM(BA36:BA39,BA41)*BA440</f>
        <v>-520.73396700000001</v>
      </c>
      <c r="BB439" s="439">
        <f>-SUM(BB36:BB39,BB41)*BB440</f>
        <v>-594.12763199999995</v>
      </c>
      <c r="BC439" s="439">
        <f>-SUM(BC36:BC39,BC41)*BC440</f>
        <v>-610.19230199999993</v>
      </c>
      <c r="BD439" s="438">
        <f>SUM(AZ439,BA439,BB439,BC439)</f>
        <v>-2330.4272009999995</v>
      </c>
      <c r="BE439" s="438">
        <f>-SUM(BE36:BE39,BE41)*BE440</f>
        <v>-2480.4454249050004</v>
      </c>
      <c r="BF439" s="438">
        <f>-SUM(BF36:BF39,BF41)*BF440</f>
        <v>-2640.538998327525</v>
      </c>
      <c r="BG439" s="438">
        <f>-SUM(BG36:BG39,BG41)*BG440</f>
        <v>-2811.4087601298179</v>
      </c>
      <c r="BH439" s="79"/>
    </row>
    <row r="440" spans="1:60" s="443" customFormat="1" hidden="1" outlineLevel="1" x14ac:dyDescent="0.35">
      <c r="A440" s="243" t="s">
        <v>397</v>
      </c>
      <c r="B440" s="447"/>
      <c r="C440" s="448"/>
      <c r="D440" s="448"/>
      <c r="E440" s="448"/>
      <c r="F440" s="448"/>
      <c r="G440" s="449"/>
      <c r="H440" s="449"/>
      <c r="I440" s="449"/>
      <c r="J440" s="449"/>
      <c r="K440" s="448"/>
      <c r="L440" s="449"/>
      <c r="M440" s="449"/>
      <c r="N440" s="449"/>
      <c r="O440" s="449"/>
      <c r="P440" s="448"/>
      <c r="Q440" s="449"/>
      <c r="R440" s="449"/>
      <c r="S440" s="449"/>
      <c r="T440" s="449"/>
      <c r="U440" s="448"/>
      <c r="V440" s="449">
        <f t="shared" ref="V440:AU440" si="767">-V439/SUM(V36:V39,V41)</f>
        <v>5.1101434426229511E-2</v>
      </c>
      <c r="W440" s="449">
        <f t="shared" si="767"/>
        <v>4.8198757763975156E-2</v>
      </c>
      <c r="X440" s="449">
        <f t="shared" si="767"/>
        <v>5.1316761014029044E-2</v>
      </c>
      <c r="Y440" s="449">
        <f t="shared" si="767"/>
        <v>5.0770625566636446E-2</v>
      </c>
      <c r="Z440" s="448">
        <f t="shared" si="767"/>
        <v>5.033906323923671E-2</v>
      </c>
      <c r="AA440" s="449">
        <f t="shared" si="767"/>
        <v>5.3687969461888932E-2</v>
      </c>
      <c r="AB440" s="449">
        <f t="shared" si="767"/>
        <v>5.1493806169540926E-2</v>
      </c>
      <c r="AC440" s="449">
        <f t="shared" si="767"/>
        <v>5.635103926096998E-2</v>
      </c>
      <c r="AD440" s="449">
        <f t="shared" si="767"/>
        <v>5.2756372258446947E-2</v>
      </c>
      <c r="AE440" s="448">
        <f t="shared" si="767"/>
        <v>5.3602391629297461E-2</v>
      </c>
      <c r="AF440" s="449">
        <f t="shared" si="767"/>
        <v>5.2860411899313502E-2</v>
      </c>
      <c r="AG440" s="449">
        <f t="shared" si="767"/>
        <v>4.993771939757672E-2</v>
      </c>
      <c r="AH440" s="449">
        <f t="shared" si="767"/>
        <v>5.4292343387471E-2</v>
      </c>
      <c r="AI440" s="449">
        <f t="shared" si="767"/>
        <v>5.0889977302592281E-2</v>
      </c>
      <c r="AJ440" s="448">
        <f t="shared" si="767"/>
        <v>5.1993518893582551E-2</v>
      </c>
      <c r="AK440" s="449">
        <f t="shared" si="767"/>
        <v>5.0018078823671208E-2</v>
      </c>
      <c r="AL440" s="449">
        <f t="shared" si="767"/>
        <v>4.8283885980221056E-2</v>
      </c>
      <c r="AM440" s="449">
        <f t="shared" si="767"/>
        <v>5.091988130563798E-2</v>
      </c>
      <c r="AN440" s="449">
        <f t="shared" si="767"/>
        <v>4.7172025346162876E-2</v>
      </c>
      <c r="AO440" s="448">
        <f t="shared" si="767"/>
        <v>4.9085374863323386E-2</v>
      </c>
      <c r="AP440" s="449">
        <f t="shared" si="767"/>
        <v>5.3673971639517169E-2</v>
      </c>
      <c r="AQ440" s="449">
        <f t="shared" si="767"/>
        <v>6.3918601617531962E-2</v>
      </c>
      <c r="AR440" s="449">
        <f t="shared" si="767"/>
        <v>6.3376332024677504E-2</v>
      </c>
      <c r="AS440" s="449">
        <f t="shared" si="767"/>
        <v>6.2991266375545849E-2</v>
      </c>
      <c r="AT440" s="448">
        <f t="shared" si="767"/>
        <v>6.0979167882359804E-2</v>
      </c>
      <c r="AU440" s="784">
        <f t="shared" si="767"/>
        <v>6.6054658647251241E-2</v>
      </c>
      <c r="AV440" s="952">
        <f>Drivers!AV83</f>
        <v>0.06</v>
      </c>
      <c r="AW440" s="952">
        <f>Drivers!AW83</f>
        <v>0.06</v>
      </c>
      <c r="AX440" s="952">
        <f>Drivers!AX83</f>
        <v>0.06</v>
      </c>
      <c r="AY440" s="448">
        <f>-AY439/SUM(AY36:AY39,AY41)</f>
        <v>6.1572305932701035E-2</v>
      </c>
      <c r="AZ440" s="952">
        <f>Drivers!AZ83</f>
        <v>0.06</v>
      </c>
      <c r="BA440" s="952">
        <f>Drivers!BA83</f>
        <v>0.06</v>
      </c>
      <c r="BB440" s="952">
        <f>Drivers!BB83</f>
        <v>0.06</v>
      </c>
      <c r="BC440" s="952">
        <f>Drivers!BC83</f>
        <v>0.06</v>
      </c>
      <c r="BD440" s="448">
        <f>-BD439/SUM(BD36:BD39,BD41)</f>
        <v>5.9999999999999984E-2</v>
      </c>
      <c r="BE440" s="952">
        <f>Drivers!BE83</f>
        <v>6.0000000000000012E-2</v>
      </c>
      <c r="BF440" s="952">
        <f>Drivers!BF83</f>
        <v>6.0000000000000012E-2</v>
      </c>
      <c r="BG440" s="952">
        <f>Drivers!BG83</f>
        <v>6.0000000000000012E-2</v>
      </c>
      <c r="BH440" s="442"/>
    </row>
    <row r="441" spans="1:60" s="443" customFormat="1" hidden="1" outlineLevel="1" x14ac:dyDescent="0.35">
      <c r="A441" s="243"/>
      <c r="B441" s="447"/>
      <c r="C441" s="448"/>
      <c r="D441" s="448"/>
      <c r="E441" s="448"/>
      <c r="F441" s="448"/>
      <c r="G441" s="449"/>
      <c r="H441" s="449"/>
      <c r="I441" s="449"/>
      <c r="J441" s="449"/>
      <c r="K441" s="448"/>
      <c r="L441" s="449"/>
      <c r="M441" s="449"/>
      <c r="N441" s="449"/>
      <c r="O441" s="449"/>
      <c r="P441" s="448"/>
      <c r="Q441" s="449"/>
      <c r="R441" s="449"/>
      <c r="S441" s="449"/>
      <c r="T441" s="449"/>
      <c r="U441" s="448"/>
      <c r="V441" s="449"/>
      <c r="W441" s="449"/>
      <c r="X441" s="449"/>
      <c r="Y441" s="449"/>
      <c r="Z441" s="448"/>
      <c r="AA441" s="449"/>
      <c r="AB441" s="449"/>
      <c r="AC441" s="449"/>
      <c r="AD441" s="449"/>
      <c r="AE441" s="448"/>
      <c r="AF441" s="449"/>
      <c r="AG441" s="449"/>
      <c r="AH441" s="449"/>
      <c r="AI441" s="449"/>
      <c r="AJ441" s="448"/>
      <c r="AK441" s="449"/>
      <c r="AL441" s="449"/>
      <c r="AM441" s="449"/>
      <c r="AN441" s="449"/>
      <c r="AO441" s="448"/>
      <c r="AP441" s="449"/>
      <c r="AQ441" s="449"/>
      <c r="AR441" s="449"/>
      <c r="AS441" s="449"/>
      <c r="AT441" s="448"/>
      <c r="AU441" s="784"/>
      <c r="AV441" s="449"/>
      <c r="AW441" s="449"/>
      <c r="AX441" s="449"/>
      <c r="AY441" s="448"/>
      <c r="AZ441" s="449"/>
      <c r="BA441" s="449"/>
      <c r="BB441" s="449"/>
      <c r="BC441" s="449"/>
      <c r="BD441" s="448"/>
      <c r="BE441" s="448"/>
      <c r="BF441" s="448"/>
      <c r="BG441" s="448"/>
      <c r="BH441" s="442"/>
    </row>
    <row r="442" spans="1:60" s="69" customFormat="1" hidden="1" outlineLevel="1" x14ac:dyDescent="0.35">
      <c r="A442" s="426" t="s">
        <v>783</v>
      </c>
      <c r="B442" s="518"/>
      <c r="C442" s="519"/>
      <c r="D442" s="519"/>
      <c r="E442" s="519"/>
      <c r="F442" s="519"/>
      <c r="G442" s="520"/>
      <c r="H442" s="520"/>
      <c r="I442" s="520"/>
      <c r="J442" s="520"/>
      <c r="K442" s="519"/>
      <c r="L442" s="520"/>
      <c r="M442" s="520"/>
      <c r="N442" s="520"/>
      <c r="O442" s="520"/>
      <c r="P442" s="519"/>
      <c r="Q442" s="520"/>
      <c r="R442" s="520"/>
      <c r="S442" s="520"/>
      <c r="T442" s="520"/>
      <c r="U442" s="519"/>
      <c r="V442" s="520">
        <f t="shared" ref="V442:AT442" si="768">V61</f>
        <v>-98</v>
      </c>
      <c r="W442" s="520">
        <f t="shared" si="768"/>
        <v>-93</v>
      </c>
      <c r="X442" s="520">
        <f t="shared" si="768"/>
        <v>-106</v>
      </c>
      <c r="Y442" s="520">
        <f t="shared" si="768"/>
        <v>-98</v>
      </c>
      <c r="Z442" s="519">
        <f t="shared" si="768"/>
        <v>-395</v>
      </c>
      <c r="AA442" s="520">
        <f t="shared" si="768"/>
        <v>-107</v>
      </c>
      <c r="AB442" s="520">
        <f t="shared" si="768"/>
        <v>-106</v>
      </c>
      <c r="AC442" s="520">
        <f t="shared" si="768"/>
        <v>-130</v>
      </c>
      <c r="AD442" s="520">
        <f t="shared" si="768"/>
        <v>-115</v>
      </c>
      <c r="AE442" s="519">
        <f t="shared" si="768"/>
        <v>-458</v>
      </c>
      <c r="AF442" s="520">
        <f t="shared" si="768"/>
        <v>-114</v>
      </c>
      <c r="AG442" s="520">
        <f t="shared" si="768"/>
        <v>-102</v>
      </c>
      <c r="AH442" s="520">
        <f t="shared" si="768"/>
        <v>-125</v>
      </c>
      <c r="AI442" s="520">
        <f t="shared" si="768"/>
        <v>-107</v>
      </c>
      <c r="AJ442" s="519">
        <f t="shared" si="768"/>
        <v>-448</v>
      </c>
      <c r="AK442" s="520">
        <f t="shared" si="768"/>
        <v>-97</v>
      </c>
      <c r="AL442" s="520">
        <f t="shared" si="768"/>
        <v>-100</v>
      </c>
      <c r="AM442" s="520">
        <f t="shared" si="768"/>
        <v>-111</v>
      </c>
      <c r="AN442" s="520">
        <f t="shared" si="768"/>
        <v>-101</v>
      </c>
      <c r="AO442" s="519">
        <f t="shared" si="768"/>
        <v>-409</v>
      </c>
      <c r="AP442" s="520">
        <f t="shared" si="768"/>
        <v>-116</v>
      </c>
      <c r="AQ442" s="520">
        <f t="shared" si="768"/>
        <v>-123</v>
      </c>
      <c r="AR442" s="520">
        <f t="shared" si="768"/>
        <v>-145</v>
      </c>
      <c r="AS442" s="520">
        <f t="shared" si="768"/>
        <v>-150</v>
      </c>
      <c r="AT442" s="519">
        <f t="shared" si="768"/>
        <v>-534</v>
      </c>
      <c r="AU442" s="766">
        <f t="shared" ref="AU442" si="769">AU61</f>
        <v>-159</v>
      </c>
      <c r="AV442" s="520">
        <f>AV439*AV443</f>
        <v>-122.3652</v>
      </c>
      <c r="AW442" s="520">
        <f>AW439*AW443</f>
        <v>-139.55699999999999</v>
      </c>
      <c r="AX442" s="520">
        <f>AX439*AX443</f>
        <v>-143.33535000000001</v>
      </c>
      <c r="AY442" s="519">
        <f>SUM(AU442,AV442,AW442,AX442)</f>
        <v>-564.25755000000004</v>
      </c>
      <c r="AZ442" s="520">
        <f>AZ439*AZ443</f>
        <v>-151.34332499999999</v>
      </c>
      <c r="BA442" s="520">
        <f>BA439*BA443</f>
        <v>-130.18349175</v>
      </c>
      <c r="BB442" s="520">
        <f>BB439*BB443</f>
        <v>-148.53190799999999</v>
      </c>
      <c r="BC442" s="520">
        <f>BC439*BC443</f>
        <v>-152.54807549999998</v>
      </c>
      <c r="BD442" s="519">
        <f>SUM(AZ442,BA442,BB442,BC442)</f>
        <v>-582.60680024999988</v>
      </c>
      <c r="BE442" s="519">
        <f>BE439*BE443</f>
        <v>-620.11135622625011</v>
      </c>
      <c r="BF442" s="519">
        <f>BF439*BF443</f>
        <v>-660.13474958188124</v>
      </c>
      <c r="BG442" s="519">
        <f>BG439*BG443</f>
        <v>-702.85219003245447</v>
      </c>
      <c r="BH442" s="79"/>
    </row>
    <row r="443" spans="1:60" s="443" customFormat="1" hidden="1" outlineLevel="1" x14ac:dyDescent="0.35">
      <c r="A443" s="243" t="s">
        <v>784</v>
      </c>
      <c r="B443" s="447"/>
      <c r="C443" s="448"/>
      <c r="D443" s="448"/>
      <c r="E443" s="448"/>
      <c r="F443" s="448"/>
      <c r="G443" s="449"/>
      <c r="H443" s="449"/>
      <c r="I443" s="449"/>
      <c r="J443" s="449"/>
      <c r="K443" s="448"/>
      <c r="L443" s="449"/>
      <c r="M443" s="449"/>
      <c r="N443" s="449"/>
      <c r="O443" s="449"/>
      <c r="P443" s="448"/>
      <c r="Q443" s="449"/>
      <c r="R443" s="449"/>
      <c r="S443" s="449"/>
      <c r="T443" s="449"/>
      <c r="U443" s="448"/>
      <c r="V443" s="449">
        <f t="shared" ref="V443:AU443" si="770">V442/V439</f>
        <v>0.24561403508771928</v>
      </c>
      <c r="W443" s="449">
        <f t="shared" si="770"/>
        <v>0.23969072164948454</v>
      </c>
      <c r="X443" s="449">
        <f t="shared" si="770"/>
        <v>0.25419664268585129</v>
      </c>
      <c r="Y443" s="449">
        <f t="shared" si="770"/>
        <v>0.25</v>
      </c>
      <c r="Z443" s="448">
        <f t="shared" si="770"/>
        <v>0.2474937343358396</v>
      </c>
      <c r="AA443" s="449">
        <f t="shared" si="770"/>
        <v>0.24541284403669725</v>
      </c>
      <c r="AB443" s="449">
        <f t="shared" si="770"/>
        <v>0.25</v>
      </c>
      <c r="AC443" s="449">
        <f t="shared" si="770"/>
        <v>0.26639344262295084</v>
      </c>
      <c r="AD443" s="449">
        <f t="shared" si="770"/>
        <v>0.25842696629213485</v>
      </c>
      <c r="AE443" s="448">
        <f t="shared" si="770"/>
        <v>0.25543781372002233</v>
      </c>
      <c r="AF443" s="449">
        <f t="shared" si="770"/>
        <v>0.24675324675324675</v>
      </c>
      <c r="AG443" s="449">
        <f t="shared" si="770"/>
        <v>0.23129251700680273</v>
      </c>
      <c r="AH443" s="449">
        <f t="shared" si="770"/>
        <v>0.26709401709401709</v>
      </c>
      <c r="AI443" s="449">
        <f t="shared" si="770"/>
        <v>0.25117370892018781</v>
      </c>
      <c r="AJ443" s="448">
        <f t="shared" si="770"/>
        <v>0.24930439621591541</v>
      </c>
      <c r="AK443" s="449">
        <f t="shared" si="770"/>
        <v>0.23373493975903614</v>
      </c>
      <c r="AL443" s="449">
        <f t="shared" si="770"/>
        <v>0.24096385542168675</v>
      </c>
      <c r="AM443" s="449">
        <f t="shared" si="770"/>
        <v>0.25874125874125875</v>
      </c>
      <c r="AN443" s="449">
        <f t="shared" si="770"/>
        <v>0.25124378109452739</v>
      </c>
      <c r="AO443" s="448">
        <f t="shared" si="770"/>
        <v>0.24623720650210718</v>
      </c>
      <c r="AP443" s="449">
        <f t="shared" si="770"/>
        <v>0.25327510917030566</v>
      </c>
      <c r="AQ443" s="449">
        <f t="shared" si="770"/>
        <v>0.25102040816326532</v>
      </c>
      <c r="AR443" s="449">
        <f t="shared" si="770"/>
        <v>0.25663716814159293</v>
      </c>
      <c r="AS443" s="449">
        <f t="shared" si="770"/>
        <v>0.25996533795493937</v>
      </c>
      <c r="AT443" s="448">
        <f t="shared" si="770"/>
        <v>0.25550239234449762</v>
      </c>
      <c r="AU443" s="784">
        <f t="shared" si="770"/>
        <v>0.2539936102236422</v>
      </c>
      <c r="AV443" s="952">
        <f>Drivers!AV84</f>
        <v>0.25</v>
      </c>
      <c r="AW443" s="952">
        <f>Drivers!AW84</f>
        <v>0.25</v>
      </c>
      <c r="AX443" s="952">
        <f>Drivers!AX84</f>
        <v>0.25</v>
      </c>
      <c r="AY443" s="448">
        <f>AY442/AY439</f>
        <v>0.25111257961730998</v>
      </c>
      <c r="AZ443" s="952">
        <f>Drivers!AZ84</f>
        <v>0.25</v>
      </c>
      <c r="BA443" s="952">
        <f>Drivers!BA84</f>
        <v>0.25</v>
      </c>
      <c r="BB443" s="952">
        <f>Drivers!BB84</f>
        <v>0.25</v>
      </c>
      <c r="BC443" s="952">
        <f>Drivers!BC84</f>
        <v>0.25</v>
      </c>
      <c r="BD443" s="448">
        <f>BD442/BD439</f>
        <v>0.25</v>
      </c>
      <c r="BE443" s="952">
        <f>Drivers!BE84</f>
        <v>0.25</v>
      </c>
      <c r="BF443" s="952">
        <f>Drivers!BF84</f>
        <v>0.25</v>
      </c>
      <c r="BG443" s="952">
        <f>Drivers!BG84</f>
        <v>0.25</v>
      </c>
      <c r="BH443" s="442"/>
    </row>
    <row r="444" spans="1:60" s="69" customFormat="1" collapsed="1" x14ac:dyDescent="0.35">
      <c r="A444" s="426"/>
      <c r="B444" s="518"/>
      <c r="C444" s="519"/>
      <c r="D444" s="519"/>
      <c r="E444" s="519"/>
      <c r="F444" s="519"/>
      <c r="G444" s="520"/>
      <c r="H444" s="520"/>
      <c r="I444" s="520"/>
      <c r="J444" s="520"/>
      <c r="K444" s="519"/>
      <c r="L444" s="520"/>
      <c r="M444" s="520"/>
      <c r="N444" s="520"/>
      <c r="O444" s="520"/>
      <c r="P444" s="519"/>
      <c r="Q444" s="520"/>
      <c r="R444" s="520"/>
      <c r="S444" s="520"/>
      <c r="T444" s="520"/>
      <c r="U444" s="519"/>
      <c r="V444" s="520"/>
      <c r="W444" s="520"/>
      <c r="X444" s="520"/>
      <c r="Y444" s="520"/>
      <c r="Z444" s="519"/>
      <c r="AA444" s="520"/>
      <c r="AB444" s="520"/>
      <c r="AC444" s="520"/>
      <c r="AD444" s="520"/>
      <c r="AE444" s="519"/>
      <c r="AF444" s="520"/>
      <c r="AG444" s="520"/>
      <c r="AH444" s="520"/>
      <c r="AI444" s="520"/>
      <c r="AJ444" s="519"/>
      <c r="AK444" s="520"/>
      <c r="AL444" s="520"/>
      <c r="AM444" s="520"/>
      <c r="AN444" s="520"/>
      <c r="AO444" s="519"/>
      <c r="AP444" s="520"/>
      <c r="AQ444" s="520"/>
      <c r="AR444" s="520"/>
      <c r="AS444" s="520"/>
      <c r="AT444" s="519"/>
      <c r="AU444" s="766"/>
      <c r="AV444" s="520"/>
      <c r="AW444" s="520"/>
      <c r="AX444" s="520"/>
      <c r="AY444" s="519"/>
      <c r="AZ444" s="520"/>
      <c r="BA444" s="520"/>
      <c r="BB444" s="520"/>
      <c r="BC444" s="520"/>
      <c r="BD444" s="519"/>
      <c r="BE444" s="519"/>
      <c r="BF444" s="519"/>
      <c r="BG444" s="519"/>
      <c r="BH444" s="79"/>
    </row>
    <row r="445" spans="1:60" s="21" customFormat="1" x14ac:dyDescent="0.35">
      <c r="A445" s="746" t="s">
        <v>585</v>
      </c>
      <c r="B445" s="746"/>
      <c r="C445" s="874"/>
      <c r="D445" s="874"/>
      <c r="E445" s="874"/>
      <c r="F445" s="874"/>
      <c r="G445" s="874"/>
      <c r="H445" s="874"/>
      <c r="I445" s="874"/>
      <c r="J445" s="874"/>
      <c r="K445" s="874"/>
      <c r="L445" s="874"/>
      <c r="M445" s="874"/>
      <c r="N445" s="874"/>
      <c r="O445" s="874"/>
      <c r="P445" s="874"/>
      <c r="Q445" s="874"/>
      <c r="R445" s="874"/>
      <c r="S445" s="874"/>
      <c r="T445" s="874"/>
      <c r="U445" s="874"/>
      <c r="V445" s="874"/>
      <c r="W445" s="874"/>
      <c r="X445" s="874"/>
      <c r="Y445" s="874"/>
      <c r="Z445" s="874"/>
      <c r="AA445" s="874"/>
      <c r="AB445" s="874"/>
      <c r="AC445" s="874"/>
      <c r="AD445" s="874"/>
      <c r="AE445" s="874"/>
      <c r="AF445" s="874"/>
      <c r="AG445" s="874"/>
      <c r="AH445" s="874"/>
      <c r="AI445" s="874"/>
      <c r="AJ445" s="874"/>
      <c r="AK445" s="874"/>
      <c r="AL445" s="874"/>
      <c r="AM445" s="874"/>
      <c r="AN445" s="874"/>
      <c r="AO445" s="874"/>
      <c r="AP445" s="874"/>
      <c r="AQ445" s="874"/>
      <c r="AR445" s="874"/>
      <c r="AS445" s="874"/>
      <c r="AT445" s="874"/>
      <c r="AU445" s="875"/>
      <c r="AV445" s="874"/>
      <c r="AW445" s="874"/>
      <c r="AX445" s="874"/>
      <c r="AY445" s="874"/>
      <c r="AZ445" s="874"/>
      <c r="BA445" s="874"/>
      <c r="BB445" s="874"/>
      <c r="BC445" s="874"/>
      <c r="BD445" s="874"/>
      <c r="BE445" s="874"/>
      <c r="BF445" s="874"/>
      <c r="BG445" s="874"/>
      <c r="BH445" s="651"/>
    </row>
    <row r="446" spans="1:60" s="262" customFormat="1" hidden="1" outlineLevel="2" x14ac:dyDescent="0.35">
      <c r="A446" s="514" t="s">
        <v>527</v>
      </c>
      <c r="B446" s="312"/>
      <c r="C446" s="105">
        <v>-0.11899999999999999</v>
      </c>
      <c r="D446" s="105">
        <v>7.0000000000000007E-2</v>
      </c>
      <c r="E446" s="105">
        <v>0.04</v>
      </c>
      <c r="F446" s="105">
        <v>2.1000000000000001E-2</v>
      </c>
      <c r="G446" s="200"/>
      <c r="H446" s="200"/>
      <c r="I446" s="200"/>
      <c r="J446" s="200"/>
      <c r="K446" s="105">
        <v>2.4E-2</v>
      </c>
      <c r="L446" s="200">
        <v>2.1999999999999999E-2</v>
      </c>
      <c r="M446" s="200">
        <v>3.5999999999999997E-2</v>
      </c>
      <c r="N446" s="200">
        <v>5.8000000000000003E-2</v>
      </c>
      <c r="O446" s="200">
        <v>6.3E-2</v>
      </c>
      <c r="P446" s="105">
        <v>4.3999999999999997E-2</v>
      </c>
      <c r="Q446" s="200">
        <v>2.5000000000000001E-2</v>
      </c>
      <c r="R446" s="200">
        <v>3.9E-2</v>
      </c>
      <c r="S446" s="200">
        <v>1.2E-2</v>
      </c>
      <c r="T446" s="200">
        <v>-0.01</v>
      </c>
      <c r="U446" s="105">
        <v>1.7000000000000001E-2</v>
      </c>
      <c r="V446" s="200">
        <v>3.0000000000000001E-3</v>
      </c>
      <c r="W446" s="200">
        <v>1E-3</v>
      </c>
      <c r="X446" s="200">
        <v>-1E-3</v>
      </c>
      <c r="Y446" s="200">
        <v>1.9E-2</v>
      </c>
      <c r="Z446" s="105">
        <v>7.0000000000000001E-3</v>
      </c>
      <c r="AA446" s="200">
        <v>1.7000000000000001E-2</v>
      </c>
      <c r="AB446" s="200">
        <v>2.3E-2</v>
      </c>
      <c r="AC446" s="200">
        <v>3.7999999999999999E-2</v>
      </c>
      <c r="AD446" s="200">
        <v>3.1E-2</v>
      </c>
      <c r="AE446" s="105">
        <v>2.8000000000000001E-2</v>
      </c>
      <c r="AF446" s="200">
        <v>1.4999999999999999E-2</v>
      </c>
      <c r="AG446" s="200">
        <v>4.5999999999999999E-2</v>
      </c>
      <c r="AH446" s="200">
        <v>-8.9999999999999993E-3</v>
      </c>
      <c r="AI446" s="200">
        <v>3.1E-2</v>
      </c>
      <c r="AJ446" s="105">
        <v>2.1000000000000001E-2</v>
      </c>
      <c r="AK446" s="200">
        <v>-1.2E-2</v>
      </c>
      <c r="AL446" s="200">
        <v>-1E-3</v>
      </c>
      <c r="AM446" s="200">
        <v>-1.4999999999999999E-2</v>
      </c>
      <c r="AN446" s="200">
        <v>-4.5999999999999999E-2</v>
      </c>
      <c r="AO446" s="105">
        <v>-1.9E-2</v>
      </c>
      <c r="AP446" s="200"/>
      <c r="AQ446" s="200"/>
      <c r="AR446" s="200"/>
      <c r="AS446" s="200"/>
      <c r="AT446" s="105"/>
      <c r="AU446" s="761"/>
      <c r="AV446" s="200"/>
      <c r="AW446" s="200"/>
      <c r="AX446" s="200"/>
      <c r="AY446" s="105"/>
      <c r="AZ446" s="200"/>
      <c r="BA446" s="200"/>
      <c r="BB446" s="200"/>
      <c r="BC446" s="200"/>
      <c r="BD446" s="105"/>
      <c r="BE446" s="105"/>
      <c r="BF446" s="105"/>
      <c r="BG446" s="105"/>
      <c r="BH446" s="363"/>
    </row>
    <row r="447" spans="1:60" s="262" customFormat="1" hidden="1" outlineLevel="2" x14ac:dyDescent="0.35">
      <c r="A447" s="514" t="s">
        <v>528</v>
      </c>
      <c r="B447" s="312"/>
      <c r="C447" s="105">
        <v>2.5000000000000001E-2</v>
      </c>
      <c r="D447" s="105">
        <v>1E-3</v>
      </c>
      <c r="E447" s="105">
        <v>1.9E-2</v>
      </c>
      <c r="F447" s="105">
        <v>2.1000000000000001E-2</v>
      </c>
      <c r="G447" s="200"/>
      <c r="H447" s="200"/>
      <c r="I447" s="200"/>
      <c r="J447" s="200"/>
      <c r="K447" s="105">
        <v>7.0000000000000001E-3</v>
      </c>
      <c r="L447" s="200">
        <v>4.0000000000000001E-3</v>
      </c>
      <c r="M447" s="200">
        <v>8.9999999999999993E-3</v>
      </c>
      <c r="N447" s="200">
        <v>2E-3</v>
      </c>
      <c r="O447" s="200">
        <v>3.0000000000000001E-3</v>
      </c>
      <c r="P447" s="105">
        <v>5.0000000000000001E-3</v>
      </c>
      <c r="Q447" s="200">
        <v>6.0000000000000001E-3</v>
      </c>
      <c r="R447" s="200">
        <v>2E-3</v>
      </c>
      <c r="S447" s="200">
        <v>3.0000000000000001E-3</v>
      </c>
      <c r="T447" s="200">
        <v>6.0000000000000001E-3</v>
      </c>
      <c r="U447" s="105">
        <v>4.0000000000000001E-3</v>
      </c>
      <c r="V447" s="200"/>
      <c r="W447" s="200">
        <v>3.0000000000000001E-3</v>
      </c>
      <c r="X447" s="200">
        <v>-2E-3</v>
      </c>
      <c r="Y447" s="200">
        <v>-7.0000000000000001E-3</v>
      </c>
      <c r="Z447" s="105">
        <v>-2E-3</v>
      </c>
      <c r="AA447" s="200">
        <v>-3.0000000000000001E-3</v>
      </c>
      <c r="AB447" s="200">
        <v>-4.0000000000000001E-3</v>
      </c>
      <c r="AC447" s="200">
        <v>-2E-3</v>
      </c>
      <c r="AD447" s="200">
        <v>-3.0000000000000001E-3</v>
      </c>
      <c r="AE447" s="105">
        <v>-3.0000000000000001E-3</v>
      </c>
      <c r="AF447" s="200">
        <v>8.0000000000000002E-3</v>
      </c>
      <c r="AG447" s="200">
        <v>0.01</v>
      </c>
      <c r="AH447" s="200">
        <v>1.4E-2</v>
      </c>
      <c r="AI447" s="200">
        <v>1.2999999999999999E-2</v>
      </c>
      <c r="AJ447" s="105">
        <v>1.0999999999999999E-2</v>
      </c>
      <c r="AK447" s="200">
        <v>8.0000000000000002E-3</v>
      </c>
      <c r="AL447" s="200">
        <v>2E-3</v>
      </c>
      <c r="AM447" s="200">
        <v>4.0000000000000001E-3</v>
      </c>
      <c r="AN447" s="200">
        <v>1.7000000000000001E-2</v>
      </c>
      <c r="AO447" s="105">
        <v>8.0000000000000002E-3</v>
      </c>
      <c r="AP447" s="200"/>
      <c r="AQ447" s="200"/>
      <c r="AR447" s="200"/>
      <c r="AS447" s="200"/>
      <c r="AT447" s="105"/>
      <c r="AU447" s="761"/>
      <c r="AV447" s="200"/>
      <c r="AW447" s="200"/>
      <c r="AX447" s="200"/>
      <c r="AY447" s="105"/>
      <c r="AZ447" s="200"/>
      <c r="BA447" s="200"/>
      <c r="BB447" s="200"/>
      <c r="BC447" s="200"/>
      <c r="BD447" s="105"/>
      <c r="BE447" s="105"/>
      <c r="BF447" s="105"/>
      <c r="BG447" s="105"/>
      <c r="BH447" s="363"/>
    </row>
    <row r="448" spans="1:60" s="262" customFormat="1" hidden="1" outlineLevel="2" x14ac:dyDescent="0.35">
      <c r="A448" s="509" t="s">
        <v>529</v>
      </c>
      <c r="B448" s="510"/>
      <c r="C448" s="511">
        <f>SUM(C446:C447)</f>
        <v>-9.4E-2</v>
      </c>
      <c r="D448" s="511">
        <f>SUM(D446:D447)</f>
        <v>7.1000000000000008E-2</v>
      </c>
      <c r="E448" s="511">
        <f>SUM(E446:E447)</f>
        <v>5.8999999999999997E-2</v>
      </c>
      <c r="F448" s="511">
        <f>SUM(F446:F447)</f>
        <v>4.2000000000000003E-2</v>
      </c>
      <c r="G448" s="512"/>
      <c r="H448" s="512"/>
      <c r="I448" s="512"/>
      <c r="J448" s="512"/>
      <c r="K448" s="511">
        <f t="shared" ref="K448:AO448" si="771">SUM(K446:K447)</f>
        <v>3.1E-2</v>
      </c>
      <c r="L448" s="512">
        <f t="shared" si="771"/>
        <v>2.5999999999999999E-2</v>
      </c>
      <c r="M448" s="512">
        <f t="shared" si="771"/>
        <v>4.4999999999999998E-2</v>
      </c>
      <c r="N448" s="512">
        <f t="shared" si="771"/>
        <v>6.0000000000000005E-2</v>
      </c>
      <c r="O448" s="512">
        <f t="shared" si="771"/>
        <v>6.6000000000000003E-2</v>
      </c>
      <c r="P448" s="511">
        <f t="shared" si="771"/>
        <v>4.8999999999999995E-2</v>
      </c>
      <c r="Q448" s="512">
        <f t="shared" si="771"/>
        <v>3.1E-2</v>
      </c>
      <c r="R448" s="512">
        <f t="shared" si="771"/>
        <v>4.1000000000000002E-2</v>
      </c>
      <c r="S448" s="512">
        <f t="shared" si="771"/>
        <v>1.4999999999999999E-2</v>
      </c>
      <c r="T448" s="512">
        <f t="shared" si="771"/>
        <v>-4.0000000000000001E-3</v>
      </c>
      <c r="U448" s="511">
        <f t="shared" si="771"/>
        <v>2.1000000000000001E-2</v>
      </c>
      <c r="V448" s="512">
        <f t="shared" si="771"/>
        <v>3.0000000000000001E-3</v>
      </c>
      <c r="W448" s="512">
        <f t="shared" si="771"/>
        <v>4.0000000000000001E-3</v>
      </c>
      <c r="X448" s="512">
        <f t="shared" si="771"/>
        <v>-3.0000000000000001E-3</v>
      </c>
      <c r="Y448" s="512">
        <f t="shared" si="771"/>
        <v>1.2E-2</v>
      </c>
      <c r="Z448" s="511">
        <f t="shared" si="771"/>
        <v>5.0000000000000001E-3</v>
      </c>
      <c r="AA448" s="512">
        <f t="shared" si="771"/>
        <v>1.4000000000000002E-2</v>
      </c>
      <c r="AB448" s="512">
        <f t="shared" si="771"/>
        <v>1.9E-2</v>
      </c>
      <c r="AC448" s="512">
        <f t="shared" si="771"/>
        <v>3.5999999999999997E-2</v>
      </c>
      <c r="AD448" s="512">
        <f t="shared" si="771"/>
        <v>2.8000000000000001E-2</v>
      </c>
      <c r="AE448" s="511">
        <f t="shared" si="771"/>
        <v>2.5000000000000001E-2</v>
      </c>
      <c r="AF448" s="512">
        <f t="shared" si="771"/>
        <v>2.3E-2</v>
      </c>
      <c r="AG448" s="512">
        <f t="shared" si="771"/>
        <v>5.6000000000000001E-2</v>
      </c>
      <c r="AH448" s="512">
        <f t="shared" si="771"/>
        <v>5.000000000000001E-3</v>
      </c>
      <c r="AI448" s="512">
        <f t="shared" si="771"/>
        <v>4.3999999999999997E-2</v>
      </c>
      <c r="AJ448" s="511">
        <f t="shared" si="771"/>
        <v>3.2000000000000001E-2</v>
      </c>
      <c r="AK448" s="512">
        <f t="shared" si="771"/>
        <v>-4.0000000000000001E-3</v>
      </c>
      <c r="AL448" s="512">
        <f t="shared" si="771"/>
        <v>1E-3</v>
      </c>
      <c r="AM448" s="512">
        <f t="shared" si="771"/>
        <v>-1.0999999999999999E-2</v>
      </c>
      <c r="AN448" s="512">
        <f t="shared" si="771"/>
        <v>-2.8999999999999998E-2</v>
      </c>
      <c r="AO448" s="511">
        <f t="shared" si="771"/>
        <v>-1.0999999999999999E-2</v>
      </c>
      <c r="AP448" s="512"/>
      <c r="AQ448" s="512"/>
      <c r="AR448" s="512"/>
      <c r="AS448" s="512"/>
      <c r="AT448" s="511"/>
      <c r="AU448" s="785"/>
      <c r="AV448" s="512"/>
      <c r="AW448" s="512"/>
      <c r="AX448" s="512"/>
      <c r="AY448" s="511"/>
      <c r="AZ448" s="512"/>
      <c r="BA448" s="512"/>
      <c r="BB448" s="512"/>
      <c r="BC448" s="512"/>
      <c r="BD448" s="511"/>
      <c r="BE448" s="511"/>
      <c r="BF448" s="511"/>
      <c r="BG448" s="511"/>
      <c r="BH448" s="363"/>
    </row>
    <row r="449" spans="1:60" s="262" customFormat="1" hidden="1" outlineLevel="2" x14ac:dyDescent="0.35">
      <c r="A449" s="311" t="s">
        <v>530</v>
      </c>
      <c r="B449" s="312"/>
      <c r="C449" s="105">
        <v>2.4E-2</v>
      </c>
      <c r="D449" s="105">
        <v>1.0999999999999999E-2</v>
      </c>
      <c r="E449" s="105">
        <v>0.03</v>
      </c>
      <c r="F449" s="105">
        <v>8.0000000000000002E-3</v>
      </c>
      <c r="G449" s="200"/>
      <c r="H449" s="200"/>
      <c r="I449" s="200"/>
      <c r="J449" s="200"/>
      <c r="K449" s="105">
        <v>2.5000000000000001E-2</v>
      </c>
      <c r="L449" s="200"/>
      <c r="M449" s="200">
        <v>2E-3</v>
      </c>
      <c r="N449" s="200">
        <v>2E-3</v>
      </c>
      <c r="O449" s="200">
        <v>3.0000000000000001E-3</v>
      </c>
      <c r="P449" s="105">
        <v>2E-3</v>
      </c>
      <c r="Q449" s="200">
        <v>4.0000000000000001E-3</v>
      </c>
      <c r="R449" s="200">
        <v>3.0000000000000001E-3</v>
      </c>
      <c r="S449" s="200">
        <v>1.7999999999999999E-2</v>
      </c>
      <c r="T449" s="200">
        <v>2.4E-2</v>
      </c>
      <c r="U449" s="105">
        <v>1.2E-2</v>
      </c>
      <c r="V449" s="200">
        <v>2.5999999999999999E-2</v>
      </c>
      <c r="W449" s="200">
        <v>2.1000000000000001E-2</v>
      </c>
      <c r="X449" s="200">
        <v>7.0000000000000001E-3</v>
      </c>
      <c r="Y449" s="200"/>
      <c r="Z449" s="105">
        <v>1.2999999999999999E-2</v>
      </c>
      <c r="AA449" s="200"/>
      <c r="AB449" s="200"/>
      <c r="AC449" s="200"/>
      <c r="AD449" s="200">
        <v>2.1999999999999999E-2</v>
      </c>
      <c r="AE449" s="105">
        <v>5.0000000000000001E-3</v>
      </c>
      <c r="AF449" s="200">
        <v>2.5999999999999999E-2</v>
      </c>
      <c r="AG449" s="200">
        <v>2.8000000000000001E-2</v>
      </c>
      <c r="AH449" s="200">
        <v>2.3E-2</v>
      </c>
      <c r="AI449" s="200"/>
      <c r="AJ449" s="105">
        <v>1.9E-2</v>
      </c>
      <c r="AK449" s="200">
        <v>1.4999999999999999E-2</v>
      </c>
      <c r="AL449" s="200">
        <v>2.1999999999999999E-2</v>
      </c>
      <c r="AM449" s="200">
        <v>2.1000000000000001E-2</v>
      </c>
      <c r="AN449" s="200">
        <v>0.106</v>
      </c>
      <c r="AO449" s="105">
        <v>4.1000000000000002E-2</v>
      </c>
      <c r="AP449" s="200"/>
      <c r="AQ449" s="200"/>
      <c r="AR449" s="200"/>
      <c r="AS449" s="200"/>
      <c r="AT449" s="105"/>
      <c r="AU449" s="761"/>
      <c r="AV449" s="200"/>
      <c r="AW449" s="200"/>
      <c r="AX449" s="200"/>
      <c r="AY449" s="105"/>
      <c r="AZ449" s="200"/>
      <c r="BA449" s="200"/>
      <c r="BB449" s="200"/>
      <c r="BC449" s="200"/>
      <c r="BD449" s="105"/>
      <c r="BE449" s="105"/>
      <c r="BF449" s="105"/>
      <c r="BG449" s="105"/>
      <c r="BH449" s="363"/>
    </row>
    <row r="450" spans="1:60" s="262" customFormat="1" hidden="1" outlineLevel="2" x14ac:dyDescent="0.35">
      <c r="A450" s="311" t="s">
        <v>531</v>
      </c>
      <c r="B450" s="312"/>
      <c r="C450" s="105">
        <v>-3.0000000000000001E-3</v>
      </c>
      <c r="D450" s="105"/>
      <c r="E450" s="105"/>
      <c r="F450" s="105"/>
      <c r="G450" s="200"/>
      <c r="H450" s="200"/>
      <c r="I450" s="200"/>
      <c r="J450" s="200"/>
      <c r="K450" s="105">
        <v>-1E-3</v>
      </c>
      <c r="L450" s="200">
        <v>-1E-3</v>
      </c>
      <c r="M450" s="200">
        <v>-1E-3</v>
      </c>
      <c r="N450" s="200"/>
      <c r="O450" s="200"/>
      <c r="P450" s="105">
        <v>-1E-3</v>
      </c>
      <c r="Q450" s="200">
        <v>-3.0000000000000001E-3</v>
      </c>
      <c r="R450" s="200">
        <v>-3.0000000000000001E-3</v>
      </c>
      <c r="S450" s="200">
        <v>-3.0000000000000001E-3</v>
      </c>
      <c r="T450" s="200">
        <v>-7.0000000000000001E-3</v>
      </c>
      <c r="U450" s="105">
        <v>-4.0000000000000001E-3</v>
      </c>
      <c r="V450" s="200">
        <v>-6.0000000000000001E-3</v>
      </c>
      <c r="W450" s="200">
        <v>-6.0000000000000001E-3</v>
      </c>
      <c r="X450" s="200">
        <v>-6.0000000000000001E-3</v>
      </c>
      <c r="Y450" s="200">
        <v>-5.0000000000000001E-3</v>
      </c>
      <c r="Z450" s="105">
        <v>-6.0000000000000001E-3</v>
      </c>
      <c r="AA450" s="200">
        <v>-8.9999999999999993E-3</v>
      </c>
      <c r="AB450" s="200">
        <v>-1.4E-2</v>
      </c>
      <c r="AC450" s="200">
        <v>-1.6E-2</v>
      </c>
      <c r="AD450" s="200">
        <v>-0.02</v>
      </c>
      <c r="AE450" s="105">
        <v>-1.4999999999999999E-2</v>
      </c>
      <c r="AF450" s="200">
        <v>-1.4E-2</v>
      </c>
      <c r="AG450" s="200">
        <v>-1.2999999999999999E-2</v>
      </c>
      <c r="AH450" s="200">
        <v>-1.4999999999999999E-2</v>
      </c>
      <c r="AI450" s="200">
        <v>-1.0999999999999999E-2</v>
      </c>
      <c r="AJ450" s="105">
        <v>-1.2999999999999999E-2</v>
      </c>
      <c r="AK450" s="200">
        <v>-0.01</v>
      </c>
      <c r="AL450" s="200">
        <v>-6.0000000000000001E-3</v>
      </c>
      <c r="AM450" s="200">
        <v>-2E-3</v>
      </c>
      <c r="AN450" s="200">
        <v>-3.0000000000000001E-3</v>
      </c>
      <c r="AO450" s="105">
        <v>-5.0000000000000001E-3</v>
      </c>
      <c r="AP450" s="200"/>
      <c r="AQ450" s="200"/>
      <c r="AR450" s="200"/>
      <c r="AS450" s="200"/>
      <c r="AT450" s="105"/>
      <c r="AU450" s="761"/>
      <c r="AV450" s="200"/>
      <c r="AW450" s="200"/>
      <c r="AX450" s="200"/>
      <c r="AY450" s="105"/>
      <c r="AZ450" s="200"/>
      <c r="BA450" s="200"/>
      <c r="BB450" s="200"/>
      <c r="BC450" s="200"/>
      <c r="BD450" s="105"/>
      <c r="BE450" s="105"/>
      <c r="BF450" s="105"/>
      <c r="BG450" s="105"/>
      <c r="BH450" s="363"/>
    </row>
    <row r="451" spans="1:60" s="262" customFormat="1" hidden="1" outlineLevel="2" x14ac:dyDescent="0.35">
      <c r="A451" s="311" t="s">
        <v>532</v>
      </c>
      <c r="B451" s="312"/>
      <c r="C451" s="105"/>
      <c r="D451" s="105"/>
      <c r="E451" s="105"/>
      <c r="F451" s="105"/>
      <c r="G451" s="200"/>
      <c r="H451" s="200"/>
      <c r="I451" s="200"/>
      <c r="J451" s="200"/>
      <c r="K451" s="105"/>
      <c r="L451" s="200"/>
      <c r="M451" s="200"/>
      <c r="N451" s="200"/>
      <c r="O451" s="200"/>
      <c r="P451" s="105"/>
      <c r="Q451" s="200"/>
      <c r="R451" s="200"/>
      <c r="S451" s="200"/>
      <c r="T451" s="200"/>
      <c r="U451" s="105"/>
      <c r="V451" s="200"/>
      <c r="W451" s="200"/>
      <c r="X451" s="200"/>
      <c r="Y451" s="200"/>
      <c r="Z451" s="105"/>
      <c r="AA451" s="200"/>
      <c r="AB451" s="200"/>
      <c r="AC451" s="200"/>
      <c r="AD451" s="200"/>
      <c r="AE451" s="105"/>
      <c r="AF451" s="200"/>
      <c r="AG451" s="200"/>
      <c r="AH451" s="200"/>
      <c r="AI451" s="200"/>
      <c r="AJ451" s="105"/>
      <c r="AK451" s="200"/>
      <c r="AL451" s="200"/>
      <c r="AM451" s="200"/>
      <c r="AN451" s="200"/>
      <c r="AO451" s="105"/>
      <c r="AP451" s="200"/>
      <c r="AQ451" s="200"/>
      <c r="AR451" s="200"/>
      <c r="AS451" s="200"/>
      <c r="AT451" s="105"/>
      <c r="AU451" s="761"/>
      <c r="AV451" s="200"/>
      <c r="AW451" s="200"/>
      <c r="AX451" s="200"/>
      <c r="AY451" s="105"/>
      <c r="AZ451" s="200"/>
      <c r="BA451" s="200"/>
      <c r="BB451" s="200"/>
      <c r="BC451" s="200"/>
      <c r="BD451" s="105"/>
      <c r="BE451" s="105"/>
      <c r="BF451" s="105"/>
      <c r="BG451" s="105"/>
      <c r="BH451" s="363"/>
    </row>
    <row r="452" spans="1:60" s="262" customFormat="1" hidden="1" outlineLevel="2" x14ac:dyDescent="0.35">
      <c r="A452" s="311" t="s">
        <v>533</v>
      </c>
      <c r="B452" s="312"/>
      <c r="C452" s="105"/>
      <c r="D452" s="105">
        <f>D453-SUM(D448:D451)</f>
        <v>3.833587965683255E-4</v>
      </c>
      <c r="E452" s="105">
        <f>E453-SUM(E448:E451)</f>
        <v>-1.8349619978288989E-4</v>
      </c>
      <c r="F452" s="105">
        <f>F453-SUM(F448:F451)</f>
        <v>0</v>
      </c>
      <c r="G452" s="200"/>
      <c r="H452" s="200"/>
      <c r="I452" s="200"/>
      <c r="J452" s="200"/>
      <c r="K452" s="105">
        <f t="shared" ref="K452:AJ452" si="772">K453-SUM(K448:K451)</f>
        <v>-1.3291079368078079E-4</v>
      </c>
      <c r="L452" s="200">
        <f t="shared" si="772"/>
        <v>-2.2189349112431214E-4</v>
      </c>
      <c r="M452" s="200">
        <f t="shared" si="772"/>
        <v>-4.1595441595450311E-4</v>
      </c>
      <c r="N452" s="200">
        <f t="shared" si="772"/>
        <v>-1.9060773480656518E-4</v>
      </c>
      <c r="O452" s="200">
        <f t="shared" si="772"/>
        <v>-9.7338680277003764E-5</v>
      </c>
      <c r="P452" s="105">
        <f t="shared" si="772"/>
        <v>4.8874540399972827E-4</v>
      </c>
      <c r="Q452" s="200">
        <f t="shared" si="772"/>
        <v>-2.4251172861775028E-4</v>
      </c>
      <c r="R452" s="200">
        <f t="shared" si="772"/>
        <v>-4.6866485013626752E-4</v>
      </c>
      <c r="S452" s="200">
        <f t="shared" si="772"/>
        <v>-4.065040650407005E-4</v>
      </c>
      <c r="T452" s="200">
        <f t="shared" si="772"/>
        <v>-3.8062755798084005E-4</v>
      </c>
      <c r="U452" s="105">
        <f t="shared" si="772"/>
        <v>-4.0174150589042737E-4</v>
      </c>
      <c r="V452" s="200">
        <f t="shared" si="772"/>
        <v>4.3476740118921636E-4</v>
      </c>
      <c r="W452" s="200">
        <f t="shared" si="772"/>
        <v>-3.4206219312592212E-4</v>
      </c>
      <c r="X452" s="200">
        <f t="shared" si="772"/>
        <v>1.0486418193300477E-4</v>
      </c>
      <c r="Y452" s="200">
        <f t="shared" si="772"/>
        <v>7.308858201405307E-5</v>
      </c>
      <c r="Z452" s="105">
        <f t="shared" si="772"/>
        <v>-4.6377292721387804E-4</v>
      </c>
      <c r="AA452" s="200">
        <f t="shared" si="772"/>
        <v>1.264524948735319E-4</v>
      </c>
      <c r="AB452" s="200">
        <f t="shared" si="772"/>
        <v>-1.7994858611835619E-4</v>
      </c>
      <c r="AC452" s="200">
        <f t="shared" si="772"/>
        <v>-6.3291139240397032E-5</v>
      </c>
      <c r="AD452" s="200">
        <f t="shared" si="772"/>
        <v>4.3478260869569615E-4</v>
      </c>
      <c r="AE452" s="105">
        <f t="shared" si="772"/>
        <v>9.6816540859811367E-5</v>
      </c>
      <c r="AF452" s="200">
        <f t="shared" si="772"/>
        <v>2.2101326079632111E-5</v>
      </c>
      <c r="AG452" s="200">
        <f t="shared" si="772"/>
        <v>-3.2523185161498214E-4</v>
      </c>
      <c r="AH452" s="200">
        <f t="shared" si="772"/>
        <v>3.1337263419205924E-5</v>
      </c>
      <c r="AI452" s="200">
        <f t="shared" si="772"/>
        <v>1.06134371957195E-4</v>
      </c>
      <c r="AJ452" s="105">
        <f t="shared" si="772"/>
        <v>-1.7264791464596807E-4</v>
      </c>
      <c r="AK452" s="200"/>
      <c r="AL452" s="200"/>
      <c r="AM452" s="200"/>
      <c r="AN452" s="200"/>
      <c r="AO452" s="105"/>
      <c r="AP452" s="200"/>
      <c r="AQ452" s="200"/>
      <c r="AR452" s="200"/>
      <c r="AS452" s="200"/>
      <c r="AT452" s="105"/>
      <c r="AU452" s="761"/>
      <c r="AV452" s="200"/>
      <c r="AW452" s="200"/>
      <c r="AX452" s="200"/>
      <c r="AY452" s="105"/>
      <c r="AZ452" s="200"/>
      <c r="BA452" s="200"/>
      <c r="BB452" s="200"/>
      <c r="BC452" s="200"/>
      <c r="BD452" s="105"/>
      <c r="BE452" s="105"/>
      <c r="BF452" s="105"/>
      <c r="BG452" s="105"/>
      <c r="BH452" s="363"/>
    </row>
    <row r="453" spans="1:60" s="225" customFormat="1" hidden="1" outlineLevel="2" x14ac:dyDescent="0.35">
      <c r="A453" s="313" t="s">
        <v>534</v>
      </c>
      <c r="B453" s="180"/>
      <c r="C453" s="107">
        <f>SUM(C448:C452)</f>
        <v>-7.3000000000000009E-2</v>
      </c>
      <c r="D453" s="107">
        <f>D491/C491-1</f>
        <v>8.2383358796568329E-2</v>
      </c>
      <c r="E453" s="107">
        <f>E491/D491-1</f>
        <v>8.8816503800217106E-2</v>
      </c>
      <c r="F453" s="107">
        <v>0.05</v>
      </c>
      <c r="G453" s="106"/>
      <c r="H453" s="106"/>
      <c r="I453" s="106"/>
      <c r="J453" s="106"/>
      <c r="K453" s="107">
        <f t="shared" ref="K453:AJ453" si="773">K491/F491-1</f>
        <v>5.4867089206319219E-2</v>
      </c>
      <c r="L453" s="106">
        <f t="shared" si="773"/>
        <v>2.4778106508875686E-2</v>
      </c>
      <c r="M453" s="106">
        <f t="shared" si="773"/>
        <v>4.5584045584045496E-2</v>
      </c>
      <c r="N453" s="106">
        <f t="shared" si="773"/>
        <v>6.1809392265193441E-2</v>
      </c>
      <c r="O453" s="106">
        <f t="shared" si="773"/>
        <v>6.8902661319723002E-2</v>
      </c>
      <c r="P453" s="107">
        <f t="shared" si="773"/>
        <v>5.0488745403999724E-2</v>
      </c>
      <c r="Q453" s="106">
        <f t="shared" si="773"/>
        <v>3.175748827138225E-2</v>
      </c>
      <c r="R453" s="106">
        <f t="shared" si="773"/>
        <v>4.0531335149863734E-2</v>
      </c>
      <c r="S453" s="106">
        <f t="shared" si="773"/>
        <v>2.9593495934959302E-2</v>
      </c>
      <c r="T453" s="106">
        <f t="shared" si="773"/>
        <v>1.2619372442019161E-2</v>
      </c>
      <c r="U453" s="107">
        <f t="shared" si="773"/>
        <v>2.8598258494109574E-2</v>
      </c>
      <c r="V453" s="106">
        <f t="shared" si="773"/>
        <v>2.3434767401189216E-2</v>
      </c>
      <c r="W453" s="106">
        <f t="shared" si="773"/>
        <v>1.8657937806874081E-2</v>
      </c>
      <c r="X453" s="106">
        <f t="shared" si="773"/>
        <v>-1.8951358180669953E-3</v>
      </c>
      <c r="Y453" s="106">
        <f t="shared" si="773"/>
        <v>7.0730885820140532E-3</v>
      </c>
      <c r="Z453" s="107">
        <f t="shared" si="773"/>
        <v>1.153622707278612E-2</v>
      </c>
      <c r="AA453" s="106">
        <f t="shared" si="773"/>
        <v>5.1264524948735346E-3</v>
      </c>
      <c r="AB453" s="106">
        <f t="shared" si="773"/>
        <v>4.820051413881643E-3</v>
      </c>
      <c r="AC453" s="106">
        <f t="shared" si="773"/>
        <v>1.99367088607596E-2</v>
      </c>
      <c r="AD453" s="106">
        <f t="shared" si="773"/>
        <v>3.0434782608695699E-2</v>
      </c>
      <c r="AE453" s="107">
        <f t="shared" si="773"/>
        <v>1.5096816540859814E-2</v>
      </c>
      <c r="AF453" s="106">
        <f t="shared" si="773"/>
        <v>3.5022101326079635E-2</v>
      </c>
      <c r="AG453" s="106">
        <f t="shared" si="773"/>
        <v>7.0674768148385025E-2</v>
      </c>
      <c r="AH453" s="106">
        <f t="shared" si="773"/>
        <v>1.3031337263419207E-2</v>
      </c>
      <c r="AI453" s="106">
        <f t="shared" si="773"/>
        <v>3.3106134371957197E-2</v>
      </c>
      <c r="AJ453" s="107">
        <f t="shared" si="773"/>
        <v>3.7827352085354038E-2</v>
      </c>
      <c r="AK453" s="106"/>
      <c r="AL453" s="106"/>
      <c r="AM453" s="106"/>
      <c r="AN453" s="106"/>
      <c r="AO453" s="107"/>
      <c r="AP453" s="106"/>
      <c r="AQ453" s="106"/>
      <c r="AR453" s="106"/>
      <c r="AS453" s="106"/>
      <c r="AT453" s="107"/>
      <c r="AU453" s="760"/>
      <c r="AV453" s="106"/>
      <c r="AW453" s="106"/>
      <c r="AX453" s="106"/>
      <c r="AY453" s="107"/>
      <c r="AZ453" s="106"/>
      <c r="BA453" s="106"/>
      <c r="BB453" s="106"/>
      <c r="BC453" s="106"/>
      <c r="BD453" s="107"/>
      <c r="BE453" s="107"/>
      <c r="BF453" s="107"/>
      <c r="BG453" s="107"/>
      <c r="BH453" s="94"/>
    </row>
    <row r="454" spans="1:60" s="383" customFormat="1" hidden="1" outlineLevel="2" x14ac:dyDescent="0.35">
      <c r="A454" s="681"/>
      <c r="B454" s="682"/>
      <c r="C454" s="876"/>
      <c r="D454" s="876"/>
      <c r="E454" s="876"/>
      <c r="F454" s="876"/>
      <c r="G454" s="877"/>
      <c r="H454" s="877"/>
      <c r="I454" s="877"/>
      <c r="J454" s="877"/>
      <c r="K454" s="876"/>
      <c r="L454" s="877"/>
      <c r="M454" s="877"/>
      <c r="N454" s="877"/>
      <c r="O454" s="877"/>
      <c r="P454" s="876"/>
      <c r="Q454" s="877"/>
      <c r="R454" s="877"/>
      <c r="S454" s="877"/>
      <c r="T454" s="877"/>
      <c r="U454" s="876"/>
      <c r="V454" s="877"/>
      <c r="W454" s="877"/>
      <c r="X454" s="877"/>
      <c r="Y454" s="877"/>
      <c r="Z454" s="876"/>
      <c r="AA454" s="877"/>
      <c r="AB454" s="877"/>
      <c r="AC454" s="877"/>
      <c r="AD454" s="877"/>
      <c r="AE454" s="876"/>
      <c r="AF454" s="877"/>
      <c r="AG454" s="877"/>
      <c r="AH454" s="877"/>
      <c r="AI454" s="877"/>
      <c r="AJ454" s="876"/>
      <c r="AK454" s="877"/>
      <c r="AL454" s="877"/>
      <c r="AM454" s="877"/>
      <c r="AN454" s="877"/>
      <c r="AO454" s="876"/>
      <c r="AP454" s="877"/>
      <c r="AQ454" s="877"/>
      <c r="AR454" s="877"/>
      <c r="AS454" s="877"/>
      <c r="AT454" s="876"/>
      <c r="AU454" s="878"/>
      <c r="AV454" s="877"/>
      <c r="AW454" s="877"/>
      <c r="AX454" s="877"/>
      <c r="AY454" s="876"/>
      <c r="AZ454" s="877"/>
      <c r="BA454" s="877"/>
      <c r="BB454" s="877"/>
      <c r="BC454" s="877"/>
      <c r="BD454" s="876"/>
      <c r="BE454" s="876"/>
      <c r="BF454" s="876"/>
      <c r="BG454" s="876"/>
      <c r="BH454" s="749"/>
    </row>
    <row r="455" spans="1:60" s="262" customFormat="1" hidden="1" outlineLevel="2" x14ac:dyDescent="0.35">
      <c r="A455" s="514" t="s">
        <v>592</v>
      </c>
      <c r="B455" s="312"/>
      <c r="C455" s="105">
        <v>-0.1</v>
      </c>
      <c r="D455" s="105">
        <v>0.121</v>
      </c>
      <c r="E455" s="105">
        <v>7.3999999999999996E-2</v>
      </c>
      <c r="F455" s="105">
        <v>6.9000000000000006E-2</v>
      </c>
      <c r="G455" s="200"/>
      <c r="H455" s="200"/>
      <c r="I455" s="200"/>
      <c r="J455" s="200"/>
      <c r="K455" s="105">
        <v>1.4999999999999999E-2</v>
      </c>
      <c r="L455" s="200">
        <v>4.0000000000000001E-3</v>
      </c>
      <c r="M455" s="200">
        <v>-2.1999999999999999E-2</v>
      </c>
      <c r="N455" s="200">
        <v>-2.8000000000000001E-2</v>
      </c>
      <c r="O455" s="200">
        <v>0.06</v>
      </c>
      <c r="P455" s="105">
        <v>2E-3</v>
      </c>
      <c r="Q455" s="200">
        <v>-2E-3</v>
      </c>
      <c r="R455" s="200">
        <v>-3.4000000000000002E-2</v>
      </c>
      <c r="S455" s="200">
        <v>-2.7E-2</v>
      </c>
      <c r="T455" s="200">
        <v>-0.06</v>
      </c>
      <c r="U455" s="105">
        <v>-3.1E-2</v>
      </c>
      <c r="V455" s="200">
        <v>-2.5999999999999999E-2</v>
      </c>
      <c r="W455" s="200">
        <v>-2.4E-2</v>
      </c>
      <c r="X455" s="200">
        <v>-4.2000000000000003E-2</v>
      </c>
      <c r="Y455" s="200">
        <v>-7.0000000000000001E-3</v>
      </c>
      <c r="Z455" s="105">
        <v>-2.4E-2</v>
      </c>
      <c r="AA455" s="200">
        <v>4.0000000000000001E-3</v>
      </c>
      <c r="AB455" s="200">
        <v>3.5000000000000003E-2</v>
      </c>
      <c r="AC455" s="200">
        <v>4.3999999999999997E-2</v>
      </c>
      <c r="AD455" s="200">
        <v>1.2E-2</v>
      </c>
      <c r="AE455" s="105">
        <v>2.5000000000000001E-2</v>
      </c>
      <c r="AF455" s="200">
        <v>2.5000000000000001E-2</v>
      </c>
      <c r="AG455" s="200">
        <v>3.9E-2</v>
      </c>
      <c r="AH455" s="200">
        <v>-1E-3</v>
      </c>
      <c r="AI455" s="200">
        <v>2.1999999999999999E-2</v>
      </c>
      <c r="AJ455" s="105">
        <v>2.1000000000000001E-2</v>
      </c>
      <c r="AK455" s="200">
        <v>-3.0000000000000001E-3</v>
      </c>
      <c r="AL455" s="200">
        <v>-7.0000000000000001E-3</v>
      </c>
      <c r="AM455" s="200">
        <v>2.3E-2</v>
      </c>
      <c r="AN455" s="200">
        <v>-2E-3</v>
      </c>
      <c r="AO455" s="105">
        <v>3.0000000000000001E-3</v>
      </c>
      <c r="AP455" s="200"/>
      <c r="AQ455" s="200"/>
      <c r="AR455" s="200"/>
      <c r="AS455" s="200"/>
      <c r="AT455" s="105"/>
      <c r="AU455" s="761"/>
      <c r="AV455" s="200"/>
      <c r="AW455" s="200"/>
      <c r="AX455" s="200"/>
      <c r="AY455" s="105"/>
      <c r="AZ455" s="200"/>
      <c r="BA455" s="200"/>
      <c r="BB455" s="200"/>
      <c r="BC455" s="200"/>
      <c r="BD455" s="105"/>
      <c r="BE455" s="105"/>
      <c r="BF455" s="105"/>
      <c r="BG455" s="105"/>
      <c r="BH455" s="363"/>
    </row>
    <row r="456" spans="1:60" s="262" customFormat="1" hidden="1" outlineLevel="2" x14ac:dyDescent="0.35">
      <c r="A456" s="514" t="s">
        <v>593</v>
      </c>
      <c r="B456" s="312"/>
      <c r="C456" s="105">
        <v>8.5999999999999993E-2</v>
      </c>
      <c r="D456" s="105">
        <v>1.0999999999999999E-2</v>
      </c>
      <c r="E456" s="105">
        <v>3.5000000000000003E-2</v>
      </c>
      <c r="F456" s="105">
        <v>0.04</v>
      </c>
      <c r="G456" s="200"/>
      <c r="H456" s="200"/>
      <c r="I456" s="200"/>
      <c r="J456" s="200"/>
      <c r="K456" s="105">
        <v>5.6000000000000001E-2</v>
      </c>
      <c r="L456" s="200">
        <v>6.4000000000000001E-2</v>
      </c>
      <c r="M456" s="200">
        <v>4.9000000000000002E-2</v>
      </c>
      <c r="N456" s="200">
        <v>3.2000000000000001E-2</v>
      </c>
      <c r="O456" s="200">
        <v>0.03</v>
      </c>
      <c r="P456" s="105">
        <v>4.2999999999999997E-2</v>
      </c>
      <c r="Q456" s="200">
        <v>3.7999999999999999E-2</v>
      </c>
      <c r="R456" s="200">
        <v>4.2000000000000003E-2</v>
      </c>
      <c r="S456" s="200">
        <v>0.05</v>
      </c>
      <c r="T456" s="200">
        <v>5.3999999999999999E-2</v>
      </c>
      <c r="U456" s="105">
        <v>4.5999999999999999E-2</v>
      </c>
      <c r="V456" s="200">
        <v>6.8000000000000005E-2</v>
      </c>
      <c r="W456" s="200">
        <v>7.1999999999999995E-2</v>
      </c>
      <c r="X456" s="200">
        <v>5.3999999999999999E-2</v>
      </c>
      <c r="Y456" s="200">
        <v>4.8000000000000001E-2</v>
      </c>
      <c r="Z456" s="105">
        <v>6.0999999999999999E-2</v>
      </c>
      <c r="AA456" s="200">
        <v>1.9E-2</v>
      </c>
      <c r="AB456" s="200">
        <v>2E-3</v>
      </c>
      <c r="AC456" s="200">
        <v>8.9999999999999993E-3</v>
      </c>
      <c r="AD456" s="200">
        <v>1.2999999999999999E-2</v>
      </c>
      <c r="AE456" s="105">
        <v>1.0999999999999999E-2</v>
      </c>
      <c r="AF456" s="200">
        <v>0.01</v>
      </c>
      <c r="AG456" s="200">
        <v>2.1000000000000001E-2</v>
      </c>
      <c r="AH456" s="200">
        <v>2.1999999999999999E-2</v>
      </c>
      <c r="AI456" s="200">
        <v>2.8000000000000001E-2</v>
      </c>
      <c r="AJ456" s="105">
        <v>0.02</v>
      </c>
      <c r="AK456" s="200">
        <v>1.0999999999999999E-2</v>
      </c>
      <c r="AL456" s="200">
        <v>1.4E-2</v>
      </c>
      <c r="AM456" s="200">
        <v>5.0000000000000001E-3</v>
      </c>
      <c r="AN456" s="200">
        <v>2E-3</v>
      </c>
      <c r="AO456" s="105">
        <v>8.0000000000000002E-3</v>
      </c>
      <c r="AP456" s="200"/>
      <c r="AQ456" s="200"/>
      <c r="AR456" s="200"/>
      <c r="AS456" s="200"/>
      <c r="AT456" s="105"/>
      <c r="AU456" s="761"/>
      <c r="AV456" s="200"/>
      <c r="AW456" s="200"/>
      <c r="AX456" s="200"/>
      <c r="AY456" s="105"/>
      <c r="AZ456" s="200"/>
      <c r="BA456" s="200"/>
      <c r="BB456" s="200"/>
      <c r="BC456" s="200"/>
      <c r="BD456" s="105"/>
      <c r="BE456" s="105"/>
      <c r="BF456" s="105"/>
      <c r="BG456" s="105"/>
      <c r="BH456" s="363"/>
    </row>
    <row r="457" spans="1:60" s="262" customFormat="1" hidden="1" outlineLevel="2" x14ac:dyDescent="0.35">
      <c r="A457" s="509" t="s">
        <v>594</v>
      </c>
      <c r="B457" s="510"/>
      <c r="C457" s="511">
        <f>SUM(C455:C456)</f>
        <v>-1.4000000000000012E-2</v>
      </c>
      <c r="D457" s="511">
        <f>SUM(D455:D456)</f>
        <v>0.13200000000000001</v>
      </c>
      <c r="E457" s="511">
        <f>SUM(E455:E456)</f>
        <v>0.109</v>
      </c>
      <c r="F457" s="511">
        <f>SUM(F455:F456)</f>
        <v>0.10900000000000001</v>
      </c>
      <c r="G457" s="512"/>
      <c r="H457" s="512"/>
      <c r="I457" s="512"/>
      <c r="J457" s="512"/>
      <c r="K457" s="511">
        <f t="shared" ref="K457:AO457" si="774">SUM(K455:K456)</f>
        <v>7.1000000000000008E-2</v>
      </c>
      <c r="L457" s="512">
        <f t="shared" si="774"/>
        <v>6.8000000000000005E-2</v>
      </c>
      <c r="M457" s="512">
        <f t="shared" si="774"/>
        <v>2.7000000000000003E-2</v>
      </c>
      <c r="N457" s="512">
        <f t="shared" si="774"/>
        <v>4.0000000000000001E-3</v>
      </c>
      <c r="O457" s="512">
        <f t="shared" si="774"/>
        <v>0.09</v>
      </c>
      <c r="P457" s="511">
        <f t="shared" si="774"/>
        <v>4.4999999999999998E-2</v>
      </c>
      <c r="Q457" s="512">
        <f t="shared" si="774"/>
        <v>3.5999999999999997E-2</v>
      </c>
      <c r="R457" s="512">
        <f t="shared" si="774"/>
        <v>8.0000000000000002E-3</v>
      </c>
      <c r="S457" s="512">
        <f t="shared" si="774"/>
        <v>2.3000000000000003E-2</v>
      </c>
      <c r="T457" s="512">
        <f t="shared" si="774"/>
        <v>-5.9999999999999984E-3</v>
      </c>
      <c r="U457" s="511">
        <f t="shared" si="774"/>
        <v>1.4999999999999999E-2</v>
      </c>
      <c r="V457" s="512">
        <f t="shared" si="774"/>
        <v>4.200000000000001E-2</v>
      </c>
      <c r="W457" s="512">
        <f t="shared" si="774"/>
        <v>4.7999999999999994E-2</v>
      </c>
      <c r="X457" s="512">
        <f t="shared" si="774"/>
        <v>1.1999999999999997E-2</v>
      </c>
      <c r="Y457" s="512">
        <f t="shared" si="774"/>
        <v>4.1000000000000002E-2</v>
      </c>
      <c r="Z457" s="511">
        <f t="shared" si="774"/>
        <v>3.6999999999999998E-2</v>
      </c>
      <c r="AA457" s="512">
        <f t="shared" si="774"/>
        <v>2.3E-2</v>
      </c>
      <c r="AB457" s="512">
        <f t="shared" si="774"/>
        <v>3.7000000000000005E-2</v>
      </c>
      <c r="AC457" s="512">
        <f t="shared" si="774"/>
        <v>5.2999999999999999E-2</v>
      </c>
      <c r="AD457" s="512">
        <f t="shared" si="774"/>
        <v>2.5000000000000001E-2</v>
      </c>
      <c r="AE457" s="511">
        <f t="shared" si="774"/>
        <v>3.6000000000000004E-2</v>
      </c>
      <c r="AF457" s="512">
        <f t="shared" si="774"/>
        <v>3.5000000000000003E-2</v>
      </c>
      <c r="AG457" s="512">
        <f t="shared" si="774"/>
        <v>0.06</v>
      </c>
      <c r="AH457" s="512">
        <f t="shared" si="774"/>
        <v>2.0999999999999998E-2</v>
      </c>
      <c r="AI457" s="512">
        <f t="shared" si="774"/>
        <v>0.05</v>
      </c>
      <c r="AJ457" s="511">
        <f t="shared" si="774"/>
        <v>4.1000000000000002E-2</v>
      </c>
      <c r="AK457" s="512">
        <f t="shared" si="774"/>
        <v>8.0000000000000002E-3</v>
      </c>
      <c r="AL457" s="512">
        <f t="shared" si="774"/>
        <v>7.0000000000000001E-3</v>
      </c>
      <c r="AM457" s="512">
        <f t="shared" si="774"/>
        <v>2.8000000000000001E-2</v>
      </c>
      <c r="AN457" s="512">
        <f t="shared" si="774"/>
        <v>0</v>
      </c>
      <c r="AO457" s="511">
        <f t="shared" si="774"/>
        <v>1.0999999999999999E-2</v>
      </c>
      <c r="AP457" s="512"/>
      <c r="AQ457" s="512"/>
      <c r="AR457" s="512"/>
      <c r="AS457" s="512"/>
      <c r="AT457" s="511"/>
      <c r="AU457" s="785"/>
      <c r="AV457" s="512"/>
      <c r="AW457" s="512"/>
      <c r="AX457" s="512"/>
      <c r="AY457" s="511"/>
      <c r="AZ457" s="512"/>
      <c r="BA457" s="512"/>
      <c r="BB457" s="512"/>
      <c r="BC457" s="512"/>
      <c r="BD457" s="511"/>
      <c r="BE457" s="511"/>
      <c r="BF457" s="511"/>
      <c r="BG457" s="511"/>
      <c r="BH457" s="363"/>
    </row>
    <row r="458" spans="1:60" s="262" customFormat="1" hidden="1" outlineLevel="2" x14ac:dyDescent="0.35">
      <c r="A458" s="311" t="s">
        <v>595</v>
      </c>
      <c r="B458" s="312"/>
      <c r="C458" s="105">
        <v>1.4E-2</v>
      </c>
      <c r="D458" s="105">
        <v>1.2999999999999999E-2</v>
      </c>
      <c r="E458" s="105">
        <v>1.0999999999999999E-2</v>
      </c>
      <c r="F458" s="105">
        <v>1E-3</v>
      </c>
      <c r="G458" s="200"/>
      <c r="H458" s="200"/>
      <c r="I458" s="200"/>
      <c r="J458" s="200"/>
      <c r="K458" s="105">
        <v>3.0000000000000001E-3</v>
      </c>
      <c r="L458" s="200"/>
      <c r="M458" s="200"/>
      <c r="N458" s="200"/>
      <c r="O458" s="200"/>
      <c r="P458" s="105"/>
      <c r="Q458" s="200"/>
      <c r="R458" s="200"/>
      <c r="S458" s="200">
        <v>1.0999999999999999E-2</v>
      </c>
      <c r="T458" s="200">
        <v>1.7999999999999999E-2</v>
      </c>
      <c r="U458" s="105">
        <v>7.0000000000000001E-3</v>
      </c>
      <c r="V458" s="200">
        <v>2.1999999999999999E-2</v>
      </c>
      <c r="W458" s="200">
        <v>2.3E-2</v>
      </c>
      <c r="X458" s="200">
        <v>7.0000000000000001E-3</v>
      </c>
      <c r="Y458" s="200"/>
      <c r="Z458" s="105">
        <v>1.2999999999999999E-2</v>
      </c>
      <c r="AA458" s="200"/>
      <c r="AB458" s="200"/>
      <c r="AC458" s="200"/>
      <c r="AD458" s="200">
        <v>7.0000000000000001E-3</v>
      </c>
      <c r="AE458" s="105">
        <v>2E-3</v>
      </c>
      <c r="AF458" s="200">
        <v>1.0999999999999999E-2</v>
      </c>
      <c r="AG458" s="200">
        <v>8.9999999999999993E-3</v>
      </c>
      <c r="AH458" s="200">
        <v>8.0000000000000002E-3</v>
      </c>
      <c r="AI458" s="200"/>
      <c r="AJ458" s="105">
        <v>7.0000000000000001E-3</v>
      </c>
      <c r="AK458" s="200">
        <v>1E-3</v>
      </c>
      <c r="AL458" s="200">
        <v>1E-3</v>
      </c>
      <c r="AM458" s="200">
        <v>1E-3</v>
      </c>
      <c r="AN458" s="200">
        <v>2.9000000000000001E-2</v>
      </c>
      <c r="AO458" s="105">
        <v>8.0000000000000002E-3</v>
      </c>
      <c r="AP458" s="200"/>
      <c r="AQ458" s="200"/>
      <c r="AR458" s="200"/>
      <c r="AS458" s="200"/>
      <c r="AT458" s="105"/>
      <c r="AU458" s="761"/>
      <c r="AV458" s="200"/>
      <c r="AW458" s="200"/>
      <c r="AX458" s="200"/>
      <c r="AY458" s="105"/>
      <c r="AZ458" s="200"/>
      <c r="BA458" s="200"/>
      <c r="BB458" s="200"/>
      <c r="BC458" s="200"/>
      <c r="BD458" s="105"/>
      <c r="BE458" s="105"/>
      <c r="BF458" s="105"/>
      <c r="BG458" s="105"/>
      <c r="BH458" s="363"/>
    </row>
    <row r="459" spans="1:60" s="262" customFormat="1" hidden="1" outlineLevel="2" x14ac:dyDescent="0.35">
      <c r="A459" s="311" t="s">
        <v>596</v>
      </c>
      <c r="B459" s="312"/>
      <c r="C459" s="105"/>
      <c r="D459" s="105"/>
      <c r="E459" s="105"/>
      <c r="F459" s="105"/>
      <c r="G459" s="200"/>
      <c r="H459" s="200"/>
      <c r="I459" s="200"/>
      <c r="J459" s="200"/>
      <c r="K459" s="105"/>
      <c r="L459" s="200"/>
      <c r="M459" s="200"/>
      <c r="N459" s="200"/>
      <c r="O459" s="200"/>
      <c r="P459" s="105"/>
      <c r="Q459" s="200">
        <v>-1E-3</v>
      </c>
      <c r="R459" s="200">
        <v>-1E-3</v>
      </c>
      <c r="S459" s="200">
        <v>-1E-3</v>
      </c>
      <c r="T459" s="200">
        <v>-5.0000000000000001E-3</v>
      </c>
      <c r="U459" s="105">
        <v>-2E-3</v>
      </c>
      <c r="V459" s="200">
        <v>-3.0000000000000001E-3</v>
      </c>
      <c r="W459" s="200">
        <v>-3.0000000000000001E-3</v>
      </c>
      <c r="X459" s="200">
        <v>-3.0000000000000001E-3</v>
      </c>
      <c r="Y459" s="200">
        <v>-2E-3</v>
      </c>
      <c r="Z459" s="105">
        <v>-3.0000000000000001E-3</v>
      </c>
      <c r="AA459" s="200">
        <v>-5.0000000000000001E-3</v>
      </c>
      <c r="AB459" s="200">
        <v>-1.2999999999999999E-2</v>
      </c>
      <c r="AC459" s="200">
        <v>-2.1000000000000001E-2</v>
      </c>
      <c r="AD459" s="200">
        <v>-1.4999999999999999E-2</v>
      </c>
      <c r="AE459" s="105">
        <v>-1.4E-2</v>
      </c>
      <c r="AF459" s="200">
        <v>-1.2999999999999999E-2</v>
      </c>
      <c r="AG459" s="200">
        <v>-1.4999999999999999E-2</v>
      </c>
      <c r="AH459" s="200">
        <v>-1.4999999999999999E-2</v>
      </c>
      <c r="AI459" s="200">
        <v>-1.4E-2</v>
      </c>
      <c r="AJ459" s="105">
        <v>-1.4E-2</v>
      </c>
      <c r="AK459" s="200">
        <v>-1.2E-2</v>
      </c>
      <c r="AL459" s="200">
        <v>-8.0000000000000002E-3</v>
      </c>
      <c r="AM459" s="200"/>
      <c r="AN459" s="200">
        <v>-1E-3</v>
      </c>
      <c r="AO459" s="105">
        <v>-6.0000000000000001E-3</v>
      </c>
      <c r="AP459" s="200"/>
      <c r="AQ459" s="200"/>
      <c r="AR459" s="200"/>
      <c r="AS459" s="200"/>
      <c r="AT459" s="105"/>
      <c r="AU459" s="761"/>
      <c r="AV459" s="200"/>
      <c r="AW459" s="200"/>
      <c r="AX459" s="200"/>
      <c r="AY459" s="105"/>
      <c r="AZ459" s="200"/>
      <c r="BA459" s="200"/>
      <c r="BB459" s="200"/>
      <c r="BC459" s="200"/>
      <c r="BD459" s="105"/>
      <c r="BE459" s="105"/>
      <c r="BF459" s="105"/>
      <c r="BG459" s="105"/>
      <c r="BH459" s="363"/>
    </row>
    <row r="460" spans="1:60" s="262" customFormat="1" hidden="1" outlineLevel="2" x14ac:dyDescent="0.35">
      <c r="A460" s="311" t="s">
        <v>597</v>
      </c>
      <c r="B460" s="312"/>
      <c r="C460" s="105">
        <v>-7.5999999999999998E-2</v>
      </c>
      <c r="D460" s="105">
        <v>2.7E-2</v>
      </c>
      <c r="E460" s="105">
        <v>3.5999999999999997E-2</v>
      </c>
      <c r="F460" s="105">
        <v>-6.3E-2</v>
      </c>
      <c r="G460" s="200"/>
      <c r="H460" s="200"/>
      <c r="I460" s="200"/>
      <c r="J460" s="200"/>
      <c r="K460" s="105">
        <v>-5.0999999999999997E-2</v>
      </c>
      <c r="L460" s="200">
        <v>-0.115</v>
      </c>
      <c r="M460" s="200">
        <v>-5.8000000000000003E-2</v>
      </c>
      <c r="N460" s="200">
        <v>-4.2999999999999997E-2</v>
      </c>
      <c r="O460" s="200">
        <v>-0.09</v>
      </c>
      <c r="P460" s="105">
        <v>-7.4999999999999997E-2</v>
      </c>
      <c r="Q460" s="200">
        <v>-0.123</v>
      </c>
      <c r="R460" s="200">
        <v>-0.155</v>
      </c>
      <c r="S460" s="200">
        <v>-0.21099999999999999</v>
      </c>
      <c r="T460" s="200">
        <v>-0.186</v>
      </c>
      <c r="U460" s="105">
        <v>-0.16900000000000001</v>
      </c>
      <c r="V460" s="200">
        <v>-0.157</v>
      </c>
      <c r="W460" s="200">
        <v>-0.105</v>
      </c>
      <c r="X460" s="200">
        <v>-1.2E-2</v>
      </c>
      <c r="Y460" s="200">
        <v>-1.4E-2</v>
      </c>
      <c r="Z460" s="105">
        <v>-7.3999999999999996E-2</v>
      </c>
      <c r="AA460" s="200">
        <v>4.2999999999999997E-2</v>
      </c>
      <c r="AB460" s="200">
        <v>1E-3</v>
      </c>
      <c r="AC460" s="200">
        <v>2.4E-2</v>
      </c>
      <c r="AD460" s="200">
        <v>2.3E-2</v>
      </c>
      <c r="AE460" s="105">
        <v>2.1999999999999999E-2</v>
      </c>
      <c r="AF460" s="200">
        <v>0.01</v>
      </c>
      <c r="AG460" s="200">
        <v>-2.3E-2</v>
      </c>
      <c r="AH460" s="200">
        <v>-6.9000000000000006E-2</v>
      </c>
      <c r="AI460" s="200">
        <v>-6.4000000000000001E-2</v>
      </c>
      <c r="AJ460" s="105">
        <v>-3.6999999999999998E-2</v>
      </c>
      <c r="AK460" s="200">
        <v>-6.2E-2</v>
      </c>
      <c r="AL460" s="200">
        <v>-2.9000000000000001E-2</v>
      </c>
      <c r="AM460" s="200">
        <v>-2.3E-2</v>
      </c>
      <c r="AN460" s="200">
        <v>-1.6E-2</v>
      </c>
      <c r="AO460" s="105">
        <v>-3.3000000000000002E-2</v>
      </c>
      <c r="AP460" s="200"/>
      <c r="AQ460" s="200"/>
      <c r="AR460" s="200"/>
      <c r="AS460" s="200"/>
      <c r="AT460" s="105"/>
      <c r="AU460" s="761"/>
      <c r="AV460" s="200"/>
      <c r="AW460" s="200"/>
      <c r="AX460" s="200"/>
      <c r="AY460" s="105"/>
      <c r="AZ460" s="200"/>
      <c r="BA460" s="200"/>
      <c r="BB460" s="200"/>
      <c r="BC460" s="200"/>
      <c r="BD460" s="105"/>
      <c r="BE460" s="105"/>
      <c r="BF460" s="105"/>
      <c r="BG460" s="105"/>
      <c r="BH460" s="363"/>
    </row>
    <row r="461" spans="1:60" s="262" customFormat="1" hidden="1" outlineLevel="2" x14ac:dyDescent="0.35">
      <c r="A461" s="311" t="s">
        <v>598</v>
      </c>
      <c r="B461" s="312"/>
      <c r="C461" s="105"/>
      <c r="D461" s="105">
        <f>D462-SUM(D457:D460)</f>
        <v>4.9602543720186909E-4</v>
      </c>
      <c r="E461" s="105">
        <f>E462-SUM(E457:E460)</f>
        <v>2.711864406780562E-4</v>
      </c>
      <c r="F461" s="105">
        <f>F462-SUM(F457:F460)</f>
        <v>0</v>
      </c>
      <c r="G461" s="200"/>
      <c r="H461" s="200"/>
      <c r="I461" s="200"/>
      <c r="J461" s="200"/>
      <c r="K461" s="105">
        <f t="shared" ref="K461:AJ461" si="775">K462-SUM(K457:K460)</f>
        <v>2.3604420515733332E-4</v>
      </c>
      <c r="L461" s="200">
        <f t="shared" si="775"/>
        <v>-6.190476190476718E-4</v>
      </c>
      <c r="M461" s="200">
        <f t="shared" si="775"/>
        <v>-1.827956989246815E-4</v>
      </c>
      <c r="N461" s="200">
        <f t="shared" si="775"/>
        <v>5.3846153846155709E-4</v>
      </c>
      <c r="O461" s="200">
        <f t="shared" si="775"/>
        <v>0</v>
      </c>
      <c r="P461" s="105">
        <f t="shared" si="775"/>
        <v>3.6831902520081949E-4</v>
      </c>
      <c r="Q461" s="200">
        <f t="shared" si="775"/>
        <v>1.0952380952380658E-3</v>
      </c>
      <c r="R461" s="200">
        <f t="shared" si="775"/>
        <v>-7.2364039955610804E-4</v>
      </c>
      <c r="S461" s="200">
        <f t="shared" si="775"/>
        <v>-8.8888888888888351E-4</v>
      </c>
      <c r="T461" s="200">
        <f t="shared" si="775"/>
        <v>5.5272305909620512E-4</v>
      </c>
      <c r="U461" s="105">
        <f t="shared" si="775"/>
        <v>2.7397260274009128E-5</v>
      </c>
      <c r="V461" s="200">
        <f t="shared" si="775"/>
        <v>-4.7979139504558677E-4</v>
      </c>
      <c r="W461" s="200">
        <f t="shared" si="775"/>
        <v>4.9413298565845198E-4</v>
      </c>
      <c r="X461" s="200">
        <f t="shared" si="775"/>
        <v>5.9539918809255188E-5</v>
      </c>
      <c r="Y461" s="200">
        <f t="shared" si="775"/>
        <v>3.8787023977428919E-4</v>
      </c>
      <c r="Z461" s="105">
        <f t="shared" si="775"/>
        <v>-1.6297786720322754E-4</v>
      </c>
      <c r="AA461" s="200">
        <f t="shared" si="775"/>
        <v>1.0490620490621327E-3</v>
      </c>
      <c r="AB461" s="200">
        <f t="shared" si="775"/>
        <v>-6.4276048714471956E-4</v>
      </c>
      <c r="AC461" s="200">
        <f t="shared" si="775"/>
        <v>6.0377358490564664E-4</v>
      </c>
      <c r="AD461" s="200">
        <f t="shared" si="775"/>
        <v>-1.1004126547461274E-4</v>
      </c>
      <c r="AE461" s="105">
        <f t="shared" si="775"/>
        <v>-4.9844881075485764E-4</v>
      </c>
      <c r="AF461" s="200">
        <f t="shared" si="775"/>
        <v>-8.8043478260865088E-4</v>
      </c>
      <c r="AG461" s="200">
        <f t="shared" si="775"/>
        <v>7.0409511228534255E-4</v>
      </c>
      <c r="AH461" s="200">
        <f t="shared" si="775"/>
        <v>1.5306122448983939E-4</v>
      </c>
      <c r="AI461" s="200">
        <f t="shared" si="775"/>
        <v>2.22222222222207E-4</v>
      </c>
      <c r="AJ461" s="105">
        <f t="shared" si="775"/>
        <v>3.2640949554900434E-5</v>
      </c>
      <c r="AK461" s="200"/>
      <c r="AL461" s="200"/>
      <c r="AM461" s="200"/>
      <c r="AN461" s="200"/>
      <c r="AO461" s="105"/>
      <c r="AP461" s="200"/>
      <c r="AQ461" s="200"/>
      <c r="AR461" s="200"/>
      <c r="AS461" s="200"/>
      <c r="AT461" s="105"/>
      <c r="AU461" s="761"/>
      <c r="AV461" s="200"/>
      <c r="AW461" s="200"/>
      <c r="AX461" s="200"/>
      <c r="AY461" s="105"/>
      <c r="AZ461" s="200"/>
      <c r="BA461" s="200"/>
      <c r="BB461" s="200"/>
      <c r="BC461" s="200"/>
      <c r="BD461" s="105"/>
      <c r="BE461" s="105"/>
      <c r="BF461" s="105"/>
      <c r="BG461" s="105"/>
      <c r="BH461" s="363"/>
    </row>
    <row r="462" spans="1:60" s="225" customFormat="1" hidden="1" outlineLevel="2" x14ac:dyDescent="0.35">
      <c r="A462" s="313" t="s">
        <v>599</v>
      </c>
      <c r="B462" s="180"/>
      <c r="C462" s="107">
        <f>SUM(C457:C461)</f>
        <v>-7.6000000000000012E-2</v>
      </c>
      <c r="D462" s="107">
        <f>D492/C492-1</f>
        <v>0.17249602543720188</v>
      </c>
      <c r="E462" s="107">
        <f>E492/D492-1</f>
        <v>0.15627118644067806</v>
      </c>
      <c r="F462" s="107">
        <v>4.7E-2</v>
      </c>
      <c r="G462" s="106"/>
      <c r="H462" s="106"/>
      <c r="I462" s="106"/>
      <c r="J462" s="106"/>
      <c r="K462" s="107">
        <f t="shared" ref="K462:AJ462" si="776">K492/F492-1</f>
        <v>2.3236044205157347E-2</v>
      </c>
      <c r="L462" s="106">
        <f t="shared" si="776"/>
        <v>-4.7619047619047672E-2</v>
      </c>
      <c r="M462" s="106">
        <f t="shared" si="776"/>
        <v>-3.1182795698924681E-2</v>
      </c>
      <c r="N462" s="106">
        <f t="shared" si="776"/>
        <v>-3.8461538461538436E-2</v>
      </c>
      <c r="O462" s="106">
        <f t="shared" si="776"/>
        <v>0</v>
      </c>
      <c r="P462" s="107">
        <f t="shared" si="776"/>
        <v>-2.9631680974799179E-2</v>
      </c>
      <c r="Q462" s="106">
        <f t="shared" si="776"/>
        <v>-8.6904761904761929E-2</v>
      </c>
      <c r="R462" s="106">
        <f t="shared" si="776"/>
        <v>-0.1487236403995561</v>
      </c>
      <c r="S462" s="106">
        <f t="shared" si="776"/>
        <v>-0.17888888888888888</v>
      </c>
      <c r="T462" s="106">
        <f t="shared" si="776"/>
        <v>-0.17844727694090379</v>
      </c>
      <c r="U462" s="107">
        <f t="shared" si="776"/>
        <v>-0.14897260273972601</v>
      </c>
      <c r="V462" s="106">
        <f t="shared" si="776"/>
        <v>-9.6479791395045589E-2</v>
      </c>
      <c r="W462" s="106">
        <f t="shared" si="776"/>
        <v>-3.6505867014341553E-2</v>
      </c>
      <c r="X462" s="106">
        <f t="shared" si="776"/>
        <v>4.0595399188092518E-3</v>
      </c>
      <c r="Y462" s="106">
        <f t="shared" si="776"/>
        <v>2.5387870239774291E-2</v>
      </c>
      <c r="Z462" s="107">
        <f t="shared" si="776"/>
        <v>-2.7162977867203231E-2</v>
      </c>
      <c r="AA462" s="106">
        <f t="shared" si="776"/>
        <v>6.2049062049062131E-2</v>
      </c>
      <c r="AB462" s="106">
        <f t="shared" si="776"/>
        <v>2.4357239512855289E-2</v>
      </c>
      <c r="AC462" s="106">
        <f t="shared" si="776"/>
        <v>5.6603773584905648E-2</v>
      </c>
      <c r="AD462" s="106">
        <f t="shared" si="776"/>
        <v>3.9889958734525388E-2</v>
      </c>
      <c r="AE462" s="107">
        <f t="shared" si="776"/>
        <v>4.5501551189245149E-2</v>
      </c>
      <c r="AF462" s="106">
        <f t="shared" si="776"/>
        <v>4.2119565217391353E-2</v>
      </c>
      <c r="AG462" s="106">
        <f t="shared" si="776"/>
        <v>3.1704095112285335E-2</v>
      </c>
      <c r="AH462" s="106">
        <f t="shared" si="776"/>
        <v>-5.4846938775510168E-2</v>
      </c>
      <c r="AI462" s="106">
        <f t="shared" si="776"/>
        <v>-2.777777777777779E-2</v>
      </c>
      <c r="AJ462" s="107">
        <f t="shared" si="776"/>
        <v>-2.9673590504450953E-3</v>
      </c>
      <c r="AK462" s="106"/>
      <c r="AL462" s="106"/>
      <c r="AM462" s="106"/>
      <c r="AN462" s="106"/>
      <c r="AO462" s="107"/>
      <c r="AP462" s="106"/>
      <c r="AQ462" s="106"/>
      <c r="AR462" s="106"/>
      <c r="AS462" s="106"/>
      <c r="AT462" s="107"/>
      <c r="AU462" s="760"/>
      <c r="AV462" s="106"/>
      <c r="AW462" s="106"/>
      <c r="AX462" s="106"/>
      <c r="AY462" s="107"/>
      <c r="AZ462" s="106"/>
      <c r="BA462" s="106"/>
      <c r="BB462" s="106"/>
      <c r="BC462" s="106"/>
      <c r="BD462" s="107"/>
      <c r="BE462" s="107"/>
      <c r="BF462" s="107"/>
      <c r="BG462" s="107"/>
      <c r="BH462" s="94"/>
    </row>
    <row r="463" spans="1:60" s="383" customFormat="1" hidden="1" outlineLevel="2" x14ac:dyDescent="0.35">
      <c r="A463" s="681"/>
      <c r="B463" s="682"/>
      <c r="C463" s="876"/>
      <c r="D463" s="876"/>
      <c r="E463" s="876"/>
      <c r="F463" s="876"/>
      <c r="G463" s="877"/>
      <c r="H463" s="877"/>
      <c r="I463" s="877"/>
      <c r="J463" s="877"/>
      <c r="K463" s="876"/>
      <c r="L463" s="877"/>
      <c r="M463" s="877"/>
      <c r="N463" s="877"/>
      <c r="O463" s="877"/>
      <c r="P463" s="876"/>
      <c r="Q463" s="877"/>
      <c r="R463" s="877"/>
      <c r="S463" s="877"/>
      <c r="T463" s="877"/>
      <c r="U463" s="876"/>
      <c r="V463" s="877"/>
      <c r="W463" s="877"/>
      <c r="X463" s="877"/>
      <c r="Y463" s="877"/>
      <c r="Z463" s="876"/>
      <c r="AA463" s="877"/>
      <c r="AB463" s="877"/>
      <c r="AC463" s="877"/>
      <c r="AD463" s="877"/>
      <c r="AE463" s="876"/>
      <c r="AF463" s="877"/>
      <c r="AG463" s="877"/>
      <c r="AH463" s="877"/>
      <c r="AI463" s="877"/>
      <c r="AJ463" s="876"/>
      <c r="AK463" s="877"/>
      <c r="AL463" s="877"/>
      <c r="AM463" s="877"/>
      <c r="AN463" s="877"/>
      <c r="AO463" s="876"/>
      <c r="AP463" s="877"/>
      <c r="AQ463" s="877"/>
      <c r="AR463" s="877"/>
      <c r="AS463" s="877"/>
      <c r="AT463" s="876"/>
      <c r="AU463" s="878"/>
      <c r="AV463" s="877"/>
      <c r="AW463" s="877"/>
      <c r="AX463" s="877"/>
      <c r="AY463" s="876"/>
      <c r="AZ463" s="877"/>
      <c r="BA463" s="877"/>
      <c r="BB463" s="877"/>
      <c r="BC463" s="877"/>
      <c r="BD463" s="876"/>
      <c r="BE463" s="876"/>
      <c r="BF463" s="876"/>
      <c r="BG463" s="876"/>
      <c r="BH463" s="749"/>
    </row>
    <row r="464" spans="1:60" s="262" customFormat="1" hidden="1" outlineLevel="1" x14ac:dyDescent="0.35">
      <c r="A464" s="514" t="s">
        <v>741</v>
      </c>
      <c r="B464" s="683"/>
      <c r="C464" s="562"/>
      <c r="D464" s="562"/>
      <c r="E464" s="562"/>
      <c r="F464" s="562"/>
      <c r="G464" s="188"/>
      <c r="H464" s="188"/>
      <c r="I464" s="188"/>
      <c r="J464" s="188"/>
      <c r="K464" s="562"/>
      <c r="L464" s="188"/>
      <c r="M464" s="188"/>
      <c r="N464" s="188"/>
      <c r="O464" s="188"/>
      <c r="P464" s="562"/>
      <c r="Q464" s="188"/>
      <c r="R464" s="188"/>
      <c r="S464" s="188"/>
      <c r="T464" s="188"/>
      <c r="U464" s="562"/>
      <c r="V464" s="188"/>
      <c r="W464" s="188"/>
      <c r="X464" s="188"/>
      <c r="Y464" s="188"/>
      <c r="Z464" s="562"/>
      <c r="AA464" s="188"/>
      <c r="AB464" s="188"/>
      <c r="AC464" s="188"/>
      <c r="AD464" s="188"/>
      <c r="AE464" s="562"/>
      <c r="AF464" s="188"/>
      <c r="AG464" s="188"/>
      <c r="AH464" s="188"/>
      <c r="AI464" s="188"/>
      <c r="AJ464" s="562"/>
      <c r="AK464" s="188"/>
      <c r="AL464" s="188"/>
      <c r="AM464" s="188"/>
      <c r="AN464" s="188"/>
      <c r="AO464" s="562"/>
      <c r="AP464" s="363">
        <v>3.5000000000000003E-2</v>
      </c>
      <c r="AQ464" s="363">
        <v>-0.16600000000000001</v>
      </c>
      <c r="AR464" s="363">
        <v>2.3E-2</v>
      </c>
      <c r="AS464" s="363">
        <v>6.6000000000000003E-2</v>
      </c>
      <c r="AT464" s="531">
        <v>-1.2E-2</v>
      </c>
      <c r="AU464" s="787">
        <v>5.0999999999999997E-2</v>
      </c>
      <c r="AV464" s="188"/>
      <c r="AW464" s="188"/>
      <c r="AX464" s="188"/>
      <c r="AY464" s="562"/>
      <c r="AZ464" s="188"/>
      <c r="BA464" s="188"/>
      <c r="BB464" s="188"/>
      <c r="BC464" s="188"/>
      <c r="BD464" s="562"/>
      <c r="BE464" s="562"/>
      <c r="BF464" s="562"/>
      <c r="BG464" s="562"/>
      <c r="BH464" s="363"/>
    </row>
    <row r="465" spans="1:60" s="262" customFormat="1" hidden="1" outlineLevel="1" x14ac:dyDescent="0.35">
      <c r="A465" s="561" t="s">
        <v>742</v>
      </c>
      <c r="B465" s="684"/>
      <c r="C465" s="609"/>
      <c r="D465" s="609"/>
      <c r="E465" s="609"/>
      <c r="F465" s="609"/>
      <c r="G465" s="608"/>
      <c r="H465" s="608"/>
      <c r="I465" s="608"/>
      <c r="J465" s="608"/>
      <c r="K465" s="609"/>
      <c r="L465" s="608"/>
      <c r="M465" s="608"/>
      <c r="N465" s="608"/>
      <c r="O465" s="608"/>
      <c r="P465" s="609"/>
      <c r="Q465" s="608"/>
      <c r="R465" s="608"/>
      <c r="S465" s="608"/>
      <c r="T465" s="608"/>
      <c r="U465" s="609"/>
      <c r="V465" s="608"/>
      <c r="W465" s="608"/>
      <c r="X465" s="608"/>
      <c r="Y465" s="608"/>
      <c r="Z465" s="609"/>
      <c r="AA465" s="608"/>
      <c r="AB465" s="608"/>
      <c r="AC465" s="608"/>
      <c r="AD465" s="608"/>
      <c r="AE465" s="609"/>
      <c r="AF465" s="608"/>
      <c r="AG465" s="608"/>
      <c r="AH465" s="608"/>
      <c r="AI465" s="608"/>
      <c r="AJ465" s="609"/>
      <c r="AK465" s="608"/>
      <c r="AL465" s="608"/>
      <c r="AM465" s="608"/>
      <c r="AN465" s="608"/>
      <c r="AO465" s="609"/>
      <c r="AP465" s="560">
        <v>7.0000000000000001E-3</v>
      </c>
      <c r="AQ465" s="560">
        <v>0.01</v>
      </c>
      <c r="AR465" s="560">
        <v>1.0999999999999999E-2</v>
      </c>
      <c r="AS465" s="560">
        <v>1.2999999999999999E-2</v>
      </c>
      <c r="AT465" s="559">
        <v>0.01</v>
      </c>
      <c r="AU465" s="788">
        <v>1.2E-2</v>
      </c>
      <c r="AV465" s="608"/>
      <c r="AW465" s="608"/>
      <c r="AX465" s="608"/>
      <c r="AY465" s="609"/>
      <c r="AZ465" s="608"/>
      <c r="BA465" s="608"/>
      <c r="BB465" s="608"/>
      <c r="BC465" s="608"/>
      <c r="BD465" s="609"/>
      <c r="BE465" s="609"/>
      <c r="BF465" s="609"/>
      <c r="BG465" s="609"/>
      <c r="BH465" s="363"/>
    </row>
    <row r="466" spans="1:60" s="262" customFormat="1" hidden="1" outlineLevel="1" x14ac:dyDescent="0.35">
      <c r="A466" s="311" t="s">
        <v>705</v>
      </c>
      <c r="B466" s="683"/>
      <c r="C466" s="562"/>
      <c r="D466" s="562"/>
      <c r="E466" s="562"/>
      <c r="F466" s="562"/>
      <c r="G466" s="188"/>
      <c r="H466" s="188"/>
      <c r="I466" s="188"/>
      <c r="J466" s="188"/>
      <c r="K466" s="562"/>
      <c r="L466" s="188"/>
      <c r="M466" s="188"/>
      <c r="N466" s="188"/>
      <c r="O466" s="188"/>
      <c r="P466" s="562"/>
      <c r="Q466" s="188"/>
      <c r="R466" s="188"/>
      <c r="S466" s="188"/>
      <c r="T466" s="188"/>
      <c r="U466" s="562"/>
      <c r="V466" s="188"/>
      <c r="W466" s="188"/>
      <c r="X466" s="188"/>
      <c r="Y466" s="188"/>
      <c r="Z466" s="562"/>
      <c r="AA466" s="188"/>
      <c r="AB466" s="188"/>
      <c r="AC466" s="188"/>
      <c r="AD466" s="188"/>
      <c r="AE466" s="562"/>
      <c r="AF466" s="188"/>
      <c r="AG466" s="188"/>
      <c r="AH466" s="188"/>
      <c r="AI466" s="188"/>
      <c r="AJ466" s="562"/>
      <c r="AK466" s="188"/>
      <c r="AL466" s="188"/>
      <c r="AM466" s="188"/>
      <c r="AN466" s="188"/>
      <c r="AO466" s="562"/>
      <c r="AP466" s="363">
        <f>SUM(AP464:AP465)</f>
        <v>4.2000000000000003E-2</v>
      </c>
      <c r="AQ466" s="363">
        <f>SUM(AQ464:AQ465)</f>
        <v>-0.156</v>
      </c>
      <c r="AR466" s="363">
        <f>SUM(AR464:AR465)</f>
        <v>3.4000000000000002E-2</v>
      </c>
      <c r="AS466" s="363">
        <f t="shared" ref="AS466:AT466" si="777">SUM(AS464:AS465)</f>
        <v>7.9000000000000001E-2</v>
      </c>
      <c r="AT466" s="531">
        <f t="shared" si="777"/>
        <v>-2E-3</v>
      </c>
      <c r="AU466" s="787">
        <f>SUM(AU464:AU465)</f>
        <v>6.3E-2</v>
      </c>
      <c r="AV466" s="188"/>
      <c r="AW466" s="188"/>
      <c r="AX466" s="188"/>
      <c r="AY466" s="562"/>
      <c r="AZ466" s="188"/>
      <c r="BA466" s="188"/>
      <c r="BB466" s="188"/>
      <c r="BC466" s="188"/>
      <c r="BD466" s="562"/>
      <c r="BE466" s="562"/>
      <c r="BF466" s="562"/>
      <c r="BG466" s="562"/>
      <c r="BH466" s="363"/>
    </row>
    <row r="467" spans="1:60" s="262" customFormat="1" hidden="1" outlineLevel="1" x14ac:dyDescent="0.35">
      <c r="A467" s="311" t="s">
        <v>743</v>
      </c>
      <c r="B467" s="683"/>
      <c r="C467" s="562"/>
      <c r="D467" s="562"/>
      <c r="E467" s="562"/>
      <c r="F467" s="562"/>
      <c r="G467" s="188"/>
      <c r="H467" s="188"/>
      <c r="I467" s="188"/>
      <c r="J467" s="188"/>
      <c r="K467" s="562"/>
      <c r="L467" s="188"/>
      <c r="M467" s="188"/>
      <c r="N467" s="188"/>
      <c r="O467" s="188"/>
      <c r="P467" s="562"/>
      <c r="Q467" s="188"/>
      <c r="R467" s="188"/>
      <c r="S467" s="188"/>
      <c r="T467" s="188"/>
      <c r="U467" s="562"/>
      <c r="V467" s="188"/>
      <c r="W467" s="188"/>
      <c r="X467" s="188"/>
      <c r="Y467" s="188"/>
      <c r="Z467" s="562"/>
      <c r="AA467" s="188"/>
      <c r="AB467" s="188"/>
      <c r="AC467" s="188"/>
      <c r="AD467" s="188"/>
      <c r="AE467" s="562"/>
      <c r="AF467" s="188"/>
      <c r="AG467" s="188"/>
      <c r="AH467" s="188"/>
      <c r="AI467" s="188"/>
      <c r="AJ467" s="562"/>
      <c r="AK467" s="188"/>
      <c r="AL467" s="188"/>
      <c r="AM467" s="188"/>
      <c r="AN467" s="188"/>
      <c r="AO467" s="562"/>
      <c r="AP467" s="363">
        <v>7.9000000000000001E-2</v>
      </c>
      <c r="AQ467" s="363">
        <v>5.8999999999999997E-2</v>
      </c>
      <c r="AR467" s="363">
        <v>7.4999999999999997E-2</v>
      </c>
      <c r="AS467" s="363">
        <v>8.0000000000000002E-3</v>
      </c>
      <c r="AT467" s="531">
        <v>5.5E-2</v>
      </c>
      <c r="AU467" s="789"/>
      <c r="AV467" s="188"/>
      <c r="AW467" s="188"/>
      <c r="AX467" s="188"/>
      <c r="AY467" s="562"/>
      <c r="AZ467" s="188"/>
      <c r="BA467" s="188"/>
      <c r="BB467" s="188"/>
      <c r="BC467" s="188"/>
      <c r="BD467" s="562"/>
      <c r="BE467" s="562"/>
      <c r="BF467" s="562"/>
      <c r="BG467" s="562"/>
      <c r="BH467" s="363"/>
    </row>
    <row r="468" spans="1:60" s="262" customFormat="1" hidden="1" outlineLevel="1" x14ac:dyDescent="0.35">
      <c r="A468" s="311" t="s">
        <v>744</v>
      </c>
      <c r="B468" s="683"/>
      <c r="C468" s="562"/>
      <c r="D468" s="562"/>
      <c r="E468" s="562"/>
      <c r="F468" s="562"/>
      <c r="G468" s="188"/>
      <c r="H468" s="188"/>
      <c r="I468" s="188"/>
      <c r="J468" s="188"/>
      <c r="K468" s="562"/>
      <c r="L468" s="188"/>
      <c r="M468" s="188"/>
      <c r="N468" s="188"/>
      <c r="O468" s="188"/>
      <c r="P468" s="562"/>
      <c r="Q468" s="188"/>
      <c r="R468" s="188"/>
      <c r="S468" s="188"/>
      <c r="T468" s="188"/>
      <c r="U468" s="562"/>
      <c r="V468" s="188"/>
      <c r="W468" s="188"/>
      <c r="X468" s="188"/>
      <c r="Y468" s="188"/>
      <c r="Z468" s="562"/>
      <c r="AA468" s="188"/>
      <c r="AB468" s="188"/>
      <c r="AC468" s="188"/>
      <c r="AD468" s="188"/>
      <c r="AE468" s="562"/>
      <c r="AF468" s="188"/>
      <c r="AG468" s="188"/>
      <c r="AH468" s="188"/>
      <c r="AI468" s="188"/>
      <c r="AJ468" s="562"/>
      <c r="AK468" s="188"/>
      <c r="AL468" s="188"/>
      <c r="AM468" s="188"/>
      <c r="AN468" s="188"/>
      <c r="AO468" s="562"/>
      <c r="AP468" s="363">
        <v>-7.0000000000000001E-3</v>
      </c>
      <c r="AQ468" s="363">
        <v>-1.6E-2</v>
      </c>
      <c r="AR468" s="363">
        <v>-1.7999999999999999E-2</v>
      </c>
      <c r="AS468" s="363">
        <v>-1.7000000000000001E-2</v>
      </c>
      <c r="AT468" s="531">
        <v>-1.4999999999999999E-2</v>
      </c>
      <c r="AU468" s="787">
        <v>-1.6E-2</v>
      </c>
      <c r="AV468" s="188"/>
      <c r="AW468" s="188"/>
      <c r="AX468" s="188"/>
      <c r="AY468" s="562"/>
      <c r="AZ468" s="188"/>
      <c r="BA468" s="188"/>
      <c r="BB468" s="188"/>
      <c r="BC468" s="188"/>
      <c r="BD468" s="562"/>
      <c r="BE468" s="562"/>
      <c r="BF468" s="562"/>
      <c r="BG468" s="562"/>
      <c r="BH468" s="363"/>
    </row>
    <row r="469" spans="1:60" s="262" customFormat="1" hidden="1" outlineLevel="1" x14ac:dyDescent="0.35">
      <c r="A469" s="311" t="s">
        <v>745</v>
      </c>
      <c r="B469" s="683"/>
      <c r="C469" s="562"/>
      <c r="D469" s="562"/>
      <c r="E469" s="562"/>
      <c r="F469" s="562"/>
      <c r="G469" s="188"/>
      <c r="H469" s="188"/>
      <c r="I469" s="188"/>
      <c r="J469" s="188"/>
      <c r="K469" s="562"/>
      <c r="L469" s="188"/>
      <c r="M469" s="188"/>
      <c r="N469" s="188"/>
      <c r="O469" s="188"/>
      <c r="P469" s="562"/>
      <c r="Q469" s="188"/>
      <c r="R469" s="188"/>
      <c r="S469" s="188"/>
      <c r="T469" s="188"/>
      <c r="U469" s="562"/>
      <c r="V469" s="188"/>
      <c r="W469" s="188"/>
      <c r="X469" s="188"/>
      <c r="Y469" s="188"/>
      <c r="Z469" s="562"/>
      <c r="AA469" s="188"/>
      <c r="AB469" s="188"/>
      <c r="AC469" s="188"/>
      <c r="AD469" s="188"/>
      <c r="AE469" s="562"/>
      <c r="AF469" s="188"/>
      <c r="AG469" s="188"/>
      <c r="AH469" s="188"/>
      <c r="AI469" s="188"/>
      <c r="AJ469" s="562"/>
      <c r="AK469" s="188"/>
      <c r="AL469" s="188"/>
      <c r="AM469" s="188"/>
      <c r="AN469" s="188"/>
      <c r="AO469" s="562"/>
      <c r="AP469" s="363">
        <v>-1.2999999999999999E-2</v>
      </c>
      <c r="AQ469" s="363">
        <v>-1.4E-2</v>
      </c>
      <c r="AR469" s="363">
        <v>-1.4E-2</v>
      </c>
      <c r="AS469" s="363">
        <v>-1.2E-2</v>
      </c>
      <c r="AT469" s="531">
        <v>-1.2999999999999999E-2</v>
      </c>
      <c r="AU469" s="787">
        <v>-2E-3</v>
      </c>
      <c r="AV469" s="188"/>
      <c r="AW469" s="188"/>
      <c r="AX469" s="188"/>
      <c r="AY469" s="562"/>
      <c r="AZ469" s="188"/>
      <c r="BA469" s="188"/>
      <c r="BB469" s="188"/>
      <c r="BC469" s="188"/>
      <c r="BD469" s="562"/>
      <c r="BE469" s="562"/>
      <c r="BF469" s="562"/>
      <c r="BG469" s="562"/>
      <c r="BH469" s="363"/>
    </row>
    <row r="470" spans="1:60" s="262" customFormat="1" hidden="1" outlineLevel="1" x14ac:dyDescent="0.35">
      <c r="A470" s="459" t="s">
        <v>746</v>
      </c>
      <c r="B470" s="684"/>
      <c r="C470" s="609"/>
      <c r="D470" s="609"/>
      <c r="E470" s="609"/>
      <c r="F470" s="609"/>
      <c r="G470" s="608"/>
      <c r="H470" s="608"/>
      <c r="I470" s="608"/>
      <c r="J470" s="608"/>
      <c r="K470" s="609"/>
      <c r="L470" s="608"/>
      <c r="M470" s="608"/>
      <c r="N470" s="608"/>
      <c r="O470" s="608"/>
      <c r="P470" s="609"/>
      <c r="Q470" s="608"/>
      <c r="R470" s="608"/>
      <c r="S470" s="608"/>
      <c r="T470" s="608"/>
      <c r="U470" s="609"/>
      <c r="V470" s="608"/>
      <c r="W470" s="608"/>
      <c r="X470" s="608"/>
      <c r="Y470" s="608"/>
      <c r="Z470" s="609"/>
      <c r="AA470" s="608"/>
      <c r="AB470" s="608"/>
      <c r="AC470" s="608"/>
      <c r="AD470" s="608"/>
      <c r="AE470" s="609"/>
      <c r="AF470" s="608"/>
      <c r="AG470" s="608"/>
      <c r="AH470" s="608"/>
      <c r="AI470" s="608"/>
      <c r="AJ470" s="609"/>
      <c r="AK470" s="608"/>
      <c r="AL470" s="608"/>
      <c r="AM470" s="608"/>
      <c r="AN470" s="608"/>
      <c r="AO470" s="609"/>
      <c r="AP470" s="560">
        <f t="shared" ref="AP470:AU470" si="778">AP471-SUM(AP466:AP469)</f>
        <v>-2.8248737709281324E-4</v>
      </c>
      <c r="AQ470" s="560">
        <f t="shared" si="778"/>
        <v>-3.1203459043960269E-4</v>
      </c>
      <c r="AR470" s="560">
        <f t="shared" si="778"/>
        <v>5.6491575817621542E-5</v>
      </c>
      <c r="AS470" s="560">
        <f t="shared" si="778"/>
        <v>-9.5146564151826762E-5</v>
      </c>
      <c r="AT470" s="559">
        <f t="shared" si="778"/>
        <v>-1.302406350781396E-4</v>
      </c>
      <c r="AU470" s="788">
        <f t="shared" si="778"/>
        <v>0</v>
      </c>
      <c r="AV470" s="608"/>
      <c r="AW470" s="608"/>
      <c r="AX470" s="608"/>
      <c r="AY470" s="609"/>
      <c r="AZ470" s="608"/>
      <c r="BA470" s="608"/>
      <c r="BB470" s="608"/>
      <c r="BC470" s="608"/>
      <c r="BD470" s="609"/>
      <c r="BE470" s="609"/>
      <c r="BF470" s="609"/>
      <c r="BG470" s="609"/>
      <c r="BH470" s="363"/>
    </row>
    <row r="471" spans="1:60" s="225" customFormat="1" hidden="1" outlineLevel="1" x14ac:dyDescent="0.35">
      <c r="A471" s="538" t="s">
        <v>747</v>
      </c>
      <c r="B471" s="685"/>
      <c r="C471" s="116"/>
      <c r="D471" s="16">
        <f>D493/C493-1</f>
        <v>0.10294784580498861</v>
      </c>
      <c r="E471" s="16">
        <f>E493/D493-1</f>
        <v>0.10518092105263155</v>
      </c>
      <c r="F471" s="16">
        <f>F493/E493-1</f>
        <v>4.918520723268105E-2</v>
      </c>
      <c r="G471" s="299"/>
      <c r="H471" s="299"/>
      <c r="I471" s="299"/>
      <c r="J471" s="299"/>
      <c r="K471" s="16">
        <f t="shared" ref="K471:AR471" si="779">K493/F493-1</f>
        <v>4.6950354609929024E-2</v>
      </c>
      <c r="L471" s="94">
        <f t="shared" si="779"/>
        <v>6.9715560513106123E-3</v>
      </c>
      <c r="M471" s="94">
        <f t="shared" si="779"/>
        <v>2.6484751203852408E-2</v>
      </c>
      <c r="N471" s="94">
        <f t="shared" si="779"/>
        <v>3.7317327766179575E-2</v>
      </c>
      <c r="O471" s="94">
        <f t="shared" si="779"/>
        <v>5.241264559068215E-2</v>
      </c>
      <c r="P471" s="16">
        <f t="shared" si="779"/>
        <v>3.0890123289527116E-2</v>
      </c>
      <c r="Q471" s="94">
        <f t="shared" si="779"/>
        <v>4.1539739684297583E-3</v>
      </c>
      <c r="R471" s="94">
        <f t="shared" si="779"/>
        <v>-3.9093041438623688E-3</v>
      </c>
      <c r="S471" s="94">
        <f t="shared" si="779"/>
        <v>-1.7610062893081757E-2</v>
      </c>
      <c r="T471" s="94">
        <f t="shared" si="779"/>
        <v>-3.0830039525691744E-2</v>
      </c>
      <c r="U471" s="16">
        <f t="shared" si="779"/>
        <v>-1.2288079905375171E-2</v>
      </c>
      <c r="V471" s="94">
        <f t="shared" si="779"/>
        <v>-1.9305019305019266E-3</v>
      </c>
      <c r="W471" s="94">
        <f t="shared" si="779"/>
        <v>7.5876504447933701E-3</v>
      </c>
      <c r="X471" s="94">
        <f t="shared" si="779"/>
        <v>-7.6824583866841323E-4</v>
      </c>
      <c r="Y471" s="94">
        <f t="shared" si="779"/>
        <v>1.0603588907014627E-2</v>
      </c>
      <c r="Z471" s="16">
        <f t="shared" si="779"/>
        <v>3.8586920364580557E-3</v>
      </c>
      <c r="AA471" s="94">
        <f t="shared" si="779"/>
        <v>1.6026526664824514E-2</v>
      </c>
      <c r="AB471" s="94">
        <f t="shared" si="779"/>
        <v>8.5692028044663804E-3</v>
      </c>
      <c r="AC471" s="94">
        <f t="shared" si="779"/>
        <v>2.6909277293695633E-2</v>
      </c>
      <c r="AD471" s="94">
        <f t="shared" si="779"/>
        <v>3.2284100080710143E-2</v>
      </c>
      <c r="AE471" s="16">
        <f t="shared" si="779"/>
        <v>2.0942408376963373E-2</v>
      </c>
      <c r="AF471" s="94">
        <f t="shared" si="779"/>
        <v>3.644275224367699E-2</v>
      </c>
      <c r="AG471" s="94">
        <f t="shared" si="779"/>
        <v>6.3079299691040092E-2</v>
      </c>
      <c r="AH471" s="94">
        <f t="shared" si="779"/>
        <v>-2.4956326428748898E-4</v>
      </c>
      <c r="AI471" s="94">
        <f t="shared" si="779"/>
        <v>2.1110242376856991E-2</v>
      </c>
      <c r="AJ471" s="16">
        <f t="shared" si="779"/>
        <v>2.9795520934761344E-2</v>
      </c>
      <c r="AK471" s="94">
        <f t="shared" si="779"/>
        <v>-1.2595119391235921E-2</v>
      </c>
      <c r="AL471" s="94">
        <f t="shared" si="779"/>
        <v>8.2344393315572084E-3</v>
      </c>
      <c r="AM471" s="94">
        <f t="shared" si="779"/>
        <v>7.4887668497254367E-3</v>
      </c>
      <c r="AN471" s="94">
        <f t="shared" si="779"/>
        <v>6.2276671771311909E-2</v>
      </c>
      <c r="AO471" s="16">
        <f t="shared" si="779"/>
        <v>1.6389309127584406E-2</v>
      </c>
      <c r="AP471" s="94">
        <f t="shared" si="779"/>
        <v>0.10071751262290718</v>
      </c>
      <c r="AQ471" s="94">
        <f t="shared" si="779"/>
        <v>-0.1273120345904396</v>
      </c>
      <c r="AR471" s="94">
        <f t="shared" si="779"/>
        <v>7.7056491575817621E-2</v>
      </c>
      <c r="AS471" s="94">
        <f t="shared" ref="AS471" si="780">AS493/AN493-1</f>
        <v>5.7904853435848169E-2</v>
      </c>
      <c r="AT471" s="16">
        <f t="shared" ref="AT471" si="781">AT493/AO493-1</f>
        <v>2.4869759364921862E-2</v>
      </c>
      <c r="AU471" s="775">
        <v>4.4999999999999998E-2</v>
      </c>
      <c r="AV471" s="299"/>
      <c r="AW471" s="299"/>
      <c r="AX471" s="299"/>
      <c r="AY471" s="116"/>
      <c r="AZ471" s="299"/>
      <c r="BA471" s="299"/>
      <c r="BB471" s="299"/>
      <c r="BC471" s="299"/>
      <c r="BD471" s="116"/>
      <c r="BE471" s="116"/>
      <c r="BF471" s="116"/>
      <c r="BG471" s="116"/>
      <c r="BH471" s="94"/>
    </row>
    <row r="472" spans="1:60" s="383" customFormat="1" hidden="1" outlineLevel="1" x14ac:dyDescent="0.35">
      <c r="A472" s="681"/>
      <c r="B472" s="682"/>
      <c r="C472" s="876"/>
      <c r="D472" s="876"/>
      <c r="E472" s="876"/>
      <c r="F472" s="876"/>
      <c r="G472" s="877"/>
      <c r="H472" s="877"/>
      <c r="I472" s="877"/>
      <c r="J472" s="877"/>
      <c r="K472" s="876"/>
      <c r="L472" s="877"/>
      <c r="M472" s="877"/>
      <c r="N472" s="877"/>
      <c r="O472" s="877"/>
      <c r="P472" s="876"/>
      <c r="Q472" s="877"/>
      <c r="R472" s="877"/>
      <c r="S472" s="877"/>
      <c r="T472" s="877"/>
      <c r="U472" s="876"/>
      <c r="V472" s="877"/>
      <c r="W472" s="877"/>
      <c r="X472" s="877"/>
      <c r="Y472" s="877"/>
      <c r="Z472" s="876"/>
      <c r="AA472" s="877"/>
      <c r="AB472" s="877"/>
      <c r="AC472" s="877"/>
      <c r="AD472" s="877"/>
      <c r="AE472" s="876"/>
      <c r="AF472" s="877"/>
      <c r="AG472" s="877"/>
      <c r="AH472" s="877"/>
      <c r="AI472" s="877"/>
      <c r="AJ472" s="876"/>
      <c r="AK472" s="877"/>
      <c r="AL472" s="877"/>
      <c r="AM472" s="877"/>
      <c r="AN472" s="877"/>
      <c r="AO472" s="876"/>
      <c r="AP472" s="877"/>
      <c r="AQ472" s="877"/>
      <c r="AR472" s="877"/>
      <c r="AS472" s="877"/>
      <c r="AT472" s="876"/>
      <c r="AU472" s="878"/>
      <c r="AV472" s="877"/>
      <c r="AW472" s="877"/>
      <c r="AX472" s="877"/>
      <c r="AY472" s="876"/>
      <c r="AZ472" s="877"/>
      <c r="BA472" s="877"/>
      <c r="BB472" s="877"/>
      <c r="BC472" s="877"/>
      <c r="BD472" s="876"/>
      <c r="BE472" s="876"/>
      <c r="BF472" s="876"/>
      <c r="BG472" s="876"/>
      <c r="BH472" s="749"/>
    </row>
    <row r="473" spans="1:60" s="262" customFormat="1" hidden="1" outlineLevel="1" x14ac:dyDescent="0.35">
      <c r="A473" s="514" t="s">
        <v>535</v>
      </c>
      <c r="B473" s="312"/>
      <c r="C473" s="105">
        <v>-3.4000000000000002E-2</v>
      </c>
      <c r="D473" s="105">
        <v>0.30299999999999999</v>
      </c>
      <c r="E473" s="105">
        <v>3.5000000000000003E-2</v>
      </c>
      <c r="F473" s="105">
        <v>1.2999999999999999E-2</v>
      </c>
      <c r="G473" s="200"/>
      <c r="H473" s="200"/>
      <c r="I473" s="200"/>
      <c r="J473" s="200"/>
      <c r="K473" s="105">
        <v>4.2999999999999997E-2</v>
      </c>
      <c r="L473" s="200">
        <v>6.4000000000000001E-2</v>
      </c>
      <c r="M473" s="200">
        <v>6.4000000000000001E-2</v>
      </c>
      <c r="N473" s="200">
        <v>4.9000000000000002E-2</v>
      </c>
      <c r="O473" s="200">
        <v>7.1999999999999995E-2</v>
      </c>
      <c r="P473" s="105">
        <v>6.2E-2</v>
      </c>
      <c r="Q473" s="200">
        <v>5.3999999999999999E-2</v>
      </c>
      <c r="R473" s="200">
        <v>5.0000000000000001E-3</v>
      </c>
      <c r="S473" s="200">
        <v>4.0000000000000001E-3</v>
      </c>
      <c r="T473" s="200">
        <v>-2.5000000000000001E-2</v>
      </c>
      <c r="U473" s="105">
        <v>8.9999999999999993E-3</v>
      </c>
      <c r="V473" s="200">
        <v>-5.3999999999999999E-2</v>
      </c>
      <c r="W473" s="200">
        <v>-5.2999999999999999E-2</v>
      </c>
      <c r="X473" s="200">
        <v>-1.9E-2</v>
      </c>
      <c r="Y473" s="200">
        <v>3.1E-2</v>
      </c>
      <c r="Z473" s="105">
        <v>-2.5000000000000001E-2</v>
      </c>
      <c r="AA473" s="200">
        <v>0.10100000000000001</v>
      </c>
      <c r="AB473" s="200">
        <v>0.107</v>
      </c>
      <c r="AC473" s="200">
        <v>0.13400000000000001</v>
      </c>
      <c r="AD473" s="200">
        <v>0.12</v>
      </c>
      <c r="AE473" s="105">
        <v>0.115</v>
      </c>
      <c r="AF473" s="200">
        <v>4.9000000000000002E-2</v>
      </c>
      <c r="AG473" s="200">
        <v>5.0999999999999997E-2</v>
      </c>
      <c r="AH473" s="200">
        <v>0.03</v>
      </c>
      <c r="AI473" s="200">
        <v>1.4E-2</v>
      </c>
      <c r="AJ473" s="105">
        <v>3.5000000000000003E-2</v>
      </c>
      <c r="AK473" s="200">
        <v>-4.2999999999999997E-2</v>
      </c>
      <c r="AL473" s="200">
        <v>-1.0999999999999999E-2</v>
      </c>
      <c r="AM473" s="200">
        <v>-0.04</v>
      </c>
      <c r="AN473" s="200">
        <v>-0.02</v>
      </c>
      <c r="AO473" s="105">
        <v>-2.8000000000000001E-2</v>
      </c>
      <c r="AP473" s="200">
        <v>-3.9E-2</v>
      </c>
      <c r="AQ473" s="200">
        <v>-7.8E-2</v>
      </c>
      <c r="AR473" s="200">
        <v>-1.7999999999999999E-2</v>
      </c>
      <c r="AS473" s="200">
        <v>2.1000000000000001E-2</v>
      </c>
      <c r="AT473" s="105">
        <v>-2.9000000000000001E-2</v>
      </c>
      <c r="AU473" s="761">
        <v>0.13300000000000001</v>
      </c>
      <c r="AV473" s="200"/>
      <c r="AW473" s="200"/>
      <c r="AX473" s="200"/>
      <c r="AY473" s="105"/>
      <c r="AZ473" s="200"/>
      <c r="BA473" s="200"/>
      <c r="BB473" s="200"/>
      <c r="BC473" s="200"/>
      <c r="BD473" s="105"/>
      <c r="BE473" s="105"/>
      <c r="BF473" s="105"/>
      <c r="BG473" s="105"/>
      <c r="BH473" s="363"/>
    </row>
    <row r="474" spans="1:60" s="262" customFormat="1" hidden="1" outlineLevel="1" x14ac:dyDescent="0.35">
      <c r="A474" s="514" t="s">
        <v>536</v>
      </c>
      <c r="B474" s="312"/>
      <c r="C474" s="105">
        <v>-1.9E-2</v>
      </c>
      <c r="D474" s="105">
        <v>-1.6E-2</v>
      </c>
      <c r="E474" s="105">
        <v>-1.4E-2</v>
      </c>
      <c r="F474" s="105">
        <v>-1.2E-2</v>
      </c>
      <c r="G474" s="200"/>
      <c r="H474" s="200"/>
      <c r="I474" s="200"/>
      <c r="J474" s="200"/>
      <c r="K474" s="105">
        <v>-7.0000000000000001E-3</v>
      </c>
      <c r="L474" s="200">
        <v>5.0000000000000001E-3</v>
      </c>
      <c r="M474" s="200">
        <v>2E-3</v>
      </c>
      <c r="N474" s="200"/>
      <c r="O474" s="200">
        <v>-3.0000000000000001E-3</v>
      </c>
      <c r="P474" s="105">
        <v>1E-3</v>
      </c>
      <c r="Q474" s="200">
        <v>2E-3</v>
      </c>
      <c r="R474" s="200"/>
      <c r="S474" s="200"/>
      <c r="T474" s="200">
        <v>-2E-3</v>
      </c>
      <c r="U474" s="105"/>
      <c r="V474" s="200">
        <v>-2E-3</v>
      </c>
      <c r="W474" s="200">
        <v>-1E-3</v>
      </c>
      <c r="X474" s="200">
        <v>-3.0000000000000001E-3</v>
      </c>
      <c r="Y474" s="200">
        <v>-7.0000000000000001E-3</v>
      </c>
      <c r="Z474" s="105">
        <v>-3.0000000000000001E-3</v>
      </c>
      <c r="AA474" s="200"/>
      <c r="AB474" s="200">
        <v>-7.0000000000000001E-3</v>
      </c>
      <c r="AC474" s="200">
        <v>-6.0000000000000001E-3</v>
      </c>
      <c r="AD474" s="200">
        <v>-1E-3</v>
      </c>
      <c r="AE474" s="105">
        <v>-3.0000000000000001E-3</v>
      </c>
      <c r="AF474" s="200"/>
      <c r="AG474" s="200">
        <v>4.0000000000000001E-3</v>
      </c>
      <c r="AH474" s="200">
        <v>2E-3</v>
      </c>
      <c r="AI474" s="200">
        <v>6.0000000000000001E-3</v>
      </c>
      <c r="AJ474" s="105">
        <v>3.0000000000000001E-3</v>
      </c>
      <c r="AK474" s="200">
        <v>7.0000000000000001E-3</v>
      </c>
      <c r="AL474" s="200">
        <v>2E-3</v>
      </c>
      <c r="AM474" s="200">
        <v>-4.0000000000000001E-3</v>
      </c>
      <c r="AN474" s="200">
        <v>-7.0000000000000001E-3</v>
      </c>
      <c r="AO474" s="105">
        <v>-1E-3</v>
      </c>
      <c r="AP474" s="200">
        <v>-5.0000000000000001E-3</v>
      </c>
      <c r="AQ474" s="200">
        <v>-3.0000000000000001E-3</v>
      </c>
      <c r="AR474" s="200">
        <v>-8.0000000000000002E-3</v>
      </c>
      <c r="AS474" s="200">
        <v>-4.0000000000000001E-3</v>
      </c>
      <c r="AT474" s="105">
        <v>-5.0000000000000001E-3</v>
      </c>
      <c r="AU474" s="761">
        <v>-5.0000000000000001E-3</v>
      </c>
      <c r="AV474" s="200"/>
      <c r="AW474" s="200"/>
      <c r="AX474" s="200"/>
      <c r="AY474" s="105"/>
      <c r="AZ474" s="200"/>
      <c r="BA474" s="200"/>
      <c r="BB474" s="200"/>
      <c r="BC474" s="200"/>
      <c r="BD474" s="105"/>
      <c r="BE474" s="105"/>
      <c r="BF474" s="105"/>
      <c r="BG474" s="105"/>
      <c r="BH474" s="363"/>
    </row>
    <row r="475" spans="1:60" s="262" customFormat="1" hidden="1" outlineLevel="1" x14ac:dyDescent="0.35">
      <c r="A475" s="509" t="s">
        <v>537</v>
      </c>
      <c r="B475" s="510"/>
      <c r="C475" s="511">
        <f>SUM(C473:C474)</f>
        <v>-5.3000000000000005E-2</v>
      </c>
      <c r="D475" s="511">
        <f>SUM(D473:D474)</f>
        <v>0.28699999999999998</v>
      </c>
      <c r="E475" s="511">
        <f>SUM(E473:E474)</f>
        <v>2.1000000000000005E-2</v>
      </c>
      <c r="F475" s="511">
        <f>SUM(F473:F474)</f>
        <v>9.9999999999999915E-4</v>
      </c>
      <c r="G475" s="512"/>
      <c r="H475" s="512"/>
      <c r="I475" s="512"/>
      <c r="J475" s="512"/>
      <c r="K475" s="511">
        <f t="shared" ref="K475:AQ475" si="782">SUM(K473:K474)</f>
        <v>3.5999999999999997E-2</v>
      </c>
      <c r="L475" s="512">
        <f t="shared" si="782"/>
        <v>6.9000000000000006E-2</v>
      </c>
      <c r="M475" s="512">
        <f t="shared" si="782"/>
        <v>6.6000000000000003E-2</v>
      </c>
      <c r="N475" s="512">
        <f t="shared" si="782"/>
        <v>4.9000000000000002E-2</v>
      </c>
      <c r="O475" s="512">
        <f t="shared" si="782"/>
        <v>6.8999999999999992E-2</v>
      </c>
      <c r="P475" s="511">
        <f t="shared" si="782"/>
        <v>6.3E-2</v>
      </c>
      <c r="Q475" s="512">
        <f t="shared" si="782"/>
        <v>5.6000000000000001E-2</v>
      </c>
      <c r="R475" s="512">
        <f t="shared" si="782"/>
        <v>5.0000000000000001E-3</v>
      </c>
      <c r="S475" s="512">
        <f t="shared" si="782"/>
        <v>4.0000000000000001E-3</v>
      </c>
      <c r="T475" s="512">
        <f t="shared" si="782"/>
        <v>-2.7000000000000003E-2</v>
      </c>
      <c r="U475" s="511">
        <f t="shared" si="782"/>
        <v>8.9999999999999993E-3</v>
      </c>
      <c r="V475" s="512">
        <f t="shared" si="782"/>
        <v>-5.6000000000000001E-2</v>
      </c>
      <c r="W475" s="512">
        <f t="shared" si="782"/>
        <v>-5.3999999999999999E-2</v>
      </c>
      <c r="X475" s="512">
        <f t="shared" si="782"/>
        <v>-2.1999999999999999E-2</v>
      </c>
      <c r="Y475" s="512">
        <f t="shared" si="782"/>
        <v>2.4E-2</v>
      </c>
      <c r="Z475" s="511">
        <f t="shared" si="782"/>
        <v>-2.8000000000000001E-2</v>
      </c>
      <c r="AA475" s="512">
        <f t="shared" si="782"/>
        <v>0.10100000000000001</v>
      </c>
      <c r="AB475" s="512">
        <f t="shared" si="782"/>
        <v>9.9999999999999992E-2</v>
      </c>
      <c r="AC475" s="512">
        <f t="shared" si="782"/>
        <v>0.128</v>
      </c>
      <c r="AD475" s="512">
        <f t="shared" si="782"/>
        <v>0.11899999999999999</v>
      </c>
      <c r="AE475" s="511">
        <f t="shared" si="782"/>
        <v>0.112</v>
      </c>
      <c r="AF475" s="512">
        <f t="shared" si="782"/>
        <v>4.9000000000000002E-2</v>
      </c>
      <c r="AG475" s="512">
        <f t="shared" si="782"/>
        <v>5.4999999999999993E-2</v>
      </c>
      <c r="AH475" s="512">
        <f t="shared" si="782"/>
        <v>3.2000000000000001E-2</v>
      </c>
      <c r="AI475" s="512">
        <f t="shared" si="782"/>
        <v>0.02</v>
      </c>
      <c r="AJ475" s="511">
        <f t="shared" si="782"/>
        <v>3.8000000000000006E-2</v>
      </c>
      <c r="AK475" s="512">
        <f t="shared" si="782"/>
        <v>-3.5999999999999997E-2</v>
      </c>
      <c r="AL475" s="512">
        <f t="shared" si="782"/>
        <v>-8.9999999999999993E-3</v>
      </c>
      <c r="AM475" s="512">
        <f t="shared" si="782"/>
        <v>-4.3999999999999997E-2</v>
      </c>
      <c r="AN475" s="512">
        <f t="shared" si="782"/>
        <v>-2.7E-2</v>
      </c>
      <c r="AO475" s="511">
        <f t="shared" si="782"/>
        <v>-2.9000000000000001E-2</v>
      </c>
      <c r="AP475" s="512">
        <f t="shared" si="782"/>
        <v>-4.3999999999999997E-2</v>
      </c>
      <c r="AQ475" s="512">
        <f t="shared" si="782"/>
        <v>-8.1000000000000003E-2</v>
      </c>
      <c r="AR475" s="512">
        <f>SUM(AR473:AR474)</f>
        <v>-2.5999999999999999E-2</v>
      </c>
      <c r="AS475" s="512">
        <f>SUM(AS473:AS474)</f>
        <v>1.7000000000000001E-2</v>
      </c>
      <c r="AT475" s="511">
        <f>SUM(AT473:AT474)</f>
        <v>-3.4000000000000002E-2</v>
      </c>
      <c r="AU475" s="785">
        <f t="shared" ref="AU475" si="783">SUM(AU473:AU474)</f>
        <v>0.128</v>
      </c>
      <c r="AV475" s="512"/>
      <c r="AW475" s="512"/>
      <c r="AX475" s="512"/>
      <c r="AY475" s="511"/>
      <c r="AZ475" s="512"/>
      <c r="BA475" s="512"/>
      <c r="BB475" s="512"/>
      <c r="BC475" s="512"/>
      <c r="BD475" s="511"/>
      <c r="BE475" s="511"/>
      <c r="BF475" s="511"/>
      <c r="BG475" s="511"/>
      <c r="BH475" s="363"/>
    </row>
    <row r="476" spans="1:60" s="262" customFormat="1" hidden="1" outlineLevel="1" x14ac:dyDescent="0.35">
      <c r="A476" s="311" t="s">
        <v>538</v>
      </c>
      <c r="B476" s="312"/>
      <c r="C476" s="105">
        <v>5.0000000000000001E-3</v>
      </c>
      <c r="D476" s="105">
        <v>8.9999999999999993E-3</v>
      </c>
      <c r="E476" s="105">
        <v>3.5000000000000003E-2</v>
      </c>
      <c r="F476" s="105">
        <v>3.0000000000000001E-3</v>
      </c>
      <c r="G476" s="200"/>
      <c r="H476" s="200"/>
      <c r="I476" s="200"/>
      <c r="J476" s="200"/>
      <c r="K476" s="105">
        <v>2E-3</v>
      </c>
      <c r="L476" s="200"/>
      <c r="M476" s="200"/>
      <c r="N476" s="200"/>
      <c r="O476" s="200"/>
      <c r="P476" s="105"/>
      <c r="Q476" s="200"/>
      <c r="R476" s="200"/>
      <c r="S476" s="200">
        <v>5.0000000000000001E-3</v>
      </c>
      <c r="T476" s="200">
        <v>8.9999999999999993E-3</v>
      </c>
      <c r="U476" s="105">
        <v>4.0000000000000001E-3</v>
      </c>
      <c r="V476" s="200">
        <v>0.01</v>
      </c>
      <c r="W476" s="200">
        <v>0.01</v>
      </c>
      <c r="X476" s="200">
        <v>6.0000000000000001E-3</v>
      </c>
      <c r="Y476" s="200"/>
      <c r="Z476" s="105">
        <v>7.0000000000000001E-3</v>
      </c>
      <c r="AA476" s="200"/>
      <c r="AB476" s="200"/>
      <c r="AC476" s="200"/>
      <c r="AD476" s="200">
        <v>7.0000000000000001E-3</v>
      </c>
      <c r="AE476" s="105">
        <v>2E-3</v>
      </c>
      <c r="AF476" s="200">
        <v>6.0000000000000001E-3</v>
      </c>
      <c r="AG476" s="200">
        <v>8.0000000000000002E-3</v>
      </c>
      <c r="AH476" s="200">
        <v>5.0000000000000001E-3</v>
      </c>
      <c r="AI476" s="200"/>
      <c r="AJ476" s="105">
        <v>5.0000000000000001E-3</v>
      </c>
      <c r="AK476" s="200"/>
      <c r="AL476" s="200"/>
      <c r="AM476" s="200">
        <v>1E-3</v>
      </c>
      <c r="AN476" s="200">
        <v>0.01</v>
      </c>
      <c r="AO476" s="105">
        <v>3.0000000000000001E-3</v>
      </c>
      <c r="AP476" s="200">
        <v>8.0000000000000002E-3</v>
      </c>
      <c r="AQ476" s="200">
        <v>8.9999999999999993E-3</v>
      </c>
      <c r="AR476" s="200">
        <v>0.01</v>
      </c>
      <c r="AS476" s="200">
        <v>1E-3</v>
      </c>
      <c r="AT476" s="105">
        <v>7.0000000000000001E-3</v>
      </c>
      <c r="AU476" s="761"/>
      <c r="AV476" s="200"/>
      <c r="AW476" s="200"/>
      <c r="AX476" s="200"/>
      <c r="AY476" s="105"/>
      <c r="AZ476" s="200"/>
      <c r="BA476" s="200"/>
      <c r="BB476" s="200"/>
      <c r="BC476" s="200"/>
      <c r="BD476" s="105"/>
      <c r="BE476" s="105"/>
      <c r="BF476" s="105"/>
      <c r="BG476" s="105"/>
      <c r="BH476" s="363"/>
    </row>
    <row r="477" spans="1:60" s="262" customFormat="1" hidden="1" outlineLevel="1" x14ac:dyDescent="0.35">
      <c r="A477" s="311" t="s">
        <v>539</v>
      </c>
      <c r="B477" s="312"/>
      <c r="C477" s="105"/>
      <c r="D477" s="105"/>
      <c r="E477" s="105"/>
      <c r="F477" s="105"/>
      <c r="G477" s="200"/>
      <c r="H477" s="200"/>
      <c r="I477" s="200"/>
      <c r="J477" s="200"/>
      <c r="K477" s="105"/>
      <c r="L477" s="200"/>
      <c r="M477" s="200"/>
      <c r="N477" s="200"/>
      <c r="O477" s="200"/>
      <c r="P477" s="105"/>
      <c r="Q477" s="200">
        <v>-1E-3</v>
      </c>
      <c r="R477" s="200">
        <v>-1E-3</v>
      </c>
      <c r="S477" s="200">
        <v>-1E-3</v>
      </c>
      <c r="T477" s="200">
        <v>-2E-3</v>
      </c>
      <c r="U477" s="105">
        <v>-1E-3</v>
      </c>
      <c r="V477" s="200">
        <v>-2E-3</v>
      </c>
      <c r="W477" s="200">
        <v>-2E-3</v>
      </c>
      <c r="X477" s="200">
        <v>-2E-3</v>
      </c>
      <c r="Y477" s="200">
        <v>-1E-3</v>
      </c>
      <c r="Z477" s="105">
        <v>-2E-3</v>
      </c>
      <c r="AA477" s="200">
        <v>-1E-3</v>
      </c>
      <c r="AB477" s="200">
        <v>-4.0000000000000001E-3</v>
      </c>
      <c r="AC477" s="200">
        <v>-5.0000000000000001E-3</v>
      </c>
      <c r="AD477" s="200">
        <v>-7.0000000000000001E-3</v>
      </c>
      <c r="AE477" s="105">
        <v>-4.0000000000000001E-3</v>
      </c>
      <c r="AF477" s="200">
        <v>-6.0000000000000001E-3</v>
      </c>
      <c r="AG477" s="200">
        <v>-6.0000000000000001E-3</v>
      </c>
      <c r="AH477" s="200">
        <v>-6.0000000000000001E-3</v>
      </c>
      <c r="AI477" s="200">
        <v>-4.0000000000000001E-3</v>
      </c>
      <c r="AJ477" s="105">
        <v>-6.0000000000000001E-3</v>
      </c>
      <c r="AK477" s="200">
        <v>-3.0000000000000001E-3</v>
      </c>
      <c r="AL477" s="200">
        <v>-2E-3</v>
      </c>
      <c r="AM477" s="200"/>
      <c r="AN477" s="200">
        <v>-1E-3</v>
      </c>
      <c r="AO477" s="105">
        <v>-2E-3</v>
      </c>
      <c r="AP477" s="200"/>
      <c r="AQ477" s="200">
        <v>-1E-3</v>
      </c>
      <c r="AR477" s="200">
        <v>-6.0000000000000001E-3</v>
      </c>
      <c r="AS477" s="200">
        <v>-3.0000000000000001E-3</v>
      </c>
      <c r="AT477" s="105">
        <v>-2E-3</v>
      </c>
      <c r="AU477" s="761"/>
      <c r="AV477" s="200"/>
      <c r="AW477" s="200"/>
      <c r="AX477" s="200"/>
      <c r="AY477" s="105"/>
      <c r="AZ477" s="200"/>
      <c r="BA477" s="200"/>
      <c r="BB477" s="200"/>
      <c r="BC477" s="200"/>
      <c r="BD477" s="105"/>
      <c r="BE477" s="105"/>
      <c r="BF477" s="105"/>
      <c r="BG477" s="105"/>
      <c r="BH477" s="363"/>
    </row>
    <row r="478" spans="1:60" s="262" customFormat="1" hidden="1" outlineLevel="1" x14ac:dyDescent="0.35">
      <c r="A478" s="311" t="s">
        <v>540</v>
      </c>
      <c r="B478" s="312"/>
      <c r="C478" s="105">
        <v>1E-3</v>
      </c>
      <c r="D478" s="105">
        <v>5.2999999999999999E-2</v>
      </c>
      <c r="E478" s="105">
        <v>4.7E-2</v>
      </c>
      <c r="F478" s="105">
        <v>-6.0000000000000001E-3</v>
      </c>
      <c r="G478" s="200"/>
      <c r="H478" s="200"/>
      <c r="I478" s="200"/>
      <c r="J478" s="200"/>
      <c r="K478" s="105">
        <v>-4.2999999999999997E-2</v>
      </c>
      <c r="L478" s="200">
        <v>-3.5999999999999997E-2</v>
      </c>
      <c r="M478" s="200">
        <v>-7.0000000000000001E-3</v>
      </c>
      <c r="N478" s="200">
        <v>-8.0000000000000002E-3</v>
      </c>
      <c r="O478" s="200">
        <v>-3.7999999999999999E-2</v>
      </c>
      <c r="P478" s="105">
        <v>-2.1999999999999999E-2</v>
      </c>
      <c r="Q478" s="200">
        <v>-4.2999999999999997E-2</v>
      </c>
      <c r="R478" s="200">
        <v>-5.3999999999999999E-2</v>
      </c>
      <c r="S478" s="200">
        <v>-6.9000000000000006E-2</v>
      </c>
      <c r="T478" s="200">
        <v>-4.2000000000000003E-2</v>
      </c>
      <c r="U478" s="105">
        <v>-5.1999999999999998E-2</v>
      </c>
      <c r="V478" s="200">
        <v>-2.5999999999999999E-2</v>
      </c>
      <c r="W478" s="200">
        <v>-2E-3</v>
      </c>
      <c r="X478" s="200">
        <v>3.4000000000000002E-2</v>
      </c>
      <c r="Y478" s="200">
        <v>2E-3</v>
      </c>
      <c r="Z478" s="105">
        <v>2E-3</v>
      </c>
      <c r="AA478" s="200">
        <v>-1E-3</v>
      </c>
      <c r="AB478" s="200">
        <v>-1.2999999999999999E-2</v>
      </c>
      <c r="AC478" s="200">
        <v>-1.4999999999999999E-2</v>
      </c>
      <c r="AD478" s="200">
        <v>2.5000000000000001E-2</v>
      </c>
      <c r="AE478" s="105">
        <v>-1E-3</v>
      </c>
      <c r="AF478" s="200">
        <v>5.0999999999999997E-2</v>
      </c>
      <c r="AG478" s="200">
        <v>2.1999999999999999E-2</v>
      </c>
      <c r="AH478" s="200">
        <v>-1.4999999999999999E-2</v>
      </c>
      <c r="AI478" s="200">
        <v>-2.4E-2</v>
      </c>
      <c r="AJ478" s="105">
        <v>8.0000000000000002E-3</v>
      </c>
      <c r="AK478" s="200">
        <v>-3.5000000000000003E-2</v>
      </c>
      <c r="AL478" s="200">
        <v>-2.4E-2</v>
      </c>
      <c r="AM478" s="200">
        <v>-7.0000000000000001E-3</v>
      </c>
      <c r="AN478" s="200">
        <v>1E-3</v>
      </c>
      <c r="AO478" s="105">
        <v>-1.7000000000000001E-2</v>
      </c>
      <c r="AP478" s="200">
        <v>-1.7999999999999999E-2</v>
      </c>
      <c r="AQ478" s="200">
        <v>-1.2E-2</v>
      </c>
      <c r="AR478" s="200">
        <v>1.6E-2</v>
      </c>
      <c r="AS478" s="200">
        <v>3.7999999999999999E-2</v>
      </c>
      <c r="AT478" s="105">
        <v>6.0000000000000001E-3</v>
      </c>
      <c r="AU478" s="761">
        <v>5.2999999999999999E-2</v>
      </c>
      <c r="AV478" s="200"/>
      <c r="AW478" s="200"/>
      <c r="AX478" s="200"/>
      <c r="AY478" s="105"/>
      <c r="AZ478" s="200"/>
      <c r="BA478" s="200"/>
      <c r="BB478" s="200"/>
      <c r="BC478" s="200"/>
      <c r="BD478" s="105"/>
      <c r="BE478" s="105"/>
      <c r="BF478" s="105"/>
      <c r="BG478" s="105"/>
      <c r="BH478" s="363"/>
    </row>
    <row r="479" spans="1:60" s="262" customFormat="1" hidden="1" outlineLevel="1" x14ac:dyDescent="0.35">
      <c r="A479" s="311" t="s">
        <v>541</v>
      </c>
      <c r="B479" s="312"/>
      <c r="C479" s="105"/>
      <c r="D479" s="105">
        <f>D480-SUM(D475:D478)</f>
        <v>5.098039215687411E-4</v>
      </c>
      <c r="E479" s="105">
        <f>E480-SUM(E475:E478)</f>
        <v>-2.0305121685429417E-4</v>
      </c>
      <c r="F479" s="105">
        <f>F480-SUM(F475:F478)</f>
        <v>2.4330259112870147E-4</v>
      </c>
      <c r="G479" s="200"/>
      <c r="H479" s="200"/>
      <c r="I479" s="200"/>
      <c r="J479" s="200"/>
      <c r="K479" s="105">
        <f t="shared" ref="K479:AQ479" si="784">K480-SUM(K475:K478)</f>
        <v>5.0593928728519255E-5</v>
      </c>
      <c r="L479" s="200">
        <f t="shared" si="784"/>
        <v>-6.2904636920389084E-4</v>
      </c>
      <c r="M479" s="200">
        <f t="shared" si="784"/>
        <v>-4.5109423849894192E-5</v>
      </c>
      <c r="N479" s="200">
        <f t="shared" si="784"/>
        <v>-9.3936806147762453E-6</v>
      </c>
      <c r="O479" s="200">
        <f t="shared" si="784"/>
        <v>6.5137614678893035E-4</v>
      </c>
      <c r="P479" s="105">
        <f t="shared" si="784"/>
        <v>8.068973140241964E-6</v>
      </c>
      <c r="Q479" s="200">
        <f t="shared" si="784"/>
        <v>7.1186440677962343E-4</v>
      </c>
      <c r="R479" s="200">
        <f t="shared" si="784"/>
        <v>-1.8979333614503602E-4</v>
      </c>
      <c r="S479" s="200">
        <f t="shared" si="784"/>
        <v>2.9450369155043649E-4</v>
      </c>
      <c r="T479" s="200">
        <f t="shared" si="784"/>
        <v>-2.4988883948422885E-4</v>
      </c>
      <c r="U479" s="105">
        <f t="shared" si="784"/>
        <v>-2.973030367385554E-5</v>
      </c>
      <c r="V479" s="200">
        <f t="shared" si="784"/>
        <v>-5.8577405857754283E-5</v>
      </c>
      <c r="W479" s="200">
        <f t="shared" si="784"/>
        <v>4.2628774422695526E-5</v>
      </c>
      <c r="X479" s="200">
        <f t="shared" si="784"/>
        <v>5.9388646288206781E-4</v>
      </c>
      <c r="Y479" s="200">
        <f t="shared" si="784"/>
        <v>1.3039355144619375E-4</v>
      </c>
      <c r="Z479" s="105">
        <f t="shared" si="784"/>
        <v>-4.5780334033842379E-4</v>
      </c>
      <c r="AA479" s="200">
        <f t="shared" si="784"/>
        <v>4.1256213285142951E-4</v>
      </c>
      <c r="AB479" s="200">
        <f t="shared" si="784"/>
        <v>2.2388059701422547E-5</v>
      </c>
      <c r="AC479" s="200">
        <f t="shared" si="784"/>
        <v>2.4742268041243187E-4</v>
      </c>
      <c r="AD479" s="200">
        <f t="shared" si="784"/>
        <v>3.1082331174828171E-4</v>
      </c>
      <c r="AE479" s="105">
        <f t="shared" si="784"/>
        <v>-2.6257488414162256E-4</v>
      </c>
      <c r="AF479" s="200">
        <f t="shared" si="784"/>
        <v>-1.2330456226875008E-4</v>
      </c>
      <c r="AG479" s="200">
        <f t="shared" si="784"/>
        <v>-6.1929371231687902E-4</v>
      </c>
      <c r="AH479" s="200">
        <f t="shared" si="784"/>
        <v>-1.0852713178287343E-4</v>
      </c>
      <c r="AI479" s="200">
        <f t="shared" si="784"/>
        <v>-4.8827809215846313E-4</v>
      </c>
      <c r="AJ479" s="105">
        <f t="shared" si="784"/>
        <v>3.6650015292086918E-4</v>
      </c>
      <c r="AK479" s="200">
        <f t="shared" si="784"/>
        <v>8.9686098654895297E-6</v>
      </c>
      <c r="AL479" s="200">
        <f t="shared" si="784"/>
        <v>-5.4313099041528035E-4</v>
      </c>
      <c r="AM479" s="200">
        <f t="shared" si="784"/>
        <v>1.9076688286885635E-5</v>
      </c>
      <c r="AN479" s="200">
        <f t="shared" si="784"/>
        <v>6.9343660823482922E-4</v>
      </c>
      <c r="AO479" s="105">
        <f t="shared" si="784"/>
        <v>3.3450360834793441E-4</v>
      </c>
      <c r="AP479" s="200">
        <f t="shared" si="784"/>
        <v>3.2768361581919647E-4</v>
      </c>
      <c r="AQ479" s="200">
        <f t="shared" si="784"/>
        <v>1.1387163561075997E-4</v>
      </c>
      <c r="AR479" s="200">
        <f>AR480-SUM(AR475:AR478)</f>
        <v>-4.2570281124499482E-4</v>
      </c>
      <c r="AS479" s="200">
        <f>AS480-SUM(AS475:AS478)</f>
        <v>-3.6842105263164282E-4</v>
      </c>
      <c r="AT479" s="105">
        <f>AT480-SUM(AT475:AT478)</f>
        <v>-1.7272356063703642E-4</v>
      </c>
      <c r="AU479" s="761">
        <f t="shared" ref="AU479" si="785">AU480-SUM(AU475:AU478)</f>
        <v>0</v>
      </c>
      <c r="AV479" s="200"/>
      <c r="AW479" s="200"/>
      <c r="AX479" s="200"/>
      <c r="AY479" s="105"/>
      <c r="AZ479" s="200"/>
      <c r="BA479" s="200"/>
      <c r="BB479" s="200"/>
      <c r="BC479" s="200"/>
      <c r="BD479" s="105"/>
      <c r="BE479" s="105"/>
      <c r="BF479" s="105"/>
      <c r="BG479" s="105"/>
      <c r="BH479" s="363"/>
    </row>
    <row r="480" spans="1:60" s="225" customFormat="1" hidden="1" outlineLevel="1" x14ac:dyDescent="0.35">
      <c r="A480" s="313" t="s">
        <v>542</v>
      </c>
      <c r="B480" s="180"/>
      <c r="C480" s="107">
        <f>SUM(C475:C479)</f>
        <v>-4.7000000000000007E-2</v>
      </c>
      <c r="D480" s="107">
        <f>D494/C494-1</f>
        <v>0.34950980392156872</v>
      </c>
      <c r="E480" s="107">
        <f>E494/D494-1</f>
        <v>0.10279694878314571</v>
      </c>
      <c r="F480" s="107">
        <f>F494/E494-1</f>
        <v>-1.7566974088712994E-3</v>
      </c>
      <c r="G480" s="106"/>
      <c r="H480" s="106"/>
      <c r="I480" s="106"/>
      <c r="J480" s="106"/>
      <c r="K480" s="107">
        <f t="shared" ref="K480:AQ480" si="786">K494/F494-1</f>
        <v>-4.9494060712714782E-3</v>
      </c>
      <c r="L480" s="106">
        <f t="shared" si="786"/>
        <v>3.2370953630796118E-2</v>
      </c>
      <c r="M480" s="106">
        <f t="shared" si="786"/>
        <v>5.895489057615011E-2</v>
      </c>
      <c r="N480" s="106">
        <f t="shared" si="786"/>
        <v>4.0990606319385225E-2</v>
      </c>
      <c r="O480" s="106">
        <f t="shared" si="786"/>
        <v>3.1651376146788923E-2</v>
      </c>
      <c r="P480" s="107">
        <f t="shared" si="786"/>
        <v>4.1008068973140244E-2</v>
      </c>
      <c r="Q480" s="106">
        <f t="shared" si="786"/>
        <v>1.2711864406779627E-2</v>
      </c>
      <c r="R480" s="106">
        <f t="shared" si="786"/>
        <v>-5.0189793336145039E-2</v>
      </c>
      <c r="S480" s="106">
        <f t="shared" si="786"/>
        <v>-6.0705496308449569E-2</v>
      </c>
      <c r="T480" s="106">
        <f t="shared" si="786"/>
        <v>-6.2249888839484235E-2</v>
      </c>
      <c r="U480" s="107">
        <f t="shared" si="786"/>
        <v>-4.0029730303673849E-2</v>
      </c>
      <c r="V480" s="106">
        <f t="shared" si="786"/>
        <v>-7.4058577405857751E-2</v>
      </c>
      <c r="W480" s="106">
        <f t="shared" si="786"/>
        <v>-4.7957371225577305E-2</v>
      </c>
      <c r="X480" s="106">
        <f t="shared" si="786"/>
        <v>1.6593886462882068E-2</v>
      </c>
      <c r="Y480" s="106">
        <f t="shared" si="786"/>
        <v>2.5130393551446195E-2</v>
      </c>
      <c r="Z480" s="107">
        <f t="shared" si="786"/>
        <v>-2.1457803340338422E-2</v>
      </c>
      <c r="AA480" s="106">
        <f t="shared" si="786"/>
        <v>9.9412562132851434E-2</v>
      </c>
      <c r="AB480" s="106">
        <f t="shared" si="786"/>
        <v>8.3022388059701413E-2</v>
      </c>
      <c r="AC480" s="106">
        <f t="shared" si="786"/>
        <v>0.10824742268041243</v>
      </c>
      <c r="AD480" s="106">
        <f t="shared" si="786"/>
        <v>0.14431082331174827</v>
      </c>
      <c r="AE480" s="107">
        <f t="shared" si="786"/>
        <v>0.10873742511585838</v>
      </c>
      <c r="AF480" s="106">
        <f t="shared" si="786"/>
        <v>9.9876695437731255E-2</v>
      </c>
      <c r="AG480" s="106">
        <f t="shared" si="786"/>
        <v>7.8380706287683122E-2</v>
      </c>
      <c r="AH480" s="106">
        <f t="shared" si="786"/>
        <v>1.5891472868217127E-2</v>
      </c>
      <c r="AI480" s="106">
        <f t="shared" si="786"/>
        <v>-8.4882780921584633E-3</v>
      </c>
      <c r="AJ480" s="107">
        <f t="shared" si="786"/>
        <v>4.5366500152920874E-2</v>
      </c>
      <c r="AK480" s="106">
        <f t="shared" si="786"/>
        <v>-7.3991031390134521E-2</v>
      </c>
      <c r="AL480" s="106">
        <f t="shared" si="786"/>
        <v>-3.5543130990415284E-2</v>
      </c>
      <c r="AM480" s="106">
        <f t="shared" si="786"/>
        <v>-4.998092331171311E-2</v>
      </c>
      <c r="AN480" s="106">
        <f t="shared" si="786"/>
        <v>-1.6306563391765172E-2</v>
      </c>
      <c r="AO480" s="107">
        <f t="shared" si="786"/>
        <v>-4.4665496391652071E-2</v>
      </c>
      <c r="AP480" s="106">
        <f t="shared" si="786"/>
        <v>-5.3672316384180796E-2</v>
      </c>
      <c r="AQ480" s="106">
        <f t="shared" si="786"/>
        <v>-8.4886128364389246E-2</v>
      </c>
      <c r="AR480" s="106">
        <f t="shared" ref="AR480" si="787">AR494/AM494-1</f>
        <v>-6.4257028112449932E-3</v>
      </c>
      <c r="AS480" s="106">
        <f t="shared" ref="AS480" si="788">AS494/AN494-1</f>
        <v>5.2631578947368363E-2</v>
      </c>
      <c r="AT480" s="107">
        <f t="shared" ref="AT480" si="789">AT494/AO494-1</f>
        <v>-2.3172723560637043E-2</v>
      </c>
      <c r="AU480" s="760">
        <v>0.18099999999999999</v>
      </c>
      <c r="AV480" s="106"/>
      <c r="AW480" s="106"/>
      <c r="AX480" s="106"/>
      <c r="AY480" s="107"/>
      <c r="AZ480" s="106"/>
      <c r="BA480" s="106"/>
      <c r="BB480" s="106"/>
      <c r="BC480" s="106"/>
      <c r="BD480" s="107"/>
      <c r="BE480" s="107"/>
      <c r="BF480" s="107"/>
      <c r="BG480" s="107"/>
      <c r="BH480" s="94"/>
    </row>
    <row r="481" spans="1:60" s="225" customFormat="1" hidden="1" outlineLevel="1" x14ac:dyDescent="0.35">
      <c r="A481" s="538"/>
      <c r="B481" s="176"/>
      <c r="C481" s="113"/>
      <c r="D481" s="113"/>
      <c r="E481" s="113"/>
      <c r="F481" s="113"/>
      <c r="G481" s="177"/>
      <c r="H481" s="177"/>
      <c r="I481" s="177"/>
      <c r="J481" s="177"/>
      <c r="K481" s="113"/>
      <c r="L481" s="177"/>
      <c r="M481" s="177"/>
      <c r="N481" s="177"/>
      <c r="O481" s="177"/>
      <c r="P481" s="113"/>
      <c r="Q481" s="177"/>
      <c r="R481" s="177"/>
      <c r="S481" s="177"/>
      <c r="T481" s="177"/>
      <c r="U481" s="113"/>
      <c r="V481" s="177"/>
      <c r="W481" s="177"/>
      <c r="X481" s="177"/>
      <c r="Y481" s="177"/>
      <c r="Z481" s="113"/>
      <c r="AA481" s="177"/>
      <c r="AB481" s="177"/>
      <c r="AC481" s="177"/>
      <c r="AD481" s="177"/>
      <c r="AE481" s="113"/>
      <c r="AF481" s="177"/>
      <c r="AG481" s="177"/>
      <c r="AH481" s="177"/>
      <c r="AI481" s="177"/>
      <c r="AJ481" s="113"/>
      <c r="AK481" s="177"/>
      <c r="AL481" s="177"/>
      <c r="AM481" s="177"/>
      <c r="AN481" s="177"/>
      <c r="AO481" s="113"/>
      <c r="AP481" s="177"/>
      <c r="AQ481" s="177"/>
      <c r="AR481" s="177"/>
      <c r="AS481" s="177"/>
      <c r="AT481" s="113"/>
      <c r="AU481" s="780"/>
      <c r="AV481" s="177"/>
      <c r="AW481" s="177"/>
      <c r="AX481" s="177"/>
      <c r="AY481" s="113"/>
      <c r="AZ481" s="177"/>
      <c r="BA481" s="177"/>
      <c r="BB481" s="177"/>
      <c r="BC481" s="177"/>
      <c r="BD481" s="113"/>
      <c r="BE481" s="113"/>
      <c r="BF481" s="113"/>
      <c r="BG481" s="113"/>
      <c r="BH481" s="94"/>
    </row>
    <row r="482" spans="1:60" s="262" customFormat="1" hidden="1" outlineLevel="1" x14ac:dyDescent="0.35">
      <c r="A482" s="514" t="s">
        <v>543</v>
      </c>
      <c r="B482" s="312"/>
      <c r="C482" s="105">
        <v>-0.11899999999999999</v>
      </c>
      <c r="D482" s="105">
        <v>7.3999999999999996E-2</v>
      </c>
      <c r="E482" s="105">
        <v>1.6E-2</v>
      </c>
      <c r="F482" s="105">
        <v>-2.8000000000000001E-2</v>
      </c>
      <c r="G482" s="200"/>
      <c r="H482" s="200"/>
      <c r="I482" s="200"/>
      <c r="J482" s="200"/>
      <c r="K482" s="105">
        <v>1.4999999999999999E-2</v>
      </c>
      <c r="L482" s="200">
        <v>2.9000000000000001E-2</v>
      </c>
      <c r="M482" s="200">
        <v>3.5999999999999997E-2</v>
      </c>
      <c r="N482" s="200">
        <v>-2E-3</v>
      </c>
      <c r="O482" s="200">
        <v>1.9E-2</v>
      </c>
      <c r="P482" s="105">
        <v>2.1000000000000001E-2</v>
      </c>
      <c r="Q482" s="200">
        <v>-1.2E-2</v>
      </c>
      <c r="R482" s="200">
        <v>-1.2999999999999999E-2</v>
      </c>
      <c r="S482" s="200">
        <v>-6.0000000000000001E-3</v>
      </c>
      <c r="T482" s="200">
        <v>-8.0000000000000002E-3</v>
      </c>
      <c r="U482" s="105">
        <v>-0.01</v>
      </c>
      <c r="V482" s="200">
        <v>5.0000000000000001E-3</v>
      </c>
      <c r="W482" s="200">
        <v>1.4999999999999999E-2</v>
      </c>
      <c r="X482" s="200">
        <v>-0.02</v>
      </c>
      <c r="Y482" s="200">
        <v>-2.8000000000000001E-2</v>
      </c>
      <c r="Z482" s="105">
        <v>-6.0000000000000001E-3</v>
      </c>
      <c r="AA482" s="200">
        <v>3.6999999999999998E-2</v>
      </c>
      <c r="AB482" s="200">
        <v>-0.02</v>
      </c>
      <c r="AC482" s="200">
        <v>3.3000000000000002E-2</v>
      </c>
      <c r="AD482" s="200">
        <v>5.3999999999999999E-2</v>
      </c>
      <c r="AE482" s="105">
        <v>2.5000000000000001E-2</v>
      </c>
      <c r="AF482" s="200">
        <v>-1.2999999999999999E-2</v>
      </c>
      <c r="AG482" s="200">
        <v>0.04</v>
      </c>
      <c r="AH482" s="200">
        <v>-2.5000000000000001E-2</v>
      </c>
      <c r="AI482" s="200">
        <v>-6.0000000000000001E-3</v>
      </c>
      <c r="AJ482" s="105"/>
      <c r="AK482" s="200">
        <v>-7.0000000000000001E-3</v>
      </c>
      <c r="AL482" s="200">
        <v>-4.8000000000000001E-2</v>
      </c>
      <c r="AM482" s="200">
        <v>6.0000000000000001E-3</v>
      </c>
      <c r="AN482" s="200">
        <v>-4.2000000000000003E-2</v>
      </c>
      <c r="AO482" s="105">
        <v>-2.1999999999999999E-2</v>
      </c>
      <c r="AP482" s="200">
        <v>-2.8000000000000001E-2</v>
      </c>
      <c r="AQ482" s="200">
        <v>-0.152</v>
      </c>
      <c r="AR482" s="200">
        <v>-1.7999999999999999E-2</v>
      </c>
      <c r="AS482" s="200">
        <v>3.7999999999999999E-2</v>
      </c>
      <c r="AT482" s="105">
        <v>-0.04</v>
      </c>
      <c r="AU482" s="761">
        <v>4.4999999999999998E-2</v>
      </c>
      <c r="AV482" s="200"/>
      <c r="AW482" s="200"/>
      <c r="AX482" s="200"/>
      <c r="AY482" s="105"/>
      <c r="AZ482" s="200"/>
      <c r="BA482" s="200"/>
      <c r="BB482" s="200"/>
      <c r="BC482" s="200"/>
      <c r="BD482" s="105"/>
      <c r="BE482" s="105"/>
      <c r="BF482" s="105"/>
      <c r="BG482" s="105"/>
      <c r="BH482" s="363"/>
    </row>
    <row r="483" spans="1:60" s="262" customFormat="1" hidden="1" outlineLevel="1" x14ac:dyDescent="0.35">
      <c r="A483" s="514" t="s">
        <v>544</v>
      </c>
      <c r="B483" s="312"/>
      <c r="C483" s="105">
        <v>1.9E-2</v>
      </c>
      <c r="D483" s="105">
        <v>1E-3</v>
      </c>
      <c r="E483" s="105">
        <v>1.6E-2</v>
      </c>
      <c r="F483" s="105">
        <v>2.1999999999999999E-2</v>
      </c>
      <c r="G483" s="200"/>
      <c r="H483" s="200"/>
      <c r="I483" s="200"/>
      <c r="J483" s="200"/>
      <c r="K483" s="105">
        <v>6.0000000000000001E-3</v>
      </c>
      <c r="L483" s="200">
        <v>8.0000000000000002E-3</v>
      </c>
      <c r="M483" s="200">
        <v>1.2E-2</v>
      </c>
      <c r="N483" s="200">
        <v>0.01</v>
      </c>
      <c r="O483" s="200">
        <v>1.4E-2</v>
      </c>
      <c r="P483" s="105">
        <v>1.0999999999999999E-2</v>
      </c>
      <c r="Q483" s="200">
        <v>1.4999999999999999E-2</v>
      </c>
      <c r="R483" s="200">
        <v>1.7000000000000001E-2</v>
      </c>
      <c r="S483" s="200">
        <v>2.1000000000000001E-2</v>
      </c>
      <c r="T483" s="200">
        <v>1.9E-2</v>
      </c>
      <c r="U483" s="105">
        <v>1.7999999999999999E-2</v>
      </c>
      <c r="V483" s="200">
        <v>1.2E-2</v>
      </c>
      <c r="W483" s="200">
        <v>1.4999999999999999E-2</v>
      </c>
      <c r="X483" s="200">
        <v>0.01</v>
      </c>
      <c r="Y483" s="200">
        <v>4.0000000000000001E-3</v>
      </c>
      <c r="Z483" s="105">
        <v>0.01</v>
      </c>
      <c r="AA483" s="200">
        <v>3.0000000000000001E-3</v>
      </c>
      <c r="AB483" s="200">
        <v>4.0000000000000001E-3</v>
      </c>
      <c r="AC483" s="200">
        <v>7.0000000000000001E-3</v>
      </c>
      <c r="AD483" s="200">
        <v>1.4E-2</v>
      </c>
      <c r="AE483" s="105">
        <v>7.0000000000000001E-3</v>
      </c>
      <c r="AF483" s="200">
        <v>1.4E-2</v>
      </c>
      <c r="AG483" s="200">
        <v>1.7999999999999999E-2</v>
      </c>
      <c r="AH483" s="200">
        <v>1.6E-2</v>
      </c>
      <c r="AI483" s="200">
        <v>1.9E-2</v>
      </c>
      <c r="AJ483" s="105">
        <v>1.7000000000000001E-2</v>
      </c>
      <c r="AK483" s="200">
        <v>1.4E-2</v>
      </c>
      <c r="AL483" s="200">
        <v>1.2E-2</v>
      </c>
      <c r="AM483" s="200">
        <v>1.4E-2</v>
      </c>
      <c r="AN483" s="200">
        <v>1.4999999999999999E-2</v>
      </c>
      <c r="AO483" s="105">
        <v>1.2999999999999999E-2</v>
      </c>
      <c r="AP483" s="200">
        <v>1.0999999999999999E-2</v>
      </c>
      <c r="AQ483" s="200">
        <v>7.0000000000000001E-3</v>
      </c>
      <c r="AR483" s="200">
        <v>1.4999999999999999E-2</v>
      </c>
      <c r="AS483" s="200">
        <v>1.7999999999999999E-2</v>
      </c>
      <c r="AT483" s="105">
        <v>1.2E-2</v>
      </c>
      <c r="AU483" s="761">
        <v>0.01</v>
      </c>
      <c r="AV483" s="200"/>
      <c r="AW483" s="200"/>
      <c r="AX483" s="200"/>
      <c r="AY483" s="105"/>
      <c r="AZ483" s="200"/>
      <c r="BA483" s="200"/>
      <c r="BB483" s="200"/>
      <c r="BC483" s="200"/>
      <c r="BD483" s="105"/>
      <c r="BE483" s="105"/>
      <c r="BF483" s="105"/>
      <c r="BG483" s="105"/>
      <c r="BH483" s="363"/>
    </row>
    <row r="484" spans="1:60" s="262" customFormat="1" hidden="1" outlineLevel="1" x14ac:dyDescent="0.35">
      <c r="A484" s="509" t="s">
        <v>545</v>
      </c>
      <c r="B484" s="510"/>
      <c r="C484" s="511">
        <f>SUM(C482:C483)</f>
        <v>-9.9999999999999992E-2</v>
      </c>
      <c r="D484" s="511">
        <f>SUM(D482:D483)</f>
        <v>7.4999999999999997E-2</v>
      </c>
      <c r="E484" s="511">
        <f>SUM(E482:E483)</f>
        <v>3.2000000000000001E-2</v>
      </c>
      <c r="F484" s="511">
        <f>SUM(F482:F483)</f>
        <v>-6.0000000000000019E-3</v>
      </c>
      <c r="G484" s="512"/>
      <c r="H484" s="512"/>
      <c r="I484" s="512"/>
      <c r="J484" s="512"/>
      <c r="K484" s="511">
        <f t="shared" ref="K484:AQ484" si="790">SUM(K482:K483)</f>
        <v>2.0999999999999998E-2</v>
      </c>
      <c r="L484" s="512">
        <f t="shared" si="790"/>
        <v>3.7000000000000005E-2</v>
      </c>
      <c r="M484" s="512">
        <f t="shared" si="790"/>
        <v>4.8000000000000001E-2</v>
      </c>
      <c r="N484" s="512">
        <f t="shared" si="790"/>
        <v>8.0000000000000002E-3</v>
      </c>
      <c r="O484" s="512">
        <f t="shared" si="790"/>
        <v>3.3000000000000002E-2</v>
      </c>
      <c r="P484" s="511">
        <f t="shared" si="790"/>
        <v>3.2000000000000001E-2</v>
      </c>
      <c r="Q484" s="512">
        <f t="shared" si="790"/>
        <v>2.9999999999999992E-3</v>
      </c>
      <c r="R484" s="512">
        <f t="shared" si="790"/>
        <v>4.0000000000000018E-3</v>
      </c>
      <c r="S484" s="512">
        <f t="shared" si="790"/>
        <v>1.5000000000000001E-2</v>
      </c>
      <c r="T484" s="512">
        <f t="shared" si="790"/>
        <v>1.0999999999999999E-2</v>
      </c>
      <c r="U484" s="511">
        <f t="shared" si="790"/>
        <v>7.9999999999999984E-3</v>
      </c>
      <c r="V484" s="512">
        <f t="shared" si="790"/>
        <v>1.7000000000000001E-2</v>
      </c>
      <c r="W484" s="512">
        <f t="shared" si="790"/>
        <v>0.03</v>
      </c>
      <c r="X484" s="512">
        <f t="shared" si="790"/>
        <v>-0.01</v>
      </c>
      <c r="Y484" s="512">
        <f t="shared" si="790"/>
        <v>-2.4E-2</v>
      </c>
      <c r="Z484" s="511">
        <f t="shared" si="790"/>
        <v>4.0000000000000001E-3</v>
      </c>
      <c r="AA484" s="512">
        <f t="shared" si="790"/>
        <v>0.04</v>
      </c>
      <c r="AB484" s="512">
        <f t="shared" si="790"/>
        <v>-1.6E-2</v>
      </c>
      <c r="AC484" s="512">
        <f t="shared" si="790"/>
        <v>0.04</v>
      </c>
      <c r="AD484" s="512">
        <f t="shared" si="790"/>
        <v>6.8000000000000005E-2</v>
      </c>
      <c r="AE484" s="511">
        <f t="shared" si="790"/>
        <v>3.2000000000000001E-2</v>
      </c>
      <c r="AF484" s="512">
        <f t="shared" si="790"/>
        <v>1.0000000000000009E-3</v>
      </c>
      <c r="AG484" s="512">
        <f t="shared" si="790"/>
        <v>5.7999999999999996E-2</v>
      </c>
      <c r="AH484" s="512">
        <f t="shared" si="790"/>
        <v>-9.0000000000000011E-3</v>
      </c>
      <c r="AI484" s="512">
        <f t="shared" si="790"/>
        <v>1.2999999999999999E-2</v>
      </c>
      <c r="AJ484" s="511">
        <f t="shared" si="790"/>
        <v>1.7000000000000001E-2</v>
      </c>
      <c r="AK484" s="512">
        <f t="shared" si="790"/>
        <v>7.0000000000000001E-3</v>
      </c>
      <c r="AL484" s="512">
        <f t="shared" si="790"/>
        <v>-3.6000000000000004E-2</v>
      </c>
      <c r="AM484" s="512">
        <f t="shared" si="790"/>
        <v>0.02</v>
      </c>
      <c r="AN484" s="512">
        <f t="shared" si="790"/>
        <v>-2.7000000000000003E-2</v>
      </c>
      <c r="AO484" s="511">
        <f t="shared" si="790"/>
        <v>-8.9999999999999993E-3</v>
      </c>
      <c r="AP484" s="512">
        <f t="shared" si="790"/>
        <v>-1.7000000000000001E-2</v>
      </c>
      <c r="AQ484" s="512">
        <f t="shared" si="790"/>
        <v>-0.14499999999999999</v>
      </c>
      <c r="AR484" s="512">
        <f>SUM(AR482:AR483)</f>
        <v>-2.9999999999999992E-3</v>
      </c>
      <c r="AS484" s="512">
        <f>SUM(AS482:AS483)</f>
        <v>5.5999999999999994E-2</v>
      </c>
      <c r="AT484" s="511">
        <f>SUM(AT482:AT483)</f>
        <v>-2.8000000000000001E-2</v>
      </c>
      <c r="AU484" s="785">
        <f t="shared" ref="AU484" si="791">SUM(AU482:AU483)</f>
        <v>5.5E-2</v>
      </c>
      <c r="AV484" s="512"/>
      <c r="AW484" s="512"/>
      <c r="AX484" s="512"/>
      <c r="AY484" s="511"/>
      <c r="AZ484" s="512"/>
      <c r="BA484" s="512"/>
      <c r="BB484" s="512"/>
      <c r="BC484" s="512"/>
      <c r="BD484" s="511"/>
      <c r="BE484" s="511"/>
      <c r="BF484" s="511"/>
      <c r="BG484" s="511"/>
      <c r="BH484" s="363"/>
    </row>
    <row r="485" spans="1:60" s="262" customFormat="1" hidden="1" outlineLevel="1" x14ac:dyDescent="0.35">
      <c r="A485" s="311" t="s">
        <v>546</v>
      </c>
      <c r="B485" s="312"/>
      <c r="C485" s="105">
        <v>3.5000000000000003E-2</v>
      </c>
      <c r="D485" s="105">
        <v>4.0000000000000001E-3</v>
      </c>
      <c r="E485" s="105">
        <v>4.5999999999999999E-2</v>
      </c>
      <c r="F485" s="105">
        <v>1.9E-2</v>
      </c>
      <c r="G485" s="200"/>
      <c r="H485" s="200"/>
      <c r="I485" s="200"/>
      <c r="J485" s="200"/>
      <c r="K485" s="105">
        <v>0.02</v>
      </c>
      <c r="L485" s="200"/>
      <c r="M485" s="200"/>
      <c r="N485" s="200"/>
      <c r="O485" s="200"/>
      <c r="P485" s="105"/>
      <c r="Q485" s="200"/>
      <c r="R485" s="200"/>
      <c r="S485" s="200">
        <v>8.9999999999999993E-3</v>
      </c>
      <c r="T485" s="200">
        <v>2.1000000000000001E-2</v>
      </c>
      <c r="U485" s="105">
        <v>7.0000000000000001E-3</v>
      </c>
      <c r="V485" s="200">
        <v>2.8000000000000001E-2</v>
      </c>
      <c r="W485" s="200">
        <v>2.7E-2</v>
      </c>
      <c r="X485" s="200">
        <v>1.4E-2</v>
      </c>
      <c r="Y485" s="200"/>
      <c r="Z485" s="105">
        <v>1.7000000000000001E-2</v>
      </c>
      <c r="AA485" s="200"/>
      <c r="AB485" s="200"/>
      <c r="AC485" s="200"/>
      <c r="AD485" s="200">
        <v>3.2000000000000001E-2</v>
      </c>
      <c r="AE485" s="105">
        <v>7.0000000000000001E-3</v>
      </c>
      <c r="AF485" s="200">
        <v>3.2000000000000001E-2</v>
      </c>
      <c r="AG485" s="200">
        <v>3.1E-2</v>
      </c>
      <c r="AH485" s="200">
        <v>2.9000000000000001E-2</v>
      </c>
      <c r="AI485" s="200"/>
      <c r="AJ485" s="105">
        <v>2.1999999999999999E-2</v>
      </c>
      <c r="AK485" s="200">
        <v>1E-3</v>
      </c>
      <c r="AL485" s="200"/>
      <c r="AM485" s="200"/>
      <c r="AN485" s="200">
        <v>0.04</v>
      </c>
      <c r="AO485" s="105">
        <v>0.01</v>
      </c>
      <c r="AP485" s="200">
        <v>2.4E-2</v>
      </c>
      <c r="AQ485" s="200">
        <v>3.2000000000000001E-2</v>
      </c>
      <c r="AR485" s="200">
        <v>4.1000000000000002E-2</v>
      </c>
      <c r="AS485" s="200">
        <v>5.0000000000000001E-3</v>
      </c>
      <c r="AT485" s="105">
        <v>2.8000000000000001E-2</v>
      </c>
      <c r="AU485" s="761"/>
      <c r="AV485" s="200"/>
      <c r="AW485" s="200"/>
      <c r="AX485" s="200"/>
      <c r="AY485" s="105"/>
      <c r="AZ485" s="200"/>
      <c r="BA485" s="200"/>
      <c r="BB485" s="200"/>
      <c r="BC485" s="200"/>
      <c r="BD485" s="105"/>
      <c r="BE485" s="105"/>
      <c r="BF485" s="105"/>
      <c r="BG485" s="105"/>
      <c r="BH485" s="363"/>
    </row>
    <row r="486" spans="1:60" s="262" customFormat="1" hidden="1" outlineLevel="1" x14ac:dyDescent="0.35">
      <c r="A486" s="311" t="s">
        <v>547</v>
      </c>
      <c r="B486" s="312"/>
      <c r="C486" s="105">
        <v>-1E-3</v>
      </c>
      <c r="D486" s="105">
        <v>-3.0000000000000001E-3</v>
      </c>
      <c r="E486" s="105"/>
      <c r="F486" s="105"/>
      <c r="G486" s="200"/>
      <c r="H486" s="200"/>
      <c r="I486" s="200"/>
      <c r="J486" s="200"/>
      <c r="K486" s="105"/>
      <c r="L486" s="200"/>
      <c r="M486" s="200"/>
      <c r="N486" s="200"/>
      <c r="O486" s="200"/>
      <c r="P486" s="105"/>
      <c r="Q486" s="200"/>
      <c r="R486" s="200"/>
      <c r="S486" s="200">
        <v>-1E-3</v>
      </c>
      <c r="T486" s="200">
        <v>-3.0000000000000001E-3</v>
      </c>
      <c r="U486" s="105">
        <v>-1E-3</v>
      </c>
      <c r="V486" s="200">
        <v>-7.0000000000000001E-3</v>
      </c>
      <c r="W486" s="200">
        <v>-7.0000000000000001E-3</v>
      </c>
      <c r="X486" s="200">
        <v>-7.0000000000000001E-3</v>
      </c>
      <c r="Y486" s="200">
        <v>-5.0000000000000001E-3</v>
      </c>
      <c r="Z486" s="105">
        <v>-7.0000000000000001E-3</v>
      </c>
      <c r="AA486" s="200">
        <v>-1E-3</v>
      </c>
      <c r="AB486" s="200">
        <v>-8.0000000000000002E-3</v>
      </c>
      <c r="AC486" s="200">
        <v>-8.0000000000000002E-3</v>
      </c>
      <c r="AD486" s="200">
        <v>-1.7000000000000001E-2</v>
      </c>
      <c r="AE486" s="105">
        <v>-8.0000000000000002E-3</v>
      </c>
      <c r="AF486" s="200">
        <v>-0.02</v>
      </c>
      <c r="AG486" s="200">
        <v>-0.02</v>
      </c>
      <c r="AH486" s="200">
        <v>-2.9000000000000001E-2</v>
      </c>
      <c r="AI486" s="200">
        <v>-2.9000000000000001E-2</v>
      </c>
      <c r="AJ486" s="105">
        <v>-2.5000000000000001E-2</v>
      </c>
      <c r="AK486" s="200">
        <v>-2.4E-2</v>
      </c>
      <c r="AL486" s="200">
        <v>-1.7999999999999999E-2</v>
      </c>
      <c r="AM486" s="200">
        <v>-1.2999999999999999E-2</v>
      </c>
      <c r="AN486" s="200">
        <v>-1.7999999999999999E-2</v>
      </c>
      <c r="AO486" s="105">
        <v>-1.9E-2</v>
      </c>
      <c r="AP486" s="200"/>
      <c r="AQ486" s="200">
        <v>-0.03</v>
      </c>
      <c r="AR486" s="200">
        <v>-0.04</v>
      </c>
      <c r="AS486" s="200">
        <v>-3.6999999999999998E-2</v>
      </c>
      <c r="AT486" s="105">
        <v>-2.9000000000000001E-2</v>
      </c>
      <c r="AU486" s="761">
        <v>-0.03</v>
      </c>
      <c r="AV486" s="200"/>
      <c r="AW486" s="200"/>
      <c r="AX486" s="200"/>
      <c r="AY486" s="105"/>
      <c r="AZ486" s="200"/>
      <c r="BA486" s="200"/>
      <c r="BB486" s="200"/>
      <c r="BC486" s="200"/>
      <c r="BD486" s="105"/>
      <c r="BE486" s="105"/>
      <c r="BF486" s="105"/>
      <c r="BG486" s="105"/>
      <c r="BH486" s="363"/>
    </row>
    <row r="487" spans="1:60" s="262" customFormat="1" hidden="1" outlineLevel="1" x14ac:dyDescent="0.35">
      <c r="A487" s="311" t="s">
        <v>548</v>
      </c>
      <c r="B487" s="312"/>
      <c r="C487" s="105">
        <v>-7.3999999999999996E-2</v>
      </c>
      <c r="D487" s="105">
        <v>-2.8000000000000001E-2</v>
      </c>
      <c r="E487" s="105">
        <v>5.2999999999999999E-2</v>
      </c>
      <c r="F487" s="105">
        <v>-6.2E-2</v>
      </c>
      <c r="G487" s="200"/>
      <c r="H487" s="200"/>
      <c r="I487" s="200"/>
      <c r="J487" s="200"/>
      <c r="K487" s="105">
        <v>1.2E-2</v>
      </c>
      <c r="L487" s="200">
        <v>1.7999999999999999E-2</v>
      </c>
      <c r="M487" s="200">
        <v>3.6999999999999998E-2</v>
      </c>
      <c r="N487" s="200">
        <v>-2.1000000000000001E-2</v>
      </c>
      <c r="O487" s="200">
        <v>-9.7000000000000003E-2</v>
      </c>
      <c r="P487" s="105">
        <v>-1.6E-2</v>
      </c>
      <c r="Q487" s="200">
        <v>-0.16200000000000001</v>
      </c>
      <c r="R487" s="200">
        <v>-0.16800000000000001</v>
      </c>
      <c r="S487" s="200">
        <v>-0.14399999999999999</v>
      </c>
      <c r="T487" s="200">
        <v>-0.11700000000000001</v>
      </c>
      <c r="U487" s="105">
        <v>-0.14899999999999999</v>
      </c>
      <c r="V487" s="200">
        <v>-2.9000000000000001E-2</v>
      </c>
      <c r="W487" s="200">
        <v>-1.7000000000000001E-2</v>
      </c>
      <c r="X487" s="200">
        <v>-2.1000000000000001E-2</v>
      </c>
      <c r="Y487" s="200">
        <v>-3.3000000000000002E-2</v>
      </c>
      <c r="Z487" s="105">
        <v>-2.5000000000000001E-2</v>
      </c>
      <c r="AA487" s="200">
        <v>-0.04</v>
      </c>
      <c r="AB487" s="200">
        <v>-1.2E-2</v>
      </c>
      <c r="AC487" s="200">
        <v>4.2000000000000003E-2</v>
      </c>
      <c r="AD487" s="200">
        <v>8.7999999999999995E-2</v>
      </c>
      <c r="AE487" s="105">
        <v>1.7000000000000001E-2</v>
      </c>
      <c r="AF487" s="200">
        <v>0.124</v>
      </c>
      <c r="AG487" s="200">
        <v>2.5999999999999999E-2</v>
      </c>
      <c r="AH487" s="200">
        <v>-0.03</v>
      </c>
      <c r="AI487" s="200">
        <v>-4.8000000000000001E-2</v>
      </c>
      <c r="AJ487" s="105">
        <v>1.7000000000000001E-2</v>
      </c>
      <c r="AK487" s="200">
        <v>-7.8E-2</v>
      </c>
      <c r="AL487" s="200">
        <v>-0.04</v>
      </c>
      <c r="AM487" s="200">
        <v>-4.8000000000000001E-2</v>
      </c>
      <c r="AN487" s="200">
        <v>-1.4999999999999999E-2</v>
      </c>
      <c r="AO487" s="105">
        <v>-4.5999999999999999E-2</v>
      </c>
      <c r="AP487" s="200">
        <v>-2.8000000000000001E-2</v>
      </c>
      <c r="AQ487" s="200">
        <v>-2.1000000000000001E-2</v>
      </c>
      <c r="AR487" s="200">
        <v>4.5999999999999999E-2</v>
      </c>
      <c r="AS487" s="200">
        <v>0.05</v>
      </c>
      <c r="AT487" s="105">
        <v>0.01</v>
      </c>
      <c r="AU487" s="761">
        <v>7.9000000000000001E-2</v>
      </c>
      <c r="AV487" s="200"/>
      <c r="AW487" s="200"/>
      <c r="AX487" s="200"/>
      <c r="AY487" s="105"/>
      <c r="AZ487" s="200"/>
      <c r="BA487" s="200"/>
      <c r="BB487" s="200"/>
      <c r="BC487" s="200"/>
      <c r="BD487" s="105"/>
      <c r="BE487" s="105"/>
      <c r="BF487" s="105"/>
      <c r="BG487" s="105"/>
      <c r="BH487" s="363"/>
    </row>
    <row r="488" spans="1:60" s="262" customFormat="1" hidden="1" outlineLevel="1" x14ac:dyDescent="0.35">
      <c r="A488" s="311" t="s">
        <v>549</v>
      </c>
      <c r="B488" s="312"/>
      <c r="C488" s="105"/>
      <c r="D488" s="105">
        <f>D489-SUM(D484:D487)</f>
        <v>5.7602143335652722E-5</v>
      </c>
      <c r="E488" s="105">
        <f>E489-SUM(E484:E487)</f>
        <v>-4.6796612877453292E-4</v>
      </c>
      <c r="F488" s="105">
        <f>F489-SUM(F484:F487)</f>
        <v>1.023176936122E-4</v>
      </c>
      <c r="G488" s="200"/>
      <c r="H488" s="200"/>
      <c r="I488" s="200"/>
      <c r="J488" s="200"/>
      <c r="K488" s="105">
        <f t="shared" ref="K488:AQ488" si="792">K489-SUM(K484:K487)</f>
        <v>-2.5111441307573701E-4</v>
      </c>
      <c r="L488" s="200">
        <f t="shared" si="792"/>
        <v>-4.2492917846928546E-5</v>
      </c>
      <c r="M488" s="200">
        <f t="shared" si="792"/>
        <v>5.3742262239728222E-4</v>
      </c>
      <c r="N488" s="200">
        <f t="shared" si="792"/>
        <v>4.0698340011445858E-4</v>
      </c>
      <c r="O488" s="200">
        <f t="shared" si="792"/>
        <v>5.2561247216037499E-4</v>
      </c>
      <c r="P488" s="105">
        <f t="shared" si="792"/>
        <v>-5.0811573747408523E-5</v>
      </c>
      <c r="Q488" s="200">
        <f t="shared" si="792"/>
        <v>3.1149301825988962E-5</v>
      </c>
      <c r="R488" s="200">
        <f t="shared" si="792"/>
        <v>-3.3385173665115286E-4</v>
      </c>
      <c r="S488" s="200">
        <f t="shared" si="792"/>
        <v>4.202898550724754E-4</v>
      </c>
      <c r="T488" s="200">
        <f t="shared" si="792"/>
        <v>-5.8501783590965417E-4</v>
      </c>
      <c r="U488" s="105">
        <f t="shared" si="792"/>
        <v>2.4034454015009477E-4</v>
      </c>
      <c r="V488" s="200">
        <f t="shared" si="792"/>
        <v>-6.9859514687108451E-4</v>
      </c>
      <c r="W488" s="200">
        <f t="shared" si="792"/>
        <v>-1.2158808933001447E-4</v>
      </c>
      <c r="X488" s="200">
        <f t="shared" si="792"/>
        <v>2.689518787079917E-4</v>
      </c>
      <c r="Y488" s="200">
        <f t="shared" si="792"/>
        <v>3.0006523157155574E-5</v>
      </c>
      <c r="Z488" s="105">
        <f t="shared" si="792"/>
        <v>5.6326268465000176E-4</v>
      </c>
      <c r="AA488" s="200">
        <f t="shared" si="792"/>
        <v>-2.6662444585179301E-4</v>
      </c>
      <c r="AB488" s="200">
        <f t="shared" si="792"/>
        <v>-3.603603603599681E-5</v>
      </c>
      <c r="AC488" s="200">
        <f t="shared" si="792"/>
        <v>-1.0762997974342325E-3</v>
      </c>
      <c r="AD488" s="200">
        <f t="shared" si="792"/>
        <v>7.6634214186360738E-4</v>
      </c>
      <c r="AE488" s="105">
        <f t="shared" si="792"/>
        <v>-4.5821840012978676E-4</v>
      </c>
      <c r="AF488" s="200">
        <f t="shared" si="792"/>
        <v>-6.651870640457247E-4</v>
      </c>
      <c r="AG488" s="200">
        <f t="shared" si="792"/>
        <v>3.2710280373836331E-4</v>
      </c>
      <c r="AH488" s="200">
        <f t="shared" si="792"/>
        <v>-1.8250471994919748E-5</v>
      </c>
      <c r="AI488" s="200">
        <f t="shared" si="792"/>
        <v>-9.4955489614190203E-5</v>
      </c>
      <c r="AJ488" s="105">
        <f t="shared" si="792"/>
        <v>-3.3085501858728938E-4</v>
      </c>
      <c r="AK488" s="200">
        <f t="shared" si="792"/>
        <v>2.5000000000000022E-4</v>
      </c>
      <c r="AL488" s="200">
        <f t="shared" si="792"/>
        <v>1.4334470989765813E-4</v>
      </c>
      <c r="AM488" s="200">
        <f t="shared" si="792"/>
        <v>3.9751146037988322E-4</v>
      </c>
      <c r="AN488" s="200">
        <f t="shared" si="792"/>
        <v>-9.2580849714642491E-4</v>
      </c>
      <c r="AO488" s="105">
        <f t="shared" si="792"/>
        <v>-3.2221220318601196E-4</v>
      </c>
      <c r="AP488" s="200">
        <f t="shared" si="792"/>
        <v>6.4039408866994191E-5</v>
      </c>
      <c r="AQ488" s="200">
        <f t="shared" si="792"/>
        <v>1.5819209039541482E-4</v>
      </c>
      <c r="AR488" s="200">
        <f>AR489-SUM(AR484:AR487)</f>
        <v>-9.9658703071666549E-4</v>
      </c>
      <c r="AS488" s="200">
        <f>AS489-SUM(AS484:AS487)</f>
        <v>4.818652849741395E-4</v>
      </c>
      <c r="AT488" s="105">
        <f>AT489-SUM(AT484:AT487)</f>
        <v>2.0783809829748312E-4</v>
      </c>
      <c r="AU488" s="761">
        <f t="shared" ref="AU488" si="793">AU489-SUM(AU484:AU487)</f>
        <v>0</v>
      </c>
      <c r="AV488" s="200"/>
      <c r="AW488" s="200"/>
      <c r="AX488" s="200"/>
      <c r="AY488" s="105"/>
      <c r="AZ488" s="200"/>
      <c r="BA488" s="200"/>
      <c r="BB488" s="200"/>
      <c r="BC488" s="200"/>
      <c r="BD488" s="105"/>
      <c r="BE488" s="105"/>
      <c r="BF488" s="105"/>
      <c r="BG488" s="105"/>
      <c r="BH488" s="363"/>
    </row>
    <row r="489" spans="1:60" s="225" customFormat="1" hidden="1" outlineLevel="1" x14ac:dyDescent="0.35">
      <c r="A489" s="313" t="s">
        <v>550</v>
      </c>
      <c r="B489" s="180"/>
      <c r="C489" s="107">
        <f>SUM(C484:C488)</f>
        <v>-0.13999999999999999</v>
      </c>
      <c r="D489" s="107">
        <f>D495/C495-1</f>
        <v>4.8057602143335654E-2</v>
      </c>
      <c r="E489" s="107">
        <f>E495/D495-1</f>
        <v>0.13053203387122547</v>
      </c>
      <c r="F489" s="107">
        <f>F495/E495-1</f>
        <v>-4.8897682306387802E-2</v>
      </c>
      <c r="G489" s="106"/>
      <c r="H489" s="106"/>
      <c r="I489" s="106"/>
      <c r="J489" s="106"/>
      <c r="K489" s="107">
        <f t="shared" ref="K489:AQ489" si="794">K495/F495-1</f>
        <v>5.2748885586924255E-2</v>
      </c>
      <c r="L489" s="106">
        <f t="shared" si="794"/>
        <v>5.4957507082153079E-2</v>
      </c>
      <c r="M489" s="106">
        <f t="shared" si="794"/>
        <v>8.5537422622397274E-2</v>
      </c>
      <c r="N489" s="106">
        <f t="shared" si="794"/>
        <v>-1.2593016599885543E-2</v>
      </c>
      <c r="O489" s="106">
        <f t="shared" si="794"/>
        <v>-6.3474387527839626E-2</v>
      </c>
      <c r="P489" s="107">
        <f t="shared" si="794"/>
        <v>1.5949188426252592E-2</v>
      </c>
      <c r="Q489" s="106">
        <f t="shared" si="794"/>
        <v>-0.15896885069817401</v>
      </c>
      <c r="R489" s="106">
        <f t="shared" si="794"/>
        <v>-0.16433385173665116</v>
      </c>
      <c r="S489" s="106">
        <f t="shared" si="794"/>
        <v>-0.12057971014492752</v>
      </c>
      <c r="T489" s="106">
        <f t="shared" si="794"/>
        <v>-8.8585017835909663E-2</v>
      </c>
      <c r="U489" s="107">
        <f t="shared" si="794"/>
        <v>-0.13475965545984991</v>
      </c>
      <c r="V489" s="106">
        <f t="shared" si="794"/>
        <v>8.3014048531289131E-3</v>
      </c>
      <c r="W489" s="106">
        <f t="shared" si="794"/>
        <v>3.287841191066998E-2</v>
      </c>
      <c r="X489" s="106">
        <f t="shared" si="794"/>
        <v>-2.3731048121292009E-2</v>
      </c>
      <c r="Y489" s="106">
        <f t="shared" si="794"/>
        <v>-6.1969993476842844E-2</v>
      </c>
      <c r="Z489" s="107">
        <f t="shared" si="794"/>
        <v>-1.0436737315349998E-2</v>
      </c>
      <c r="AA489" s="106">
        <f t="shared" si="794"/>
        <v>-1.2666244458517939E-3</v>
      </c>
      <c r="AB489" s="106">
        <f t="shared" si="794"/>
        <v>-3.6036036036036001E-2</v>
      </c>
      <c r="AC489" s="106">
        <f t="shared" si="794"/>
        <v>7.2923700202565778E-2</v>
      </c>
      <c r="AD489" s="106">
        <f t="shared" si="794"/>
        <v>0.17176634214186359</v>
      </c>
      <c r="AE489" s="107">
        <f t="shared" si="794"/>
        <v>4.7541781599870214E-2</v>
      </c>
      <c r="AF489" s="106">
        <f t="shared" si="794"/>
        <v>0.13633481293595429</v>
      </c>
      <c r="AG489" s="106">
        <f t="shared" si="794"/>
        <v>9.5327102803738351E-2</v>
      </c>
      <c r="AH489" s="106">
        <f t="shared" si="794"/>
        <v>-3.901825047199492E-2</v>
      </c>
      <c r="AI489" s="106">
        <f t="shared" si="794"/>
        <v>-6.4094955489614192E-2</v>
      </c>
      <c r="AJ489" s="107">
        <f t="shared" si="794"/>
        <v>3.066914498141271E-2</v>
      </c>
      <c r="AK489" s="106">
        <f t="shared" si="794"/>
        <v>-9.375E-2</v>
      </c>
      <c r="AL489" s="106">
        <f t="shared" si="794"/>
        <v>-9.3856655290102342E-2</v>
      </c>
      <c r="AM489" s="106">
        <f t="shared" si="794"/>
        <v>-4.0602488539620119E-2</v>
      </c>
      <c r="AN489" s="106">
        <f t="shared" si="794"/>
        <v>-2.0925808497146425E-2</v>
      </c>
      <c r="AO489" s="107">
        <f t="shared" si="794"/>
        <v>-6.4322212203186013E-2</v>
      </c>
      <c r="AP489" s="106">
        <f t="shared" si="794"/>
        <v>-2.0935960591133007E-2</v>
      </c>
      <c r="AQ489" s="106">
        <f t="shared" si="794"/>
        <v>-0.16384180790960456</v>
      </c>
      <c r="AR489" s="106">
        <f t="shared" ref="AR489" si="795">AR495/AM495-1</f>
        <v>4.3003412969283339E-2</v>
      </c>
      <c r="AS489" s="106">
        <f t="shared" ref="AS489" si="796">AS495/AN495-1</f>
        <v>7.4481865284974136E-2</v>
      </c>
      <c r="AT489" s="107">
        <f t="shared" ref="AT489" si="797">AT495/AO495-1</f>
        <v>-1.879216190170252E-2</v>
      </c>
      <c r="AU489" s="760">
        <v>0.104</v>
      </c>
      <c r="AV489" s="106"/>
      <c r="AW489" s="106"/>
      <c r="AX489" s="106"/>
      <c r="AY489" s="107"/>
      <c r="AZ489" s="106"/>
      <c r="BA489" s="106"/>
      <c r="BB489" s="106"/>
      <c r="BC489" s="106"/>
      <c r="BD489" s="107"/>
      <c r="BE489" s="107"/>
      <c r="BF489" s="107"/>
      <c r="BG489" s="107"/>
      <c r="BH489" s="94"/>
    </row>
    <row r="490" spans="1:60" s="383" customFormat="1" hidden="1" outlineLevel="1" x14ac:dyDescent="0.35">
      <c r="A490" s="681"/>
      <c r="B490" s="682"/>
      <c r="C490" s="876"/>
      <c r="D490" s="876"/>
      <c r="E490" s="876"/>
      <c r="F490" s="876"/>
      <c r="G490" s="877"/>
      <c r="H490" s="877"/>
      <c r="I490" s="877"/>
      <c r="J490" s="877"/>
      <c r="K490" s="876"/>
      <c r="L490" s="877"/>
      <c r="M490" s="877"/>
      <c r="N490" s="877"/>
      <c r="O490" s="877"/>
      <c r="P490" s="876"/>
      <c r="Q490" s="877"/>
      <c r="R490" s="877"/>
      <c r="S490" s="877"/>
      <c r="T490" s="877"/>
      <c r="U490" s="876"/>
      <c r="V490" s="877"/>
      <c r="W490" s="877"/>
      <c r="X490" s="877"/>
      <c r="Y490" s="877"/>
      <c r="Z490" s="876"/>
      <c r="AA490" s="877"/>
      <c r="AB490" s="877"/>
      <c r="AC490" s="877"/>
      <c r="AD490" s="877"/>
      <c r="AE490" s="876"/>
      <c r="AF490" s="877"/>
      <c r="AG490" s="877"/>
      <c r="AH490" s="877"/>
      <c r="AI490" s="877"/>
      <c r="AJ490" s="876"/>
      <c r="AK490" s="877"/>
      <c r="AL490" s="877"/>
      <c r="AM490" s="877"/>
      <c r="AN490" s="877"/>
      <c r="AO490" s="876"/>
      <c r="AP490" s="877"/>
      <c r="AQ490" s="877"/>
      <c r="AR490" s="877"/>
      <c r="AS490" s="877"/>
      <c r="AT490" s="876"/>
      <c r="AU490" s="878"/>
      <c r="AV490" s="877"/>
      <c r="AW490" s="877"/>
      <c r="AX490" s="877"/>
      <c r="AY490" s="876"/>
      <c r="AZ490" s="877"/>
      <c r="BA490" s="877"/>
      <c r="BB490" s="877"/>
      <c r="BC490" s="877"/>
      <c r="BD490" s="876"/>
      <c r="BE490" s="876"/>
      <c r="BF490" s="876"/>
      <c r="BG490" s="876"/>
      <c r="BH490" s="749"/>
    </row>
    <row r="491" spans="1:60" s="60" customFormat="1" hidden="1" outlineLevel="2" x14ac:dyDescent="0.35">
      <c r="A491" s="161" t="s">
        <v>523</v>
      </c>
      <c r="B491" s="317"/>
      <c r="C491" s="46">
        <v>8509</v>
      </c>
      <c r="D491" s="46">
        <v>9210</v>
      </c>
      <c r="E491" s="46">
        <v>10028</v>
      </c>
      <c r="F491" s="46">
        <v>10571</v>
      </c>
      <c r="G491" s="351">
        <v>2704</v>
      </c>
      <c r="H491" s="351">
        <v>2808</v>
      </c>
      <c r="I491" s="351">
        <v>2896</v>
      </c>
      <c r="J491" s="351">
        <f>+K491-SUM(G491,H491,I491)</f>
        <v>2743</v>
      </c>
      <c r="K491" s="46">
        <v>11151</v>
      </c>
      <c r="L491" s="351">
        <v>2771</v>
      </c>
      <c r="M491" s="351">
        <v>2936</v>
      </c>
      <c r="N491" s="351">
        <v>3075</v>
      </c>
      <c r="O491" s="351">
        <f>+P491-SUM(L491,M491,N491)</f>
        <v>2932</v>
      </c>
      <c r="P491" s="46">
        <v>11714</v>
      </c>
      <c r="Q491" s="351">
        <v>2859</v>
      </c>
      <c r="R491" s="351">
        <v>3055</v>
      </c>
      <c r="S491" s="351">
        <v>3166</v>
      </c>
      <c r="T491" s="351">
        <f>+U491-SUM(Q491,R491,S491)</f>
        <v>2969</v>
      </c>
      <c r="U491" s="46">
        <v>12049</v>
      </c>
      <c r="V491" s="351">
        <v>2926</v>
      </c>
      <c r="W491" s="351">
        <v>3112</v>
      </c>
      <c r="X491" s="351">
        <v>3160</v>
      </c>
      <c r="Y491" s="351">
        <f>+Z491-SUM(V491,W491,X491)</f>
        <v>2990</v>
      </c>
      <c r="Z491" s="46">
        <f>Z134+Z214+Z291+Z369+Z413+Z433</f>
        <v>12188</v>
      </c>
      <c r="AA491" s="351">
        <v>2941</v>
      </c>
      <c r="AB491" s="351">
        <v>3127</v>
      </c>
      <c r="AC491" s="351">
        <v>3223</v>
      </c>
      <c r="AD491" s="351">
        <f>+AE491-SUM(AA491,AB491,AC491)</f>
        <v>3081</v>
      </c>
      <c r="AE491" s="46">
        <f t="shared" ref="AE491:AJ492" si="798">AE134+AE214+AE291+AE369+AE413+AE433</f>
        <v>12372</v>
      </c>
      <c r="AF491" s="351">
        <f t="shared" si="798"/>
        <v>3044</v>
      </c>
      <c r="AG491" s="351">
        <f t="shared" si="798"/>
        <v>3348</v>
      </c>
      <c r="AH491" s="351">
        <f t="shared" si="798"/>
        <v>3265</v>
      </c>
      <c r="AI491" s="351">
        <f t="shared" si="798"/>
        <v>3183</v>
      </c>
      <c r="AJ491" s="46">
        <f t="shared" si="798"/>
        <v>12840</v>
      </c>
      <c r="AK491" s="203"/>
      <c r="AL491" s="203"/>
      <c r="AM491" s="203"/>
      <c r="AN491" s="203"/>
      <c r="AO491" s="108"/>
      <c r="AP491" s="203"/>
      <c r="AQ491" s="203"/>
      <c r="AR491" s="203"/>
      <c r="AS491" s="203"/>
      <c r="AT491" s="108"/>
      <c r="AU491" s="790"/>
      <c r="AV491" s="203"/>
      <c r="AW491" s="203"/>
      <c r="AX491" s="203"/>
      <c r="AY491" s="108"/>
      <c r="AZ491" s="203"/>
      <c r="BA491" s="203"/>
      <c r="BB491" s="203"/>
      <c r="BC491" s="203"/>
      <c r="BD491" s="108"/>
      <c r="BE491" s="108"/>
      <c r="BF491" s="108"/>
      <c r="BG491" s="108"/>
      <c r="BH491" s="351"/>
    </row>
    <row r="492" spans="1:60" s="60" customFormat="1" hidden="1" outlineLevel="2" x14ac:dyDescent="0.35">
      <c r="A492" s="101" t="s">
        <v>526</v>
      </c>
      <c r="B492" s="467"/>
      <c r="C492" s="67">
        <v>2516</v>
      </c>
      <c r="D492" s="67">
        <v>2950</v>
      </c>
      <c r="E492" s="67">
        <v>3411</v>
      </c>
      <c r="F492" s="67">
        <v>3529</v>
      </c>
      <c r="G492" s="80">
        <v>882</v>
      </c>
      <c r="H492" s="80">
        <v>930</v>
      </c>
      <c r="I492" s="80">
        <v>936</v>
      </c>
      <c r="J492" s="80">
        <f>+K492-SUM(G492,H492,I492)</f>
        <v>863</v>
      </c>
      <c r="K492" s="67">
        <v>3611</v>
      </c>
      <c r="L492" s="80">
        <v>840</v>
      </c>
      <c r="M492" s="80">
        <v>901</v>
      </c>
      <c r="N492" s="80">
        <v>900</v>
      </c>
      <c r="O492" s="80">
        <f>+P492-SUM(L492,M492,N492)</f>
        <v>863</v>
      </c>
      <c r="P492" s="67">
        <v>3504</v>
      </c>
      <c r="Q492" s="80">
        <v>767</v>
      </c>
      <c r="R492" s="80">
        <v>767</v>
      </c>
      <c r="S492" s="80">
        <v>739</v>
      </c>
      <c r="T492" s="80">
        <f>+U492-SUM(Q492,R492,S492)</f>
        <v>709</v>
      </c>
      <c r="U492" s="67">
        <v>2982</v>
      </c>
      <c r="V492" s="80">
        <v>693</v>
      </c>
      <c r="W492" s="80">
        <v>739</v>
      </c>
      <c r="X492" s="80">
        <v>742</v>
      </c>
      <c r="Y492" s="80">
        <f>+Z492-SUM(V492,W492,X492)</f>
        <v>727</v>
      </c>
      <c r="Z492" s="67">
        <f>Z135+Z215+Z292+Z370+Z414+Z434</f>
        <v>2901</v>
      </c>
      <c r="AA492" s="80">
        <v>736</v>
      </c>
      <c r="AB492" s="80">
        <v>757</v>
      </c>
      <c r="AC492" s="80">
        <v>784</v>
      </c>
      <c r="AD492" s="80">
        <f>+AE492-SUM(AA492,AB492,AC492)</f>
        <v>756</v>
      </c>
      <c r="AE492" s="67">
        <f t="shared" si="798"/>
        <v>3033</v>
      </c>
      <c r="AF492" s="80">
        <f t="shared" si="798"/>
        <v>767</v>
      </c>
      <c r="AG492" s="80">
        <f t="shared" si="798"/>
        <v>781</v>
      </c>
      <c r="AH492" s="80">
        <f t="shared" si="798"/>
        <v>741</v>
      </c>
      <c r="AI492" s="80">
        <f t="shared" si="798"/>
        <v>735</v>
      </c>
      <c r="AJ492" s="67">
        <f t="shared" si="798"/>
        <v>3024</v>
      </c>
      <c r="AK492" s="123"/>
      <c r="AL492" s="123"/>
      <c r="AM492" s="123"/>
      <c r="AN492" s="123"/>
      <c r="AO492" s="124"/>
      <c r="AP492" s="123"/>
      <c r="AQ492" s="123"/>
      <c r="AR492" s="123"/>
      <c r="AS492" s="123"/>
      <c r="AT492" s="124"/>
      <c r="AU492" s="791"/>
      <c r="AV492" s="123"/>
      <c r="AW492" s="123"/>
      <c r="AX492" s="123"/>
      <c r="AY492" s="124"/>
      <c r="AZ492" s="123"/>
      <c r="BA492" s="123"/>
      <c r="BB492" s="123"/>
      <c r="BC492" s="123"/>
      <c r="BD492" s="124"/>
      <c r="BE492" s="124"/>
      <c r="BF492" s="124"/>
      <c r="BG492" s="124"/>
      <c r="BH492" s="351"/>
    </row>
    <row r="493" spans="1:60" s="345" customFormat="1" hidden="1" outlineLevel="1" x14ac:dyDescent="0.35">
      <c r="A493" s="350" t="s">
        <v>740</v>
      </c>
      <c r="B493" s="317"/>
      <c r="C493" s="46">
        <f t="shared" ref="C493:AJ493" si="799">SUM(C491:C492)</f>
        <v>11025</v>
      </c>
      <c r="D493" s="46">
        <f t="shared" si="799"/>
        <v>12160</v>
      </c>
      <c r="E493" s="46">
        <f t="shared" si="799"/>
        <v>13439</v>
      </c>
      <c r="F493" s="46">
        <f t="shared" si="799"/>
        <v>14100</v>
      </c>
      <c r="G493" s="351">
        <f t="shared" si="799"/>
        <v>3586</v>
      </c>
      <c r="H493" s="351">
        <f t="shared" si="799"/>
        <v>3738</v>
      </c>
      <c r="I493" s="351">
        <f t="shared" si="799"/>
        <v>3832</v>
      </c>
      <c r="J493" s="351">
        <f t="shared" si="799"/>
        <v>3606</v>
      </c>
      <c r="K493" s="46">
        <f t="shared" si="799"/>
        <v>14762</v>
      </c>
      <c r="L493" s="351">
        <f t="shared" si="799"/>
        <v>3611</v>
      </c>
      <c r="M493" s="351">
        <f t="shared" si="799"/>
        <v>3837</v>
      </c>
      <c r="N493" s="351">
        <f t="shared" si="799"/>
        <v>3975</v>
      </c>
      <c r="O493" s="351">
        <f t="shared" si="799"/>
        <v>3795</v>
      </c>
      <c r="P493" s="46">
        <f t="shared" si="799"/>
        <v>15218</v>
      </c>
      <c r="Q493" s="351">
        <f t="shared" si="799"/>
        <v>3626</v>
      </c>
      <c r="R493" s="351">
        <f t="shared" si="799"/>
        <v>3822</v>
      </c>
      <c r="S493" s="351">
        <f t="shared" si="799"/>
        <v>3905</v>
      </c>
      <c r="T493" s="351">
        <f t="shared" si="799"/>
        <v>3678</v>
      </c>
      <c r="U493" s="46">
        <f t="shared" si="799"/>
        <v>15031</v>
      </c>
      <c r="V493" s="351">
        <f t="shared" si="799"/>
        <v>3619</v>
      </c>
      <c r="W493" s="351">
        <f t="shared" si="799"/>
        <v>3851</v>
      </c>
      <c r="X493" s="351">
        <f t="shared" si="799"/>
        <v>3902</v>
      </c>
      <c r="Y493" s="351">
        <f t="shared" si="799"/>
        <v>3717</v>
      </c>
      <c r="Z493" s="46">
        <f t="shared" si="799"/>
        <v>15089</v>
      </c>
      <c r="AA493" s="351">
        <f t="shared" si="799"/>
        <v>3677</v>
      </c>
      <c r="AB493" s="351">
        <f t="shared" si="799"/>
        <v>3884</v>
      </c>
      <c r="AC493" s="351">
        <f t="shared" si="799"/>
        <v>4007</v>
      </c>
      <c r="AD493" s="351">
        <f t="shared" si="799"/>
        <v>3837</v>
      </c>
      <c r="AE493" s="46">
        <f t="shared" si="799"/>
        <v>15405</v>
      </c>
      <c r="AF493" s="351">
        <f t="shared" si="799"/>
        <v>3811</v>
      </c>
      <c r="AG493" s="351">
        <f t="shared" si="799"/>
        <v>4129</v>
      </c>
      <c r="AH493" s="351">
        <f t="shared" si="799"/>
        <v>4006</v>
      </c>
      <c r="AI493" s="351">
        <f t="shared" si="799"/>
        <v>3918</v>
      </c>
      <c r="AJ493" s="46">
        <f t="shared" si="799"/>
        <v>15864</v>
      </c>
      <c r="AK493" s="351">
        <f t="shared" ref="AK493:AT493" si="800">AK136+AK216+AK293+AK371+AK415+AK435</f>
        <v>3763</v>
      </c>
      <c r="AL493" s="351">
        <f t="shared" si="800"/>
        <v>4163</v>
      </c>
      <c r="AM493" s="351">
        <f t="shared" si="800"/>
        <v>4036</v>
      </c>
      <c r="AN493" s="351">
        <f t="shared" si="800"/>
        <v>4162</v>
      </c>
      <c r="AO493" s="46">
        <f t="shared" si="800"/>
        <v>16124</v>
      </c>
      <c r="AP493" s="351">
        <f t="shared" si="800"/>
        <v>4142</v>
      </c>
      <c r="AQ493" s="351">
        <f t="shared" si="800"/>
        <v>3633</v>
      </c>
      <c r="AR493" s="351">
        <f t="shared" si="800"/>
        <v>4347</v>
      </c>
      <c r="AS493" s="351">
        <f t="shared" si="800"/>
        <v>4403</v>
      </c>
      <c r="AT493" s="46">
        <f t="shared" si="800"/>
        <v>16525</v>
      </c>
      <c r="AU493" s="790">
        <f t="shared" ref="AU493" si="801">AU136+AU216+AU293+AU371+AU415+AU435</f>
        <v>4328</v>
      </c>
      <c r="AV493" s="203"/>
      <c r="AW493" s="203"/>
      <c r="AX493" s="203"/>
      <c r="AY493" s="108"/>
      <c r="AZ493" s="203"/>
      <c r="BA493" s="203"/>
      <c r="BB493" s="203"/>
      <c r="BC493" s="203"/>
      <c r="BD493" s="108"/>
      <c r="BE493" s="108"/>
      <c r="BF493" s="108"/>
      <c r="BG493" s="108"/>
      <c r="BH493" s="351"/>
    </row>
    <row r="494" spans="1:60" s="60" customFormat="1" hidden="1" outlineLevel="1" x14ac:dyDescent="0.35">
      <c r="A494" s="350" t="s">
        <v>524</v>
      </c>
      <c r="B494" s="317"/>
      <c r="C494" s="46">
        <v>6120</v>
      </c>
      <c r="D494" s="46">
        <v>8259</v>
      </c>
      <c r="E494" s="46">
        <v>9108</v>
      </c>
      <c r="F494" s="46">
        <v>9092</v>
      </c>
      <c r="G494" s="351">
        <v>2286</v>
      </c>
      <c r="H494" s="351">
        <v>2239</v>
      </c>
      <c r="I494" s="351">
        <v>2342</v>
      </c>
      <c r="J494" s="351">
        <f>+K494-SUM(G494,H494,I494)</f>
        <v>2180</v>
      </c>
      <c r="K494" s="46">
        <v>9047</v>
      </c>
      <c r="L494" s="351">
        <v>2360</v>
      </c>
      <c r="M494" s="351">
        <v>2371</v>
      </c>
      <c r="N494" s="351">
        <v>2438</v>
      </c>
      <c r="O494" s="351">
        <f>+P494-SUM(L494,M494,N494)</f>
        <v>2249</v>
      </c>
      <c r="P494" s="46">
        <v>9418</v>
      </c>
      <c r="Q494" s="351">
        <v>2390</v>
      </c>
      <c r="R494" s="351">
        <v>2252</v>
      </c>
      <c r="S494" s="351">
        <v>2290</v>
      </c>
      <c r="T494" s="351">
        <f>+U494-SUM(Q494,R494,S494)</f>
        <v>2109</v>
      </c>
      <c r="U494" s="46">
        <v>9041</v>
      </c>
      <c r="V494" s="351">
        <v>2213</v>
      </c>
      <c r="W494" s="351">
        <v>2144</v>
      </c>
      <c r="X494" s="351">
        <v>2328</v>
      </c>
      <c r="Y494" s="351">
        <f>+Z494-SUM(V494,W494,X494)</f>
        <v>2162</v>
      </c>
      <c r="Z494" s="46">
        <f>Z137+Z217+Z294+Z372+Z416+Z436</f>
        <v>8847</v>
      </c>
      <c r="AA494" s="351">
        <v>2433</v>
      </c>
      <c r="AB494" s="351">
        <v>2322</v>
      </c>
      <c r="AC494" s="351">
        <v>2580</v>
      </c>
      <c r="AD494" s="351">
        <f>+AE494-SUM(AA494,AB494,AC494)</f>
        <v>2474</v>
      </c>
      <c r="AE494" s="46">
        <f t="shared" ref="AE494:AJ496" si="802">AE137+AE217+AE294+AE372+AE416+AE436</f>
        <v>9809</v>
      </c>
      <c r="AF494" s="351">
        <f t="shared" si="802"/>
        <v>2676</v>
      </c>
      <c r="AG494" s="351">
        <f t="shared" si="802"/>
        <v>2504</v>
      </c>
      <c r="AH494" s="351">
        <f t="shared" si="802"/>
        <v>2621</v>
      </c>
      <c r="AI494" s="351">
        <f t="shared" si="802"/>
        <v>2453</v>
      </c>
      <c r="AJ494" s="46">
        <f t="shared" si="802"/>
        <v>10254</v>
      </c>
      <c r="AK494" s="351">
        <f t="shared" ref="AK494:AT494" si="803">AK137+AK217+AK294+AK372+AK416+AK436</f>
        <v>2478</v>
      </c>
      <c r="AL494" s="351">
        <f t="shared" si="803"/>
        <v>2415</v>
      </c>
      <c r="AM494" s="351">
        <f t="shared" si="803"/>
        <v>2490</v>
      </c>
      <c r="AN494" s="351">
        <f t="shared" si="803"/>
        <v>2413</v>
      </c>
      <c r="AO494" s="46">
        <f t="shared" si="803"/>
        <v>9796</v>
      </c>
      <c r="AP494" s="351">
        <f t="shared" si="803"/>
        <v>2345</v>
      </c>
      <c r="AQ494" s="351">
        <f t="shared" si="803"/>
        <v>2210</v>
      </c>
      <c r="AR494" s="351">
        <f t="shared" si="803"/>
        <v>2474</v>
      </c>
      <c r="AS494" s="351">
        <f t="shared" si="803"/>
        <v>2540</v>
      </c>
      <c r="AT494" s="46">
        <f t="shared" si="803"/>
        <v>9569</v>
      </c>
      <c r="AU494" s="790">
        <f t="shared" ref="AU494" si="804">AU137+AU217+AU294+AU372+AU416+AU436</f>
        <v>2769</v>
      </c>
      <c r="AV494" s="203"/>
      <c r="AW494" s="203"/>
      <c r="AX494" s="203"/>
      <c r="AY494" s="108"/>
      <c r="AZ494" s="203"/>
      <c r="BA494" s="203"/>
      <c r="BB494" s="203"/>
      <c r="BC494" s="203"/>
      <c r="BD494" s="108"/>
      <c r="BE494" s="108"/>
      <c r="BF494" s="108"/>
      <c r="BG494" s="108"/>
      <c r="BH494" s="351"/>
    </row>
    <row r="495" spans="1:60" s="60" customFormat="1" hidden="1" outlineLevel="1" x14ac:dyDescent="0.35">
      <c r="A495" s="350" t="s">
        <v>525</v>
      </c>
      <c r="B495" s="317"/>
      <c r="C495" s="46">
        <v>5972</v>
      </c>
      <c r="D495" s="46">
        <v>6259</v>
      </c>
      <c r="E495" s="46">
        <v>7076</v>
      </c>
      <c r="F495" s="46">
        <v>6730</v>
      </c>
      <c r="G495" s="351">
        <v>1765</v>
      </c>
      <c r="H495" s="351">
        <v>1777</v>
      </c>
      <c r="I495" s="351">
        <v>1747</v>
      </c>
      <c r="J495" s="351">
        <f>+K495-SUM(G495,H495,I495)</f>
        <v>1796</v>
      </c>
      <c r="K495" s="46">
        <v>7085</v>
      </c>
      <c r="L495" s="351">
        <v>1862</v>
      </c>
      <c r="M495" s="351">
        <v>1929</v>
      </c>
      <c r="N495" s="351">
        <v>1725</v>
      </c>
      <c r="O495" s="351">
        <f>+P495-SUM(L495,M495,N495)</f>
        <v>1682</v>
      </c>
      <c r="P495" s="46">
        <v>7198</v>
      </c>
      <c r="Q495" s="351">
        <v>1566</v>
      </c>
      <c r="R495" s="351">
        <v>1612</v>
      </c>
      <c r="S495" s="351">
        <v>1517</v>
      </c>
      <c r="T495" s="351">
        <f>+U495-SUM(Q495,R495,S495)</f>
        <v>1533</v>
      </c>
      <c r="U495" s="46">
        <v>6228</v>
      </c>
      <c r="V495" s="351">
        <v>1579</v>
      </c>
      <c r="W495" s="351">
        <v>1665</v>
      </c>
      <c r="X495" s="351">
        <v>1481</v>
      </c>
      <c r="Y495" s="351">
        <f>+Z495-SUM(V495,W495,X495)</f>
        <v>1438</v>
      </c>
      <c r="Z495" s="46">
        <f>Z138+Z218+Z295+Z373+Z417+Z437</f>
        <v>6163</v>
      </c>
      <c r="AA495" s="351">
        <v>1577</v>
      </c>
      <c r="AB495" s="351">
        <v>1605</v>
      </c>
      <c r="AC495" s="351">
        <v>1589</v>
      </c>
      <c r="AD495" s="351">
        <f>+AE495-SUM(AA495,AB495,AC495)</f>
        <v>1685</v>
      </c>
      <c r="AE495" s="46">
        <f t="shared" si="802"/>
        <v>6456</v>
      </c>
      <c r="AF495" s="351">
        <f t="shared" si="802"/>
        <v>1792</v>
      </c>
      <c r="AG495" s="351">
        <f t="shared" si="802"/>
        <v>1758</v>
      </c>
      <c r="AH495" s="351">
        <f t="shared" si="802"/>
        <v>1527</v>
      </c>
      <c r="AI495" s="351">
        <f t="shared" si="802"/>
        <v>1577</v>
      </c>
      <c r="AJ495" s="46">
        <f t="shared" si="802"/>
        <v>6654</v>
      </c>
      <c r="AK495" s="351">
        <f t="shared" ref="AK495:AT495" si="805">AK138+AK218+AK295+AK373+AK417+AK437</f>
        <v>1624</v>
      </c>
      <c r="AL495" s="351">
        <f t="shared" si="805"/>
        <v>1593</v>
      </c>
      <c r="AM495" s="351">
        <f t="shared" si="805"/>
        <v>1465</v>
      </c>
      <c r="AN495" s="351">
        <f t="shared" si="805"/>
        <v>1544</v>
      </c>
      <c r="AO495" s="46">
        <f t="shared" si="805"/>
        <v>6226</v>
      </c>
      <c r="AP495" s="351">
        <f t="shared" si="805"/>
        <v>1590</v>
      </c>
      <c r="AQ495" s="351">
        <f t="shared" si="805"/>
        <v>1332</v>
      </c>
      <c r="AR495" s="351">
        <f t="shared" si="805"/>
        <v>1528</v>
      </c>
      <c r="AS495" s="351">
        <f t="shared" si="805"/>
        <v>1659</v>
      </c>
      <c r="AT495" s="46">
        <f t="shared" si="805"/>
        <v>6109</v>
      </c>
      <c r="AU495" s="790">
        <f t="shared" ref="AU495" si="806">AU138+AU218+AU295+AU373+AU417+AU437</f>
        <v>1755</v>
      </c>
      <c r="AV495" s="203"/>
      <c r="AW495" s="203"/>
      <c r="AX495" s="203"/>
      <c r="AY495" s="108"/>
      <c r="AZ495" s="203"/>
      <c r="BA495" s="203"/>
      <c r="BB495" s="203"/>
      <c r="BC495" s="203"/>
      <c r="BD495" s="108"/>
      <c r="BE495" s="108"/>
      <c r="BF495" s="108"/>
      <c r="BG495" s="108"/>
      <c r="BH495" s="351"/>
    </row>
    <row r="496" spans="1:60" s="60" customFormat="1" hidden="1" outlineLevel="1" x14ac:dyDescent="0.35">
      <c r="A496" s="91" t="s">
        <v>24</v>
      </c>
      <c r="B496" s="467"/>
      <c r="C496" s="67">
        <v>6</v>
      </c>
      <c r="D496" s="67">
        <v>-16</v>
      </c>
      <c r="E496" s="67">
        <v>-12</v>
      </c>
      <c r="F496" s="67">
        <v>-18</v>
      </c>
      <c r="G496" s="80">
        <v>-3</v>
      </c>
      <c r="H496" s="80">
        <v>-2</v>
      </c>
      <c r="I496" s="80">
        <v>-5</v>
      </c>
      <c r="J496" s="80">
        <f>+K496-SUM(G496,H496,I496)</f>
        <v>-13</v>
      </c>
      <c r="K496" s="67">
        <v>-23</v>
      </c>
      <c r="L496" s="80">
        <v>-2</v>
      </c>
      <c r="M496" s="80">
        <v>-3</v>
      </c>
      <c r="N496" s="80">
        <v>-1</v>
      </c>
      <c r="O496" s="80">
        <f>+P496-SUM(L496,M496,N496)</f>
        <v>-7</v>
      </c>
      <c r="P496" s="67">
        <v>-13</v>
      </c>
      <c r="Q496" s="80">
        <v>-4</v>
      </c>
      <c r="R496" s="80">
        <v>0</v>
      </c>
      <c r="S496" s="80">
        <v>0</v>
      </c>
      <c r="T496" s="80">
        <f>+U496-SUM(Q496,R496,S496)</f>
        <v>-22</v>
      </c>
      <c r="U496" s="67">
        <v>-26</v>
      </c>
      <c r="V496" s="80">
        <v>-2</v>
      </c>
      <c r="W496" s="80">
        <v>2</v>
      </c>
      <c r="X496" s="80">
        <v>-2</v>
      </c>
      <c r="Y496" s="80">
        <f>+Z496-SUM(V496,W496,X496)</f>
        <v>12</v>
      </c>
      <c r="Z496" s="67">
        <f>Z139+Z219+Z296+Z374+Z418+Z438</f>
        <v>10</v>
      </c>
      <c r="AA496" s="80">
        <v>-2</v>
      </c>
      <c r="AB496" s="80">
        <v>-1</v>
      </c>
      <c r="AC496" s="80">
        <v>-4</v>
      </c>
      <c r="AD496" s="80">
        <f>+AE496-SUM(AA496,AB496,AC496)</f>
        <v>-6</v>
      </c>
      <c r="AE496" s="67">
        <f t="shared" si="802"/>
        <v>-13</v>
      </c>
      <c r="AF496" s="80">
        <f t="shared" si="802"/>
        <v>-1</v>
      </c>
      <c r="AG496" s="80">
        <f t="shared" si="802"/>
        <v>-1</v>
      </c>
      <c r="AH496" s="80">
        <f t="shared" si="802"/>
        <v>-2</v>
      </c>
      <c r="AI496" s="80">
        <f t="shared" si="802"/>
        <v>-3</v>
      </c>
      <c r="AJ496" s="67">
        <f t="shared" si="802"/>
        <v>-7</v>
      </c>
      <c r="AK496" s="80">
        <f t="shared" ref="AK496:AT496" si="807">AK139+AK219+AK296+AK374+AK418+AK438</f>
        <v>-2</v>
      </c>
      <c r="AL496" s="80">
        <f t="shared" si="807"/>
        <v>0</v>
      </c>
      <c r="AM496" s="80">
        <f t="shared" si="807"/>
        <v>0</v>
      </c>
      <c r="AN496" s="80">
        <f t="shared" si="807"/>
        <v>-8</v>
      </c>
      <c r="AO496" s="67">
        <f t="shared" si="807"/>
        <v>-10</v>
      </c>
      <c r="AP496" s="80">
        <f t="shared" si="807"/>
        <v>-2</v>
      </c>
      <c r="AQ496" s="80">
        <f t="shared" si="807"/>
        <v>1</v>
      </c>
      <c r="AR496" s="80">
        <f t="shared" si="807"/>
        <v>1</v>
      </c>
      <c r="AS496" s="80">
        <f t="shared" si="807"/>
        <v>-19</v>
      </c>
      <c r="AT496" s="67">
        <f t="shared" si="807"/>
        <v>-19</v>
      </c>
      <c r="AU496" s="791">
        <f t="shared" ref="AU496" si="808">AU139+AU219+AU296+AU374+AU418+AU438</f>
        <v>-1</v>
      </c>
      <c r="AV496" s="123"/>
      <c r="AW496" s="123"/>
      <c r="AX496" s="123"/>
      <c r="AY496" s="124"/>
      <c r="AZ496" s="123"/>
      <c r="BA496" s="123"/>
      <c r="BB496" s="123"/>
      <c r="BC496" s="123"/>
      <c r="BD496" s="124"/>
      <c r="BE496" s="124"/>
      <c r="BF496" s="124"/>
      <c r="BG496" s="124"/>
      <c r="BH496" s="351"/>
    </row>
    <row r="497" spans="1:60" s="69" customFormat="1" hidden="1" outlineLevel="1" x14ac:dyDescent="0.35">
      <c r="A497" s="90" t="s">
        <v>23</v>
      </c>
      <c r="B497" s="427"/>
      <c r="C497" s="70">
        <f t="shared" ref="C497:AQ497" si="809">SUM(C493:C496)</f>
        <v>23123</v>
      </c>
      <c r="D497" s="70">
        <f t="shared" si="809"/>
        <v>26662</v>
      </c>
      <c r="E497" s="70">
        <f t="shared" si="809"/>
        <v>29611</v>
      </c>
      <c r="F497" s="70">
        <f t="shared" si="809"/>
        <v>29904</v>
      </c>
      <c r="G497" s="79">
        <f t="shared" si="809"/>
        <v>7634</v>
      </c>
      <c r="H497" s="79">
        <f t="shared" si="809"/>
        <v>7752</v>
      </c>
      <c r="I497" s="79">
        <f t="shared" si="809"/>
        <v>7916</v>
      </c>
      <c r="J497" s="79">
        <f t="shared" si="809"/>
        <v>7569</v>
      </c>
      <c r="K497" s="70">
        <f t="shared" si="809"/>
        <v>30871</v>
      </c>
      <c r="L497" s="79">
        <f t="shared" si="809"/>
        <v>7831</v>
      </c>
      <c r="M497" s="79">
        <f t="shared" si="809"/>
        <v>8134</v>
      </c>
      <c r="N497" s="79">
        <f t="shared" si="809"/>
        <v>8137</v>
      </c>
      <c r="O497" s="79">
        <f t="shared" si="809"/>
        <v>7719</v>
      </c>
      <c r="P497" s="70">
        <f t="shared" si="809"/>
        <v>31821</v>
      </c>
      <c r="Q497" s="79">
        <f t="shared" si="809"/>
        <v>7578</v>
      </c>
      <c r="R497" s="79">
        <f t="shared" si="809"/>
        <v>7686</v>
      </c>
      <c r="S497" s="79">
        <f t="shared" si="809"/>
        <v>7712</v>
      </c>
      <c r="T497" s="79">
        <f t="shared" si="809"/>
        <v>7298</v>
      </c>
      <c r="U497" s="70">
        <f t="shared" si="809"/>
        <v>30274</v>
      </c>
      <c r="V497" s="79">
        <f t="shared" si="809"/>
        <v>7409</v>
      </c>
      <c r="W497" s="79">
        <f t="shared" si="809"/>
        <v>7662</v>
      </c>
      <c r="X497" s="79">
        <f t="shared" si="809"/>
        <v>7709</v>
      </c>
      <c r="Y497" s="79">
        <f t="shared" si="809"/>
        <v>7329</v>
      </c>
      <c r="Z497" s="70">
        <f t="shared" si="809"/>
        <v>30109</v>
      </c>
      <c r="AA497" s="79">
        <f t="shared" si="809"/>
        <v>7685</v>
      </c>
      <c r="AB497" s="79">
        <f t="shared" si="809"/>
        <v>7810</v>
      </c>
      <c r="AC497" s="79">
        <f t="shared" si="809"/>
        <v>8172</v>
      </c>
      <c r="AD497" s="79">
        <f t="shared" si="809"/>
        <v>7990</v>
      </c>
      <c r="AE497" s="70">
        <f t="shared" si="809"/>
        <v>31657</v>
      </c>
      <c r="AF497" s="79">
        <f t="shared" si="809"/>
        <v>8278</v>
      </c>
      <c r="AG497" s="79">
        <f t="shared" si="809"/>
        <v>8390</v>
      </c>
      <c r="AH497" s="79">
        <f t="shared" si="809"/>
        <v>8152</v>
      </c>
      <c r="AI497" s="79">
        <f t="shared" si="809"/>
        <v>7945</v>
      </c>
      <c r="AJ497" s="70">
        <f t="shared" si="809"/>
        <v>32765</v>
      </c>
      <c r="AK497" s="79">
        <f t="shared" si="809"/>
        <v>7863</v>
      </c>
      <c r="AL497" s="79">
        <f t="shared" si="809"/>
        <v>8171</v>
      </c>
      <c r="AM497" s="79">
        <f t="shared" si="809"/>
        <v>7991</v>
      </c>
      <c r="AN497" s="79">
        <f t="shared" si="809"/>
        <v>8111</v>
      </c>
      <c r="AO497" s="70">
        <f t="shared" si="809"/>
        <v>32136</v>
      </c>
      <c r="AP497" s="79">
        <f t="shared" si="809"/>
        <v>8075</v>
      </c>
      <c r="AQ497" s="79">
        <f t="shared" si="809"/>
        <v>7176</v>
      </c>
      <c r="AR497" s="79">
        <f t="shared" ref="AR497:AT497" si="810">SUM(AR493:AR496)</f>
        <v>8350</v>
      </c>
      <c r="AS497" s="79">
        <f t="shared" si="810"/>
        <v>8583</v>
      </c>
      <c r="AT497" s="70">
        <f t="shared" si="810"/>
        <v>32184</v>
      </c>
      <c r="AU497" s="792">
        <f t="shared" ref="AU497" si="811">SUM(AU493:AU496)</f>
        <v>8851</v>
      </c>
      <c r="AV497" s="111"/>
      <c r="AW497" s="111"/>
      <c r="AX497" s="111"/>
      <c r="AY497" s="112"/>
      <c r="AZ497" s="111"/>
      <c r="BA497" s="111"/>
      <c r="BB497" s="111"/>
      <c r="BC497" s="111"/>
      <c r="BD497" s="112"/>
      <c r="BE497" s="112"/>
      <c r="BF497" s="112"/>
      <c r="BG497" s="112"/>
      <c r="BH497" s="79"/>
    </row>
    <row r="498" spans="1:60" s="69" customFormat="1" hidden="1" outlineLevel="1" x14ac:dyDescent="0.35">
      <c r="A498" s="426"/>
      <c r="B498" s="427"/>
      <c r="C498" s="112"/>
      <c r="D498" s="112"/>
      <c r="E498" s="112"/>
      <c r="F498" s="112"/>
      <c r="G498" s="111"/>
      <c r="H498" s="111"/>
      <c r="I498" s="111"/>
      <c r="J498" s="111"/>
      <c r="K498" s="112"/>
      <c r="L498" s="111"/>
      <c r="M498" s="111"/>
      <c r="N498" s="111"/>
      <c r="O498" s="111"/>
      <c r="P498" s="112"/>
      <c r="Q498" s="111"/>
      <c r="R498" s="111"/>
      <c r="S498" s="111"/>
      <c r="T498" s="111"/>
      <c r="U498" s="112"/>
      <c r="V498" s="111"/>
      <c r="W498" s="111"/>
      <c r="X498" s="111"/>
      <c r="Y498" s="111"/>
      <c r="Z498" s="112"/>
      <c r="AA498" s="111"/>
      <c r="AB498" s="111"/>
      <c r="AC498" s="111"/>
      <c r="AD498" s="111"/>
      <c r="AE498" s="112"/>
      <c r="AF498" s="111"/>
      <c r="AG498" s="111"/>
      <c r="AH498" s="111"/>
      <c r="AI498" s="111"/>
      <c r="AJ498" s="112"/>
      <c r="AK498" s="111"/>
      <c r="AL498" s="111"/>
      <c r="AM498" s="111"/>
      <c r="AN498" s="111"/>
      <c r="AO498" s="112"/>
      <c r="AP498" s="111"/>
      <c r="AQ498" s="111"/>
      <c r="AR498" s="111"/>
      <c r="AS498" s="111"/>
      <c r="AT498" s="112"/>
      <c r="AU498" s="792"/>
      <c r="AV498" s="111"/>
      <c r="AW498" s="111"/>
      <c r="AX498" s="111"/>
      <c r="AY498" s="112"/>
      <c r="AZ498" s="111"/>
      <c r="BA498" s="111"/>
      <c r="BB498" s="111"/>
      <c r="BC498" s="111"/>
      <c r="BD498" s="112"/>
      <c r="BE498" s="112"/>
      <c r="BF498" s="112"/>
      <c r="BG498" s="112"/>
      <c r="BH498" s="79"/>
    </row>
    <row r="499" spans="1:60" s="262" customFormat="1" hidden="1" outlineLevel="2" x14ac:dyDescent="0.35">
      <c r="A499" s="513" t="s">
        <v>838</v>
      </c>
      <c r="B499" s="686"/>
      <c r="C499" s="531">
        <f t="shared" ref="C499:AJ499" si="812">C491/C$497</f>
        <v>0.36798858279634994</v>
      </c>
      <c r="D499" s="531">
        <f t="shared" si="812"/>
        <v>0.34543545120396069</v>
      </c>
      <c r="E499" s="531">
        <f t="shared" si="812"/>
        <v>0.33865793117422577</v>
      </c>
      <c r="F499" s="531">
        <f t="shared" si="812"/>
        <v>0.35349785981808451</v>
      </c>
      <c r="G499" s="363">
        <f t="shared" si="812"/>
        <v>0.35420487293686143</v>
      </c>
      <c r="H499" s="363">
        <f t="shared" si="812"/>
        <v>0.36222910216718268</v>
      </c>
      <c r="I499" s="363">
        <f t="shared" si="812"/>
        <v>0.3658413340070743</v>
      </c>
      <c r="J499" s="363">
        <f t="shared" si="812"/>
        <v>0.36239926014004492</v>
      </c>
      <c r="K499" s="531">
        <f t="shared" si="812"/>
        <v>0.36121278870137019</v>
      </c>
      <c r="L499" s="363">
        <f t="shared" si="812"/>
        <v>0.35385008300344784</v>
      </c>
      <c r="M499" s="363">
        <f t="shared" si="812"/>
        <v>0.36095402016228179</v>
      </c>
      <c r="N499" s="363">
        <f t="shared" si="812"/>
        <v>0.37790340420302321</v>
      </c>
      <c r="O499" s="363">
        <f t="shared" si="812"/>
        <v>0.37984194843891694</v>
      </c>
      <c r="P499" s="531">
        <f t="shared" si="812"/>
        <v>0.36812168065114231</v>
      </c>
      <c r="Q499" s="363">
        <f t="shared" si="812"/>
        <v>0.37727632620744261</v>
      </c>
      <c r="R499" s="363">
        <f t="shared" si="812"/>
        <v>0.39747593026281552</v>
      </c>
      <c r="S499" s="363">
        <f t="shared" si="812"/>
        <v>0.41052904564315351</v>
      </c>
      <c r="T499" s="363">
        <f t="shared" si="812"/>
        <v>0.40682378733899699</v>
      </c>
      <c r="U499" s="531">
        <f t="shared" si="812"/>
        <v>0.39799828235449558</v>
      </c>
      <c r="V499" s="363">
        <f t="shared" si="812"/>
        <v>0.39492509110541235</v>
      </c>
      <c r="W499" s="363">
        <f t="shared" si="812"/>
        <v>0.40616027146959016</v>
      </c>
      <c r="X499" s="363">
        <f t="shared" si="812"/>
        <v>0.40991049422752629</v>
      </c>
      <c r="Y499" s="363">
        <f t="shared" si="812"/>
        <v>0.40796834493109563</v>
      </c>
      <c r="Z499" s="531">
        <f t="shared" si="812"/>
        <v>0.40479590820020594</v>
      </c>
      <c r="AA499" s="363">
        <f t="shared" si="812"/>
        <v>0.38269355888093687</v>
      </c>
      <c r="AB499" s="363">
        <f t="shared" si="812"/>
        <v>0.40038412291933417</v>
      </c>
      <c r="AC499" s="363">
        <f t="shared" si="812"/>
        <v>0.3943954968184043</v>
      </c>
      <c r="AD499" s="363">
        <f t="shared" si="812"/>
        <v>0.38560700876095116</v>
      </c>
      <c r="AE499" s="531">
        <f t="shared" si="812"/>
        <v>0.39081403796948544</v>
      </c>
      <c r="AF499" s="363">
        <f t="shared" si="812"/>
        <v>0.36772167190142546</v>
      </c>
      <c r="AG499" s="363">
        <f t="shared" si="812"/>
        <v>0.39904648390941599</v>
      </c>
      <c r="AH499" s="363">
        <f t="shared" si="812"/>
        <v>0.40051521099116782</v>
      </c>
      <c r="AI499" s="363">
        <f t="shared" si="812"/>
        <v>0.40062932662051604</v>
      </c>
      <c r="AJ499" s="531">
        <f t="shared" si="812"/>
        <v>0.39188158095528763</v>
      </c>
      <c r="AK499" s="188"/>
      <c r="AL499" s="188"/>
      <c r="AM499" s="188"/>
      <c r="AN499" s="188"/>
      <c r="AO499" s="562"/>
      <c r="AP499" s="188"/>
      <c r="AQ499" s="188"/>
      <c r="AR499" s="188"/>
      <c r="AS499" s="188"/>
      <c r="AT499" s="562"/>
      <c r="AU499" s="789"/>
      <c r="AV499" s="188"/>
      <c r="AW499" s="188"/>
      <c r="AX499" s="188"/>
      <c r="AY499" s="562"/>
      <c r="AZ499" s="188"/>
      <c r="BA499" s="188"/>
      <c r="BB499" s="188"/>
      <c r="BC499" s="188"/>
      <c r="BD499" s="562"/>
      <c r="BE499" s="562"/>
      <c r="BF499" s="562"/>
      <c r="BG499" s="562"/>
      <c r="BH499" s="363"/>
    </row>
    <row r="500" spans="1:60" s="262" customFormat="1" hidden="1" outlineLevel="2" x14ac:dyDescent="0.35">
      <c r="A500" s="605" t="s">
        <v>832</v>
      </c>
      <c r="B500" s="687"/>
      <c r="C500" s="559">
        <f t="shared" ref="C500:R504" si="813">C492/C$497</f>
        <v>0.10880941054361458</v>
      </c>
      <c r="D500" s="559">
        <f t="shared" si="813"/>
        <v>0.11064436276348361</v>
      </c>
      <c r="E500" s="559">
        <f t="shared" si="813"/>
        <v>0.11519367802505825</v>
      </c>
      <c r="F500" s="559">
        <f t="shared" si="813"/>
        <v>0.11801096843231675</v>
      </c>
      <c r="G500" s="560">
        <f t="shared" si="813"/>
        <v>0.11553576106890227</v>
      </c>
      <c r="H500" s="560">
        <f t="shared" si="813"/>
        <v>0.11996904024767802</v>
      </c>
      <c r="I500" s="560">
        <f t="shared" si="813"/>
        <v>0.11824153612935827</v>
      </c>
      <c r="J500" s="560">
        <f t="shared" si="813"/>
        <v>0.11401770379178228</v>
      </c>
      <c r="K500" s="559">
        <f t="shared" si="813"/>
        <v>0.11697061967542353</v>
      </c>
      <c r="L500" s="560">
        <f t="shared" si="813"/>
        <v>0.10726599412590984</v>
      </c>
      <c r="M500" s="560">
        <f t="shared" si="813"/>
        <v>0.11076960904843865</v>
      </c>
      <c r="N500" s="560">
        <f t="shared" si="813"/>
        <v>0.11060587440088485</v>
      </c>
      <c r="O500" s="560">
        <f t="shared" si="813"/>
        <v>0.11180204689726649</v>
      </c>
      <c r="P500" s="559">
        <f t="shared" si="813"/>
        <v>0.11011596115772602</v>
      </c>
      <c r="Q500" s="560">
        <f t="shared" si="813"/>
        <v>0.10121404064396938</v>
      </c>
      <c r="R500" s="560">
        <f t="shared" si="813"/>
        <v>9.9791829300026016E-2</v>
      </c>
      <c r="S500" s="560">
        <f t="shared" ref="S500:AJ500" si="814">S492/S$497</f>
        <v>9.5824688796680504E-2</v>
      </c>
      <c r="T500" s="560">
        <f t="shared" si="814"/>
        <v>9.7149904083310493E-2</v>
      </c>
      <c r="U500" s="559">
        <f t="shared" si="814"/>
        <v>9.8500363348087469E-2</v>
      </c>
      <c r="V500" s="560">
        <f t="shared" si="814"/>
        <v>9.3534889998650284E-2</v>
      </c>
      <c r="W500" s="560">
        <f t="shared" si="814"/>
        <v>9.6450013051422603E-2</v>
      </c>
      <c r="X500" s="560">
        <f t="shared" si="814"/>
        <v>9.6251135036969776E-2</v>
      </c>
      <c r="Y500" s="560">
        <f t="shared" si="814"/>
        <v>9.9194978851139315E-2</v>
      </c>
      <c r="Z500" s="559">
        <f t="shared" si="814"/>
        <v>9.6349928592779563E-2</v>
      </c>
      <c r="AA500" s="560">
        <f t="shared" si="814"/>
        <v>9.5770982433311641E-2</v>
      </c>
      <c r="AB500" s="560">
        <f t="shared" si="814"/>
        <v>9.6927016645326505E-2</v>
      </c>
      <c r="AC500" s="560">
        <f t="shared" si="814"/>
        <v>9.593734703866863E-2</v>
      </c>
      <c r="AD500" s="560">
        <f t="shared" si="814"/>
        <v>9.4618272841051315E-2</v>
      </c>
      <c r="AE500" s="559">
        <f t="shared" si="814"/>
        <v>9.5808194080298198E-2</v>
      </c>
      <c r="AF500" s="560">
        <f t="shared" si="814"/>
        <v>9.2655230732060889E-2</v>
      </c>
      <c r="AG500" s="560">
        <f t="shared" si="814"/>
        <v>9.308700834326579E-2</v>
      </c>
      <c r="AH500" s="560">
        <f t="shared" si="814"/>
        <v>9.0897939156035334E-2</v>
      </c>
      <c r="AI500" s="560">
        <f t="shared" si="814"/>
        <v>9.2511013215859028E-2</v>
      </c>
      <c r="AJ500" s="559">
        <f t="shared" si="814"/>
        <v>9.2293605981992974E-2</v>
      </c>
      <c r="AK500" s="608"/>
      <c r="AL500" s="608"/>
      <c r="AM500" s="608"/>
      <c r="AN500" s="608"/>
      <c r="AO500" s="609"/>
      <c r="AP500" s="608"/>
      <c r="AQ500" s="608"/>
      <c r="AR500" s="608"/>
      <c r="AS500" s="608"/>
      <c r="AT500" s="609"/>
      <c r="AU500" s="793"/>
      <c r="AV500" s="608"/>
      <c r="AW500" s="608"/>
      <c r="AX500" s="608"/>
      <c r="AY500" s="609"/>
      <c r="AZ500" s="608"/>
      <c r="BA500" s="608"/>
      <c r="BB500" s="608"/>
      <c r="BC500" s="608"/>
      <c r="BD500" s="609"/>
      <c r="BE500" s="609"/>
      <c r="BF500" s="609"/>
      <c r="BG500" s="609"/>
      <c r="BH500" s="363"/>
    </row>
    <row r="501" spans="1:60" s="262" customFormat="1" hidden="1" outlineLevel="1" x14ac:dyDescent="0.35">
      <c r="A501" s="154" t="s">
        <v>833</v>
      </c>
      <c r="B501" s="686"/>
      <c r="C501" s="531">
        <f t="shared" si="813"/>
        <v>0.47679799333996453</v>
      </c>
      <c r="D501" s="531">
        <f t="shared" ref="D501:R501" si="815">D493/D$497</f>
        <v>0.45607981396744429</v>
      </c>
      <c r="E501" s="531">
        <f t="shared" si="815"/>
        <v>0.45385160919928402</v>
      </c>
      <c r="F501" s="531">
        <f t="shared" si="815"/>
        <v>0.4715088282504013</v>
      </c>
      <c r="G501" s="363">
        <f t="shared" si="815"/>
        <v>0.46974063400576371</v>
      </c>
      <c r="H501" s="363">
        <f t="shared" si="815"/>
        <v>0.4821981424148607</v>
      </c>
      <c r="I501" s="363">
        <f t="shared" si="815"/>
        <v>0.48408287013643253</v>
      </c>
      <c r="J501" s="363">
        <f t="shared" si="815"/>
        <v>0.4764169639318272</v>
      </c>
      <c r="K501" s="531">
        <f t="shared" si="815"/>
        <v>0.47818340837679374</v>
      </c>
      <c r="L501" s="363">
        <f t="shared" si="815"/>
        <v>0.4611160771293577</v>
      </c>
      <c r="M501" s="363">
        <f t="shared" si="815"/>
        <v>0.47172362921072042</v>
      </c>
      <c r="N501" s="363">
        <f t="shared" si="815"/>
        <v>0.48850927860390808</v>
      </c>
      <c r="O501" s="363">
        <f t="shared" si="815"/>
        <v>0.49164399533618347</v>
      </c>
      <c r="P501" s="531">
        <f t="shared" si="815"/>
        <v>0.47823764180886835</v>
      </c>
      <c r="Q501" s="363">
        <f t="shared" si="815"/>
        <v>0.478490366851412</v>
      </c>
      <c r="R501" s="363">
        <f t="shared" si="815"/>
        <v>0.49726775956284153</v>
      </c>
      <c r="S501" s="363">
        <f t="shared" ref="S501:AO501" si="816">S493/S$497</f>
        <v>0.506353734439834</v>
      </c>
      <c r="T501" s="363">
        <f t="shared" si="816"/>
        <v>0.50397369142230752</v>
      </c>
      <c r="U501" s="531">
        <f t="shared" si="816"/>
        <v>0.49649864570258306</v>
      </c>
      <c r="V501" s="363">
        <f t="shared" si="816"/>
        <v>0.48845998110406263</v>
      </c>
      <c r="W501" s="363">
        <f t="shared" si="816"/>
        <v>0.50261028452101275</v>
      </c>
      <c r="X501" s="363">
        <f t="shared" si="816"/>
        <v>0.50616162926449604</v>
      </c>
      <c r="Y501" s="363">
        <f t="shared" si="816"/>
        <v>0.50716332378223494</v>
      </c>
      <c r="Z501" s="531">
        <f t="shared" si="816"/>
        <v>0.50114583679298552</v>
      </c>
      <c r="AA501" s="363">
        <f t="shared" si="816"/>
        <v>0.47846454131424854</v>
      </c>
      <c r="AB501" s="363">
        <f t="shared" si="816"/>
        <v>0.49731113956466066</v>
      </c>
      <c r="AC501" s="363">
        <f t="shared" si="816"/>
        <v>0.49033284385707293</v>
      </c>
      <c r="AD501" s="363">
        <f t="shared" si="816"/>
        <v>0.48022528160200251</v>
      </c>
      <c r="AE501" s="531">
        <f t="shared" si="816"/>
        <v>0.48662223204978361</v>
      </c>
      <c r="AF501" s="363">
        <f t="shared" si="816"/>
        <v>0.46037690263348635</v>
      </c>
      <c r="AG501" s="363">
        <f t="shared" si="816"/>
        <v>0.49213349225268177</v>
      </c>
      <c r="AH501" s="363">
        <f t="shared" si="816"/>
        <v>0.49141315014720316</v>
      </c>
      <c r="AI501" s="363">
        <f t="shared" si="816"/>
        <v>0.49314033983637506</v>
      </c>
      <c r="AJ501" s="531">
        <f t="shared" si="816"/>
        <v>0.48417518693728062</v>
      </c>
      <c r="AK501" s="363">
        <f t="shared" si="816"/>
        <v>0.47857052015770063</v>
      </c>
      <c r="AL501" s="363">
        <f t="shared" si="816"/>
        <v>0.50948476318688041</v>
      </c>
      <c r="AM501" s="363">
        <f t="shared" si="816"/>
        <v>0.50506820172694278</v>
      </c>
      <c r="AN501" s="363">
        <f t="shared" si="816"/>
        <v>0.51313031685365551</v>
      </c>
      <c r="AO501" s="531">
        <f t="shared" si="816"/>
        <v>0.50174259397560372</v>
      </c>
      <c r="AP501" s="363">
        <f t="shared" ref="AP501:AR504" si="817">AP493/AP$497</f>
        <v>0.51294117647058823</v>
      </c>
      <c r="AQ501" s="363">
        <f t="shared" si="817"/>
        <v>0.50627090301003341</v>
      </c>
      <c r="AR501" s="363">
        <f t="shared" si="817"/>
        <v>0.52059880239520961</v>
      </c>
      <c r="AS501" s="363">
        <f t="shared" ref="AS501:AT501" si="818">AS493/AS$497</f>
        <v>0.51299079575905859</v>
      </c>
      <c r="AT501" s="531">
        <f t="shared" si="818"/>
        <v>0.51345389013174247</v>
      </c>
      <c r="AU501" s="789">
        <f t="shared" ref="AU501" si="819">AU493/AU$497</f>
        <v>0.48898429555982376</v>
      </c>
      <c r="AV501" s="188"/>
      <c r="AW501" s="188"/>
      <c r="AX501" s="188"/>
      <c r="AY501" s="562"/>
      <c r="AZ501" s="188"/>
      <c r="BA501" s="188"/>
      <c r="BB501" s="188"/>
      <c r="BC501" s="188"/>
      <c r="BD501" s="562"/>
      <c r="BE501" s="562"/>
      <c r="BF501" s="562"/>
      <c r="BG501" s="562"/>
      <c r="BH501" s="363"/>
    </row>
    <row r="502" spans="1:60" s="262" customFormat="1" hidden="1" outlineLevel="1" x14ac:dyDescent="0.35">
      <c r="A502" s="154" t="s">
        <v>834</v>
      </c>
      <c r="B502" s="686"/>
      <c r="C502" s="531">
        <f t="shared" si="813"/>
        <v>0.26467153916014358</v>
      </c>
      <c r="D502" s="531">
        <f t="shared" si="813"/>
        <v>0.30976670917410548</v>
      </c>
      <c r="E502" s="531">
        <f t="shared" si="813"/>
        <v>0.30758839620411332</v>
      </c>
      <c r="F502" s="531">
        <f t="shared" si="813"/>
        <v>0.30403959336543607</v>
      </c>
      <c r="G502" s="363">
        <f t="shared" si="813"/>
        <v>0.2994498297091957</v>
      </c>
      <c r="H502" s="363">
        <f t="shared" si="813"/>
        <v>0.28882868937048506</v>
      </c>
      <c r="I502" s="363">
        <f t="shared" si="813"/>
        <v>0.29585649317837293</v>
      </c>
      <c r="J502" s="363">
        <f t="shared" si="813"/>
        <v>0.28801691108468752</v>
      </c>
      <c r="K502" s="531">
        <f t="shared" si="813"/>
        <v>0.29305820997052251</v>
      </c>
      <c r="L502" s="363">
        <f t="shared" si="813"/>
        <v>0.30136636444898479</v>
      </c>
      <c r="M502" s="363">
        <f t="shared" si="813"/>
        <v>0.29149250061470372</v>
      </c>
      <c r="N502" s="363">
        <f t="shared" si="813"/>
        <v>0.29961902421039693</v>
      </c>
      <c r="O502" s="363">
        <f t="shared" si="813"/>
        <v>0.29135898432439433</v>
      </c>
      <c r="P502" s="531">
        <f t="shared" si="813"/>
        <v>0.29596807139939035</v>
      </c>
      <c r="Q502" s="363">
        <f t="shared" si="813"/>
        <v>0.31538664555291634</v>
      </c>
      <c r="R502" s="363">
        <f t="shared" si="813"/>
        <v>0.29300026021337494</v>
      </c>
      <c r="S502" s="363">
        <f t="shared" ref="S502:AO502" si="820">S494/S$497</f>
        <v>0.29693983402489627</v>
      </c>
      <c r="T502" s="363">
        <f t="shared" si="820"/>
        <v>0.28898328309125787</v>
      </c>
      <c r="U502" s="531">
        <f t="shared" si="820"/>
        <v>0.29863909625421153</v>
      </c>
      <c r="V502" s="363">
        <f t="shared" si="820"/>
        <v>0.29869078148198136</v>
      </c>
      <c r="W502" s="363">
        <f t="shared" si="820"/>
        <v>0.27982250065257114</v>
      </c>
      <c r="X502" s="363">
        <f t="shared" si="820"/>
        <v>0.30198469321572191</v>
      </c>
      <c r="Y502" s="363">
        <f t="shared" si="820"/>
        <v>0.29499249556556145</v>
      </c>
      <c r="Z502" s="531">
        <f t="shared" si="820"/>
        <v>0.29383240891427814</v>
      </c>
      <c r="AA502" s="363">
        <f t="shared" si="820"/>
        <v>0.31659076122316199</v>
      </c>
      <c r="AB502" s="363">
        <f t="shared" si="820"/>
        <v>0.29731113956466071</v>
      </c>
      <c r="AC502" s="363">
        <f t="shared" si="820"/>
        <v>0.31571218795888401</v>
      </c>
      <c r="AD502" s="363">
        <f t="shared" si="820"/>
        <v>0.30963704630788486</v>
      </c>
      <c r="AE502" s="531">
        <f t="shared" si="820"/>
        <v>0.30985248128376031</v>
      </c>
      <c r="AF502" s="363">
        <f t="shared" si="820"/>
        <v>0.32326648949021503</v>
      </c>
      <c r="AG502" s="363">
        <f t="shared" si="820"/>
        <v>0.29845053635280094</v>
      </c>
      <c r="AH502" s="363">
        <f t="shared" si="820"/>
        <v>0.32151619234543671</v>
      </c>
      <c r="AI502" s="363">
        <f t="shared" si="820"/>
        <v>0.30874764002517308</v>
      </c>
      <c r="AJ502" s="531">
        <f t="shared" si="820"/>
        <v>0.31295589806195634</v>
      </c>
      <c r="AK502" s="363">
        <f t="shared" si="820"/>
        <v>0.31514689049980921</v>
      </c>
      <c r="AL502" s="363">
        <f t="shared" si="820"/>
        <v>0.29555745930730631</v>
      </c>
      <c r="AM502" s="363">
        <f t="shared" si="820"/>
        <v>0.31160055061944686</v>
      </c>
      <c r="AN502" s="363">
        <f t="shared" si="820"/>
        <v>0.2974972259893971</v>
      </c>
      <c r="AO502" s="531">
        <f t="shared" si="820"/>
        <v>0.30482947473238736</v>
      </c>
      <c r="AP502" s="363">
        <f t="shared" si="817"/>
        <v>0.29040247678018577</v>
      </c>
      <c r="AQ502" s="363">
        <f t="shared" si="817"/>
        <v>0.3079710144927536</v>
      </c>
      <c r="AR502" s="363">
        <f t="shared" si="817"/>
        <v>0.29628742514970058</v>
      </c>
      <c r="AS502" s="363">
        <f t="shared" ref="AS502:AT502" si="821">AS494/AS$497</f>
        <v>0.29593382267272517</v>
      </c>
      <c r="AT502" s="531">
        <f t="shared" si="821"/>
        <v>0.29732165050956999</v>
      </c>
      <c r="AU502" s="789">
        <f t="shared" ref="AU502" si="822">AU494/AU$497</f>
        <v>0.31284600610100555</v>
      </c>
      <c r="AV502" s="188"/>
      <c r="AW502" s="188"/>
      <c r="AX502" s="188"/>
      <c r="AY502" s="562"/>
      <c r="AZ502" s="188"/>
      <c r="BA502" s="188"/>
      <c r="BB502" s="188"/>
      <c r="BC502" s="188"/>
      <c r="BD502" s="562"/>
      <c r="BE502" s="562"/>
      <c r="BF502" s="562"/>
      <c r="BG502" s="562"/>
      <c r="BH502" s="363"/>
    </row>
    <row r="503" spans="1:60" s="262" customFormat="1" hidden="1" outlineLevel="1" x14ac:dyDescent="0.35">
      <c r="A503" s="154" t="s">
        <v>835</v>
      </c>
      <c r="B503" s="686"/>
      <c r="C503" s="531">
        <f t="shared" si="813"/>
        <v>0.2582709855987545</v>
      </c>
      <c r="D503" s="531">
        <f t="shared" si="813"/>
        <v>0.23475358187682843</v>
      </c>
      <c r="E503" s="531">
        <f t="shared" si="813"/>
        <v>0.2389652494005606</v>
      </c>
      <c r="F503" s="531">
        <f t="shared" si="813"/>
        <v>0.22505350454788656</v>
      </c>
      <c r="G503" s="363">
        <f t="shared" si="813"/>
        <v>0.23120251506418654</v>
      </c>
      <c r="H503" s="363">
        <f t="shared" si="813"/>
        <v>0.2292311661506708</v>
      </c>
      <c r="I503" s="363">
        <f t="shared" si="813"/>
        <v>0.2206922688226377</v>
      </c>
      <c r="J503" s="363">
        <f t="shared" si="813"/>
        <v>0.23728365702206369</v>
      </c>
      <c r="K503" s="531">
        <f t="shared" si="813"/>
        <v>0.22950341744679473</v>
      </c>
      <c r="L503" s="363">
        <f t="shared" si="813"/>
        <v>0.23777295364576684</v>
      </c>
      <c r="M503" s="363">
        <f t="shared" si="813"/>
        <v>0.23715269240226211</v>
      </c>
      <c r="N503" s="363">
        <f t="shared" si="813"/>
        <v>0.21199459260169595</v>
      </c>
      <c r="O503" s="363">
        <f t="shared" si="813"/>
        <v>0.21790387355875113</v>
      </c>
      <c r="P503" s="531">
        <f t="shared" si="813"/>
        <v>0.22620282203576256</v>
      </c>
      <c r="Q503" s="363">
        <f t="shared" si="813"/>
        <v>0.20665083135391923</v>
      </c>
      <c r="R503" s="363">
        <f t="shared" si="813"/>
        <v>0.2097319802237835</v>
      </c>
      <c r="S503" s="363">
        <f t="shared" ref="S503:AO503" si="823">S495/S$497</f>
        <v>0.1967064315352697</v>
      </c>
      <c r="T503" s="363">
        <f t="shared" si="823"/>
        <v>0.21005755001370238</v>
      </c>
      <c r="U503" s="531">
        <f t="shared" si="823"/>
        <v>0.20572108079540199</v>
      </c>
      <c r="V503" s="363">
        <f t="shared" si="823"/>
        <v>0.21311917937643407</v>
      </c>
      <c r="W503" s="363">
        <f t="shared" si="823"/>
        <v>0.21730618637431481</v>
      </c>
      <c r="X503" s="363">
        <f t="shared" si="823"/>
        <v>0.19211311454144506</v>
      </c>
      <c r="Y503" s="363">
        <f t="shared" si="823"/>
        <v>0.19620684950197845</v>
      </c>
      <c r="Z503" s="531">
        <f t="shared" si="823"/>
        <v>0.20468962768607393</v>
      </c>
      <c r="AA503" s="363">
        <f t="shared" si="823"/>
        <v>0.20520494469746259</v>
      </c>
      <c r="AB503" s="363">
        <f t="shared" si="823"/>
        <v>0.20550576184379002</v>
      </c>
      <c r="AC503" s="363">
        <f t="shared" si="823"/>
        <v>0.19444444444444445</v>
      </c>
      <c r="AD503" s="363">
        <f t="shared" si="823"/>
        <v>0.21088861076345433</v>
      </c>
      <c r="AE503" s="531">
        <f t="shared" si="823"/>
        <v>0.20393593833907192</v>
      </c>
      <c r="AF503" s="363">
        <f t="shared" si="823"/>
        <v>0.21647741000241605</v>
      </c>
      <c r="AG503" s="363">
        <f t="shared" si="823"/>
        <v>0.20953516090584029</v>
      </c>
      <c r="AH503" s="363">
        <f t="shared" si="823"/>
        <v>0.18731599607458294</v>
      </c>
      <c r="AI503" s="363">
        <f t="shared" si="823"/>
        <v>0.19848961611076149</v>
      </c>
      <c r="AJ503" s="531">
        <f t="shared" si="823"/>
        <v>0.20308255760720281</v>
      </c>
      <c r="AK503" s="363">
        <f t="shared" si="823"/>
        <v>0.20653694518631566</v>
      </c>
      <c r="AL503" s="363">
        <f t="shared" si="823"/>
        <v>0.19495777750581325</v>
      </c>
      <c r="AM503" s="363">
        <f t="shared" si="823"/>
        <v>0.18333124765361031</v>
      </c>
      <c r="AN503" s="363">
        <f t="shared" si="823"/>
        <v>0.19035877203797313</v>
      </c>
      <c r="AO503" s="531">
        <f t="shared" si="823"/>
        <v>0.19373910878765246</v>
      </c>
      <c r="AP503" s="363">
        <f t="shared" si="817"/>
        <v>0.19690402476780186</v>
      </c>
      <c r="AQ503" s="363">
        <f t="shared" si="817"/>
        <v>0.18561872909698995</v>
      </c>
      <c r="AR503" s="363">
        <f t="shared" si="817"/>
        <v>0.18299401197604789</v>
      </c>
      <c r="AS503" s="363">
        <f t="shared" ref="AS503:AT503" si="824">AS495/AS$497</f>
        <v>0.19328905976931143</v>
      </c>
      <c r="AT503" s="531">
        <f t="shared" si="824"/>
        <v>0.18981481481481483</v>
      </c>
      <c r="AU503" s="789">
        <f t="shared" ref="AU503" si="825">AU495/AU$497</f>
        <v>0.19828267992317253</v>
      </c>
      <c r="AV503" s="188"/>
      <c r="AW503" s="188"/>
      <c r="AX503" s="188"/>
      <c r="AY503" s="562"/>
      <c r="AZ503" s="188"/>
      <c r="BA503" s="188"/>
      <c r="BB503" s="188"/>
      <c r="BC503" s="188"/>
      <c r="BD503" s="562"/>
      <c r="BE503" s="562"/>
      <c r="BF503" s="562"/>
      <c r="BG503" s="562"/>
      <c r="BH503" s="363"/>
    </row>
    <row r="504" spans="1:60" s="262" customFormat="1" hidden="1" outlineLevel="1" x14ac:dyDescent="0.35">
      <c r="A504" s="589" t="s">
        <v>836</v>
      </c>
      <c r="B504" s="687"/>
      <c r="C504" s="559">
        <f t="shared" si="813"/>
        <v>2.5948190113739565E-4</v>
      </c>
      <c r="D504" s="559">
        <f t="shared" si="813"/>
        <v>-6.0010501837821624E-4</v>
      </c>
      <c r="E504" s="559">
        <f t="shared" si="813"/>
        <v>-4.0525480395798858E-4</v>
      </c>
      <c r="F504" s="559">
        <f t="shared" si="813"/>
        <v>-6.019261637239165E-4</v>
      </c>
      <c r="G504" s="560">
        <f t="shared" si="813"/>
        <v>-3.929787791459261E-4</v>
      </c>
      <c r="H504" s="560">
        <f t="shared" si="813"/>
        <v>-2.5799793601651185E-4</v>
      </c>
      <c r="I504" s="560">
        <f t="shared" si="813"/>
        <v>-6.3163213744315313E-4</v>
      </c>
      <c r="J504" s="560">
        <f t="shared" si="813"/>
        <v>-1.7175320385784119E-3</v>
      </c>
      <c r="K504" s="559">
        <f t="shared" si="813"/>
        <v>-7.4503579411097794E-4</v>
      </c>
      <c r="L504" s="560">
        <f t="shared" si="813"/>
        <v>-2.5539522410930913E-4</v>
      </c>
      <c r="M504" s="560">
        <f t="shared" si="813"/>
        <v>-3.688222276862552E-4</v>
      </c>
      <c r="N504" s="560">
        <f t="shared" si="813"/>
        <v>-1.2289541600098315E-4</v>
      </c>
      <c r="O504" s="560">
        <f t="shared" si="813"/>
        <v>-9.0685321932892861E-4</v>
      </c>
      <c r="P504" s="559">
        <f t="shared" si="813"/>
        <v>-4.0853524402124382E-4</v>
      </c>
      <c r="Q504" s="560">
        <f t="shared" si="813"/>
        <v>-5.2784375824755877E-4</v>
      </c>
      <c r="R504" s="560">
        <f t="shared" si="813"/>
        <v>0</v>
      </c>
      <c r="S504" s="560">
        <f t="shared" ref="S504:AO504" si="826">S496/S$497</f>
        <v>0</v>
      </c>
      <c r="T504" s="560">
        <f t="shared" si="826"/>
        <v>-3.0145245272677444E-3</v>
      </c>
      <c r="U504" s="559">
        <f t="shared" si="826"/>
        <v>-8.5882275219660434E-4</v>
      </c>
      <c r="V504" s="560">
        <f t="shared" si="826"/>
        <v>-2.6994196247806724E-4</v>
      </c>
      <c r="W504" s="560">
        <f t="shared" si="826"/>
        <v>2.6102845210127906E-4</v>
      </c>
      <c r="X504" s="560">
        <f t="shared" si="826"/>
        <v>-2.5943702166299128E-4</v>
      </c>
      <c r="Y504" s="560">
        <f t="shared" si="826"/>
        <v>1.637331150225133E-3</v>
      </c>
      <c r="Z504" s="559">
        <f t="shared" si="826"/>
        <v>3.3212660666245971E-4</v>
      </c>
      <c r="AA504" s="560">
        <f t="shared" si="826"/>
        <v>-2.6024723487312948E-4</v>
      </c>
      <c r="AB504" s="560">
        <f t="shared" si="826"/>
        <v>-1.2804097311139564E-4</v>
      </c>
      <c r="AC504" s="560">
        <f t="shared" si="826"/>
        <v>-4.8947626040137058E-4</v>
      </c>
      <c r="AD504" s="560">
        <f t="shared" si="826"/>
        <v>-7.5093867334167705E-4</v>
      </c>
      <c r="AE504" s="559">
        <f t="shared" si="826"/>
        <v>-4.1065167261585114E-4</v>
      </c>
      <c r="AF504" s="560">
        <f t="shared" si="826"/>
        <v>-1.2080212611741966E-4</v>
      </c>
      <c r="AG504" s="560">
        <f t="shared" si="826"/>
        <v>-1.1918951132300358E-4</v>
      </c>
      <c r="AH504" s="560">
        <f t="shared" si="826"/>
        <v>-2.453385672227674E-4</v>
      </c>
      <c r="AI504" s="560">
        <f t="shared" si="826"/>
        <v>-3.7759597230962869E-4</v>
      </c>
      <c r="AJ504" s="559">
        <f t="shared" si="826"/>
        <v>-2.1364260643979858E-4</v>
      </c>
      <c r="AK504" s="560">
        <f t="shared" si="826"/>
        <v>-2.5435584382551191E-4</v>
      </c>
      <c r="AL504" s="560">
        <f t="shared" si="826"/>
        <v>0</v>
      </c>
      <c r="AM504" s="560">
        <f t="shared" si="826"/>
        <v>0</v>
      </c>
      <c r="AN504" s="560">
        <f t="shared" si="826"/>
        <v>-9.8631488102576739E-4</v>
      </c>
      <c r="AO504" s="559">
        <f t="shared" si="826"/>
        <v>-3.1117749564351505E-4</v>
      </c>
      <c r="AP504" s="560">
        <f t="shared" si="817"/>
        <v>-2.476780185758514E-4</v>
      </c>
      <c r="AQ504" s="560">
        <f t="shared" si="817"/>
        <v>1.3935340022296544E-4</v>
      </c>
      <c r="AR504" s="560">
        <f t="shared" si="817"/>
        <v>1.1976047904191617E-4</v>
      </c>
      <c r="AS504" s="560">
        <f t="shared" ref="AS504:AT504" si="827">AS496/AS$497</f>
        <v>-2.213678201095188E-3</v>
      </c>
      <c r="AT504" s="559">
        <f t="shared" si="827"/>
        <v>-5.9035545612726821E-4</v>
      </c>
      <c r="AU504" s="793">
        <f t="shared" ref="AU504" si="828">AU496/AU$497</f>
        <v>-1.1298158400180771E-4</v>
      </c>
      <c r="AV504" s="608"/>
      <c r="AW504" s="608"/>
      <c r="AX504" s="608"/>
      <c r="AY504" s="609"/>
      <c r="AZ504" s="608"/>
      <c r="BA504" s="608"/>
      <c r="BB504" s="608"/>
      <c r="BC504" s="608"/>
      <c r="BD504" s="609"/>
      <c r="BE504" s="609"/>
      <c r="BF504" s="609"/>
      <c r="BG504" s="609"/>
      <c r="BH504" s="363"/>
    </row>
    <row r="505" spans="1:60" s="225" customFormat="1" hidden="1" outlineLevel="1" x14ac:dyDescent="0.35">
      <c r="A505" s="227" t="s">
        <v>837</v>
      </c>
      <c r="B505" s="435"/>
      <c r="C505" s="16">
        <f>SUM(C501:C504)</f>
        <v>1</v>
      </c>
      <c r="D505" s="16">
        <f t="shared" ref="D505:AR505" si="829">SUM(D501:D504)</f>
        <v>0.99999999999999989</v>
      </c>
      <c r="E505" s="16">
        <f t="shared" si="829"/>
        <v>0.99999999999999989</v>
      </c>
      <c r="F505" s="16">
        <f t="shared" si="829"/>
        <v>1</v>
      </c>
      <c r="G505" s="94">
        <f t="shared" si="829"/>
        <v>1</v>
      </c>
      <c r="H505" s="94">
        <f t="shared" si="829"/>
        <v>0.99999999999999989</v>
      </c>
      <c r="I505" s="94">
        <f t="shared" si="829"/>
        <v>1</v>
      </c>
      <c r="J505" s="94">
        <f t="shared" si="829"/>
        <v>1</v>
      </c>
      <c r="K505" s="16">
        <f t="shared" si="829"/>
        <v>1</v>
      </c>
      <c r="L505" s="94">
        <f t="shared" si="829"/>
        <v>1</v>
      </c>
      <c r="M505" s="94">
        <f t="shared" si="829"/>
        <v>1</v>
      </c>
      <c r="N505" s="94">
        <f t="shared" si="829"/>
        <v>1</v>
      </c>
      <c r="O505" s="94">
        <f t="shared" si="829"/>
        <v>0.99999999999999989</v>
      </c>
      <c r="P505" s="16">
        <f t="shared" si="829"/>
        <v>1</v>
      </c>
      <c r="Q505" s="94">
        <f t="shared" si="829"/>
        <v>1</v>
      </c>
      <c r="R505" s="94">
        <f t="shared" si="829"/>
        <v>0.99999999999999989</v>
      </c>
      <c r="S505" s="94">
        <f t="shared" si="829"/>
        <v>0.99999999999999989</v>
      </c>
      <c r="T505" s="94">
        <f t="shared" si="829"/>
        <v>1</v>
      </c>
      <c r="U505" s="16">
        <f t="shared" si="829"/>
        <v>1</v>
      </c>
      <c r="V505" s="94">
        <f t="shared" si="829"/>
        <v>1</v>
      </c>
      <c r="W505" s="94">
        <f t="shared" si="829"/>
        <v>1</v>
      </c>
      <c r="X505" s="94">
        <f t="shared" si="829"/>
        <v>0.99999999999999989</v>
      </c>
      <c r="Y505" s="94">
        <f t="shared" si="829"/>
        <v>1</v>
      </c>
      <c r="Z505" s="16">
        <f t="shared" si="829"/>
        <v>1</v>
      </c>
      <c r="AA505" s="94">
        <f t="shared" si="829"/>
        <v>1</v>
      </c>
      <c r="AB505" s="94">
        <f t="shared" si="829"/>
        <v>1</v>
      </c>
      <c r="AC505" s="94">
        <f t="shared" si="829"/>
        <v>0.99999999999999989</v>
      </c>
      <c r="AD505" s="94">
        <f t="shared" si="829"/>
        <v>1</v>
      </c>
      <c r="AE505" s="16">
        <f t="shared" si="829"/>
        <v>1</v>
      </c>
      <c r="AF505" s="94">
        <f t="shared" si="829"/>
        <v>1</v>
      </c>
      <c r="AG505" s="94">
        <f t="shared" si="829"/>
        <v>1</v>
      </c>
      <c r="AH505" s="94">
        <f t="shared" si="829"/>
        <v>1</v>
      </c>
      <c r="AI505" s="94">
        <f t="shared" si="829"/>
        <v>1</v>
      </c>
      <c r="AJ505" s="16">
        <f t="shared" si="829"/>
        <v>1</v>
      </c>
      <c r="AK505" s="94">
        <f t="shared" si="829"/>
        <v>1</v>
      </c>
      <c r="AL505" s="94">
        <f t="shared" si="829"/>
        <v>0.99999999999999989</v>
      </c>
      <c r="AM505" s="94">
        <f t="shared" si="829"/>
        <v>0.99999999999999989</v>
      </c>
      <c r="AN505" s="94">
        <f t="shared" si="829"/>
        <v>1</v>
      </c>
      <c r="AO505" s="16">
        <f t="shared" si="829"/>
        <v>1.0000000000000002</v>
      </c>
      <c r="AP505" s="94">
        <f t="shared" si="829"/>
        <v>1</v>
      </c>
      <c r="AQ505" s="94">
        <f t="shared" si="829"/>
        <v>1</v>
      </c>
      <c r="AR505" s="94">
        <f t="shared" si="829"/>
        <v>1</v>
      </c>
      <c r="AS505" s="94">
        <f t="shared" ref="AS505:AT505" si="830">SUM(AS501:AS504)</f>
        <v>0.99999999999999989</v>
      </c>
      <c r="AT505" s="16">
        <f t="shared" si="830"/>
        <v>1</v>
      </c>
      <c r="AU505" s="794">
        <f t="shared" ref="AU505" si="831">SUM(AU501:AU504)</f>
        <v>0.99999999999999989</v>
      </c>
      <c r="AV505" s="299"/>
      <c r="AW505" s="299"/>
      <c r="AX505" s="299"/>
      <c r="AY505" s="116"/>
      <c r="AZ505" s="299"/>
      <c r="BA505" s="299"/>
      <c r="BB505" s="299"/>
      <c r="BC505" s="299"/>
      <c r="BD505" s="116"/>
      <c r="BE505" s="116"/>
      <c r="BF505" s="116"/>
      <c r="BG505" s="116"/>
      <c r="BH505" s="94"/>
    </row>
    <row r="506" spans="1:60" s="69" customFormat="1" hidden="1" outlineLevel="1" x14ac:dyDescent="0.35">
      <c r="A506" s="426"/>
      <c r="B506" s="427"/>
      <c r="C506" s="112"/>
      <c r="D506" s="112"/>
      <c r="E506" s="112"/>
      <c r="F506" s="112"/>
      <c r="G506" s="111"/>
      <c r="H506" s="111"/>
      <c r="I506" s="111"/>
      <c r="J506" s="111"/>
      <c r="K506" s="112"/>
      <c r="L506" s="111"/>
      <c r="M506" s="111"/>
      <c r="N506" s="111"/>
      <c r="O506" s="111"/>
      <c r="P506" s="112"/>
      <c r="Q506" s="111"/>
      <c r="R506" s="111"/>
      <c r="S506" s="111"/>
      <c r="T506" s="111"/>
      <c r="U506" s="112"/>
      <c r="V506" s="111"/>
      <c r="W506" s="111"/>
      <c r="X506" s="111"/>
      <c r="Y506" s="111"/>
      <c r="Z506" s="112"/>
      <c r="AA506" s="111"/>
      <c r="AB506" s="111"/>
      <c r="AC506" s="111"/>
      <c r="AD506" s="111"/>
      <c r="AE506" s="112"/>
      <c r="AF506" s="111"/>
      <c r="AG506" s="111"/>
      <c r="AH506" s="111"/>
      <c r="AI506" s="111"/>
      <c r="AJ506" s="112"/>
      <c r="AK506" s="111"/>
      <c r="AL506" s="111"/>
      <c r="AM506" s="111"/>
      <c r="AN506" s="111"/>
      <c r="AO506" s="112"/>
      <c r="AP506" s="111"/>
      <c r="AQ506" s="111"/>
      <c r="AR506" s="111"/>
      <c r="AS506" s="111"/>
      <c r="AT506" s="112"/>
      <c r="AU506" s="792"/>
      <c r="AV506" s="111"/>
      <c r="AW506" s="111"/>
      <c r="AX506" s="111"/>
      <c r="AY506" s="112"/>
      <c r="AZ506" s="111"/>
      <c r="BA506" s="111"/>
      <c r="BB506" s="111"/>
      <c r="BC506" s="111"/>
      <c r="BD506" s="112"/>
      <c r="BE506" s="112"/>
      <c r="BF506" s="112"/>
      <c r="BG506" s="112"/>
      <c r="BH506" s="79"/>
    </row>
    <row r="507" spans="1:60" s="262" customFormat="1" hidden="1" outlineLevel="1" x14ac:dyDescent="0.35">
      <c r="A507" s="539" t="s">
        <v>748</v>
      </c>
      <c r="B507" s="686"/>
      <c r="C507" s="562"/>
      <c r="D507" s="562"/>
      <c r="E507" s="562"/>
      <c r="F507" s="562"/>
      <c r="G507" s="188"/>
      <c r="H507" s="188"/>
      <c r="I507" s="188"/>
      <c r="J507" s="188"/>
      <c r="K507" s="562"/>
      <c r="L507" s="188"/>
      <c r="M507" s="188"/>
      <c r="N507" s="188"/>
      <c r="O507" s="188"/>
      <c r="P507" s="562"/>
      <c r="Q507" s="188"/>
      <c r="R507" s="188"/>
      <c r="S507" s="188"/>
      <c r="T507" s="188"/>
      <c r="U507" s="562"/>
      <c r="V507" s="188"/>
      <c r="W507" s="188"/>
      <c r="X507" s="188"/>
      <c r="Y507" s="188"/>
      <c r="Z507" s="562"/>
      <c r="AA507" s="188"/>
      <c r="AB507" s="188"/>
      <c r="AC507" s="188"/>
      <c r="AD507" s="188"/>
      <c r="AE507" s="562"/>
      <c r="AF507" s="188"/>
      <c r="AG507" s="188"/>
      <c r="AH507" s="188"/>
      <c r="AI507" s="188"/>
      <c r="AJ507" s="562"/>
      <c r="AK507" s="188"/>
      <c r="AL507" s="188"/>
      <c r="AM507" s="188"/>
      <c r="AN507" s="188"/>
      <c r="AO507" s="562"/>
      <c r="AP507" s="363">
        <v>0.04</v>
      </c>
      <c r="AQ507" s="363">
        <v>-0.13</v>
      </c>
      <c r="AR507" s="363">
        <v>0.05</v>
      </c>
      <c r="AS507" s="363">
        <v>0.09</v>
      </c>
      <c r="AT507" s="531">
        <v>0.01</v>
      </c>
      <c r="AU507" s="787">
        <v>6.5000000000000002E-2</v>
      </c>
      <c r="AV507" s="188"/>
      <c r="AW507" s="188"/>
      <c r="AX507" s="188"/>
      <c r="AY507" s="562"/>
      <c r="AZ507" s="188"/>
      <c r="BA507" s="188"/>
      <c r="BB507" s="188"/>
      <c r="BC507" s="188"/>
      <c r="BD507" s="562"/>
      <c r="BE507" s="562"/>
      <c r="BF507" s="562"/>
      <c r="BG507" s="562"/>
      <c r="BH507" s="363"/>
    </row>
    <row r="508" spans="1:60" s="262" customFormat="1" hidden="1" outlineLevel="1" x14ac:dyDescent="0.35">
      <c r="A508" s="539" t="s">
        <v>577</v>
      </c>
      <c r="B508" s="312"/>
      <c r="C508" s="105"/>
      <c r="D508" s="105"/>
      <c r="E508" s="105"/>
      <c r="F508" s="105"/>
      <c r="G508" s="200"/>
      <c r="H508" s="200"/>
      <c r="I508" s="200"/>
      <c r="J508" s="200"/>
      <c r="K508" s="105"/>
      <c r="L508" s="200"/>
      <c r="M508" s="200"/>
      <c r="N508" s="200"/>
      <c r="O508" s="200"/>
      <c r="P508" s="105"/>
      <c r="Q508" s="200">
        <v>0.15</v>
      </c>
      <c r="R508" s="200">
        <v>0.17</v>
      </c>
      <c r="S508" s="200">
        <v>0.13</v>
      </c>
      <c r="T508" s="200">
        <v>7.0000000000000007E-2</v>
      </c>
      <c r="U508" s="105"/>
      <c r="V508" s="200">
        <v>0.1</v>
      </c>
      <c r="W508" s="200">
        <v>0.05</v>
      </c>
      <c r="X508" s="200">
        <v>0.05</v>
      </c>
      <c r="Y508" s="200">
        <v>0.1</v>
      </c>
      <c r="Z508" s="105"/>
      <c r="AA508" s="200">
        <v>0.08</v>
      </c>
      <c r="AB508" s="200">
        <v>0.08</v>
      </c>
      <c r="AC508" s="200">
        <v>0.05</v>
      </c>
      <c r="AD508" s="200">
        <v>0.03</v>
      </c>
      <c r="AE508" s="105"/>
      <c r="AF508" s="200">
        <v>0.03</v>
      </c>
      <c r="AG508" s="200">
        <v>0.05</v>
      </c>
      <c r="AH508" s="200">
        <v>0.03</v>
      </c>
      <c r="AI508" s="200">
        <v>0.05</v>
      </c>
      <c r="AJ508" s="105">
        <v>0.04</v>
      </c>
      <c r="AK508" s="200">
        <v>5.0000000000000001E-3</v>
      </c>
      <c r="AL508" s="200">
        <v>1.4E-2</v>
      </c>
      <c r="AM508" s="200">
        <v>6.2E-2</v>
      </c>
      <c r="AN508" s="200">
        <v>-5.7000000000000002E-2</v>
      </c>
      <c r="AO508" s="105">
        <v>0.01</v>
      </c>
      <c r="AP508" s="200">
        <v>0.05</v>
      </c>
      <c r="AQ508" s="200">
        <v>-0.38</v>
      </c>
      <c r="AR508" s="200">
        <v>-0.13</v>
      </c>
      <c r="AS508" s="200">
        <v>0</v>
      </c>
      <c r="AT508" s="105">
        <v>-0.12</v>
      </c>
      <c r="AU508" s="761">
        <v>-1.6E-2</v>
      </c>
      <c r="AV508" s="200"/>
      <c r="AW508" s="200"/>
      <c r="AX508" s="200"/>
      <c r="AY508" s="105"/>
      <c r="AZ508" s="200"/>
      <c r="BA508" s="200"/>
      <c r="BB508" s="200"/>
      <c r="BC508" s="200"/>
      <c r="BD508" s="105"/>
      <c r="BE508" s="105"/>
      <c r="BF508" s="105"/>
      <c r="BG508" s="105"/>
      <c r="BH508" s="363"/>
    </row>
    <row r="509" spans="1:60" s="262" customFormat="1" hidden="1" outlineLevel="1" x14ac:dyDescent="0.35">
      <c r="A509" s="539" t="s">
        <v>576</v>
      </c>
      <c r="B509" s="312"/>
      <c r="C509" s="105"/>
      <c r="D509" s="105"/>
      <c r="E509" s="105"/>
      <c r="F509" s="105"/>
      <c r="G509" s="200"/>
      <c r="H509" s="200"/>
      <c r="I509" s="200"/>
      <c r="J509" s="200"/>
      <c r="K509" s="105"/>
      <c r="L509" s="200"/>
      <c r="M509" s="200"/>
      <c r="N509" s="200"/>
      <c r="O509" s="200"/>
      <c r="P509" s="105"/>
      <c r="Q509" s="200"/>
      <c r="R509" s="200"/>
      <c r="S509" s="200"/>
      <c r="T509" s="200"/>
      <c r="U509" s="105"/>
      <c r="V509" s="200"/>
      <c r="W509" s="200"/>
      <c r="X509" s="200"/>
      <c r="Y509" s="200">
        <v>0.03</v>
      </c>
      <c r="Z509" s="105"/>
      <c r="AA509" s="200">
        <v>0.03</v>
      </c>
      <c r="AB509" s="200">
        <v>0.03</v>
      </c>
      <c r="AC509" s="200">
        <v>0.14000000000000001</v>
      </c>
      <c r="AD509" s="200">
        <v>0.08</v>
      </c>
      <c r="AE509" s="105"/>
      <c r="AF509" s="200">
        <v>0.05</v>
      </c>
      <c r="AG509" s="200">
        <v>0.08</v>
      </c>
      <c r="AH509" s="200">
        <v>0</v>
      </c>
      <c r="AI509" s="200">
        <v>0.05</v>
      </c>
      <c r="AJ509" s="105">
        <v>0.05</v>
      </c>
      <c r="AK509" s="200">
        <v>1.4E-2</v>
      </c>
      <c r="AL509" s="200">
        <v>2.5000000000000001E-2</v>
      </c>
      <c r="AM509" s="200">
        <v>7.2999999999999995E-2</v>
      </c>
      <c r="AN509" s="200">
        <v>2.5999999999999999E-2</v>
      </c>
      <c r="AO509" s="105">
        <v>0.03</v>
      </c>
      <c r="AP509" s="200">
        <v>0.08</v>
      </c>
      <c r="AQ509" s="200">
        <v>-0.23</v>
      </c>
      <c r="AR509" s="200">
        <v>-0.01</v>
      </c>
      <c r="AS509" s="200">
        <v>0.02</v>
      </c>
      <c r="AT509" s="105">
        <v>-0.04</v>
      </c>
      <c r="AU509" s="761">
        <v>-3.0000000000000001E-3</v>
      </c>
      <c r="AV509" s="200"/>
      <c r="AW509" s="200"/>
      <c r="AX509" s="200"/>
      <c r="AY509" s="105"/>
      <c r="AZ509" s="200"/>
      <c r="BA509" s="200"/>
      <c r="BB509" s="200"/>
      <c r="BC509" s="200"/>
      <c r="BD509" s="105"/>
      <c r="BE509" s="105"/>
      <c r="BF509" s="105"/>
      <c r="BG509" s="105"/>
      <c r="BH509" s="363"/>
    </row>
    <row r="510" spans="1:60" s="262" customFormat="1" hidden="1" outlineLevel="1" x14ac:dyDescent="0.35">
      <c r="A510" s="99" t="s">
        <v>578</v>
      </c>
      <c r="B510" s="683"/>
      <c r="C510" s="562"/>
      <c r="D510" s="562"/>
      <c r="E510" s="562"/>
      <c r="F510" s="562"/>
      <c r="G510" s="188"/>
      <c r="H510" s="188"/>
      <c r="I510" s="188"/>
      <c r="J510" s="188"/>
      <c r="K510" s="562"/>
      <c r="L510" s="188"/>
      <c r="M510" s="188"/>
      <c r="N510" s="188"/>
      <c r="O510" s="188"/>
      <c r="P510" s="562"/>
      <c r="Q510" s="363">
        <v>-0.02</v>
      </c>
      <c r="R510" s="363">
        <v>0.01</v>
      </c>
      <c r="S510" s="363">
        <v>-0.02</v>
      </c>
      <c r="T510" s="363">
        <v>-0.06</v>
      </c>
      <c r="U510" s="562"/>
      <c r="V510" s="363">
        <v>0.02</v>
      </c>
      <c r="W510" s="363">
        <v>-0.02</v>
      </c>
      <c r="X510" s="363">
        <v>0.02</v>
      </c>
      <c r="Y510" s="363">
        <v>0.01</v>
      </c>
      <c r="Z510" s="562"/>
      <c r="AA510" s="363">
        <v>-0.03</v>
      </c>
      <c r="AB510" s="363">
        <v>0.06</v>
      </c>
      <c r="AC510" s="363">
        <v>0</v>
      </c>
      <c r="AD510" s="363">
        <v>0.03</v>
      </c>
      <c r="AE510" s="562"/>
      <c r="AF510" s="363">
        <v>0.05</v>
      </c>
      <c r="AG510" s="363">
        <v>0.04</v>
      </c>
      <c r="AH510" s="363">
        <v>0.05</v>
      </c>
      <c r="AI510" s="363">
        <v>0.05</v>
      </c>
      <c r="AJ510" s="531">
        <v>0.05</v>
      </c>
      <c r="AK510" s="363">
        <v>4.1000000000000002E-2</v>
      </c>
      <c r="AL510" s="363">
        <v>2.5999999999999999E-2</v>
      </c>
      <c r="AM510" s="363">
        <v>-8.0000000000000002E-3</v>
      </c>
      <c r="AN510" s="363">
        <v>5.8000000000000003E-2</v>
      </c>
      <c r="AO510" s="531">
        <v>0.03</v>
      </c>
      <c r="AP510" s="363">
        <v>7.0000000000000007E-2</v>
      </c>
      <c r="AQ510" s="363">
        <v>-0.13</v>
      </c>
      <c r="AR510" s="363">
        <v>0.12</v>
      </c>
      <c r="AS510" s="363">
        <v>0.21</v>
      </c>
      <c r="AT510" s="531">
        <v>7.0000000000000007E-2</v>
      </c>
      <c r="AU510" s="787">
        <v>0.184</v>
      </c>
      <c r="AV510" s="188"/>
      <c r="AW510" s="188"/>
      <c r="AX510" s="188"/>
      <c r="AY510" s="562"/>
      <c r="AZ510" s="188"/>
      <c r="BA510" s="188"/>
      <c r="BB510" s="188"/>
      <c r="BC510" s="188"/>
      <c r="BD510" s="562"/>
      <c r="BE510" s="562"/>
      <c r="BF510" s="562"/>
      <c r="BG510" s="562"/>
      <c r="BH510" s="363"/>
    </row>
    <row r="511" spans="1:60" s="262" customFormat="1" hidden="1" outlineLevel="1" x14ac:dyDescent="0.35">
      <c r="A511" s="539" t="s">
        <v>583</v>
      </c>
      <c r="B511" s="312"/>
      <c r="C511" s="105"/>
      <c r="D511" s="105"/>
      <c r="E511" s="105"/>
      <c r="F511" s="105"/>
      <c r="G511" s="200"/>
      <c r="H511" s="200"/>
      <c r="I511" s="200"/>
      <c r="J511" s="200"/>
      <c r="K511" s="105"/>
      <c r="L511" s="200"/>
      <c r="M511" s="200"/>
      <c r="N511" s="200"/>
      <c r="O511" s="200"/>
      <c r="P511" s="105"/>
      <c r="Q511" s="200">
        <v>7.0000000000000007E-2</v>
      </c>
      <c r="R511" s="200">
        <v>-0.02</v>
      </c>
      <c r="S511" s="200">
        <v>-0.02</v>
      </c>
      <c r="T511" s="200">
        <v>-0.03</v>
      </c>
      <c r="U511" s="105"/>
      <c r="V511" s="200">
        <v>-0.04</v>
      </c>
      <c r="W511" s="200">
        <v>-7.0000000000000007E-2</v>
      </c>
      <c r="X511" s="200">
        <v>-0.02</v>
      </c>
      <c r="Y511" s="200">
        <v>0.06</v>
      </c>
      <c r="Z511" s="105"/>
      <c r="AA511" s="200">
        <v>0.13</v>
      </c>
      <c r="AB511" s="200">
        <v>0.17</v>
      </c>
      <c r="AC511" s="200">
        <v>0.23</v>
      </c>
      <c r="AD511" s="200">
        <v>0.18</v>
      </c>
      <c r="AE511" s="105"/>
      <c r="AF511" s="200">
        <v>0.11</v>
      </c>
      <c r="AG511" s="200">
        <v>0.12</v>
      </c>
      <c r="AH511" s="200">
        <v>0.1</v>
      </c>
      <c r="AI511" s="200">
        <v>0.01</v>
      </c>
      <c r="AJ511" s="105">
        <v>0.08</v>
      </c>
      <c r="AK511" s="200">
        <v>-4.2999999999999997E-2</v>
      </c>
      <c r="AL511" s="200">
        <v>-8.0000000000000002E-3</v>
      </c>
      <c r="AM511" s="200">
        <v>-9.4E-2</v>
      </c>
      <c r="AN511" s="200">
        <v>8.0000000000000002E-3</v>
      </c>
      <c r="AO511" s="105">
        <v>-0.04</v>
      </c>
      <c r="AP511" s="200">
        <v>-0.11</v>
      </c>
      <c r="AQ511" s="200">
        <v>0.03</v>
      </c>
      <c r="AR511" s="200">
        <v>0.08</v>
      </c>
      <c r="AS511" s="200">
        <v>0.14000000000000001</v>
      </c>
      <c r="AT511" s="105">
        <v>0.03</v>
      </c>
      <c r="AU511" s="761">
        <v>0.316</v>
      </c>
      <c r="AV511" s="200"/>
      <c r="AW511" s="200"/>
      <c r="AX511" s="200"/>
      <c r="AY511" s="105"/>
      <c r="AZ511" s="200"/>
      <c r="BA511" s="200"/>
      <c r="BB511" s="200"/>
      <c r="BC511" s="200"/>
      <c r="BD511" s="105"/>
      <c r="BE511" s="105"/>
      <c r="BF511" s="105"/>
      <c r="BG511" s="105"/>
      <c r="BH511" s="363"/>
    </row>
    <row r="512" spans="1:60" s="262" customFormat="1" hidden="1" outlineLevel="1" x14ac:dyDescent="0.35">
      <c r="A512" s="539" t="s">
        <v>575</v>
      </c>
      <c r="B512" s="312"/>
      <c r="C512" s="105"/>
      <c r="D512" s="105"/>
      <c r="E512" s="105"/>
      <c r="F512" s="105"/>
      <c r="G512" s="200"/>
      <c r="H512" s="200"/>
      <c r="I512" s="200"/>
      <c r="J512" s="200"/>
      <c r="K512" s="105"/>
      <c r="L512" s="200"/>
      <c r="M512" s="200"/>
      <c r="N512" s="200"/>
      <c r="O512" s="200"/>
      <c r="P512" s="105"/>
      <c r="Q512" s="200">
        <v>0.01</v>
      </c>
      <c r="R512" s="200">
        <v>0.02</v>
      </c>
      <c r="S512" s="200">
        <v>0.01</v>
      </c>
      <c r="T512" s="200">
        <v>-0.03</v>
      </c>
      <c r="U512" s="105"/>
      <c r="V512" s="200">
        <v>-0.08</v>
      </c>
      <c r="W512" s="200">
        <v>-0.01</v>
      </c>
      <c r="X512" s="200">
        <v>0.01</v>
      </c>
      <c r="Y512" s="200">
        <v>0.03</v>
      </c>
      <c r="Z512" s="105"/>
      <c r="AA512" s="200">
        <v>0.13</v>
      </c>
      <c r="AB512" s="200">
        <v>0.08</v>
      </c>
      <c r="AC512" s="200">
        <v>0.05</v>
      </c>
      <c r="AD512" s="200">
        <v>7.0000000000000007E-2</v>
      </c>
      <c r="AE512" s="105"/>
      <c r="AF512" s="200">
        <v>0</v>
      </c>
      <c r="AG512" s="200">
        <v>-0.02</v>
      </c>
      <c r="AH512" s="200">
        <v>-7.0000000000000007E-2</v>
      </c>
      <c r="AI512" s="200">
        <v>0</v>
      </c>
      <c r="AJ512" s="105">
        <v>-0.02</v>
      </c>
      <c r="AK512" s="200">
        <v>-7.0000000000000007E-2</v>
      </c>
      <c r="AL512" s="200">
        <v>2E-3</v>
      </c>
      <c r="AM512" s="200">
        <v>2.5000000000000001E-2</v>
      </c>
      <c r="AN512" s="200">
        <v>-6.9000000000000006E-2</v>
      </c>
      <c r="AO512" s="105">
        <v>-0.03</v>
      </c>
      <c r="AP512" s="200">
        <v>0.02</v>
      </c>
      <c r="AQ512" s="200">
        <v>-0.12</v>
      </c>
      <c r="AR512" s="200">
        <v>-0.13</v>
      </c>
      <c r="AS512" s="200">
        <v>-0.04</v>
      </c>
      <c r="AT512" s="105">
        <v>-7.0000000000000007E-2</v>
      </c>
      <c r="AU512" s="761">
        <v>-1.2E-2</v>
      </c>
      <c r="AV512" s="200"/>
      <c r="AW512" s="200"/>
      <c r="AX512" s="200"/>
      <c r="AY512" s="105"/>
      <c r="AZ512" s="200"/>
      <c r="BA512" s="200"/>
      <c r="BB512" s="200"/>
      <c r="BC512" s="200"/>
      <c r="BD512" s="105"/>
      <c r="BE512" s="105"/>
      <c r="BF512" s="105"/>
      <c r="BG512" s="105"/>
      <c r="BH512" s="363"/>
    </row>
    <row r="513" spans="1:60" s="262" customFormat="1" hidden="1" outlineLevel="1" x14ac:dyDescent="0.35">
      <c r="A513" s="539" t="s">
        <v>584</v>
      </c>
      <c r="B513" s="312"/>
      <c r="C513" s="105"/>
      <c r="D513" s="105"/>
      <c r="E513" s="105"/>
      <c r="F513" s="105"/>
      <c r="G513" s="200"/>
      <c r="H513" s="200"/>
      <c r="I513" s="200"/>
      <c r="J513" s="200"/>
      <c r="K513" s="105"/>
      <c r="L513" s="200"/>
      <c r="M513" s="200"/>
      <c r="N513" s="200"/>
      <c r="O513" s="200"/>
      <c r="P513" s="105"/>
      <c r="Q513" s="200">
        <v>0</v>
      </c>
      <c r="R513" s="200">
        <v>-0.01</v>
      </c>
      <c r="S513" s="200">
        <v>0</v>
      </c>
      <c r="T513" s="200">
        <v>5.0000000000000001E-3</v>
      </c>
      <c r="U513" s="105"/>
      <c r="V513" s="200">
        <v>5.0000000000000001E-3</v>
      </c>
      <c r="W513" s="200">
        <v>0.03</v>
      </c>
      <c r="X513" s="200">
        <v>0.01</v>
      </c>
      <c r="Y513" s="200">
        <v>-0.01</v>
      </c>
      <c r="Z513" s="105"/>
      <c r="AA513" s="200">
        <v>0.05</v>
      </c>
      <c r="AB513" s="200">
        <v>-0.02</v>
      </c>
      <c r="AC513" s="200">
        <v>0.03</v>
      </c>
      <c r="AD513" s="200">
        <v>0.05</v>
      </c>
      <c r="AE513" s="105"/>
      <c r="AF513" s="200">
        <v>-0.01</v>
      </c>
      <c r="AG513" s="200">
        <v>0.06</v>
      </c>
      <c r="AH513" s="200">
        <v>-0.02</v>
      </c>
      <c r="AI513" s="200">
        <v>0</v>
      </c>
      <c r="AJ513" s="105"/>
      <c r="AK513" s="200"/>
      <c r="AL513" s="200"/>
      <c r="AM513" s="200"/>
      <c r="AN513" s="200"/>
      <c r="AO513" s="105"/>
      <c r="AP513" s="200"/>
      <c r="AQ513" s="200"/>
      <c r="AR513" s="200"/>
      <c r="AS513" s="200"/>
      <c r="AT513" s="105"/>
      <c r="AU513" s="761"/>
      <c r="AV513" s="200"/>
      <c r="AW513" s="200"/>
      <c r="AX513" s="200"/>
      <c r="AY513" s="105"/>
      <c r="AZ513" s="200"/>
      <c r="BA513" s="200"/>
      <c r="BB513" s="200"/>
      <c r="BC513" s="200"/>
      <c r="BD513" s="105"/>
      <c r="BE513" s="105"/>
      <c r="BF513" s="105"/>
      <c r="BG513" s="105"/>
      <c r="BH513" s="363"/>
    </row>
    <row r="514" spans="1:60" s="262" customFormat="1" hidden="1" outlineLevel="1" x14ac:dyDescent="0.35">
      <c r="A514" s="539"/>
      <c r="B514" s="683"/>
      <c r="C514" s="562"/>
      <c r="D514" s="562"/>
      <c r="E514" s="562"/>
      <c r="F514" s="562"/>
      <c r="G514" s="188"/>
      <c r="H514" s="188"/>
      <c r="I514" s="188"/>
      <c r="J514" s="188"/>
      <c r="K514" s="562"/>
      <c r="L514" s="188"/>
      <c r="M514" s="188"/>
      <c r="N514" s="188"/>
      <c r="O514" s="188"/>
      <c r="P514" s="562"/>
      <c r="Q514" s="188"/>
      <c r="R514" s="188"/>
      <c r="S514" s="188"/>
      <c r="T514" s="188"/>
      <c r="U514" s="562"/>
      <c r="V514" s="188"/>
      <c r="W514" s="188"/>
      <c r="X514" s="188"/>
      <c r="Y514" s="188"/>
      <c r="Z514" s="562"/>
      <c r="AA514" s="188"/>
      <c r="AB514" s="188"/>
      <c r="AC514" s="188"/>
      <c r="AD514" s="188"/>
      <c r="AE514" s="562"/>
      <c r="AF514" s="188"/>
      <c r="AG514" s="188"/>
      <c r="AH514" s="188"/>
      <c r="AI514" s="188"/>
      <c r="AJ514" s="562"/>
      <c r="AK514" s="188"/>
      <c r="AL514" s="188"/>
      <c r="AM514" s="188"/>
      <c r="AN514" s="188"/>
      <c r="AO514" s="562"/>
      <c r="AP514" s="188"/>
      <c r="AQ514" s="188"/>
      <c r="AR514" s="188"/>
      <c r="AS514" s="188"/>
      <c r="AT514" s="562"/>
      <c r="AU514" s="789"/>
      <c r="AV514" s="188"/>
      <c r="AW514" s="188"/>
      <c r="AX514" s="188"/>
      <c r="AY514" s="562"/>
      <c r="AZ514" s="188"/>
      <c r="BA514" s="188"/>
      <c r="BB514" s="188"/>
      <c r="BC514" s="188"/>
      <c r="BD514" s="562"/>
      <c r="BE514" s="562"/>
      <c r="BF514" s="562"/>
      <c r="BG514" s="562"/>
      <c r="BH514" s="363"/>
    </row>
    <row r="515" spans="1:60" s="262" customFormat="1" hidden="1" outlineLevel="1" x14ac:dyDescent="0.35">
      <c r="A515" s="99" t="s">
        <v>579</v>
      </c>
      <c r="B515" s="683"/>
      <c r="C515" s="562"/>
      <c r="D515" s="562"/>
      <c r="E515" s="562"/>
      <c r="F515" s="562"/>
      <c r="G515" s="188"/>
      <c r="H515" s="188"/>
      <c r="I515" s="188"/>
      <c r="J515" s="188"/>
      <c r="K515" s="562"/>
      <c r="L515" s="188"/>
      <c r="M515" s="188"/>
      <c r="N515" s="188"/>
      <c r="O515" s="188"/>
      <c r="P515" s="562"/>
      <c r="Q515" s="363">
        <v>-0.18</v>
      </c>
      <c r="R515" s="363">
        <v>-0.2</v>
      </c>
      <c r="S515" s="363">
        <v>-0.15</v>
      </c>
      <c r="T515" s="363">
        <v>-0.13</v>
      </c>
      <c r="U515" s="562"/>
      <c r="V515" s="363">
        <v>-0.01</v>
      </c>
      <c r="W515" s="363">
        <v>0.02</v>
      </c>
      <c r="X515" s="363">
        <v>0</v>
      </c>
      <c r="Y515" s="363">
        <v>-0.01</v>
      </c>
      <c r="Z515" s="562"/>
      <c r="AA515" s="363">
        <v>-0.04</v>
      </c>
      <c r="AB515" s="363">
        <v>-0.01</v>
      </c>
      <c r="AC515" s="363">
        <v>0.06</v>
      </c>
      <c r="AD515" s="363">
        <v>0.11</v>
      </c>
      <c r="AE515" s="562"/>
      <c r="AF515" s="363">
        <v>0.16</v>
      </c>
      <c r="AG515" s="363">
        <v>0.05</v>
      </c>
      <c r="AH515" s="363">
        <v>-0.02</v>
      </c>
      <c r="AI515" s="363">
        <v>-0.04</v>
      </c>
      <c r="AJ515" s="562"/>
      <c r="AK515" s="363">
        <v>-0.08</v>
      </c>
      <c r="AL515" s="363">
        <v>-0.05</v>
      </c>
      <c r="AM515" s="363">
        <v>-0.05</v>
      </c>
      <c r="AN515" s="363">
        <v>-0.03</v>
      </c>
      <c r="AO515" s="562"/>
      <c r="AP515" s="188"/>
      <c r="AQ515" s="188"/>
      <c r="AR515" s="188"/>
      <c r="AS515" s="188"/>
      <c r="AT515" s="562"/>
      <c r="AU515" s="789"/>
      <c r="AV515" s="188"/>
      <c r="AW515" s="188"/>
      <c r="AX515" s="188"/>
      <c r="AY515" s="562"/>
      <c r="AZ515" s="188"/>
      <c r="BA515" s="188"/>
      <c r="BB515" s="188"/>
      <c r="BC515" s="188"/>
      <c r="BD515" s="562"/>
      <c r="BE515" s="562"/>
      <c r="BF515" s="562"/>
      <c r="BG515" s="562"/>
      <c r="BH515" s="363"/>
    </row>
    <row r="516" spans="1:60" s="262" customFormat="1" hidden="1" outlineLevel="1" x14ac:dyDescent="0.35">
      <c r="A516" s="99" t="s">
        <v>580</v>
      </c>
      <c r="B516" s="683"/>
      <c r="C516" s="562"/>
      <c r="D516" s="562"/>
      <c r="E516" s="562"/>
      <c r="F516" s="562"/>
      <c r="G516" s="188"/>
      <c r="H516" s="188"/>
      <c r="I516" s="188"/>
      <c r="J516" s="188"/>
      <c r="K516" s="562"/>
      <c r="L516" s="188"/>
      <c r="M516" s="188"/>
      <c r="N516" s="188"/>
      <c r="O516" s="188"/>
      <c r="P516" s="562"/>
      <c r="Q516" s="188"/>
      <c r="R516" s="188"/>
      <c r="S516" s="188"/>
      <c r="T516" s="188"/>
      <c r="U516" s="562"/>
      <c r="V516" s="188"/>
      <c r="W516" s="188"/>
      <c r="X516" s="188"/>
      <c r="Y516" s="363">
        <v>-7.0000000000000007E-2</v>
      </c>
      <c r="Z516" s="562"/>
      <c r="AA516" s="363">
        <v>-0.05</v>
      </c>
      <c r="AB516" s="363">
        <v>-0.04</v>
      </c>
      <c r="AC516" s="363">
        <v>0</v>
      </c>
      <c r="AD516" s="363">
        <v>0.04</v>
      </c>
      <c r="AE516" s="562"/>
      <c r="AF516" s="363">
        <v>0.09</v>
      </c>
      <c r="AG516" s="363">
        <v>0.06</v>
      </c>
      <c r="AH516" s="363">
        <v>-0.02</v>
      </c>
      <c r="AI516" s="363">
        <v>-0.05</v>
      </c>
      <c r="AJ516" s="562"/>
      <c r="AK516" s="363">
        <v>-0.06</v>
      </c>
      <c r="AL516" s="363">
        <v>-0.06</v>
      </c>
      <c r="AM516" s="363">
        <v>-0.03</v>
      </c>
      <c r="AN516" s="363">
        <v>-0.01</v>
      </c>
      <c r="AO516" s="562"/>
      <c r="AP516" s="188"/>
      <c r="AQ516" s="188"/>
      <c r="AR516" s="188"/>
      <c r="AS516" s="188"/>
      <c r="AT516" s="562"/>
      <c r="AU516" s="789"/>
      <c r="AV516" s="188"/>
      <c r="AW516" s="188"/>
      <c r="AX516" s="188"/>
      <c r="AY516" s="562"/>
      <c r="AZ516" s="188"/>
      <c r="BA516" s="188"/>
      <c r="BB516" s="188"/>
      <c r="BC516" s="188"/>
      <c r="BD516" s="562"/>
      <c r="BE516" s="562"/>
      <c r="BF516" s="562"/>
      <c r="BG516" s="562"/>
      <c r="BH516" s="363"/>
    </row>
    <row r="517" spans="1:60" s="262" customFormat="1" hidden="1" outlineLevel="1" x14ac:dyDescent="0.35">
      <c r="A517" s="99" t="s">
        <v>581</v>
      </c>
      <c r="B517" s="683"/>
      <c r="C517" s="562"/>
      <c r="D517" s="562"/>
      <c r="E517" s="562"/>
      <c r="F517" s="562"/>
      <c r="G517" s="188"/>
      <c r="H517" s="188"/>
      <c r="I517" s="188"/>
      <c r="J517" s="188"/>
      <c r="K517" s="562"/>
      <c r="L517" s="188"/>
      <c r="M517" s="188"/>
      <c r="N517" s="188"/>
      <c r="O517" s="188"/>
      <c r="P517" s="562"/>
      <c r="Q517" s="363">
        <v>-0.14000000000000001</v>
      </c>
      <c r="R517" s="363">
        <v>-0.17</v>
      </c>
      <c r="S517" s="363">
        <v>-0.14000000000000001</v>
      </c>
      <c r="T517" s="363">
        <v>-0.05</v>
      </c>
      <c r="U517" s="562"/>
      <c r="V517" s="363">
        <v>0.04</v>
      </c>
      <c r="W517" s="363">
        <v>0.14000000000000001</v>
      </c>
      <c r="X517" s="363">
        <v>0.2</v>
      </c>
      <c r="Y517" s="363">
        <v>0.09</v>
      </c>
      <c r="Z517" s="562"/>
      <c r="AA517" s="363">
        <v>0.02</v>
      </c>
      <c r="AB517" s="363">
        <v>-0.04</v>
      </c>
      <c r="AC517" s="363">
        <v>-0.08</v>
      </c>
      <c r="AD517" s="363">
        <v>-0.01</v>
      </c>
      <c r="AE517" s="562"/>
      <c r="AF517" s="363">
        <v>0.05</v>
      </c>
      <c r="AG517" s="363">
        <v>0.02</v>
      </c>
      <c r="AH517" s="363">
        <v>-0.01</v>
      </c>
      <c r="AI517" s="363">
        <v>0</v>
      </c>
      <c r="AJ517" s="562"/>
      <c r="AK517" s="363">
        <v>-0.03</v>
      </c>
      <c r="AL517" s="363">
        <v>0</v>
      </c>
      <c r="AM517" s="363">
        <v>0.04</v>
      </c>
      <c r="AN517" s="363">
        <v>0.03</v>
      </c>
      <c r="AO517" s="562"/>
      <c r="AP517" s="188"/>
      <c r="AQ517" s="188"/>
      <c r="AR517" s="188"/>
      <c r="AS517" s="188"/>
      <c r="AT517" s="562"/>
      <c r="AU517" s="789"/>
      <c r="AV517" s="188"/>
      <c r="AW517" s="188"/>
      <c r="AX517" s="188"/>
      <c r="AY517" s="562"/>
      <c r="AZ517" s="188"/>
      <c r="BA517" s="188"/>
      <c r="BB517" s="188"/>
      <c r="BC517" s="188"/>
      <c r="BD517" s="562"/>
      <c r="BE517" s="562"/>
      <c r="BF517" s="562"/>
      <c r="BG517" s="562"/>
      <c r="BH517" s="363"/>
    </row>
    <row r="518" spans="1:60" s="262" customFormat="1" hidden="1" outlineLevel="1" x14ac:dyDescent="0.35">
      <c r="A518" s="99" t="s">
        <v>582</v>
      </c>
      <c r="B518" s="683"/>
      <c r="C518" s="562"/>
      <c r="D518" s="562"/>
      <c r="E518" s="562"/>
      <c r="F518" s="562"/>
      <c r="G518" s="188"/>
      <c r="H518" s="188"/>
      <c r="I518" s="188"/>
      <c r="J518" s="188"/>
      <c r="K518" s="562"/>
      <c r="L518" s="188"/>
      <c r="M518" s="188"/>
      <c r="N518" s="188"/>
      <c r="O518" s="188"/>
      <c r="P518" s="562"/>
      <c r="Q518" s="363">
        <v>-0.19</v>
      </c>
      <c r="R518" s="363">
        <v>-0.28000000000000003</v>
      </c>
      <c r="S518" s="363">
        <v>-0.37</v>
      </c>
      <c r="T518" s="363">
        <v>-0.34</v>
      </c>
      <c r="U518" s="562"/>
      <c r="V518" s="363">
        <v>-0.25</v>
      </c>
      <c r="W518" s="363">
        <v>-0.11</v>
      </c>
      <c r="X518" s="363">
        <v>0.14000000000000001</v>
      </c>
      <c r="Y518" s="363">
        <v>0.17</v>
      </c>
      <c r="Z518" s="562"/>
      <c r="AA518" s="363">
        <v>0.25</v>
      </c>
      <c r="AB518" s="363">
        <v>7.0000000000000007E-2</v>
      </c>
      <c r="AC518" s="363">
        <v>0.02</v>
      </c>
      <c r="AD518" s="363">
        <v>0.01</v>
      </c>
      <c r="AE518" s="562"/>
      <c r="AF518" s="363">
        <v>-0.03</v>
      </c>
      <c r="AG518" s="363">
        <v>-0.12</v>
      </c>
      <c r="AH518" s="363">
        <v>-0.2</v>
      </c>
      <c r="AI518" s="363">
        <v>-0.15</v>
      </c>
      <c r="AJ518" s="562"/>
      <c r="AK518" s="363">
        <v>-0.15</v>
      </c>
      <c r="AL518" s="363">
        <v>-0.06</v>
      </c>
      <c r="AM518" s="363">
        <v>-0.02</v>
      </c>
      <c r="AN518" s="363">
        <v>-0.06</v>
      </c>
      <c r="AO518" s="562"/>
      <c r="AP518" s="188"/>
      <c r="AQ518" s="188"/>
      <c r="AR518" s="188"/>
      <c r="AS518" s="188"/>
      <c r="AT518" s="562"/>
      <c r="AU518" s="789"/>
      <c r="AV518" s="188"/>
      <c r="AW518" s="188"/>
      <c r="AX518" s="188"/>
      <c r="AY518" s="562"/>
      <c r="AZ518" s="188"/>
      <c r="BA518" s="188"/>
      <c r="BB518" s="188"/>
      <c r="BC518" s="188"/>
      <c r="BD518" s="562"/>
      <c r="BE518" s="562"/>
      <c r="BF518" s="562"/>
      <c r="BG518" s="562"/>
      <c r="BH518" s="363"/>
    </row>
    <row r="519" spans="1:60" s="262" customFormat="1" hidden="1" outlineLevel="1" x14ac:dyDescent="0.35">
      <c r="A519" s="539"/>
      <c r="B519" s="683"/>
      <c r="C519" s="562"/>
      <c r="D519" s="562"/>
      <c r="E519" s="562"/>
      <c r="F519" s="562"/>
      <c r="G519" s="188"/>
      <c r="H519" s="188"/>
      <c r="I519" s="188"/>
      <c r="J519" s="188"/>
      <c r="K519" s="562"/>
      <c r="L519" s="188"/>
      <c r="M519" s="188"/>
      <c r="N519" s="188"/>
      <c r="O519" s="188"/>
      <c r="P519" s="562"/>
      <c r="Q519" s="188"/>
      <c r="R519" s="188"/>
      <c r="S519" s="188"/>
      <c r="T519" s="188"/>
      <c r="U519" s="562"/>
      <c r="V519" s="188"/>
      <c r="W519" s="188"/>
      <c r="X519" s="188"/>
      <c r="Y519" s="188"/>
      <c r="Z519" s="562"/>
      <c r="AA519" s="188"/>
      <c r="AB519" s="188"/>
      <c r="AC519" s="188"/>
      <c r="AD519" s="188"/>
      <c r="AE519" s="562"/>
      <c r="AF519" s="188"/>
      <c r="AG519" s="188"/>
      <c r="AH519" s="188"/>
      <c r="AI519" s="188"/>
      <c r="AJ519" s="562"/>
      <c r="AK519" s="188"/>
      <c r="AL519" s="188"/>
      <c r="AM519" s="188"/>
      <c r="AN519" s="188"/>
      <c r="AO519" s="562"/>
      <c r="AP519" s="188"/>
      <c r="AQ519" s="188"/>
      <c r="AR519" s="188"/>
      <c r="AS519" s="188"/>
      <c r="AT519" s="562"/>
      <c r="AU519" s="789"/>
      <c r="AV519" s="188"/>
      <c r="AW519" s="188"/>
      <c r="AX519" s="188"/>
      <c r="AY519" s="562"/>
      <c r="AZ519" s="188"/>
      <c r="BA519" s="188"/>
      <c r="BB519" s="188"/>
      <c r="BC519" s="188"/>
      <c r="BD519" s="562"/>
      <c r="BE519" s="562"/>
      <c r="BF519" s="562"/>
      <c r="BG519" s="562"/>
      <c r="BH519" s="363"/>
    </row>
    <row r="520" spans="1:60" s="345" customFormat="1" hidden="1" outlineLevel="1" x14ac:dyDescent="0.35">
      <c r="A520" s="161" t="s">
        <v>556</v>
      </c>
      <c r="B520" s="317"/>
      <c r="C520" s="46">
        <v>464</v>
      </c>
      <c r="D520" s="46">
        <v>569</v>
      </c>
      <c r="E520" s="46">
        <v>688</v>
      </c>
      <c r="F520" s="46">
        <v>816</v>
      </c>
      <c r="G520" s="203"/>
      <c r="H520" s="203"/>
      <c r="I520" s="203"/>
      <c r="J520" s="203"/>
      <c r="K520" s="46">
        <v>941</v>
      </c>
      <c r="L520" s="203"/>
      <c r="M520" s="203"/>
      <c r="N520" s="203"/>
      <c r="O520" s="203"/>
      <c r="P520" s="46">
        <v>909</v>
      </c>
      <c r="Q520" s="203"/>
      <c r="R520" s="203"/>
      <c r="S520" s="203"/>
      <c r="T520" s="203"/>
      <c r="U520" s="46">
        <v>936</v>
      </c>
      <c r="V520" s="203"/>
      <c r="W520" s="203"/>
      <c r="X520" s="203"/>
      <c r="Y520" s="203"/>
      <c r="Z520" s="46">
        <v>834</v>
      </c>
      <c r="AA520" s="203"/>
      <c r="AB520" s="203"/>
      <c r="AC520" s="203"/>
      <c r="AD520" s="203"/>
      <c r="AE520" s="46">
        <v>852</v>
      </c>
      <c r="AF520" s="203"/>
      <c r="AG520" s="203"/>
      <c r="AH520" s="203"/>
      <c r="AI520" s="203"/>
      <c r="AJ520" s="46">
        <v>994</v>
      </c>
      <c r="AK520" s="203"/>
      <c r="AL520" s="203"/>
      <c r="AM520" s="203"/>
      <c r="AN520" s="203"/>
      <c r="AO520" s="46">
        <v>1164</v>
      </c>
      <c r="AP520" s="203"/>
      <c r="AQ520" s="203"/>
      <c r="AR520" s="203"/>
      <c r="AS520" s="203"/>
      <c r="AT520" s="108"/>
      <c r="AU520" s="790"/>
      <c r="AV520" s="203"/>
      <c r="AW520" s="203"/>
      <c r="AX520" s="203"/>
      <c r="AY520" s="108"/>
      <c r="AZ520" s="203"/>
      <c r="BA520" s="203"/>
      <c r="BB520" s="203"/>
      <c r="BC520" s="203"/>
      <c r="BD520" s="108"/>
      <c r="BE520" s="108"/>
      <c r="BF520" s="108"/>
      <c r="BG520" s="108"/>
      <c r="BH520" s="351"/>
    </row>
    <row r="521" spans="1:60" s="345" customFormat="1" hidden="1" outlineLevel="1" x14ac:dyDescent="0.35">
      <c r="A521" s="161" t="s">
        <v>559</v>
      </c>
      <c r="B521" s="317"/>
      <c r="C521" s="46">
        <v>62</v>
      </c>
      <c r="D521" s="46">
        <v>81</v>
      </c>
      <c r="E521" s="46">
        <v>102</v>
      </c>
      <c r="F521" s="46">
        <v>110</v>
      </c>
      <c r="G521" s="203"/>
      <c r="H521" s="203"/>
      <c r="I521" s="203"/>
      <c r="J521" s="203"/>
      <c r="K521" s="46">
        <v>150</v>
      </c>
      <c r="L521" s="203"/>
      <c r="M521" s="203"/>
      <c r="N521" s="203"/>
      <c r="O521" s="203"/>
      <c r="P521" s="46">
        <v>112</v>
      </c>
      <c r="Q521" s="203"/>
      <c r="R521" s="203"/>
      <c r="S521" s="203"/>
      <c r="T521" s="203"/>
      <c r="U521" s="46">
        <v>104</v>
      </c>
      <c r="V521" s="203"/>
      <c r="W521" s="203"/>
      <c r="X521" s="203"/>
      <c r="Y521" s="203"/>
      <c r="Z521" s="46">
        <v>64</v>
      </c>
      <c r="AA521" s="203"/>
      <c r="AB521" s="203"/>
      <c r="AC521" s="203"/>
      <c r="AD521" s="203"/>
      <c r="AE521" s="46">
        <v>56</v>
      </c>
      <c r="AF521" s="203"/>
      <c r="AG521" s="203"/>
      <c r="AH521" s="203"/>
      <c r="AI521" s="203"/>
      <c r="AJ521" s="46">
        <v>50</v>
      </c>
      <c r="AK521" s="203"/>
      <c r="AL521" s="203"/>
      <c r="AM521" s="203"/>
      <c r="AN521" s="203"/>
      <c r="AO521" s="46">
        <v>54</v>
      </c>
      <c r="AP521" s="203"/>
      <c r="AQ521" s="203"/>
      <c r="AR521" s="203"/>
      <c r="AS521" s="203"/>
      <c r="AT521" s="108"/>
      <c r="AU521" s="790"/>
      <c r="AV521" s="203"/>
      <c r="AW521" s="203"/>
      <c r="AX521" s="203"/>
      <c r="AY521" s="108"/>
      <c r="AZ521" s="203"/>
      <c r="BA521" s="203"/>
      <c r="BB521" s="203"/>
      <c r="BC521" s="203"/>
      <c r="BD521" s="108"/>
      <c r="BE521" s="108"/>
      <c r="BF521" s="108"/>
      <c r="BG521" s="108"/>
      <c r="BH521" s="351"/>
    </row>
    <row r="522" spans="1:60" s="345" customFormat="1" hidden="1" outlineLevel="1" x14ac:dyDescent="0.35">
      <c r="A522" s="534" t="s">
        <v>1068</v>
      </c>
      <c r="B522" s="425"/>
      <c r="C522" s="630">
        <f>C520+C521</f>
        <v>526</v>
      </c>
      <c r="D522" s="630">
        <f>D520+D521</f>
        <v>650</v>
      </c>
      <c r="E522" s="630">
        <f>E520+E521</f>
        <v>790</v>
      </c>
      <c r="F522" s="630">
        <f>F520+F521</f>
        <v>926</v>
      </c>
      <c r="G522" s="268"/>
      <c r="H522" s="268"/>
      <c r="I522" s="268"/>
      <c r="J522" s="268"/>
      <c r="K522" s="630">
        <f>K520+K521</f>
        <v>1091</v>
      </c>
      <c r="L522" s="268"/>
      <c r="M522" s="268"/>
      <c r="N522" s="268"/>
      <c r="O522" s="268"/>
      <c r="P522" s="630">
        <f>P520+P521</f>
        <v>1021</v>
      </c>
      <c r="Q522" s="268"/>
      <c r="R522" s="268"/>
      <c r="S522" s="268"/>
      <c r="T522" s="268"/>
      <c r="U522" s="630">
        <f>U520+U521</f>
        <v>1040</v>
      </c>
      <c r="V522" s="268"/>
      <c r="W522" s="268"/>
      <c r="X522" s="268"/>
      <c r="Y522" s="268"/>
      <c r="Z522" s="630">
        <f>Z520+Z521</f>
        <v>898</v>
      </c>
      <c r="AA522" s="268"/>
      <c r="AB522" s="268"/>
      <c r="AC522" s="268"/>
      <c r="AD522" s="268"/>
      <c r="AE522" s="630">
        <f>AE520+AE521</f>
        <v>908</v>
      </c>
      <c r="AF522" s="268"/>
      <c r="AG522" s="268"/>
      <c r="AH522" s="268"/>
      <c r="AI522" s="268"/>
      <c r="AJ522" s="630">
        <f>AJ520+AJ521</f>
        <v>1044</v>
      </c>
      <c r="AK522" s="268"/>
      <c r="AL522" s="268"/>
      <c r="AM522" s="268"/>
      <c r="AN522" s="268"/>
      <c r="AO522" s="630">
        <f>AO520+AO521</f>
        <v>1218</v>
      </c>
      <c r="AP522" s="268"/>
      <c r="AQ522" s="268"/>
      <c r="AR522" s="268"/>
      <c r="AS522" s="268"/>
      <c r="AT522" s="630">
        <v>943</v>
      </c>
      <c r="AU522" s="795"/>
      <c r="AV522" s="268"/>
      <c r="AW522" s="268"/>
      <c r="AX522" s="268"/>
      <c r="AY522" s="269"/>
      <c r="AZ522" s="268"/>
      <c r="BA522" s="268"/>
      <c r="BB522" s="268"/>
      <c r="BC522" s="268"/>
      <c r="BD522" s="269"/>
      <c r="BE522" s="269"/>
      <c r="BF522" s="269"/>
      <c r="BG522" s="269"/>
      <c r="BH522" s="351"/>
    </row>
    <row r="523" spans="1:60" s="345" customFormat="1" hidden="1" outlineLevel="1" x14ac:dyDescent="0.35">
      <c r="A523" s="350" t="s">
        <v>557</v>
      </c>
      <c r="B523" s="317"/>
      <c r="C523" s="46">
        <v>215</v>
      </c>
      <c r="D523" s="46">
        <v>290</v>
      </c>
      <c r="E523" s="46">
        <v>409</v>
      </c>
      <c r="F523" s="46">
        <v>332</v>
      </c>
      <c r="G523" s="203"/>
      <c r="H523" s="203"/>
      <c r="I523" s="203"/>
      <c r="J523" s="203"/>
      <c r="K523" s="46">
        <v>284</v>
      </c>
      <c r="L523" s="203"/>
      <c r="M523" s="203"/>
      <c r="N523" s="203"/>
      <c r="O523" s="203"/>
      <c r="P523" s="46">
        <v>184</v>
      </c>
      <c r="Q523" s="203"/>
      <c r="R523" s="203"/>
      <c r="S523" s="203"/>
      <c r="T523" s="203"/>
      <c r="U523" s="46">
        <v>172</v>
      </c>
      <c r="V523" s="203"/>
      <c r="W523" s="203"/>
      <c r="X523" s="203"/>
      <c r="Y523" s="203"/>
      <c r="Z523" s="46">
        <v>228</v>
      </c>
      <c r="AA523" s="203"/>
      <c r="AB523" s="203"/>
      <c r="AC523" s="203"/>
      <c r="AD523" s="203"/>
      <c r="AE523" s="46">
        <v>209</v>
      </c>
      <c r="AF523" s="203"/>
      <c r="AG523" s="203"/>
      <c r="AH523" s="203"/>
      <c r="AI523" s="203"/>
      <c r="AJ523" s="46">
        <v>238</v>
      </c>
      <c r="AK523" s="203"/>
      <c r="AL523" s="203"/>
      <c r="AM523" s="203"/>
      <c r="AN523" s="203"/>
      <c r="AO523" s="46">
        <v>241</v>
      </c>
      <c r="AP523" s="203"/>
      <c r="AQ523" s="203"/>
      <c r="AR523" s="203"/>
      <c r="AS523" s="203"/>
      <c r="AT523" s="46">
        <v>235</v>
      </c>
      <c r="AU523" s="790"/>
      <c r="AV523" s="203"/>
      <c r="AW523" s="203"/>
      <c r="AX523" s="203"/>
      <c r="AY523" s="108"/>
      <c r="AZ523" s="203"/>
      <c r="BA523" s="203"/>
      <c r="BB523" s="203"/>
      <c r="BC523" s="203"/>
      <c r="BD523" s="108"/>
      <c r="BE523" s="108"/>
      <c r="BF523" s="108"/>
      <c r="BG523" s="108"/>
      <c r="BH523" s="351"/>
    </row>
    <row r="524" spans="1:60" s="345" customFormat="1" hidden="1" outlineLevel="1" x14ac:dyDescent="0.35">
      <c r="A524" s="350" t="s">
        <v>558</v>
      </c>
      <c r="B524" s="317"/>
      <c r="C524" s="46">
        <v>162</v>
      </c>
      <c r="D524" s="46">
        <v>151</v>
      </c>
      <c r="E524" s="46">
        <v>180</v>
      </c>
      <c r="F524" s="46">
        <v>226</v>
      </c>
      <c r="G524" s="203"/>
      <c r="H524" s="203"/>
      <c r="I524" s="203"/>
      <c r="J524" s="203"/>
      <c r="K524" s="46">
        <v>290</v>
      </c>
      <c r="L524" s="203"/>
      <c r="M524" s="203"/>
      <c r="N524" s="203"/>
      <c r="O524" s="203"/>
      <c r="P524" s="46">
        <v>288</v>
      </c>
      <c r="Q524" s="203"/>
      <c r="R524" s="203"/>
      <c r="S524" s="203"/>
      <c r="T524" s="203"/>
      <c r="U524" s="46">
        <v>249</v>
      </c>
      <c r="V524" s="203"/>
      <c r="W524" s="203"/>
      <c r="X524" s="203"/>
      <c r="Y524" s="203"/>
      <c r="Z524" s="46">
        <v>294</v>
      </c>
      <c r="AA524" s="203"/>
      <c r="AB524" s="203"/>
      <c r="AC524" s="203"/>
      <c r="AD524" s="203"/>
      <c r="AE524" s="46">
        <v>256</v>
      </c>
      <c r="AF524" s="203"/>
      <c r="AG524" s="203"/>
      <c r="AH524" s="203"/>
      <c r="AI524" s="203"/>
      <c r="AJ524" s="46">
        <v>295</v>
      </c>
      <c r="AK524" s="203"/>
      <c r="AL524" s="203"/>
      <c r="AM524" s="203"/>
      <c r="AN524" s="203"/>
      <c r="AO524" s="46">
        <v>240</v>
      </c>
      <c r="AP524" s="203"/>
      <c r="AQ524" s="203"/>
      <c r="AR524" s="203"/>
      <c r="AS524" s="203"/>
      <c r="AT524" s="46">
        <v>323</v>
      </c>
      <c r="AU524" s="790"/>
      <c r="AV524" s="203"/>
      <c r="AW524" s="203"/>
      <c r="AX524" s="203"/>
      <c r="AY524" s="108"/>
      <c r="AZ524" s="203"/>
      <c r="BA524" s="203"/>
      <c r="BB524" s="203"/>
      <c r="BC524" s="203"/>
      <c r="BD524" s="108"/>
      <c r="BE524" s="108"/>
      <c r="BF524" s="108"/>
      <c r="BG524" s="108"/>
      <c r="BH524" s="351"/>
    </row>
    <row r="525" spans="1:60" s="69" customFormat="1" hidden="1" outlineLevel="1" x14ac:dyDescent="0.35">
      <c r="A525" s="89" t="s">
        <v>560</v>
      </c>
      <c r="B525" s="319"/>
      <c r="C525" s="68">
        <f>SUM(C520:C524)</f>
        <v>1429</v>
      </c>
      <c r="D525" s="68">
        <f>SUM(D520:D524)</f>
        <v>1741</v>
      </c>
      <c r="E525" s="68">
        <f>SUM(E520:E524)</f>
        <v>2169</v>
      </c>
      <c r="F525" s="68">
        <f>SUM(F520:F524)</f>
        <v>2410</v>
      </c>
      <c r="G525" s="109"/>
      <c r="H525" s="109"/>
      <c r="I525" s="109"/>
      <c r="J525" s="109"/>
      <c r="K525" s="68">
        <f>SUM(K520:K524)</f>
        <v>2756</v>
      </c>
      <c r="L525" s="109"/>
      <c r="M525" s="109"/>
      <c r="N525" s="109"/>
      <c r="O525" s="109"/>
      <c r="P525" s="68">
        <f>SUM(P520:P524)</f>
        <v>2514</v>
      </c>
      <c r="Q525" s="109"/>
      <c r="R525" s="109"/>
      <c r="S525" s="109"/>
      <c r="T525" s="109"/>
      <c r="U525" s="68">
        <f>SUM(U520:U524)</f>
        <v>2501</v>
      </c>
      <c r="V525" s="109"/>
      <c r="W525" s="109"/>
      <c r="X525" s="109"/>
      <c r="Y525" s="109"/>
      <c r="Z525" s="68">
        <f>SUM(Z520:Z524)</f>
        <v>2318</v>
      </c>
      <c r="AA525" s="109"/>
      <c r="AB525" s="109"/>
      <c r="AC525" s="109"/>
      <c r="AD525" s="109"/>
      <c r="AE525" s="68">
        <f>SUM(AE520:AE524)</f>
        <v>2281</v>
      </c>
      <c r="AF525" s="109"/>
      <c r="AG525" s="109"/>
      <c r="AH525" s="109"/>
      <c r="AI525" s="109"/>
      <c r="AJ525" s="68">
        <f>SUM(AJ520:AJ524)</f>
        <v>2621</v>
      </c>
      <c r="AK525" s="109"/>
      <c r="AL525" s="109"/>
      <c r="AM525" s="109"/>
      <c r="AN525" s="109"/>
      <c r="AO525" s="68">
        <f>SUM(AO520:AO524)</f>
        <v>2917</v>
      </c>
      <c r="AP525" s="109"/>
      <c r="AQ525" s="109"/>
      <c r="AR525" s="109"/>
      <c r="AS525" s="109"/>
      <c r="AT525" s="68">
        <f>SUM(AT520:AT524)</f>
        <v>1501</v>
      </c>
      <c r="AU525" s="796"/>
      <c r="AV525" s="109"/>
      <c r="AW525" s="109"/>
      <c r="AX525" s="109"/>
      <c r="AY525" s="110"/>
      <c r="AZ525" s="109"/>
      <c r="BA525" s="109"/>
      <c r="BB525" s="109"/>
      <c r="BC525" s="109"/>
      <c r="BD525" s="110"/>
      <c r="BE525" s="110"/>
      <c r="BF525" s="110"/>
      <c r="BG525" s="110"/>
      <c r="BH525" s="79"/>
    </row>
    <row r="526" spans="1:60" s="69" customFormat="1" hidden="1" outlineLevel="1" x14ac:dyDescent="0.35">
      <c r="A526" s="426"/>
      <c r="B526" s="427"/>
      <c r="C526" s="112"/>
      <c r="D526" s="112"/>
      <c r="E526" s="112"/>
      <c r="F526" s="112"/>
      <c r="G526" s="111"/>
      <c r="H526" s="111"/>
      <c r="I526" s="111"/>
      <c r="J526" s="111"/>
      <c r="K526" s="112"/>
      <c r="L526" s="111"/>
      <c r="M526" s="111"/>
      <c r="N526" s="111"/>
      <c r="O526" s="111"/>
      <c r="P526" s="112"/>
      <c r="Q526" s="111"/>
      <c r="R526" s="111"/>
      <c r="S526" s="111"/>
      <c r="T526" s="111"/>
      <c r="U526" s="112"/>
      <c r="V526" s="111"/>
      <c r="W526" s="111"/>
      <c r="X526" s="111"/>
      <c r="Y526" s="111"/>
      <c r="Z526" s="112"/>
      <c r="AA526" s="111"/>
      <c r="AB526" s="111"/>
      <c r="AC526" s="111"/>
      <c r="AD526" s="111"/>
      <c r="AE526" s="112"/>
      <c r="AF526" s="111"/>
      <c r="AG526" s="111"/>
      <c r="AH526" s="111"/>
      <c r="AI526" s="111"/>
      <c r="AJ526" s="112"/>
      <c r="AK526" s="111"/>
      <c r="AL526" s="111"/>
      <c r="AM526" s="111"/>
      <c r="AN526" s="111"/>
      <c r="AO526" s="112"/>
      <c r="AP526" s="111"/>
      <c r="AQ526" s="111"/>
      <c r="AR526" s="111"/>
      <c r="AS526" s="111"/>
      <c r="AT526" s="112"/>
      <c r="AU526" s="792"/>
      <c r="AV526" s="111"/>
      <c r="AW526" s="111"/>
      <c r="AX526" s="111"/>
      <c r="AY526" s="112"/>
      <c r="AZ526" s="111"/>
      <c r="BA526" s="111"/>
      <c r="BB526" s="111"/>
      <c r="BC526" s="111"/>
      <c r="BD526" s="112"/>
      <c r="BE526" s="112"/>
      <c r="BF526" s="112"/>
      <c r="BG526" s="112"/>
      <c r="BH526" s="79"/>
    </row>
    <row r="527" spans="1:60" s="345" customFormat="1" hidden="1" outlineLevel="1" x14ac:dyDescent="0.35">
      <c r="A527" s="161" t="s">
        <v>561</v>
      </c>
      <c r="B527" s="317"/>
      <c r="C527" s="46">
        <v>3809</v>
      </c>
      <c r="D527" s="46">
        <v>3888</v>
      </c>
      <c r="E527" s="46">
        <v>3979</v>
      </c>
      <c r="F527" s="46">
        <v>4277</v>
      </c>
      <c r="G527" s="203"/>
      <c r="H527" s="203"/>
      <c r="I527" s="203"/>
      <c r="J527" s="203"/>
      <c r="K527" s="46">
        <v>4478</v>
      </c>
      <c r="L527" s="203"/>
      <c r="M527" s="203"/>
      <c r="N527" s="203"/>
      <c r="O527" s="203"/>
      <c r="P527" s="46">
        <v>4619</v>
      </c>
      <c r="Q527" s="203"/>
      <c r="R527" s="203"/>
      <c r="S527" s="203"/>
      <c r="T527" s="203"/>
      <c r="U527" s="46">
        <v>4838</v>
      </c>
      <c r="V527" s="203"/>
      <c r="W527" s="203"/>
      <c r="X527" s="203"/>
      <c r="Y527" s="203"/>
      <c r="Z527" s="46">
        <v>4914</v>
      </c>
      <c r="AA527" s="203"/>
      <c r="AB527" s="203"/>
      <c r="AC527" s="203"/>
      <c r="AD527" s="203"/>
      <c r="AE527" s="46">
        <v>4891</v>
      </c>
      <c r="AF527" s="203"/>
      <c r="AG527" s="203"/>
      <c r="AH527" s="203"/>
      <c r="AI527" s="203"/>
      <c r="AJ527" s="46">
        <v>4915</v>
      </c>
      <c r="AK527" s="203"/>
      <c r="AL527" s="203"/>
      <c r="AM527" s="203"/>
      <c r="AN527" s="203"/>
      <c r="AO527" s="46">
        <v>5442</v>
      </c>
      <c r="AP527" s="203"/>
      <c r="AQ527" s="203"/>
      <c r="AR527" s="203"/>
      <c r="AS527" s="203"/>
      <c r="AT527" s="108"/>
      <c r="AU527" s="790"/>
      <c r="AV527" s="203"/>
      <c r="AW527" s="203"/>
      <c r="AX527" s="203"/>
      <c r="AY527" s="108"/>
      <c r="AZ527" s="203"/>
      <c r="BA527" s="203"/>
      <c r="BB527" s="203"/>
      <c r="BC527" s="203"/>
      <c r="BD527" s="108"/>
      <c r="BE527" s="108"/>
      <c r="BF527" s="108"/>
      <c r="BG527" s="108"/>
      <c r="BH527" s="351"/>
    </row>
    <row r="528" spans="1:60" s="345" customFormat="1" hidden="1" outlineLevel="1" x14ac:dyDescent="0.35">
      <c r="A528" s="161" t="s">
        <v>564</v>
      </c>
      <c r="B528" s="317"/>
      <c r="C528" s="46">
        <v>507</v>
      </c>
      <c r="D528" s="46">
        <v>547</v>
      </c>
      <c r="E528" s="46">
        <v>529</v>
      </c>
      <c r="F528" s="46">
        <v>573</v>
      </c>
      <c r="G528" s="203"/>
      <c r="H528" s="203"/>
      <c r="I528" s="203"/>
      <c r="J528" s="203"/>
      <c r="K528" s="46">
        <v>595</v>
      </c>
      <c r="L528" s="203"/>
      <c r="M528" s="203"/>
      <c r="N528" s="203"/>
      <c r="O528" s="203"/>
      <c r="P528" s="46">
        <v>570</v>
      </c>
      <c r="Q528" s="203"/>
      <c r="R528" s="203"/>
      <c r="S528" s="203"/>
      <c r="T528" s="203"/>
      <c r="U528" s="46">
        <v>499</v>
      </c>
      <c r="V528" s="203"/>
      <c r="W528" s="203"/>
      <c r="X528" s="203"/>
      <c r="Y528" s="203"/>
      <c r="Z528" s="46">
        <v>517</v>
      </c>
      <c r="AA528" s="203"/>
      <c r="AB528" s="203"/>
      <c r="AC528" s="203"/>
      <c r="AD528" s="203"/>
      <c r="AE528" s="46">
        <v>505</v>
      </c>
      <c r="AF528" s="203"/>
      <c r="AG528" s="203"/>
      <c r="AH528" s="203"/>
      <c r="AI528" s="203"/>
      <c r="AJ528" s="46">
        <v>448</v>
      </c>
      <c r="AK528" s="203"/>
      <c r="AL528" s="203"/>
      <c r="AM528" s="203"/>
      <c r="AN528" s="203"/>
      <c r="AO528" s="46">
        <v>431</v>
      </c>
      <c r="AP528" s="203"/>
      <c r="AQ528" s="203"/>
      <c r="AR528" s="203"/>
      <c r="AS528" s="203"/>
      <c r="AT528" s="108"/>
      <c r="AU528" s="790"/>
      <c r="AV528" s="203"/>
      <c r="AW528" s="203"/>
      <c r="AX528" s="203"/>
      <c r="AY528" s="108"/>
      <c r="AZ528" s="203"/>
      <c r="BA528" s="203"/>
      <c r="BB528" s="203"/>
      <c r="BC528" s="203"/>
      <c r="BD528" s="108"/>
      <c r="BE528" s="108"/>
      <c r="BF528" s="108"/>
      <c r="BG528" s="108"/>
      <c r="BH528" s="351"/>
    </row>
    <row r="529" spans="1:60" s="345" customFormat="1" hidden="1" outlineLevel="1" x14ac:dyDescent="0.35">
      <c r="A529" s="534" t="s">
        <v>1069</v>
      </c>
      <c r="B529" s="425"/>
      <c r="C529" s="630">
        <f>C527+C528</f>
        <v>4316</v>
      </c>
      <c r="D529" s="630">
        <f>D527+D528</f>
        <v>4435</v>
      </c>
      <c r="E529" s="630">
        <f>E527+E528</f>
        <v>4508</v>
      </c>
      <c r="F529" s="630">
        <f>F527+F528</f>
        <v>4850</v>
      </c>
      <c r="G529" s="268"/>
      <c r="H529" s="268"/>
      <c r="I529" s="268"/>
      <c r="J529" s="268"/>
      <c r="K529" s="630">
        <f>K527+K528</f>
        <v>5073</v>
      </c>
      <c r="L529" s="268"/>
      <c r="M529" s="268"/>
      <c r="N529" s="268"/>
      <c r="O529" s="268"/>
      <c r="P529" s="630">
        <f>P527+P528</f>
        <v>5189</v>
      </c>
      <c r="Q529" s="268"/>
      <c r="R529" s="268"/>
      <c r="S529" s="268"/>
      <c r="T529" s="268"/>
      <c r="U529" s="630">
        <f>U527+U528</f>
        <v>5337</v>
      </c>
      <c r="V529" s="268"/>
      <c r="W529" s="268"/>
      <c r="X529" s="268"/>
      <c r="Y529" s="268"/>
      <c r="Z529" s="630">
        <f>Z527+Z528</f>
        <v>5431</v>
      </c>
      <c r="AA529" s="268"/>
      <c r="AB529" s="268"/>
      <c r="AC529" s="268"/>
      <c r="AD529" s="268"/>
      <c r="AE529" s="630">
        <f>AE527+AE528</f>
        <v>5396</v>
      </c>
      <c r="AF529" s="268"/>
      <c r="AG529" s="268"/>
      <c r="AH529" s="268"/>
      <c r="AI529" s="268"/>
      <c r="AJ529" s="630">
        <f>AJ527+AJ528</f>
        <v>5363</v>
      </c>
      <c r="AK529" s="268"/>
      <c r="AL529" s="268"/>
      <c r="AM529" s="268"/>
      <c r="AN529" s="268"/>
      <c r="AO529" s="630">
        <f>AO527+AO528</f>
        <v>5873</v>
      </c>
      <c r="AP529" s="268"/>
      <c r="AQ529" s="268"/>
      <c r="AR529" s="268"/>
      <c r="AS529" s="268"/>
      <c r="AT529" s="630">
        <v>5752</v>
      </c>
      <c r="AU529" s="795"/>
      <c r="AV529" s="268"/>
      <c r="AW529" s="268"/>
      <c r="AX529" s="268"/>
      <c r="AY529" s="269"/>
      <c r="AZ529" s="268"/>
      <c r="BA529" s="268"/>
      <c r="BB529" s="268"/>
      <c r="BC529" s="268"/>
      <c r="BD529" s="269"/>
      <c r="BE529" s="269"/>
      <c r="BF529" s="269"/>
      <c r="BG529" s="269"/>
      <c r="BH529" s="351"/>
    </row>
    <row r="530" spans="1:60" s="345" customFormat="1" hidden="1" outlineLevel="1" x14ac:dyDescent="0.35">
      <c r="A530" s="350" t="s">
        <v>562</v>
      </c>
      <c r="B530" s="317"/>
      <c r="C530" s="46">
        <v>1366</v>
      </c>
      <c r="D530" s="46">
        <v>1605</v>
      </c>
      <c r="E530" s="46">
        <v>1887</v>
      </c>
      <c r="F530" s="46">
        <v>2029</v>
      </c>
      <c r="G530" s="203"/>
      <c r="H530" s="203"/>
      <c r="I530" s="203"/>
      <c r="J530" s="203"/>
      <c r="K530" s="46">
        <v>1943</v>
      </c>
      <c r="L530" s="203"/>
      <c r="M530" s="203"/>
      <c r="N530" s="203"/>
      <c r="O530" s="203"/>
      <c r="P530" s="46">
        <v>1798</v>
      </c>
      <c r="Q530" s="203"/>
      <c r="R530" s="203"/>
      <c r="S530" s="203"/>
      <c r="T530" s="203"/>
      <c r="U530" s="46">
        <v>1647</v>
      </c>
      <c r="V530" s="203"/>
      <c r="W530" s="203"/>
      <c r="X530" s="203"/>
      <c r="Y530" s="203"/>
      <c r="Z530" s="46">
        <v>1573</v>
      </c>
      <c r="AA530" s="203"/>
      <c r="AB530" s="203"/>
      <c r="AC530" s="203"/>
      <c r="AD530" s="203"/>
      <c r="AE530" s="46">
        <v>1672</v>
      </c>
      <c r="AF530" s="203"/>
      <c r="AG530" s="203"/>
      <c r="AH530" s="203"/>
      <c r="AI530" s="203"/>
      <c r="AJ530" s="46">
        <v>1624</v>
      </c>
      <c r="AK530" s="203"/>
      <c r="AL530" s="203"/>
      <c r="AM530" s="203"/>
      <c r="AN530" s="203"/>
      <c r="AO530" s="46">
        <v>1637</v>
      </c>
      <c r="AP530" s="203"/>
      <c r="AQ530" s="203"/>
      <c r="AR530" s="203"/>
      <c r="AS530" s="203"/>
      <c r="AT530" s="46">
        <v>1662</v>
      </c>
      <c r="AU530" s="790"/>
      <c r="AV530" s="203"/>
      <c r="AW530" s="203"/>
      <c r="AX530" s="203"/>
      <c r="AY530" s="108"/>
      <c r="AZ530" s="203"/>
      <c r="BA530" s="203"/>
      <c r="BB530" s="203"/>
      <c r="BC530" s="203"/>
      <c r="BD530" s="108"/>
      <c r="BE530" s="108"/>
      <c r="BF530" s="108"/>
      <c r="BG530" s="108"/>
      <c r="BH530" s="351"/>
    </row>
    <row r="531" spans="1:60" s="345" customFormat="1" hidden="1" outlineLevel="1" x14ac:dyDescent="0.35">
      <c r="A531" s="350" t="s">
        <v>563</v>
      </c>
      <c r="B531" s="317"/>
      <c r="C531" s="46">
        <v>1318</v>
      </c>
      <c r="D531" s="46">
        <v>1239</v>
      </c>
      <c r="E531" s="46">
        <v>1271</v>
      </c>
      <c r="F531" s="46">
        <v>1499</v>
      </c>
      <c r="G531" s="203"/>
      <c r="H531" s="203"/>
      <c r="I531" s="203"/>
      <c r="J531" s="203"/>
      <c r="K531" s="46">
        <v>1636</v>
      </c>
      <c r="L531" s="203"/>
      <c r="M531" s="203"/>
      <c r="N531" s="203"/>
      <c r="O531" s="203"/>
      <c r="P531" s="46">
        <v>1502</v>
      </c>
      <c r="Q531" s="203"/>
      <c r="R531" s="203"/>
      <c r="S531" s="203"/>
      <c r="T531" s="203"/>
      <c r="U531" s="46">
        <v>1531</v>
      </c>
      <c r="V531" s="203"/>
      <c r="W531" s="203"/>
      <c r="X531" s="203"/>
      <c r="Y531" s="203"/>
      <c r="Z531" s="46">
        <v>1512</v>
      </c>
      <c r="AA531" s="203"/>
      <c r="AB531" s="203"/>
      <c r="AC531" s="203"/>
      <c r="AD531" s="203"/>
      <c r="AE531" s="46">
        <v>1798</v>
      </c>
      <c r="AF531" s="203"/>
      <c r="AG531" s="203"/>
      <c r="AH531" s="203"/>
      <c r="AI531" s="203"/>
      <c r="AJ531" s="46">
        <v>1751</v>
      </c>
      <c r="AK531" s="203"/>
      <c r="AL531" s="203"/>
      <c r="AM531" s="203"/>
      <c r="AN531" s="203"/>
      <c r="AO531" s="46">
        <v>1823</v>
      </c>
      <c r="AP531" s="203"/>
      <c r="AQ531" s="203"/>
      <c r="AR531" s="203"/>
      <c r="AS531" s="203"/>
      <c r="AT531" s="46">
        <v>2007</v>
      </c>
      <c r="AU531" s="790"/>
      <c r="AV531" s="203"/>
      <c r="AW531" s="203"/>
      <c r="AX531" s="203"/>
      <c r="AY531" s="108"/>
      <c r="AZ531" s="203"/>
      <c r="BA531" s="203"/>
      <c r="BB531" s="203"/>
      <c r="BC531" s="203"/>
      <c r="BD531" s="108"/>
      <c r="BE531" s="108"/>
      <c r="BF531" s="108"/>
      <c r="BG531" s="108"/>
      <c r="BH531" s="351"/>
    </row>
    <row r="532" spans="1:60" s="69" customFormat="1" hidden="1" outlineLevel="1" x14ac:dyDescent="0.35">
      <c r="A532" s="89" t="s">
        <v>565</v>
      </c>
      <c r="B532" s="319"/>
      <c r="C532" s="68">
        <f>SUM(C529:C531)</f>
        <v>7000</v>
      </c>
      <c r="D532" s="68">
        <f>SUM(D529:D531)</f>
        <v>7279</v>
      </c>
      <c r="E532" s="68">
        <f>SUM(E529:E531)</f>
        <v>7666</v>
      </c>
      <c r="F532" s="68">
        <f>SUM(F529:F531)</f>
        <v>8378</v>
      </c>
      <c r="G532" s="109"/>
      <c r="H532" s="109"/>
      <c r="I532" s="109"/>
      <c r="J532" s="109"/>
      <c r="K532" s="68">
        <f>SUM(K529:K531)</f>
        <v>8652</v>
      </c>
      <c r="L532" s="109"/>
      <c r="M532" s="109"/>
      <c r="N532" s="109"/>
      <c r="O532" s="109"/>
      <c r="P532" s="68">
        <f>SUM(P529:P531)</f>
        <v>8489</v>
      </c>
      <c r="Q532" s="109"/>
      <c r="R532" s="109"/>
      <c r="S532" s="109"/>
      <c r="T532" s="109"/>
      <c r="U532" s="68">
        <f>SUM(U529:U531)</f>
        <v>8515</v>
      </c>
      <c r="V532" s="109"/>
      <c r="W532" s="109"/>
      <c r="X532" s="109"/>
      <c r="Y532" s="109"/>
      <c r="Z532" s="68">
        <f>SUM(Z529:Z531)</f>
        <v>8516</v>
      </c>
      <c r="AA532" s="109"/>
      <c r="AB532" s="109"/>
      <c r="AC532" s="109"/>
      <c r="AD532" s="109"/>
      <c r="AE532" s="68">
        <f>SUM(AE529:AE531)</f>
        <v>8866</v>
      </c>
      <c r="AF532" s="109"/>
      <c r="AG532" s="109"/>
      <c r="AH532" s="109"/>
      <c r="AI532" s="109"/>
      <c r="AJ532" s="68">
        <f>SUM(AJ529:AJ531)</f>
        <v>8738</v>
      </c>
      <c r="AK532" s="109"/>
      <c r="AL532" s="109"/>
      <c r="AM532" s="109"/>
      <c r="AN532" s="109"/>
      <c r="AO532" s="68">
        <f>SUM(AO529:AO531)</f>
        <v>9333</v>
      </c>
      <c r="AP532" s="109"/>
      <c r="AQ532" s="109"/>
      <c r="AR532" s="109"/>
      <c r="AS532" s="109"/>
      <c r="AT532" s="68">
        <f>SUM(AT529:AT531)</f>
        <v>9421</v>
      </c>
      <c r="AU532" s="796"/>
      <c r="AV532" s="109"/>
      <c r="AW532" s="109"/>
      <c r="AX532" s="109"/>
      <c r="AY532" s="110"/>
      <c r="AZ532" s="109"/>
      <c r="BA532" s="109"/>
      <c r="BB532" s="109"/>
      <c r="BC532" s="109"/>
      <c r="BD532" s="110"/>
      <c r="BE532" s="110"/>
      <c r="BF532" s="110"/>
      <c r="BG532" s="110"/>
      <c r="BH532" s="79"/>
    </row>
    <row r="533" spans="1:60" s="383" customFormat="1" collapsed="1" x14ac:dyDescent="0.35">
      <c r="A533" s="681"/>
      <c r="B533" s="682"/>
      <c r="C533" s="876"/>
      <c r="D533" s="876"/>
      <c r="E533" s="876"/>
      <c r="F533" s="876"/>
      <c r="G533" s="877"/>
      <c r="H533" s="877"/>
      <c r="I533" s="877"/>
      <c r="J533" s="877"/>
      <c r="K533" s="876"/>
      <c r="L533" s="877"/>
      <c r="M533" s="877"/>
      <c r="N533" s="877"/>
      <c r="O533" s="877"/>
      <c r="P533" s="876"/>
      <c r="Q533" s="877"/>
      <c r="R533" s="877"/>
      <c r="S533" s="877"/>
      <c r="T533" s="877"/>
      <c r="U533" s="876"/>
      <c r="V533" s="877"/>
      <c r="W533" s="877"/>
      <c r="X533" s="877"/>
      <c r="Y533" s="877"/>
      <c r="Z533" s="876"/>
      <c r="AA533" s="877"/>
      <c r="AB533" s="877"/>
      <c r="AC533" s="877"/>
      <c r="AD533" s="877"/>
      <c r="AE533" s="876"/>
      <c r="AF533" s="877"/>
      <c r="AG533" s="877"/>
      <c r="AH533" s="877"/>
      <c r="AI533" s="877"/>
      <c r="AJ533" s="876"/>
      <c r="AK533" s="877"/>
      <c r="AL533" s="877"/>
      <c r="AM533" s="877"/>
      <c r="AN533" s="877"/>
      <c r="AO533" s="876"/>
      <c r="AP533" s="877"/>
      <c r="AQ533" s="877"/>
      <c r="AR533" s="877"/>
      <c r="AS533" s="877"/>
      <c r="AT533" s="876"/>
      <c r="AU533" s="878"/>
      <c r="AV533" s="877"/>
      <c r="AW533" s="877"/>
      <c r="AX533" s="877"/>
      <c r="AY533" s="876"/>
      <c r="AZ533" s="877"/>
      <c r="BA533" s="877"/>
      <c r="BB533" s="877"/>
      <c r="BC533" s="877"/>
      <c r="BD533" s="876"/>
      <c r="BE533" s="876"/>
      <c r="BF533" s="876"/>
      <c r="BG533" s="876"/>
      <c r="BH533" s="749"/>
    </row>
    <row r="534" spans="1:60" s="69" customFormat="1" x14ac:dyDescent="0.35">
      <c r="A534" s="746" t="s">
        <v>1043</v>
      </c>
      <c r="B534" s="746"/>
      <c r="C534" s="874"/>
      <c r="D534" s="874"/>
      <c r="E534" s="874"/>
      <c r="F534" s="874"/>
      <c r="G534" s="874"/>
      <c r="H534" s="874"/>
      <c r="I534" s="874"/>
      <c r="J534" s="874"/>
      <c r="K534" s="874"/>
      <c r="L534" s="874"/>
      <c r="M534" s="874"/>
      <c r="N534" s="874"/>
      <c r="O534" s="874"/>
      <c r="P534" s="874"/>
      <c r="Q534" s="874"/>
      <c r="R534" s="874"/>
      <c r="S534" s="874"/>
      <c r="T534" s="874"/>
      <c r="U534" s="874"/>
      <c r="V534" s="874"/>
      <c r="W534" s="874"/>
      <c r="X534" s="874"/>
      <c r="Y534" s="874"/>
      <c r="Z534" s="874"/>
      <c r="AA534" s="874"/>
      <c r="AB534" s="874"/>
      <c r="AC534" s="874"/>
      <c r="AD534" s="874"/>
      <c r="AE534" s="874"/>
      <c r="AF534" s="874"/>
      <c r="AG534" s="874"/>
      <c r="AH534" s="874"/>
      <c r="AI534" s="874"/>
      <c r="AJ534" s="874"/>
      <c r="AK534" s="874"/>
      <c r="AL534" s="874"/>
      <c r="AM534" s="874"/>
      <c r="AN534" s="874"/>
      <c r="AO534" s="874"/>
      <c r="AP534" s="874"/>
      <c r="AQ534" s="874"/>
      <c r="AR534" s="874"/>
      <c r="AS534" s="874"/>
      <c r="AT534" s="874"/>
      <c r="AU534" s="875"/>
      <c r="AV534" s="874"/>
      <c r="AW534" s="874"/>
      <c r="AX534" s="874"/>
      <c r="AY534" s="874"/>
      <c r="AZ534" s="874"/>
      <c r="BA534" s="874"/>
      <c r="BB534" s="874"/>
      <c r="BC534" s="874"/>
      <c r="BD534" s="874"/>
      <c r="BE534" s="874"/>
      <c r="BF534" s="874"/>
      <c r="BG534" s="874"/>
      <c r="BH534" s="79"/>
    </row>
    <row r="535" spans="1:60" s="262" customFormat="1" hidden="1" outlineLevel="1" x14ac:dyDescent="0.35">
      <c r="A535" s="513" t="s">
        <v>1048</v>
      </c>
      <c r="B535" s="312"/>
      <c r="C535" s="105"/>
      <c r="D535" s="105"/>
      <c r="E535" s="105"/>
      <c r="F535" s="105"/>
      <c r="G535" s="200"/>
      <c r="H535" s="200"/>
      <c r="I535" s="200"/>
      <c r="J535" s="200"/>
      <c r="K535" s="105"/>
      <c r="L535" s="200"/>
      <c r="M535" s="200"/>
      <c r="N535" s="200"/>
      <c r="O535" s="200"/>
      <c r="P535" s="47">
        <f>P545/P$544</f>
        <v>5.356927715159511E-2</v>
      </c>
      <c r="Q535" s="200"/>
      <c r="R535" s="200"/>
      <c r="S535" s="200"/>
      <c r="T535" s="200"/>
      <c r="U535" s="47">
        <f t="shared" ref="U535:AR535" si="832">U545/U$544</f>
        <v>1.5793005586170566E-2</v>
      </c>
      <c r="V535" s="78">
        <f t="shared" si="832"/>
        <v>-5.1447047398843974E-2</v>
      </c>
      <c r="W535" s="78">
        <f t="shared" si="832"/>
        <v>-5.8351577173913032E-2</v>
      </c>
      <c r="X535" s="78">
        <f t="shared" si="832"/>
        <v>-5.0479897654584223E-2</v>
      </c>
      <c r="Y535" s="78">
        <f t="shared" si="832"/>
        <v>-4.1023268579242392E-2</v>
      </c>
      <c r="Z535" s="47">
        <f t="shared" si="832"/>
        <v>-5.0763818725721804E-2</v>
      </c>
      <c r="AA535" s="78">
        <f t="shared" si="832"/>
        <v>9.8426601495112204E-2</v>
      </c>
      <c r="AB535" s="78">
        <f t="shared" si="832"/>
        <v>6.4262485415520113E-2</v>
      </c>
      <c r="AC535" s="78">
        <f t="shared" si="832"/>
        <v>0.10587069865229096</v>
      </c>
      <c r="AD535" s="78">
        <f t="shared" si="832"/>
        <v>0.1409277570636302</v>
      </c>
      <c r="AE535" s="47">
        <f t="shared" si="832"/>
        <v>0.10133174860037374</v>
      </c>
      <c r="AF535" s="78">
        <f t="shared" si="832"/>
        <v>7.5050872560275594E-2</v>
      </c>
      <c r="AG535" s="78">
        <f t="shared" si="832"/>
        <v>0.15493128193218769</v>
      </c>
      <c r="AH535" s="78">
        <f t="shared" si="832"/>
        <v>2.9516535856573791E-2</v>
      </c>
      <c r="AI535" s="78">
        <f t="shared" si="832"/>
        <v>-4.201552431607241E-2</v>
      </c>
      <c r="AJ535" s="47">
        <f t="shared" si="832"/>
        <v>5.8295514950409105E-2</v>
      </c>
      <c r="AK535" s="78">
        <f t="shared" si="832"/>
        <v>-9.8225000000000062E-2</v>
      </c>
      <c r="AL535" s="78">
        <f t="shared" si="832"/>
        <v>-8.2909121199500252E-2</v>
      </c>
      <c r="AM535" s="78">
        <f t="shared" si="832"/>
        <v>-7.9663238095238148E-2</v>
      </c>
      <c r="AN535" s="78">
        <f t="shared" si="832"/>
        <v>-8.2882238850072024E-2</v>
      </c>
      <c r="AO535" s="47">
        <f t="shared" si="832"/>
        <v>-8.5694141148775757E-2</v>
      </c>
      <c r="AP535" s="78">
        <f t="shared" si="832"/>
        <v>1.9265513723150416E-2</v>
      </c>
      <c r="AQ535" s="78">
        <f t="shared" si="832"/>
        <v>-0.1774791069330201</v>
      </c>
      <c r="AR535" s="78">
        <f t="shared" si="832"/>
        <v>-5.0580733858267918E-2</v>
      </c>
      <c r="AS535" s="78">
        <f t="shared" ref="AS535:AU535" si="833">AS545/AS$544</f>
        <v>0.11565649299638328</v>
      </c>
      <c r="AT535" s="47">
        <f t="shared" si="833"/>
        <v>-2.7578627129663826E-2</v>
      </c>
      <c r="AU535" s="759">
        <f t="shared" si="833"/>
        <v>0.15147671334922524</v>
      </c>
      <c r="AV535" s="200"/>
      <c r="AW535" s="200"/>
      <c r="AX535" s="200"/>
      <c r="AY535" s="105"/>
      <c r="AZ535" s="200"/>
      <c r="BA535" s="200"/>
      <c r="BB535" s="200"/>
      <c r="BC535" s="200"/>
      <c r="BD535" s="105"/>
      <c r="BE535" s="105"/>
      <c r="BF535" s="105"/>
      <c r="BG535" s="105"/>
      <c r="BH535" s="363"/>
    </row>
    <row r="536" spans="1:60" s="262" customFormat="1" hidden="1" outlineLevel="1" x14ac:dyDescent="0.35">
      <c r="A536" s="605" t="s">
        <v>1044</v>
      </c>
      <c r="B536" s="465"/>
      <c r="C536" s="479"/>
      <c r="D536" s="479"/>
      <c r="E536" s="479"/>
      <c r="F536" s="479"/>
      <c r="G536" s="457"/>
      <c r="H536" s="457"/>
      <c r="I536" s="457"/>
      <c r="J536" s="457"/>
      <c r="K536" s="479"/>
      <c r="L536" s="457"/>
      <c r="M536" s="457"/>
      <c r="N536" s="457"/>
      <c r="O536" s="457"/>
      <c r="P536" s="603">
        <f>P546/P$544</f>
        <v>5.6505436956947569E-2</v>
      </c>
      <c r="Q536" s="457"/>
      <c r="R536" s="457"/>
      <c r="S536" s="457"/>
      <c r="T536" s="457"/>
      <c r="U536" s="603">
        <f t="shared" ref="U536:AR536" si="834">U546/U$544</f>
        <v>8.2864837724388005E-2</v>
      </c>
      <c r="V536" s="604">
        <f t="shared" si="834"/>
        <v>5.7617469364161983E-2</v>
      </c>
      <c r="W536" s="604">
        <f t="shared" si="834"/>
        <v>6.5900596739130582E-2</v>
      </c>
      <c r="X536" s="604">
        <f t="shared" si="834"/>
        <v>4.7355394456289841E-2</v>
      </c>
      <c r="Y536" s="604">
        <f t="shared" si="834"/>
        <v>2.8244192208055515E-2</v>
      </c>
      <c r="Z536" s="603">
        <f t="shared" si="834"/>
        <v>5.0696851182275196E-2</v>
      </c>
      <c r="AA536" s="604">
        <f t="shared" si="834"/>
        <v>2.2323775158136942E-2</v>
      </c>
      <c r="AB536" s="604">
        <f t="shared" si="834"/>
        <v>1.2041904237753654E-3</v>
      </c>
      <c r="AC536" s="604">
        <f t="shared" si="834"/>
        <v>1.2467385444743909E-2</v>
      </c>
      <c r="AD536" s="604">
        <f t="shared" si="834"/>
        <v>3.4704074163480716E-2</v>
      </c>
      <c r="AE536" s="603">
        <f t="shared" si="834"/>
        <v>1.7107989589893947E-2</v>
      </c>
      <c r="AF536" s="604">
        <f t="shared" si="834"/>
        <v>1.1442477037887453E-2</v>
      </c>
      <c r="AG536" s="604">
        <f t="shared" si="834"/>
        <v>2.200219693451003E-2</v>
      </c>
      <c r="AH536" s="604">
        <f t="shared" si="834"/>
        <v>2.4355673306772869E-2</v>
      </c>
      <c r="AI536" s="604">
        <f t="shared" si="834"/>
        <v>4.1898779711056018E-4</v>
      </c>
      <c r="AJ536" s="603">
        <f t="shared" si="834"/>
        <v>1.5205315414590581E-2</v>
      </c>
      <c r="AK536" s="604">
        <f t="shared" si="834"/>
        <v>2.0583362394958008E-2</v>
      </c>
      <c r="AL536" s="604">
        <f t="shared" si="834"/>
        <v>1.5535547688463174E-2</v>
      </c>
      <c r="AM536" s="604">
        <f t="shared" si="834"/>
        <v>1.5167345238095228E-2</v>
      </c>
      <c r="AN536" s="604">
        <f t="shared" si="834"/>
        <v>3.5310945276869239E-2</v>
      </c>
      <c r="AO536" s="603">
        <f t="shared" si="834"/>
        <v>2.0980794105214456E-2</v>
      </c>
      <c r="AP536" s="604">
        <f t="shared" si="834"/>
        <v>2.436694272076383E-2</v>
      </c>
      <c r="AQ536" s="604">
        <f t="shared" si="834"/>
        <v>3.8773786721504035E-2</v>
      </c>
      <c r="AR536" s="604">
        <f t="shared" si="834"/>
        <v>3.665738792650905E-2</v>
      </c>
      <c r="AS536" s="604">
        <f t="shared" ref="AS536:AU536" si="835">AS546/AS$544</f>
        <v>5.4305375850491097E-2</v>
      </c>
      <c r="AT536" s="603">
        <f t="shared" si="835"/>
        <v>3.814721173173638E-2</v>
      </c>
      <c r="AU536" s="772">
        <f t="shared" si="835"/>
        <v>-1.7317342073898095E-3</v>
      </c>
      <c r="AV536" s="457"/>
      <c r="AW536" s="457"/>
      <c r="AX536" s="457"/>
      <c r="AY536" s="479"/>
      <c r="AZ536" s="457"/>
      <c r="BA536" s="457"/>
      <c r="BB536" s="457"/>
      <c r="BC536" s="457"/>
      <c r="BD536" s="479"/>
      <c r="BE536" s="479"/>
      <c r="BF536" s="479"/>
      <c r="BG536" s="479"/>
      <c r="BH536" s="363"/>
    </row>
    <row r="537" spans="1:60" s="262" customFormat="1" hidden="1" outlineLevel="1" x14ac:dyDescent="0.35">
      <c r="A537" s="154" t="s">
        <v>1045</v>
      </c>
      <c r="B537" s="312"/>
      <c r="C537" s="105"/>
      <c r="D537" s="105"/>
      <c r="E537" s="105"/>
      <c r="F537" s="105"/>
      <c r="G537" s="200"/>
      <c r="H537" s="200"/>
      <c r="I537" s="200"/>
      <c r="J537" s="200"/>
      <c r="K537" s="105"/>
      <c r="L537" s="200"/>
      <c r="M537" s="200"/>
      <c r="N537" s="200"/>
      <c r="O537" s="200"/>
      <c r="P537" s="47">
        <f>P547/P$544</f>
        <v>0.11007471410854268</v>
      </c>
      <c r="Q537" s="200"/>
      <c r="R537" s="200"/>
      <c r="S537" s="200"/>
      <c r="T537" s="200"/>
      <c r="U537" s="47">
        <f t="shared" ref="U537:AR537" si="836">U547/U$544</f>
        <v>9.8657843310558574E-2</v>
      </c>
      <c r="V537" s="78">
        <f t="shared" si="836"/>
        <v>6.1704219653180093E-3</v>
      </c>
      <c r="W537" s="78">
        <f t="shared" si="836"/>
        <v>7.5490195652175478E-3</v>
      </c>
      <c r="X537" s="78">
        <f t="shared" si="836"/>
        <v>-3.1245031982943825E-3</v>
      </c>
      <c r="Y537" s="78">
        <f t="shared" si="836"/>
        <v>-1.2779076371186875E-2</v>
      </c>
      <c r="Z537" s="47">
        <f t="shared" si="836"/>
        <v>-6.6967543446606669E-5</v>
      </c>
      <c r="AA537" s="78">
        <f t="shared" si="836"/>
        <v>0.12075037665324914</v>
      </c>
      <c r="AB537" s="78">
        <f t="shared" si="836"/>
        <v>6.5466675839295468E-2</v>
      </c>
      <c r="AC537" s="78">
        <f t="shared" si="836"/>
        <v>0.11833808409703488</v>
      </c>
      <c r="AD537" s="78">
        <f t="shared" si="836"/>
        <v>0.17563183122711093</v>
      </c>
      <c r="AE537" s="47">
        <f t="shared" si="836"/>
        <v>0.11843973819026769</v>
      </c>
      <c r="AF537" s="78">
        <f t="shared" si="836"/>
        <v>8.6493349598163044E-2</v>
      </c>
      <c r="AG537" s="78">
        <f t="shared" si="836"/>
        <v>0.17693347886669772</v>
      </c>
      <c r="AH537" s="78">
        <f t="shared" si="836"/>
        <v>5.387220916334666E-2</v>
      </c>
      <c r="AI537" s="78">
        <f t="shared" si="836"/>
        <v>-4.1596536518961849E-2</v>
      </c>
      <c r="AJ537" s="47">
        <f t="shared" si="836"/>
        <v>7.3500830364999686E-2</v>
      </c>
      <c r="AK537" s="78">
        <f t="shared" si="836"/>
        <v>-7.7641637605042044E-2</v>
      </c>
      <c r="AL537" s="78">
        <f t="shared" si="836"/>
        <v>-6.737357351103708E-2</v>
      </c>
      <c r="AM537" s="78">
        <f t="shared" si="836"/>
        <v>-6.4495892857142925E-2</v>
      </c>
      <c r="AN537" s="78">
        <f t="shared" si="836"/>
        <v>-4.7571293573202791E-2</v>
      </c>
      <c r="AO537" s="47">
        <f t="shared" si="836"/>
        <v>-6.4713347043561298E-2</v>
      </c>
      <c r="AP537" s="78">
        <f t="shared" si="836"/>
        <v>4.3632456443914246E-2</v>
      </c>
      <c r="AQ537" s="78">
        <f t="shared" si="836"/>
        <v>-0.13870532021151608</v>
      </c>
      <c r="AR537" s="78">
        <f t="shared" si="836"/>
        <v>-1.3923345931758863E-2</v>
      </c>
      <c r="AS537" s="78">
        <f t="shared" ref="AS537:AU537" si="837">AS547/AS$544</f>
        <v>0.16996186884687439</v>
      </c>
      <c r="AT537" s="47">
        <f t="shared" si="837"/>
        <v>1.0568584602072554E-2</v>
      </c>
      <c r="AU537" s="759">
        <f t="shared" si="837"/>
        <v>0.14974497914183543</v>
      </c>
      <c r="AV537" s="200"/>
      <c r="AW537" s="200"/>
      <c r="AX537" s="200"/>
      <c r="AY537" s="105"/>
      <c r="AZ537" s="200"/>
      <c r="BA537" s="200"/>
      <c r="BB537" s="200"/>
      <c r="BC537" s="200"/>
      <c r="BD537" s="105"/>
      <c r="BE537" s="105"/>
      <c r="BF537" s="105"/>
      <c r="BG537" s="105"/>
      <c r="BH537" s="363"/>
    </row>
    <row r="538" spans="1:60" s="262" customFormat="1" hidden="1" outlineLevel="1" x14ac:dyDescent="0.35">
      <c r="A538" s="154" t="s">
        <v>1046</v>
      </c>
      <c r="B538" s="312"/>
      <c r="C538" s="105"/>
      <c r="D538" s="105"/>
      <c r="E538" s="105"/>
      <c r="F538" s="105"/>
      <c r="G538" s="200"/>
      <c r="H538" s="200"/>
      <c r="I538" s="200"/>
      <c r="J538" s="200"/>
      <c r="K538" s="105"/>
      <c r="L538" s="200"/>
      <c r="M538" s="200"/>
      <c r="N538" s="200"/>
      <c r="O538" s="200"/>
      <c r="P538" s="47">
        <f>P548/P$544</f>
        <v>-3.881886107824653E-3</v>
      </c>
      <c r="Q538" s="200"/>
      <c r="R538" s="200"/>
      <c r="S538" s="200"/>
      <c r="T538" s="200"/>
      <c r="U538" s="47">
        <f t="shared" ref="U538:AR538" si="838">U548/U$544</f>
        <v>-2.7792046179743327E-3</v>
      </c>
      <c r="V538" s="78">
        <f t="shared" si="838"/>
        <v>7.0991352601156308E-3</v>
      </c>
      <c r="W538" s="78">
        <f t="shared" si="838"/>
        <v>1.3999999999999995E-2</v>
      </c>
      <c r="X538" s="78">
        <f t="shared" si="838"/>
        <v>-1.1232068230277623E-3</v>
      </c>
      <c r="Y538" s="78">
        <f t="shared" si="838"/>
        <v>5.0784698935852704E-2</v>
      </c>
      <c r="Z538" s="47">
        <f t="shared" si="838"/>
        <v>1.6140428506158797E-2</v>
      </c>
      <c r="AA538" s="78">
        <f t="shared" si="838"/>
        <v>-1.2486905117883796E-2</v>
      </c>
      <c r="AB538" s="78">
        <f t="shared" si="838"/>
        <v>0.24048035222894859</v>
      </c>
      <c r="AC538" s="78">
        <f t="shared" si="838"/>
        <v>4.4237024258760027E-3</v>
      </c>
      <c r="AD538" s="78">
        <f t="shared" si="838"/>
        <v>-2.8248813696826927E-2</v>
      </c>
      <c r="AE538" s="47">
        <f t="shared" si="838"/>
        <v>5.376319297935496E-2</v>
      </c>
      <c r="AF538" s="78">
        <f t="shared" si="838"/>
        <v>-1.0769908151550054E-2</v>
      </c>
      <c r="AG538" s="78">
        <f t="shared" si="838"/>
        <v>-3.9534714352066784E-2</v>
      </c>
      <c r="AH538" s="78">
        <f t="shared" si="838"/>
        <v>-1.0233581673306609E-2</v>
      </c>
      <c r="AI538" s="78">
        <f t="shared" si="838"/>
        <v>3.8033744997547261E-2</v>
      </c>
      <c r="AJ538" s="47">
        <f t="shared" si="838"/>
        <v>-7.330483905276599E-3</v>
      </c>
      <c r="AK538" s="78">
        <f t="shared" si="838"/>
        <v>-2.3859012605041943E-2</v>
      </c>
      <c r="AL538" s="78">
        <f t="shared" si="838"/>
        <v>-0.1773914577259475</v>
      </c>
      <c r="AM538" s="78">
        <f t="shared" si="838"/>
        <v>4.6679126984127066E-2</v>
      </c>
      <c r="AN538" s="78">
        <f t="shared" si="838"/>
        <v>-1.6208947866051916E-2</v>
      </c>
      <c r="AO538" s="47">
        <f t="shared" si="838"/>
        <v>-5.0115977794320116E-2</v>
      </c>
      <c r="AP538" s="78">
        <f t="shared" si="838"/>
        <v>-4.1362768496410048E-4</v>
      </c>
      <c r="AQ538" s="78">
        <f t="shared" si="838"/>
        <v>-1.5328338425382119E-2</v>
      </c>
      <c r="AR538" s="78">
        <f t="shared" si="838"/>
        <v>1.8182845144356728E-2</v>
      </c>
      <c r="AS538" s="78">
        <f t="shared" ref="AS538:AU538" si="839">AS548/AS$544</f>
        <v>-2.1848307125030709E-2</v>
      </c>
      <c r="AT538" s="47">
        <f t="shared" si="839"/>
        <v>-3.7772349260367772E-3</v>
      </c>
      <c r="AU538" s="759">
        <f t="shared" si="839"/>
        <v>-1.3059833134684215E-2</v>
      </c>
      <c r="AV538" s="200"/>
      <c r="AW538" s="200"/>
      <c r="AX538" s="200"/>
      <c r="AY538" s="105"/>
      <c r="AZ538" s="200"/>
      <c r="BA538" s="200"/>
      <c r="BB538" s="200"/>
      <c r="BC538" s="200"/>
      <c r="BD538" s="105"/>
      <c r="BE538" s="105"/>
      <c r="BF538" s="105"/>
      <c r="BG538" s="105"/>
      <c r="BH538" s="363"/>
    </row>
    <row r="539" spans="1:60" s="262" customFormat="1" hidden="1" outlineLevel="1" x14ac:dyDescent="0.35">
      <c r="A539" s="154" t="s">
        <v>1049</v>
      </c>
      <c r="B539" s="312"/>
      <c r="C539" s="105"/>
      <c r="D539" s="105"/>
      <c r="E539" s="105"/>
      <c r="F539" s="105"/>
      <c r="G539" s="200"/>
      <c r="H539" s="200"/>
      <c r="I539" s="200"/>
      <c r="J539" s="200"/>
      <c r="K539" s="105"/>
      <c r="L539" s="200"/>
      <c r="M539" s="200"/>
      <c r="N539" s="200"/>
      <c r="O539" s="200"/>
      <c r="P539" s="47">
        <f>P549/P$544</f>
        <v>-3.2442787900616325E-2</v>
      </c>
      <c r="Q539" s="200"/>
      <c r="R539" s="200"/>
      <c r="S539" s="200"/>
      <c r="T539" s="200"/>
      <c r="U539" s="47">
        <f t="shared" ref="U539:AR541" si="840">U549/U$544</f>
        <v>-6.76483140064736E-2</v>
      </c>
      <c r="V539" s="78">
        <f t="shared" si="840"/>
        <v>-3.4248936416184927E-2</v>
      </c>
      <c r="W539" s="78">
        <f t="shared" si="840"/>
        <v>-2.734354891304349E-2</v>
      </c>
      <c r="X539" s="78">
        <f t="shared" si="840"/>
        <v>-1.5657142857142786E-2</v>
      </c>
      <c r="Y539" s="78">
        <f t="shared" si="840"/>
        <v>-2.6987672490809017E-3</v>
      </c>
      <c r="Z539" s="47">
        <f t="shared" si="840"/>
        <v>-2.0585047635131179E-2</v>
      </c>
      <c r="AA539" s="78">
        <f t="shared" si="840"/>
        <v>-2.1956768257619316E-2</v>
      </c>
      <c r="AB539" s="78">
        <f t="shared" si="840"/>
        <v>-2.6957699504678079E-2</v>
      </c>
      <c r="AC539" s="78">
        <f t="shared" si="840"/>
        <v>-1.0722919676549885E-2</v>
      </c>
      <c r="AD539" s="78">
        <f t="shared" si="840"/>
        <v>-4.140825339878757E-3</v>
      </c>
      <c r="AE539" s="47">
        <f t="shared" si="840"/>
        <v>-1.6187213568983089E-2</v>
      </c>
      <c r="AF539" s="78">
        <f t="shared" si="840"/>
        <v>2.3612468427095301E-2</v>
      </c>
      <c r="AG539" s="78">
        <f t="shared" si="840"/>
        <v>2.672457036692966E-3</v>
      </c>
      <c r="AH539" s="78">
        <f t="shared" si="840"/>
        <v>-3.7002679282868579E-2</v>
      </c>
      <c r="AI539" s="78">
        <f t="shared" si="840"/>
        <v>-9.5363508243307277E-3</v>
      </c>
      <c r="AJ539" s="47">
        <f t="shared" si="840"/>
        <v>-5.7820061914622741E-3</v>
      </c>
      <c r="AK539" s="78">
        <f t="shared" si="840"/>
        <v>-2.2910279411764767E-2</v>
      </c>
      <c r="AL539" s="78">
        <f t="shared" si="840"/>
        <v>-4.2740857975843271E-3</v>
      </c>
      <c r="AM539" s="78">
        <f t="shared" si="840"/>
        <v>1.8928666666666805E-2</v>
      </c>
      <c r="AN539" s="78">
        <f t="shared" si="840"/>
        <v>-4.8606524721544718E-3</v>
      </c>
      <c r="AO539" s="47">
        <f t="shared" si="840"/>
        <v>-3.009575932607506E-3</v>
      </c>
      <c r="AP539" s="78">
        <f t="shared" si="840"/>
        <v>-3.4935984486873468E-2</v>
      </c>
      <c r="AQ539" s="78">
        <f t="shared" si="840"/>
        <v>-1.9728810223266821E-2</v>
      </c>
      <c r="AR539" s="78">
        <f t="shared" si="840"/>
        <v>-9.7617228346458008E-3</v>
      </c>
      <c r="AS539" s="78">
        <f t="shared" ref="AS539:AU539" si="841">AS549/AS$544</f>
        <v>1.2746604273456101E-2</v>
      </c>
      <c r="AT539" s="47">
        <f t="shared" si="841"/>
        <v>-1.3355350780291904E-2</v>
      </c>
      <c r="AU539" s="759">
        <f t="shared" si="841"/>
        <v>5.0808700834326613E-2</v>
      </c>
      <c r="AV539" s="200"/>
      <c r="AW539" s="200"/>
      <c r="AX539" s="200"/>
      <c r="AY539" s="105"/>
      <c r="AZ539" s="200"/>
      <c r="BA539" s="200"/>
      <c r="BB539" s="200"/>
      <c r="BC539" s="200"/>
      <c r="BD539" s="105"/>
      <c r="BE539" s="105"/>
      <c r="BF539" s="105"/>
      <c r="BG539" s="105"/>
      <c r="BH539" s="363"/>
    </row>
    <row r="540" spans="1:60" s="262" customFormat="1" hidden="1" outlineLevel="1" x14ac:dyDescent="0.35">
      <c r="A540" s="154" t="s">
        <v>1050</v>
      </c>
      <c r="B540" s="312"/>
      <c r="C540" s="105"/>
      <c r="D540" s="105"/>
      <c r="E540" s="105"/>
      <c r="F540" s="105"/>
      <c r="G540" s="200"/>
      <c r="H540" s="200"/>
      <c r="I540" s="200"/>
      <c r="J540" s="200"/>
      <c r="K540" s="105"/>
      <c r="L540" s="200"/>
      <c r="M540" s="200"/>
      <c r="N540" s="200"/>
      <c r="O540" s="200"/>
      <c r="P540" s="47">
        <f t="shared" ref="P540:P541" si="842">P550/P$544</f>
        <v>-2.7786678667866872E-2</v>
      </c>
      <c r="Q540" s="200"/>
      <c r="R540" s="200"/>
      <c r="S540" s="200"/>
      <c r="T540" s="200"/>
      <c r="U540" s="47">
        <f t="shared" si="840"/>
        <v>-3.1218920812894225E-2</v>
      </c>
      <c r="V540" s="78">
        <f t="shared" si="840"/>
        <v>1.3141040462427834E-2</v>
      </c>
      <c r="W540" s="78">
        <f t="shared" si="840"/>
        <v>4.1771739130435593E-3</v>
      </c>
      <c r="X540" s="78">
        <f t="shared" si="840"/>
        <v>0</v>
      </c>
      <c r="Y540" s="78">
        <f t="shared" si="840"/>
        <v>8.0633333333333668E-2</v>
      </c>
      <c r="Z540" s="47">
        <f t="shared" si="840"/>
        <v>2.1792398502735504E-2</v>
      </c>
      <c r="AA540" s="78">
        <f t="shared" si="840"/>
        <v>-7.6688901667624987E-2</v>
      </c>
      <c r="AB540" s="78">
        <f t="shared" si="840"/>
        <v>-9.6987341772151958E-2</v>
      </c>
      <c r="AC540" s="78">
        <f t="shared" si="840"/>
        <v>-2.4934770889487944E-2</v>
      </c>
      <c r="AD540" s="78">
        <f t="shared" si="840"/>
        <v>-4.0646039603960238E-2</v>
      </c>
      <c r="AE540" s="47">
        <f t="shared" si="840"/>
        <v>-5.9986623025473154E-2</v>
      </c>
      <c r="AF540" s="78">
        <f t="shared" si="840"/>
        <v>0</v>
      </c>
      <c r="AG540" s="78">
        <f t="shared" si="840"/>
        <v>0</v>
      </c>
      <c r="AH540" s="78">
        <f t="shared" si="840"/>
        <v>-4.0697211155378615E-3</v>
      </c>
      <c r="AI540" s="78">
        <f t="shared" si="840"/>
        <v>4.567915036333161E-3</v>
      </c>
      <c r="AJ540" s="47">
        <f t="shared" si="840"/>
        <v>0</v>
      </c>
      <c r="AK540" s="78">
        <f t="shared" si="840"/>
        <v>-1.5630252100840929E-3</v>
      </c>
      <c r="AL540" s="78">
        <f t="shared" si="840"/>
        <v>-4.8921282798833836E-2</v>
      </c>
      <c r="AM540" s="78">
        <f t="shared" si="840"/>
        <v>0</v>
      </c>
      <c r="AN540" s="78">
        <f t="shared" si="840"/>
        <v>-8.6387549074593895E-2</v>
      </c>
      <c r="AO540" s="47">
        <f t="shared" si="840"/>
        <v>-3.3867843040473973E-2</v>
      </c>
      <c r="AP540" s="78">
        <f t="shared" si="840"/>
        <v>1.5196897374701822E-3</v>
      </c>
      <c r="AQ540" s="78">
        <f t="shared" si="840"/>
        <v>0</v>
      </c>
      <c r="AR540" s="78">
        <f t="shared" si="840"/>
        <v>-3.0834645669292654E-3</v>
      </c>
      <c r="AS540" s="78">
        <f t="shared" ref="AS540:AU540" si="843">AS550/AS$544</f>
        <v>4.0493177387914497E-2</v>
      </c>
      <c r="AT540" s="47">
        <f t="shared" si="843"/>
        <v>8.6473175021987963E-3</v>
      </c>
      <c r="AU540" s="759">
        <f t="shared" si="843"/>
        <v>9.5351609058397441E-4</v>
      </c>
      <c r="AV540" s="200"/>
      <c r="AW540" s="200"/>
      <c r="AX540" s="200"/>
      <c r="AY540" s="105"/>
      <c r="AZ540" s="200"/>
      <c r="BA540" s="200"/>
      <c r="BB540" s="200"/>
      <c r="BC540" s="200"/>
      <c r="BD540" s="105"/>
      <c r="BE540" s="105"/>
      <c r="BF540" s="105"/>
      <c r="BG540" s="105"/>
      <c r="BH540" s="363"/>
    </row>
    <row r="541" spans="1:60" s="262" customFormat="1" hidden="1" outlineLevel="1" x14ac:dyDescent="0.35">
      <c r="A541" s="589" t="s">
        <v>1051</v>
      </c>
      <c r="B541" s="465"/>
      <c r="C541" s="479"/>
      <c r="D541" s="479"/>
      <c r="E541" s="479"/>
      <c r="F541" s="479"/>
      <c r="G541" s="457"/>
      <c r="H541" s="457"/>
      <c r="I541" s="457"/>
      <c r="J541" s="457"/>
      <c r="K541" s="479"/>
      <c r="L541" s="457"/>
      <c r="M541" s="457"/>
      <c r="N541" s="457"/>
      <c r="O541" s="457"/>
      <c r="P541" s="603">
        <f t="shared" si="842"/>
        <v>2.4393674271335524E-2</v>
      </c>
      <c r="Q541" s="457"/>
      <c r="R541" s="457"/>
      <c r="S541" s="457"/>
      <c r="T541" s="457"/>
      <c r="U541" s="603">
        <f t="shared" si="840"/>
        <v>-2.3500541925073448E-2</v>
      </c>
      <c r="V541" s="604">
        <f t="shared" si="840"/>
        <v>1.3040650867051778E-2</v>
      </c>
      <c r="W541" s="604">
        <f t="shared" si="840"/>
        <v>-1.0882644565217611E-2</v>
      </c>
      <c r="X541" s="604">
        <f t="shared" si="840"/>
        <v>8.7108230277186637E-3</v>
      </c>
      <c r="Y541" s="604">
        <f t="shared" si="840"/>
        <v>-3.8606855315585262E-2</v>
      </c>
      <c r="Z541" s="603">
        <f t="shared" si="840"/>
        <v>-5.6194239811947167E-3</v>
      </c>
      <c r="AA541" s="604">
        <f t="shared" si="840"/>
        <v>-7.8926722254171848E-3</v>
      </c>
      <c r="AB541" s="604">
        <f t="shared" si="840"/>
        <v>2.9182113373696981E-3</v>
      </c>
      <c r="AC541" s="604">
        <f t="shared" si="840"/>
        <v>-4.6243115902962267E-3</v>
      </c>
      <c r="AD541" s="604">
        <f t="shared" si="840"/>
        <v>4.4583028590995579E-3</v>
      </c>
      <c r="AE541" s="603">
        <f t="shared" si="840"/>
        <v>-1.3941152098611582E-3</v>
      </c>
      <c r="AF541" s="604">
        <f t="shared" si="840"/>
        <v>-6.3393541905854434E-3</v>
      </c>
      <c r="AG541" s="604">
        <f t="shared" si="840"/>
        <v>-2.48831119368325E-2</v>
      </c>
      <c r="AH541" s="604">
        <f t="shared" si="840"/>
        <v>1.4178366533863108E-3</v>
      </c>
      <c r="AI541" s="604">
        <f t="shared" si="840"/>
        <v>5.1773983546888483E-3</v>
      </c>
      <c r="AJ541" s="603">
        <f t="shared" si="840"/>
        <v>-6.826197782561382E-3</v>
      </c>
      <c r="AK541" s="604">
        <f t="shared" si="840"/>
        <v>6.226055672268983E-3</v>
      </c>
      <c r="AL541" s="604">
        <f t="shared" si="840"/>
        <v>6.831703456892959E-3</v>
      </c>
      <c r="AM541" s="604">
        <f t="shared" si="840"/>
        <v>-5.6171424603174758E-2</v>
      </c>
      <c r="AN541" s="604">
        <f t="shared" si="840"/>
        <v>1.8180434012363134E-2</v>
      </c>
      <c r="AO541" s="603">
        <f t="shared" si="840"/>
        <v>-6.4867408879512225E-3</v>
      </c>
      <c r="AP541" s="604">
        <f t="shared" si="840"/>
        <v>-8.6092165871124917E-3</v>
      </c>
      <c r="AQ541" s="604">
        <f t="shared" si="840"/>
        <v>1.0245135135140092E-3</v>
      </c>
      <c r="AR541" s="604">
        <f t="shared" si="840"/>
        <v>1.0685425721785602E-2</v>
      </c>
      <c r="AS541" s="604">
        <f t="shared" ref="AS541:AU541" si="844">AS551/AS$544</f>
        <v>7.6156291899437653E-5</v>
      </c>
      <c r="AT541" s="603">
        <f t="shared" si="844"/>
        <v>1.1415443467069938E-3</v>
      </c>
      <c r="AU541" s="772">
        <f t="shared" si="844"/>
        <v>-1.2793504171615942E-4</v>
      </c>
      <c r="AV541" s="457"/>
      <c r="AW541" s="457"/>
      <c r="AX541" s="457"/>
      <c r="AY541" s="479"/>
      <c r="AZ541" s="457"/>
      <c r="BA541" s="457"/>
      <c r="BB541" s="457"/>
      <c r="BC541" s="457"/>
      <c r="BD541" s="479"/>
      <c r="BE541" s="479"/>
      <c r="BF541" s="479"/>
      <c r="BG541" s="479"/>
      <c r="BH541" s="363"/>
    </row>
    <row r="542" spans="1:60" s="225" customFormat="1" hidden="1" outlineLevel="1" x14ac:dyDescent="0.35">
      <c r="A542" s="538" t="s">
        <v>1047</v>
      </c>
      <c r="B542" s="176"/>
      <c r="C542" s="113"/>
      <c r="D542" s="113"/>
      <c r="E542" s="113"/>
      <c r="F542" s="113"/>
      <c r="G542" s="177"/>
      <c r="H542" s="177"/>
      <c r="I542" s="177"/>
      <c r="J542" s="177"/>
      <c r="K542" s="113"/>
      <c r="L542" s="177"/>
      <c r="M542" s="177"/>
      <c r="N542" s="177"/>
      <c r="O542" s="177"/>
      <c r="P542" s="223">
        <f>P552/P$544-1</f>
        <v>7.0357035703570325E-2</v>
      </c>
      <c r="Q542" s="177"/>
      <c r="R542" s="177"/>
      <c r="S542" s="177"/>
      <c r="T542" s="177"/>
      <c r="U542" s="223">
        <f t="shared" ref="U542:AR542" si="845">U552/U$544-1</f>
        <v>-2.6489138051857042E-2</v>
      </c>
      <c r="V542" s="226">
        <f t="shared" si="845"/>
        <v>5.2023121387283489E-3</v>
      </c>
      <c r="W542" s="226">
        <f t="shared" si="845"/>
        <v>-1.2499999999999956E-2</v>
      </c>
      <c r="X542" s="226">
        <f t="shared" si="845"/>
        <v>-1.1194029850746245E-2</v>
      </c>
      <c r="Y542" s="226">
        <f t="shared" si="845"/>
        <v>7.7333333333333254E-2</v>
      </c>
      <c r="Z542" s="223">
        <f t="shared" si="845"/>
        <v>1.1661387849121851E-2</v>
      </c>
      <c r="AA542" s="226">
        <f t="shared" si="845"/>
        <v>1.7251293847038163E-3</v>
      </c>
      <c r="AB542" s="226">
        <f t="shared" si="845"/>
        <v>0.1849201981287838</v>
      </c>
      <c r="AC542" s="226">
        <f t="shared" si="845"/>
        <v>8.2479784366576769E-2</v>
      </c>
      <c r="AD542" s="226">
        <f t="shared" si="845"/>
        <v>0.10705445544554459</v>
      </c>
      <c r="AE542" s="223">
        <f t="shared" si="845"/>
        <v>9.4634979365305183E-2</v>
      </c>
      <c r="AF542" s="226">
        <f t="shared" si="845"/>
        <v>9.2996555683122928E-2</v>
      </c>
      <c r="AG542" s="226">
        <f t="shared" si="845"/>
        <v>0.11518810961449133</v>
      </c>
      <c r="AH542" s="226">
        <f t="shared" si="845"/>
        <v>3.9840637450199168E-3</v>
      </c>
      <c r="AI542" s="226">
        <f t="shared" si="845"/>
        <v>-3.3538289547233591E-3</v>
      </c>
      <c r="AJ542" s="223">
        <f t="shared" si="845"/>
        <v>5.3562142485699349E-2</v>
      </c>
      <c r="AK542" s="226">
        <f t="shared" si="845"/>
        <v>-0.11974789915966388</v>
      </c>
      <c r="AL542" s="226">
        <f t="shared" si="845"/>
        <v>-0.29112869637650973</v>
      </c>
      <c r="AM542" s="226">
        <f t="shared" si="845"/>
        <v>-5.5059523809523836E-2</v>
      </c>
      <c r="AN542" s="226">
        <f t="shared" si="845"/>
        <v>-0.13684800897363991</v>
      </c>
      <c r="AO542" s="223">
        <f t="shared" si="845"/>
        <v>-0.15819348469891414</v>
      </c>
      <c r="AP542" s="226">
        <f t="shared" si="845"/>
        <v>1.1933174224343368E-3</v>
      </c>
      <c r="AQ542" s="226">
        <f t="shared" si="845"/>
        <v>-0.17273795534665104</v>
      </c>
      <c r="AR542" s="226">
        <f t="shared" si="845"/>
        <v>2.0997375328084544E-3</v>
      </c>
      <c r="AS542" s="226">
        <f t="shared" ref="AS542:AU542" si="846">AS552/AS$544-1</f>
        <v>0.20142949967511381</v>
      </c>
      <c r="AT542" s="223">
        <f t="shared" si="846"/>
        <v>3.2248607446496713E-3</v>
      </c>
      <c r="AU542" s="773">
        <f t="shared" si="846"/>
        <v>0.18831942789034573</v>
      </c>
      <c r="AV542" s="177"/>
      <c r="AW542" s="177"/>
      <c r="AX542" s="177"/>
      <c r="AY542" s="113"/>
      <c r="AZ542" s="177"/>
      <c r="BA542" s="177"/>
      <c r="BB542" s="177"/>
      <c r="BC542" s="177"/>
      <c r="BD542" s="113"/>
      <c r="BE542" s="113"/>
      <c r="BF542" s="113"/>
      <c r="BG542" s="113"/>
      <c r="BH542" s="94"/>
    </row>
    <row r="543" spans="1:60" s="225" customFormat="1" hidden="1" outlineLevel="1" x14ac:dyDescent="0.35">
      <c r="A543" s="538"/>
      <c r="B543" s="176"/>
      <c r="C543" s="113"/>
      <c r="D543" s="113"/>
      <c r="E543" s="113"/>
      <c r="F543" s="113"/>
      <c r="G543" s="177"/>
      <c r="H543" s="177"/>
      <c r="I543" s="177"/>
      <c r="J543" s="177"/>
      <c r="K543" s="113"/>
      <c r="L543" s="177"/>
      <c r="M543" s="177"/>
      <c r="N543" s="177"/>
      <c r="O543" s="177"/>
      <c r="P543" s="113"/>
      <c r="Q543" s="177"/>
      <c r="R543" s="177"/>
      <c r="S543" s="177"/>
      <c r="T543" s="177"/>
      <c r="U543" s="113"/>
      <c r="V543" s="177"/>
      <c r="W543" s="177"/>
      <c r="X543" s="177"/>
      <c r="Y543" s="177"/>
      <c r="Z543" s="113"/>
      <c r="AA543" s="177"/>
      <c r="AB543" s="177"/>
      <c r="AC543" s="177"/>
      <c r="AD543" s="177"/>
      <c r="AE543" s="113"/>
      <c r="AF543" s="177"/>
      <c r="AG543" s="177"/>
      <c r="AH543" s="177"/>
      <c r="AI543" s="177"/>
      <c r="AJ543" s="113"/>
      <c r="AK543" s="177"/>
      <c r="AL543" s="177"/>
      <c r="AM543" s="177"/>
      <c r="AN543" s="177"/>
      <c r="AO543" s="113"/>
      <c r="AP543" s="177"/>
      <c r="AQ543" s="177"/>
      <c r="AR543" s="177"/>
      <c r="AS543" s="177"/>
      <c r="AT543" s="113"/>
      <c r="AU543" s="780"/>
      <c r="AV543" s="177"/>
      <c r="AW543" s="177"/>
      <c r="AX543" s="177"/>
      <c r="AY543" s="113"/>
      <c r="AZ543" s="177"/>
      <c r="BA543" s="177"/>
      <c r="BB543" s="177"/>
      <c r="BC543" s="177"/>
      <c r="BD543" s="113"/>
      <c r="BE543" s="113"/>
      <c r="BF543" s="113"/>
      <c r="BG543" s="113"/>
      <c r="BH543" s="94"/>
    </row>
    <row r="544" spans="1:60" s="69" customFormat="1" hidden="1" outlineLevel="1" x14ac:dyDescent="0.35">
      <c r="A544" s="90" t="s">
        <v>1016</v>
      </c>
      <c r="B544" s="518"/>
      <c r="C544" s="519"/>
      <c r="D544" s="519"/>
      <c r="E544" s="519"/>
      <c r="F544" s="519"/>
      <c r="G544" s="520"/>
      <c r="H544" s="520"/>
      <c r="I544" s="520"/>
      <c r="J544" s="520"/>
      <c r="K544" s="519"/>
      <c r="L544" s="520"/>
      <c r="M544" s="520"/>
      <c r="N544" s="520"/>
      <c r="O544" s="520"/>
      <c r="P544" s="440">
        <f>K804</f>
        <v>6666</v>
      </c>
      <c r="Q544" s="520"/>
      <c r="R544" s="520"/>
      <c r="S544" s="520"/>
      <c r="T544" s="520"/>
      <c r="U544" s="440">
        <f>P552</f>
        <v>7135</v>
      </c>
      <c r="V544" s="441">
        <f>Q804</f>
        <v>1730</v>
      </c>
      <c r="W544" s="441">
        <f>R804</f>
        <v>1840</v>
      </c>
      <c r="X544" s="441">
        <f>S804</f>
        <v>1876</v>
      </c>
      <c r="Y544" s="441">
        <f>T804</f>
        <v>1500</v>
      </c>
      <c r="Z544" s="440">
        <f>U552</f>
        <v>6946</v>
      </c>
      <c r="AA544" s="441">
        <f t="shared" ref="AA544:AR544" si="847">V552</f>
        <v>1739</v>
      </c>
      <c r="AB544" s="441">
        <f t="shared" si="847"/>
        <v>1817</v>
      </c>
      <c r="AC544" s="441">
        <f t="shared" si="847"/>
        <v>1855</v>
      </c>
      <c r="AD544" s="441">
        <f t="shared" si="847"/>
        <v>1616</v>
      </c>
      <c r="AE544" s="440">
        <f t="shared" si="847"/>
        <v>7027</v>
      </c>
      <c r="AF544" s="441">
        <f t="shared" si="847"/>
        <v>1742</v>
      </c>
      <c r="AG544" s="441">
        <f t="shared" si="847"/>
        <v>2153</v>
      </c>
      <c r="AH544" s="441">
        <f t="shared" si="847"/>
        <v>2008</v>
      </c>
      <c r="AI544" s="441">
        <f t="shared" si="847"/>
        <v>1789</v>
      </c>
      <c r="AJ544" s="440">
        <f t="shared" si="847"/>
        <v>7692</v>
      </c>
      <c r="AK544" s="441">
        <f t="shared" si="847"/>
        <v>1904</v>
      </c>
      <c r="AL544" s="441">
        <f t="shared" si="847"/>
        <v>2401</v>
      </c>
      <c r="AM544" s="441">
        <f t="shared" si="847"/>
        <v>2016</v>
      </c>
      <c r="AN544" s="441">
        <f t="shared" si="847"/>
        <v>1783</v>
      </c>
      <c r="AO544" s="440">
        <f t="shared" si="847"/>
        <v>8104</v>
      </c>
      <c r="AP544" s="441">
        <f t="shared" si="847"/>
        <v>1676</v>
      </c>
      <c r="AQ544" s="441">
        <f t="shared" si="847"/>
        <v>1702</v>
      </c>
      <c r="AR544" s="441">
        <f t="shared" si="847"/>
        <v>1905</v>
      </c>
      <c r="AS544" s="441">
        <f t="shared" ref="AS544" si="848">AN552</f>
        <v>1539</v>
      </c>
      <c r="AT544" s="440">
        <f t="shared" ref="AT544:AU544" si="849">AO552</f>
        <v>6822</v>
      </c>
      <c r="AU544" s="762">
        <f t="shared" si="849"/>
        <v>1678</v>
      </c>
      <c r="AV544" s="520"/>
      <c r="AW544" s="520"/>
      <c r="AX544" s="520"/>
      <c r="AY544" s="519"/>
      <c r="AZ544" s="520"/>
      <c r="BA544" s="520"/>
      <c r="BB544" s="520"/>
      <c r="BC544" s="520"/>
      <c r="BD544" s="519"/>
      <c r="BE544" s="519"/>
      <c r="BF544" s="519"/>
      <c r="BG544" s="519"/>
      <c r="BH544" s="79"/>
    </row>
    <row r="545" spans="1:60" s="345" customFormat="1" hidden="1" outlineLevel="1" x14ac:dyDescent="0.35">
      <c r="A545" s="161" t="s">
        <v>1031</v>
      </c>
      <c r="B545" s="444"/>
      <c r="C545" s="445"/>
      <c r="D545" s="445"/>
      <c r="E545" s="445"/>
      <c r="F545" s="445"/>
      <c r="G545" s="446"/>
      <c r="H545" s="446"/>
      <c r="I545" s="446"/>
      <c r="J545" s="446"/>
      <c r="K545" s="445"/>
      <c r="L545" s="446"/>
      <c r="M545" s="446"/>
      <c r="N545" s="446"/>
      <c r="O545" s="446"/>
      <c r="P545" s="436">
        <f>(P565+P566)*(P23+P24)-P544</f>
        <v>357.092801492533</v>
      </c>
      <c r="Q545" s="446"/>
      <c r="R545" s="446"/>
      <c r="S545" s="446"/>
      <c r="T545" s="446"/>
      <c r="U545" s="436">
        <f>(U565+U566)*(U23+U24)-U544</f>
        <v>112.68309485732698</v>
      </c>
      <c r="V545" s="437">
        <f>(V565+V566)*(V23+V24)-V544</f>
        <v>-89.003392000000076</v>
      </c>
      <c r="W545" s="437">
        <f>(W565+W566)*(W23+W24)-W544</f>
        <v>-107.36690199999998</v>
      </c>
      <c r="X545" s="437">
        <f>(X565+X566)*(X23+X24)-X544</f>
        <v>-94.700288</v>
      </c>
      <c r="Y545" s="437">
        <f>Z545-SUM(V545,W545,X545)</f>
        <v>-61.534902868863583</v>
      </c>
      <c r="Z545" s="436">
        <f>(Z565+Z566)*(Z23+Z24)-Z544</f>
        <v>-352.60548486886364</v>
      </c>
      <c r="AA545" s="437">
        <f>(AA565+AA566)*(AA23+AA24)-AA544</f>
        <v>171.16386000000011</v>
      </c>
      <c r="AB545" s="437">
        <f>(AB565+AB566)*(AB23+AB24)-AB544</f>
        <v>116.76493600000003</v>
      </c>
      <c r="AC545" s="437">
        <f>(AC565+AC566)*(AC23+AC24)-AC544</f>
        <v>196.39014599999973</v>
      </c>
      <c r="AD545" s="437">
        <f>AE545-SUM(AA545,AB545,AC545)</f>
        <v>227.7392554148264</v>
      </c>
      <c r="AE545" s="436">
        <f>(AE565+AE566)*(AE23+AE24)-AE544</f>
        <v>712.05819741482628</v>
      </c>
      <c r="AF545" s="437">
        <f>(AF565+AF566)*(AF23+AF24)-AF544</f>
        <v>130.73862000000008</v>
      </c>
      <c r="AG545" s="437">
        <f>(AG565+AG566)*(AG23+AG24)-AG544</f>
        <v>333.56705000000011</v>
      </c>
      <c r="AH545" s="437">
        <f>(AH565+AH566)*(AH23+AH24)-AH544</f>
        <v>59.269204000000173</v>
      </c>
      <c r="AI545" s="437">
        <f>AJ545-SUM(AF545,AG545,AH545)</f>
        <v>-75.165773001453545</v>
      </c>
      <c r="AJ545" s="436">
        <f>(AJ565+AJ566)*(AJ23+AJ24)-AJ544</f>
        <v>448.40910099854682</v>
      </c>
      <c r="AK545" s="437">
        <f>(AK565+AK566)*(AK23+AK24)-AK544</f>
        <v>-187.02040000000011</v>
      </c>
      <c r="AL545" s="437">
        <f>(AL565+AL566)*(AL23+AL24)-AL544</f>
        <v>-199.0648000000001</v>
      </c>
      <c r="AM545" s="437">
        <f>(AM565+AM566)*(AM23+AM24)-AM544</f>
        <v>-160.60108800000012</v>
      </c>
      <c r="AN545" s="437">
        <f>AO545-SUM(AK545,AL545,AM545)</f>
        <v>-147.77903186967842</v>
      </c>
      <c r="AO545" s="436">
        <f>(AO565+AO566)*(AO23+AO24)-AO544</f>
        <v>-694.46531986967875</v>
      </c>
      <c r="AP545" s="437">
        <f>(AP565+AP566)*(AP23+AP24)-AP544</f>
        <v>32.289001000000098</v>
      </c>
      <c r="AQ545" s="437">
        <f>(AQ565+AQ566)*(AQ23+AQ24)-AQ544</f>
        <v>-302.06944000000021</v>
      </c>
      <c r="AR545" s="437">
        <f>(AR565+AR566)*(AR23+AR24)-AR544</f>
        <v>-96.356298000000379</v>
      </c>
      <c r="AS545" s="437">
        <f>AT545-SUM(AP545,AQ545,AR545)</f>
        <v>177.99534272143387</v>
      </c>
      <c r="AT545" s="436">
        <f>(AT565+AT566)*(AT23+AT24)-AT544</f>
        <v>-188.14139427856662</v>
      </c>
      <c r="AU545" s="763">
        <f>(AU565+AU566)*(AU23+AU24)-AU544</f>
        <v>254.17792499999996</v>
      </c>
      <c r="AV545" s="446"/>
      <c r="AW545" s="446"/>
      <c r="AX545" s="446"/>
      <c r="AY545" s="445"/>
      <c r="AZ545" s="446"/>
      <c r="BA545" s="446"/>
      <c r="BB545" s="446"/>
      <c r="BC545" s="446"/>
      <c r="BD545" s="445"/>
      <c r="BE545" s="445"/>
      <c r="BF545" s="445"/>
      <c r="BG545" s="445"/>
      <c r="BH545" s="351"/>
    </row>
    <row r="546" spans="1:60" s="345" customFormat="1" hidden="1" outlineLevel="1" x14ac:dyDescent="0.35">
      <c r="A546" s="101" t="s">
        <v>1032</v>
      </c>
      <c r="B546" s="501"/>
      <c r="C546" s="502"/>
      <c r="D546" s="502"/>
      <c r="E546" s="502"/>
      <c r="F546" s="502"/>
      <c r="G546" s="463"/>
      <c r="H546" s="463"/>
      <c r="I546" s="463"/>
      <c r="J546" s="463"/>
      <c r="K546" s="502"/>
      <c r="L546" s="463"/>
      <c r="M546" s="463"/>
      <c r="N546" s="463"/>
      <c r="O546" s="463"/>
      <c r="P546" s="480">
        <f>(P565+P567)*(P23+P25)-P544</f>
        <v>376.66524275501251</v>
      </c>
      <c r="Q546" s="463"/>
      <c r="R546" s="463"/>
      <c r="S546" s="463"/>
      <c r="T546" s="463"/>
      <c r="U546" s="480">
        <f>(U565+U567)*(U23+U25)-U544</f>
        <v>591.24061716350843</v>
      </c>
      <c r="V546" s="458">
        <f>(V565+V567)*(V23+V25)-V544</f>
        <v>99.678222000000233</v>
      </c>
      <c r="W546" s="458">
        <f>(W565+W567)*(W23+W25)-W544</f>
        <v>121.25709800000027</v>
      </c>
      <c r="X546" s="458">
        <f>(X565+X567)*(X23+X25)-X544</f>
        <v>88.838719999999739</v>
      </c>
      <c r="Y546" s="458">
        <f>Z546-SUM(V546,W546,X546)</f>
        <v>42.36628831208327</v>
      </c>
      <c r="Z546" s="480">
        <f>(Z565+Z567)*(Z23+Z25)-Z544</f>
        <v>352.14032831208351</v>
      </c>
      <c r="AA546" s="458">
        <f>(AA565+AA567)*(AA23+AA25)-AA544</f>
        <v>38.82104500000014</v>
      </c>
      <c r="AB546" s="458">
        <f>(AB565+AB567)*(AB23+AB25)-AB544</f>
        <v>2.1880139999998391</v>
      </c>
      <c r="AC546" s="458">
        <f>(AC565+AC567)*(AC23+AC25)-AC544</f>
        <v>23.126999999999953</v>
      </c>
      <c r="AD546" s="458">
        <f>AE546-SUM(AA546,AB546,AC546)</f>
        <v>56.081783848184841</v>
      </c>
      <c r="AE546" s="480">
        <f>(AE565+AE567)*(AE23+AE25)-AE544</f>
        <v>120.21784284818477</v>
      </c>
      <c r="AF546" s="458">
        <f>(AF565+AF567)*(AF23+AF25)-AF544</f>
        <v>19.932794999999942</v>
      </c>
      <c r="AG546" s="458">
        <f>(AG565+AG567)*(AG23+AG25)-AG544</f>
        <v>47.370730000000094</v>
      </c>
      <c r="AH546" s="458">
        <f>(AH565+AH567)*(AH23+AH25)-AH544</f>
        <v>48.906191999999919</v>
      </c>
      <c r="AI546" s="458">
        <f>AJ546-SUM(AF546,AG546,AH546)</f>
        <v>0.74956916903079218</v>
      </c>
      <c r="AJ546" s="480">
        <f>(AJ565+AJ567)*(AJ23+AJ25)-AJ544</f>
        <v>116.95928616903075</v>
      </c>
      <c r="AK546" s="458">
        <f>(AK565+AK567)*(AK23+AK25)-AK544</f>
        <v>39.190722000000051</v>
      </c>
      <c r="AL546" s="458">
        <f>(AL565+AL567)*(AL23+AL25)-AL544</f>
        <v>37.300850000000082</v>
      </c>
      <c r="AM546" s="458">
        <f>(AM565+AM567)*(AM23+AM25)-AM544</f>
        <v>30.577367999999979</v>
      </c>
      <c r="AN546" s="458">
        <f>AO546-SUM(AK546,AL546,AM546)</f>
        <v>62.959415428657849</v>
      </c>
      <c r="AO546" s="480">
        <f>(AO565+AO567)*(AO23+AO25)-AO544</f>
        <v>170.02835542865796</v>
      </c>
      <c r="AP546" s="458">
        <f>(AP565+AP567)*(AP23+AP25)-AP544</f>
        <v>40.838996000000179</v>
      </c>
      <c r="AQ546" s="458">
        <f>(AQ565+AQ567)*(AQ23+AQ25)-AQ544</f>
        <v>65.992984999999862</v>
      </c>
      <c r="AR546" s="458">
        <f>(AR565+AR567)*(AR23+AR25)-AR544</f>
        <v>69.832323999999744</v>
      </c>
      <c r="AS546" s="458">
        <f>AT546-SUM(AP546,AQ546,AR546)</f>
        <v>83.575973433905801</v>
      </c>
      <c r="AT546" s="480">
        <f>(AT565+AT567)*(AT23+AT25)-AT544</f>
        <v>260.24027843390559</v>
      </c>
      <c r="AU546" s="774">
        <f>(AU565+AU567)*(AU23+AU25)-AU544</f>
        <v>-2.9058500000001004</v>
      </c>
      <c r="AV546" s="463"/>
      <c r="AW546" s="463"/>
      <c r="AX546" s="463"/>
      <c r="AY546" s="502"/>
      <c r="AZ546" s="463"/>
      <c r="BA546" s="463"/>
      <c r="BB546" s="463"/>
      <c r="BC546" s="463"/>
      <c r="BD546" s="502"/>
      <c r="BE546" s="502"/>
      <c r="BF546" s="502"/>
      <c r="BG546" s="502"/>
      <c r="BH546" s="351"/>
    </row>
    <row r="547" spans="1:60" s="345" customFormat="1" hidden="1" outlineLevel="1" x14ac:dyDescent="0.35">
      <c r="A547" s="350" t="s">
        <v>1033</v>
      </c>
      <c r="B547" s="444"/>
      <c r="C547" s="445"/>
      <c r="D547" s="445"/>
      <c r="E547" s="445"/>
      <c r="F547" s="445"/>
      <c r="G547" s="446"/>
      <c r="H547" s="446"/>
      <c r="I547" s="446"/>
      <c r="J547" s="446"/>
      <c r="K547" s="445"/>
      <c r="L547" s="446"/>
      <c r="M547" s="446"/>
      <c r="N547" s="446"/>
      <c r="O547" s="446"/>
      <c r="P547" s="436">
        <f>SUM(P545:P546)</f>
        <v>733.75804424754551</v>
      </c>
      <c r="Q547" s="446"/>
      <c r="R547" s="446"/>
      <c r="S547" s="446"/>
      <c r="T547" s="446"/>
      <c r="U547" s="436">
        <f t="shared" ref="U547:AR547" si="850">SUM(U545:U546)</f>
        <v>703.92371202083541</v>
      </c>
      <c r="V547" s="437">
        <f t="shared" si="850"/>
        <v>10.674830000000156</v>
      </c>
      <c r="W547" s="437">
        <f t="shared" si="850"/>
        <v>13.890196000000287</v>
      </c>
      <c r="X547" s="437">
        <f t="shared" si="850"/>
        <v>-5.8615680000002612</v>
      </c>
      <c r="Y547" s="437">
        <f t="shared" si="850"/>
        <v>-19.168614556780312</v>
      </c>
      <c r="Z547" s="436">
        <f t="shared" si="850"/>
        <v>-0.4651565567801299</v>
      </c>
      <c r="AA547" s="437">
        <f t="shared" si="850"/>
        <v>209.98490500000025</v>
      </c>
      <c r="AB547" s="437">
        <f t="shared" si="850"/>
        <v>118.95294999999987</v>
      </c>
      <c r="AC547" s="437">
        <f t="shared" si="850"/>
        <v>219.51714599999968</v>
      </c>
      <c r="AD547" s="437">
        <f t="shared" si="850"/>
        <v>283.82103926301124</v>
      </c>
      <c r="AE547" s="436">
        <f t="shared" si="850"/>
        <v>832.27604026301105</v>
      </c>
      <c r="AF547" s="437">
        <f t="shared" si="850"/>
        <v>150.67141500000002</v>
      </c>
      <c r="AG547" s="437">
        <f t="shared" si="850"/>
        <v>380.9377800000002</v>
      </c>
      <c r="AH547" s="437">
        <f t="shared" si="850"/>
        <v>108.17539600000009</v>
      </c>
      <c r="AI547" s="437">
        <f t="shared" si="850"/>
        <v>-74.416203832422752</v>
      </c>
      <c r="AJ547" s="436">
        <f t="shared" si="850"/>
        <v>565.36838716757757</v>
      </c>
      <c r="AK547" s="437">
        <f t="shared" si="850"/>
        <v>-147.82967800000006</v>
      </c>
      <c r="AL547" s="437">
        <f t="shared" si="850"/>
        <v>-161.76395000000002</v>
      </c>
      <c r="AM547" s="437">
        <f t="shared" si="850"/>
        <v>-130.02372000000014</v>
      </c>
      <c r="AN547" s="437">
        <f t="shared" si="850"/>
        <v>-84.819616441020571</v>
      </c>
      <c r="AO547" s="436">
        <f t="shared" si="850"/>
        <v>-524.43696444102079</v>
      </c>
      <c r="AP547" s="437">
        <f t="shared" si="850"/>
        <v>73.127997000000278</v>
      </c>
      <c r="AQ547" s="437">
        <f t="shared" si="850"/>
        <v>-236.07645500000035</v>
      </c>
      <c r="AR547" s="437">
        <f t="shared" si="850"/>
        <v>-26.523974000000635</v>
      </c>
      <c r="AS547" s="437">
        <f t="shared" ref="AS547:AU547" si="851">SUM(AS545:AS546)</f>
        <v>261.57131615533967</v>
      </c>
      <c r="AT547" s="436">
        <f t="shared" si="851"/>
        <v>72.098884155338965</v>
      </c>
      <c r="AU547" s="763">
        <f t="shared" si="851"/>
        <v>251.27207499999986</v>
      </c>
      <c r="AV547" s="446"/>
      <c r="AW547" s="446"/>
      <c r="AX547" s="446"/>
      <c r="AY547" s="445"/>
      <c r="AZ547" s="446"/>
      <c r="BA547" s="446"/>
      <c r="BB547" s="446"/>
      <c r="BC547" s="446"/>
      <c r="BD547" s="445"/>
      <c r="BE547" s="445"/>
      <c r="BF547" s="445"/>
      <c r="BG547" s="445"/>
      <c r="BH547" s="351"/>
    </row>
    <row r="548" spans="1:60" s="345" customFormat="1" hidden="1" outlineLevel="1" x14ac:dyDescent="0.35">
      <c r="A548" s="350" t="s">
        <v>1034</v>
      </c>
      <c r="B548" s="444"/>
      <c r="C548" s="445"/>
      <c r="D548" s="445"/>
      <c r="E548" s="445"/>
      <c r="F548" s="445"/>
      <c r="G548" s="446"/>
      <c r="H548" s="446"/>
      <c r="I548" s="446"/>
      <c r="J548" s="446"/>
      <c r="K548" s="445"/>
      <c r="L548" s="446"/>
      <c r="M548" s="446"/>
      <c r="N548" s="446"/>
      <c r="O548" s="446"/>
      <c r="P548" s="436">
        <f>(P565+P573)*(P23+P27+P28)-P544</f>
        <v>-25.876652794759138</v>
      </c>
      <c r="Q548" s="446"/>
      <c r="R548" s="446"/>
      <c r="S548" s="446"/>
      <c r="T548" s="446"/>
      <c r="U548" s="436">
        <f>(U565+U573)*(U23+U27+U28)-U544</f>
        <v>-19.829624949246863</v>
      </c>
      <c r="V548" s="437">
        <f>(V565+V573)*(V23+V27+V28)-V544</f>
        <v>12.281504000000041</v>
      </c>
      <c r="W548" s="437">
        <f>(W565+W573)*(W23+W27+W28)-W544</f>
        <v>25.759999999999991</v>
      </c>
      <c r="X548" s="437">
        <f>(X565+X573)*(X23+X27+X28)-X544</f>
        <v>-2.1071360000000823</v>
      </c>
      <c r="Y548" s="437">
        <f>Z548-SUM(V548,W548,X548)</f>
        <v>76.177048403779054</v>
      </c>
      <c r="Z548" s="436">
        <f>(Z565+Z573)*(Z23+Z27+Z28)-Z544</f>
        <v>112.111416403779</v>
      </c>
      <c r="AA548" s="437">
        <f>(AA565+AA573)*(AA23+AA27+AA28)-AA544</f>
        <v>-21.714727999999923</v>
      </c>
      <c r="AB548" s="437">
        <f>(AB565+AB573)*(AB23+AB27+AB28)-AB544</f>
        <v>436.95279999999957</v>
      </c>
      <c r="AC548" s="437">
        <f>(AC565+AC573)*(AC23+AC27+AC28)-AC544</f>
        <v>8.2059679999999844</v>
      </c>
      <c r="AD548" s="437">
        <f>AE548-SUM(AA548,AB548,AC548)</f>
        <v>-45.650082934072316</v>
      </c>
      <c r="AE548" s="436">
        <f>(AE565+AE573)*(AE23+AE27+AE28)-AE544</f>
        <v>377.79395706592732</v>
      </c>
      <c r="AF548" s="437">
        <f>(AF565+AF573)*(AF23+AF27+AF28)-AF544</f>
        <v>-18.761180000000195</v>
      </c>
      <c r="AG548" s="437">
        <f>(AG565+AG573)*(AG23+AG27+AG28)-AG544</f>
        <v>-85.118239999999787</v>
      </c>
      <c r="AH548" s="437">
        <f>(AH565+AH573)*(AH23+AH27+AH28)-AH544</f>
        <v>-20.54903199999967</v>
      </c>
      <c r="AI548" s="437">
        <f>AJ548-SUM(AF548,AG548,AH548)</f>
        <v>68.04236980061205</v>
      </c>
      <c r="AJ548" s="436">
        <f>(AJ565+AJ573)*(AJ23+AJ27+AJ28)-AJ544</f>
        <v>-56.386082199387602</v>
      </c>
      <c r="AK548" s="437">
        <f>(AK565+AK573)*(AK23+AK27+AK28)-AK544</f>
        <v>-45.427559999999858</v>
      </c>
      <c r="AL548" s="437">
        <f>(AL565+AL573)*(AL23+AL27+AL28)-AL544</f>
        <v>-425.91688999999997</v>
      </c>
      <c r="AM548" s="437">
        <f>(AM565+AM573)*(AM23+AM27+AM28)-AM544</f>
        <v>94.10512000000017</v>
      </c>
      <c r="AN548" s="437">
        <f>AO548-SUM(AK548,AL548,AM548)</f>
        <v>-28.900554045170566</v>
      </c>
      <c r="AO548" s="436">
        <f>(AO565+AO573)*(AO23+AO27+AO28)-AO544</f>
        <v>-406.13988404517022</v>
      </c>
      <c r="AP548" s="437">
        <f>(AP565+AP573)*(AP23+AP27+AP28)-AP544</f>
        <v>-0.69323999999983243</v>
      </c>
      <c r="AQ548" s="437">
        <f>(AQ565+AQ573)*(AQ23+AQ27+AQ28)-AQ544</f>
        <v>-26.088832000000366</v>
      </c>
      <c r="AR548" s="437">
        <f>(AR565+AR573)*(AR23+AR27+AR28)-AR544</f>
        <v>34.638319999999567</v>
      </c>
      <c r="AS548" s="437">
        <f>AT548-SUM(AP548,AQ548,AR548)</f>
        <v>-33.624544665422263</v>
      </c>
      <c r="AT548" s="436">
        <f>(AT565+AT573)*(AT23+AT27+AT28)-AT544</f>
        <v>-25.768296665422895</v>
      </c>
      <c r="AU548" s="763">
        <f>(AU565+AU573)*(AU23+AU27+AU28)-AU544</f>
        <v>-21.914400000000114</v>
      </c>
      <c r="AV548" s="446"/>
      <c r="AW548" s="446"/>
      <c r="AX548" s="446"/>
      <c r="AY548" s="445"/>
      <c r="AZ548" s="446"/>
      <c r="BA548" s="446"/>
      <c r="BB548" s="446"/>
      <c r="BC548" s="446"/>
      <c r="BD548" s="445"/>
      <c r="BE548" s="445"/>
      <c r="BF548" s="445"/>
      <c r="BG548" s="445"/>
      <c r="BH548" s="351"/>
    </row>
    <row r="549" spans="1:60" s="345" customFormat="1" hidden="1" outlineLevel="1" x14ac:dyDescent="0.35">
      <c r="A549" s="350" t="s">
        <v>1035</v>
      </c>
      <c r="B549" s="444"/>
      <c r="C549" s="445"/>
      <c r="D549" s="445"/>
      <c r="E549" s="445"/>
      <c r="F549" s="445"/>
      <c r="G549" s="446"/>
      <c r="H549" s="446"/>
      <c r="I549" s="446"/>
      <c r="J549" s="446"/>
      <c r="K549" s="445"/>
      <c r="L549" s="446"/>
      <c r="M549" s="446"/>
      <c r="N549" s="446"/>
      <c r="O549" s="446"/>
      <c r="P549" s="436">
        <f>(P565+P574)*(P23+P29)-P544</f>
        <v>-216.2636241455084</v>
      </c>
      <c r="Q549" s="446"/>
      <c r="R549" s="446"/>
      <c r="S549" s="446"/>
      <c r="T549" s="446"/>
      <c r="U549" s="436">
        <f>(U565+U574)*(U23+U29)-U544</f>
        <v>-482.67072043618919</v>
      </c>
      <c r="V549" s="437">
        <f>(V565+V574)*(V23+V29)-V544</f>
        <v>-59.250659999999925</v>
      </c>
      <c r="W549" s="437">
        <f>(W565+W574)*(W23+W29)-W544</f>
        <v>-50.312130000000025</v>
      </c>
      <c r="X549" s="437">
        <f>(X565+X574)*(X23+X29)-X544</f>
        <v>-29.37279999999987</v>
      </c>
      <c r="Y549" s="437">
        <f>Z549-SUM(V549,W549,X549)</f>
        <v>-4.0481508736213527</v>
      </c>
      <c r="Z549" s="436">
        <f>(Z565+Z574)*(Z23+Z29)-Z544</f>
        <v>-142.98374087362117</v>
      </c>
      <c r="AA549" s="437">
        <f>(AA565+AA574)*(AA23+AA29)-AA544</f>
        <v>-38.182819999999992</v>
      </c>
      <c r="AB549" s="437">
        <f>(AB565+AB574)*(AB23+AB29)-AB544</f>
        <v>-48.982140000000072</v>
      </c>
      <c r="AC549" s="437">
        <f>(AC565+AC574)*(AC23+AC29)-AC544</f>
        <v>-19.891016000000036</v>
      </c>
      <c r="AD549" s="437">
        <f>AE549-SUM(AA549,AB549,AC549)</f>
        <v>-6.6915737492440712</v>
      </c>
      <c r="AE549" s="436">
        <f>(AE565+AE574)*(AE23+AE29)-AE544</f>
        <v>-113.74754974924417</v>
      </c>
      <c r="AF549" s="437">
        <f>(AF565+AF574)*(AF23+AF29)-AF544</f>
        <v>41.132920000000013</v>
      </c>
      <c r="AG549" s="437">
        <f>(AG565+AG574)*(AG23+AG29)-AG544</f>
        <v>5.7537999999999556</v>
      </c>
      <c r="AH549" s="437">
        <f>(AH565+AH574)*(AH23+AH29)-AH544</f>
        <v>-74.301380000000108</v>
      </c>
      <c r="AI549" s="437">
        <f>AJ549-SUM(AF549,AG549,AH549)</f>
        <v>-17.060531624727673</v>
      </c>
      <c r="AJ549" s="436">
        <f>(AJ565+AJ574)*(AJ23+AJ29)-AJ544</f>
        <v>-44.475191624727813</v>
      </c>
      <c r="AK549" s="437">
        <f>(AK565+AK574)*(AK23+AK29)-AK544</f>
        <v>-43.621172000000115</v>
      </c>
      <c r="AL549" s="437">
        <f>(AL565+AL574)*(AL23+AL29)-AL544</f>
        <v>-10.262079999999969</v>
      </c>
      <c r="AM549" s="437">
        <f>(AM565+AM574)*(AM23+AM29)-AM544</f>
        <v>38.160192000000279</v>
      </c>
      <c r="AN549" s="437">
        <f>AO549-SUM(AK549,AL549,AM549)</f>
        <v>-8.6665433578514239</v>
      </c>
      <c r="AO549" s="436">
        <f>(AO565+AO574)*(AO23+AO29)-AO544</f>
        <v>-24.389603357851229</v>
      </c>
      <c r="AP549" s="437">
        <f>(AP565+AP574)*(AP23+AP29)-AP544</f>
        <v>-58.552709999999934</v>
      </c>
      <c r="AQ549" s="437">
        <f>(AQ565+AQ574)*(AQ23+AQ29)-AQ544</f>
        <v>-33.578435000000127</v>
      </c>
      <c r="AR549" s="437">
        <f>(AR565+AR574)*(AR23+AR29)-AR544</f>
        <v>-18.596082000000251</v>
      </c>
      <c r="AS549" s="437">
        <f>AT549-SUM(AP549,AQ549,AR549)</f>
        <v>19.617023976848941</v>
      </c>
      <c r="AT549" s="436">
        <f>(AT565+AT574)*(AT23+AT29)-AT544</f>
        <v>-91.110203023151371</v>
      </c>
      <c r="AU549" s="763">
        <f>(AU565+AU574)*(AU23+AU29)-AU544</f>
        <v>85.257000000000062</v>
      </c>
      <c r="AV549" s="446"/>
      <c r="AW549" s="446"/>
      <c r="AX549" s="446"/>
      <c r="AY549" s="445"/>
      <c r="AZ549" s="446"/>
      <c r="BA549" s="446"/>
      <c r="BB549" s="446"/>
      <c r="BC549" s="446"/>
      <c r="BD549" s="445"/>
      <c r="BE549" s="445"/>
      <c r="BF549" s="445"/>
      <c r="BG549" s="445"/>
      <c r="BH549" s="351"/>
    </row>
    <row r="550" spans="1:60" s="345" customFormat="1" hidden="1" outlineLevel="1" x14ac:dyDescent="0.35">
      <c r="A550" s="350" t="s">
        <v>1036</v>
      </c>
      <c r="B550" s="444"/>
      <c r="C550" s="445"/>
      <c r="D550" s="445"/>
      <c r="E550" s="445"/>
      <c r="F550" s="445"/>
      <c r="G550" s="446"/>
      <c r="H550" s="446"/>
      <c r="I550" s="446"/>
      <c r="J550" s="446"/>
      <c r="K550" s="445"/>
      <c r="L550" s="446"/>
      <c r="M550" s="446"/>
      <c r="N550" s="446"/>
      <c r="O550" s="446"/>
      <c r="P550" s="436">
        <f>(P565+P581)*P23-P544</f>
        <v>-185.22600000000057</v>
      </c>
      <c r="Q550" s="446"/>
      <c r="R550" s="446"/>
      <c r="S550" s="446"/>
      <c r="T550" s="446"/>
      <c r="U550" s="436">
        <f>(U565+U581)*U23-U544</f>
        <v>-222.7470000000003</v>
      </c>
      <c r="V550" s="437">
        <f>(V565+V581)*V23-V544</f>
        <v>22.734000000000151</v>
      </c>
      <c r="W550" s="437">
        <f>(W565+W581)*W23-W544</f>
        <v>7.6860000000001492</v>
      </c>
      <c r="X550" s="437">
        <f>(X565+X581)*X23-X544</f>
        <v>0</v>
      </c>
      <c r="Y550" s="437">
        <f>Z550-SUM(V550,W550,X550)</f>
        <v>120.9500000000005</v>
      </c>
      <c r="Z550" s="436">
        <f>(Z565+Z581)*Z23-Z544</f>
        <v>151.3700000000008</v>
      </c>
      <c r="AA550" s="437">
        <f>(AA565+AA581)*AA23-AA544</f>
        <v>-133.36199999999985</v>
      </c>
      <c r="AB550" s="437">
        <f>(AB565+AB581)*AB23-AB544</f>
        <v>-176.22600000000011</v>
      </c>
      <c r="AC550" s="437">
        <f>(AC565+AC581)*AC23-AC544</f>
        <v>-46.254000000000133</v>
      </c>
      <c r="AD550" s="437">
        <f>AE550-SUM(AA550,AB550,AC550)</f>
        <v>-65.683999999999742</v>
      </c>
      <c r="AE550" s="436">
        <f>(AE565+AE581)*AE23-AE544</f>
        <v>-421.52599999999984</v>
      </c>
      <c r="AF550" s="437">
        <f>(AF565+AF581)*AF23-AF544</f>
        <v>0</v>
      </c>
      <c r="AG550" s="437">
        <f>(AG565+AG581)*AG23-AG544</f>
        <v>0</v>
      </c>
      <c r="AH550" s="437">
        <f>(AH565+AH581)*AH23-AH544</f>
        <v>-8.1720000000000255</v>
      </c>
      <c r="AI550" s="437">
        <f>AJ550-SUM(AF550,AG550,AH550)</f>
        <v>8.1720000000000255</v>
      </c>
      <c r="AJ550" s="436">
        <f>(AJ565+AJ581)*AJ23-AJ544</f>
        <v>0</v>
      </c>
      <c r="AK550" s="437">
        <f>(AK565+AK581)*AK23-AK544</f>
        <v>-2.9760000000001128</v>
      </c>
      <c r="AL550" s="437">
        <f>(AL565+AL581)*AL23-AL544</f>
        <v>-117.46000000000004</v>
      </c>
      <c r="AM550" s="437">
        <f>(AM565+AM581)*AM23-AM544</f>
        <v>0</v>
      </c>
      <c r="AN550" s="437">
        <f>AO550-SUM(AK550,AL550,AM550)</f>
        <v>-154.02900000000091</v>
      </c>
      <c r="AO550" s="436">
        <f>(AO565+AO581)*AO23-AO544</f>
        <v>-274.46500000000106</v>
      </c>
      <c r="AP550" s="437">
        <f>(AP565+AP581)*AP23-AP544</f>
        <v>2.5470000000000255</v>
      </c>
      <c r="AQ550" s="437">
        <f>(AQ565+AQ581)*AQ23-AQ544</f>
        <v>0</v>
      </c>
      <c r="AR550" s="437">
        <f>(AR565+AR581)*AR23-AR544</f>
        <v>-5.874000000000251</v>
      </c>
      <c r="AS550" s="437">
        <f>AT550-SUM(AP550,AQ550,AR550)</f>
        <v>62.319000000000415</v>
      </c>
      <c r="AT550" s="436">
        <f>(AT565+AT581)*AT23-AT544</f>
        <v>58.992000000000189</v>
      </c>
      <c r="AU550" s="763">
        <f>(AU565+AU581)*AU23-AU544</f>
        <v>1.5999999999999091</v>
      </c>
      <c r="AV550" s="446"/>
      <c r="AW550" s="446"/>
      <c r="AX550" s="446"/>
      <c r="AY550" s="445"/>
      <c r="AZ550" s="446"/>
      <c r="BA550" s="446"/>
      <c r="BB550" s="446"/>
      <c r="BC550" s="446"/>
      <c r="BD550" s="445"/>
      <c r="BE550" s="445"/>
      <c r="BF550" s="445"/>
      <c r="BG550" s="445"/>
      <c r="BH550" s="351"/>
    </row>
    <row r="551" spans="1:60" s="345" customFormat="1" hidden="1" outlineLevel="1" x14ac:dyDescent="0.35">
      <c r="A551" s="91" t="s">
        <v>1037</v>
      </c>
      <c r="B551" s="501"/>
      <c r="C551" s="502"/>
      <c r="D551" s="502"/>
      <c r="E551" s="502"/>
      <c r="F551" s="502"/>
      <c r="G551" s="463"/>
      <c r="H551" s="463"/>
      <c r="I551" s="463"/>
      <c r="J551" s="463"/>
      <c r="K551" s="502"/>
      <c r="L551" s="463"/>
      <c r="M551" s="463"/>
      <c r="N551" s="463"/>
      <c r="O551" s="463"/>
      <c r="P551" s="480">
        <f>P552-SUM(P547:P550)-P544</f>
        <v>162.60823269272259</v>
      </c>
      <c r="Q551" s="463"/>
      <c r="R551" s="463"/>
      <c r="S551" s="463"/>
      <c r="T551" s="463"/>
      <c r="U551" s="480">
        <f t="shared" ref="U551:AR551" si="852">U552-SUM(U547:U550)-U544</f>
        <v>-167.67636663539906</v>
      </c>
      <c r="V551" s="458">
        <f t="shared" si="852"/>
        <v>22.560325999999577</v>
      </c>
      <c r="W551" s="458">
        <f t="shared" si="852"/>
        <v>-20.024066000000403</v>
      </c>
      <c r="X551" s="458">
        <f t="shared" si="852"/>
        <v>16.341504000000214</v>
      </c>
      <c r="Y551" s="458">
        <f>Z551-SUM(V551,W551,X551)</f>
        <v>-57.910282973377889</v>
      </c>
      <c r="Z551" s="480">
        <f t="shared" si="852"/>
        <v>-39.032518973378501</v>
      </c>
      <c r="AA551" s="458">
        <f t="shared" si="852"/>
        <v>-13.725357000000486</v>
      </c>
      <c r="AB551" s="458">
        <f t="shared" si="852"/>
        <v>5.3023900000007416</v>
      </c>
      <c r="AC551" s="458">
        <f t="shared" si="852"/>
        <v>-8.5780979999994997</v>
      </c>
      <c r="AD551" s="458">
        <f>AE551-SUM(AA551,AB551,AC551)</f>
        <v>7.2046174203048849</v>
      </c>
      <c r="AE551" s="480">
        <f t="shared" si="852"/>
        <v>-9.7964475796943589</v>
      </c>
      <c r="AF551" s="458">
        <f t="shared" si="852"/>
        <v>-11.043154999999842</v>
      </c>
      <c r="AG551" s="458">
        <f t="shared" si="852"/>
        <v>-53.573340000000371</v>
      </c>
      <c r="AH551" s="458">
        <f t="shared" si="852"/>
        <v>2.8470159999997122</v>
      </c>
      <c r="AI551" s="458">
        <f>AJ551-SUM(AF551,AG551,AH551)</f>
        <v>9.2623656565383499</v>
      </c>
      <c r="AJ551" s="480">
        <f t="shared" si="852"/>
        <v>-52.507113343462152</v>
      </c>
      <c r="AK551" s="458">
        <f t="shared" si="852"/>
        <v>11.854410000000144</v>
      </c>
      <c r="AL551" s="458">
        <f t="shared" si="852"/>
        <v>16.402919999999995</v>
      </c>
      <c r="AM551" s="458">
        <f t="shared" si="852"/>
        <v>-113.24159200000031</v>
      </c>
      <c r="AN551" s="458">
        <f>AO551-SUM(AK551,AL551,AM551)</f>
        <v>32.415713844043466</v>
      </c>
      <c r="AO551" s="480">
        <f t="shared" si="852"/>
        <v>-52.568548155956705</v>
      </c>
      <c r="AP551" s="458">
        <f t="shared" si="852"/>
        <v>-14.429047000000537</v>
      </c>
      <c r="AQ551" s="458">
        <f t="shared" si="852"/>
        <v>1.7437220000008438</v>
      </c>
      <c r="AR551" s="458">
        <f t="shared" si="852"/>
        <v>20.355736000001571</v>
      </c>
      <c r="AS551" s="458">
        <f>AT551-SUM(AP551,AQ551,AR551)</f>
        <v>0.11720453323323454</v>
      </c>
      <c r="AT551" s="480">
        <f t="shared" ref="AT551" si="853">AT552-SUM(AT547:AT550)-AT544</f>
        <v>7.7876155332351118</v>
      </c>
      <c r="AU551" s="774">
        <f t="shared" ref="AU551" si="854">AU552-SUM(AU547:AU550)-AU544</f>
        <v>-0.21467499999971551</v>
      </c>
      <c r="AV551" s="463"/>
      <c r="AW551" s="463"/>
      <c r="AX551" s="463"/>
      <c r="AY551" s="502"/>
      <c r="AZ551" s="463"/>
      <c r="BA551" s="463"/>
      <c r="BB551" s="463"/>
      <c r="BC551" s="463"/>
      <c r="BD551" s="502"/>
      <c r="BE551" s="502"/>
      <c r="BF551" s="502"/>
      <c r="BG551" s="502"/>
      <c r="BH551" s="351"/>
    </row>
    <row r="552" spans="1:60" s="69" customFormat="1" hidden="1" outlineLevel="1" x14ac:dyDescent="0.35">
      <c r="A552" s="90" t="s">
        <v>1038</v>
      </c>
      <c r="B552" s="518"/>
      <c r="C552" s="519"/>
      <c r="D552" s="519"/>
      <c r="E552" s="519"/>
      <c r="F552" s="519"/>
      <c r="G552" s="520"/>
      <c r="H552" s="520"/>
      <c r="I552" s="520"/>
      <c r="J552" s="520"/>
      <c r="K552" s="519"/>
      <c r="L552" s="520"/>
      <c r="M552" s="520"/>
      <c r="N552" s="520"/>
      <c r="O552" s="520"/>
      <c r="P552" s="440">
        <f>P804</f>
        <v>7135</v>
      </c>
      <c r="Q552" s="520"/>
      <c r="R552" s="520"/>
      <c r="S552" s="520"/>
      <c r="T552" s="520"/>
      <c r="U552" s="440">
        <f>U804</f>
        <v>6946</v>
      </c>
      <c r="V552" s="441">
        <f t="shared" ref="V552:AT552" si="855">V66</f>
        <v>1739</v>
      </c>
      <c r="W552" s="441">
        <f t="shared" si="855"/>
        <v>1817</v>
      </c>
      <c r="X552" s="441">
        <f t="shared" si="855"/>
        <v>1855</v>
      </c>
      <c r="Y552" s="441">
        <f t="shared" si="855"/>
        <v>1616</v>
      </c>
      <c r="Z552" s="440">
        <f t="shared" si="855"/>
        <v>7027</v>
      </c>
      <c r="AA552" s="441">
        <f t="shared" si="855"/>
        <v>1742</v>
      </c>
      <c r="AB552" s="441">
        <f t="shared" si="855"/>
        <v>2153</v>
      </c>
      <c r="AC552" s="441">
        <f t="shared" si="855"/>
        <v>2008</v>
      </c>
      <c r="AD552" s="441">
        <f t="shared" si="855"/>
        <v>1789</v>
      </c>
      <c r="AE552" s="440">
        <f t="shared" si="855"/>
        <v>7692</v>
      </c>
      <c r="AF552" s="441">
        <f t="shared" si="855"/>
        <v>1904</v>
      </c>
      <c r="AG552" s="441">
        <f t="shared" si="855"/>
        <v>2401</v>
      </c>
      <c r="AH552" s="441">
        <f t="shared" si="855"/>
        <v>2016</v>
      </c>
      <c r="AI552" s="441">
        <f t="shared" si="855"/>
        <v>1783</v>
      </c>
      <c r="AJ552" s="440">
        <f t="shared" si="855"/>
        <v>8104</v>
      </c>
      <c r="AK552" s="441">
        <f t="shared" si="855"/>
        <v>1676</v>
      </c>
      <c r="AL552" s="441">
        <f t="shared" si="855"/>
        <v>1702</v>
      </c>
      <c r="AM552" s="441">
        <f t="shared" si="855"/>
        <v>1905</v>
      </c>
      <c r="AN552" s="441">
        <f t="shared" si="855"/>
        <v>1539</v>
      </c>
      <c r="AO552" s="440">
        <f t="shared" si="855"/>
        <v>6822</v>
      </c>
      <c r="AP552" s="441">
        <f t="shared" si="855"/>
        <v>1678</v>
      </c>
      <c r="AQ552" s="441">
        <f t="shared" si="855"/>
        <v>1408</v>
      </c>
      <c r="AR552" s="441">
        <f t="shared" si="855"/>
        <v>1909</v>
      </c>
      <c r="AS552" s="441">
        <f t="shared" si="855"/>
        <v>1849</v>
      </c>
      <c r="AT552" s="440">
        <f t="shared" si="855"/>
        <v>6844</v>
      </c>
      <c r="AU552" s="762">
        <f t="shared" ref="AU552" si="856">AU66</f>
        <v>1994</v>
      </c>
      <c r="AV552" s="520"/>
      <c r="AW552" s="520"/>
      <c r="AX552" s="520"/>
      <c r="AY552" s="519"/>
      <c r="AZ552" s="520"/>
      <c r="BA552" s="520"/>
      <c r="BB552" s="520"/>
      <c r="BC552" s="520"/>
      <c r="BD552" s="519"/>
      <c r="BE552" s="519"/>
      <c r="BF552" s="519"/>
      <c r="BG552" s="519"/>
      <c r="BH552" s="79"/>
    </row>
    <row r="553" spans="1:60" s="69" customFormat="1" hidden="1" outlineLevel="1" x14ac:dyDescent="0.35">
      <c r="A553" s="426"/>
      <c r="B553" s="518"/>
      <c r="C553" s="519"/>
      <c r="D553" s="519"/>
      <c r="E553" s="519"/>
      <c r="F553" s="519"/>
      <c r="G553" s="520"/>
      <c r="H553" s="520"/>
      <c r="I553" s="520"/>
      <c r="J553" s="520"/>
      <c r="K553" s="519"/>
      <c r="L553" s="520"/>
      <c r="M553" s="520"/>
      <c r="N553" s="520"/>
      <c r="O553" s="520"/>
      <c r="P553" s="519"/>
      <c r="Q553" s="520"/>
      <c r="R553" s="520"/>
      <c r="S553" s="520"/>
      <c r="T553" s="520"/>
      <c r="U553" s="519"/>
      <c r="V553" s="520"/>
      <c r="W553" s="520"/>
      <c r="X553" s="520"/>
      <c r="Y553" s="520"/>
      <c r="Z553" s="519"/>
      <c r="AA553" s="520"/>
      <c r="AB553" s="520"/>
      <c r="AC553" s="520"/>
      <c r="AD553" s="520"/>
      <c r="AE553" s="519"/>
      <c r="AF553" s="520"/>
      <c r="AG553" s="520"/>
      <c r="AH553" s="520"/>
      <c r="AI553" s="520"/>
      <c r="AJ553" s="519"/>
      <c r="AK553" s="520"/>
      <c r="AL553" s="520"/>
      <c r="AM553" s="520"/>
      <c r="AN553" s="520"/>
      <c r="AO553" s="519"/>
      <c r="AP553" s="520"/>
      <c r="AQ553" s="520"/>
      <c r="AR553" s="520"/>
      <c r="AS553" s="520"/>
      <c r="AT553" s="519"/>
      <c r="AU553" s="766"/>
      <c r="AV553" s="520"/>
      <c r="AW553" s="520"/>
      <c r="AX553" s="520"/>
      <c r="AY553" s="519"/>
      <c r="AZ553" s="520"/>
      <c r="BA553" s="520"/>
      <c r="BB553" s="520"/>
      <c r="BC553" s="520"/>
      <c r="BD553" s="519"/>
      <c r="BE553" s="519"/>
      <c r="BF553" s="519"/>
      <c r="BG553" s="519"/>
      <c r="BH553" s="79"/>
    </row>
    <row r="554" spans="1:60" s="262" customFormat="1" hidden="1" outlineLevel="1" x14ac:dyDescent="0.35">
      <c r="A554" s="513" t="s">
        <v>1039</v>
      </c>
      <c r="B554" s="312"/>
      <c r="C554" s="105"/>
      <c r="D554" s="105"/>
      <c r="E554" s="105"/>
      <c r="F554" s="105"/>
      <c r="G554" s="200"/>
      <c r="H554" s="200"/>
      <c r="I554" s="200"/>
      <c r="J554" s="200"/>
      <c r="K554" s="105"/>
      <c r="L554" s="200"/>
      <c r="M554" s="200"/>
      <c r="N554" s="200"/>
      <c r="O554" s="200"/>
      <c r="P554" s="47">
        <f>P545/P24</f>
        <v>0.29559389951138937</v>
      </c>
      <c r="Q554" s="200"/>
      <c r="R554" s="200"/>
      <c r="S554" s="200"/>
      <c r="T554" s="200"/>
      <c r="U554" s="47">
        <f t="shared" ref="U554:AT554" si="857">IFERROR(U545/U24,"N/A")</f>
        <v>1.4868786020627696</v>
      </c>
      <c r="V554" s="78">
        <f t="shared" si="857"/>
        <v>0.69088066073618726</v>
      </c>
      <c r="W554" s="78">
        <f t="shared" si="857"/>
        <v>1.0745501511239215</v>
      </c>
      <c r="X554" s="78">
        <f t="shared" si="857"/>
        <v>0.87711440426793119</v>
      </c>
      <c r="Y554" s="78">
        <f t="shared" si="857"/>
        <v>-0.56211658782190177</v>
      </c>
      <c r="Z554" s="47">
        <f t="shared" si="857"/>
        <v>1.5516739197369482</v>
      </c>
      <c r="AA554" s="78">
        <f t="shared" si="857"/>
        <v>0.51338120304134649</v>
      </c>
      <c r="AB554" s="78">
        <f t="shared" si="857"/>
        <v>0.40103908557611739</v>
      </c>
      <c r="AC554" s="78">
        <f t="shared" si="857"/>
        <v>0.38599147395606026</v>
      </c>
      <c r="AD554" s="78">
        <f t="shared" si="857"/>
        <v>0.53575370261461652</v>
      </c>
      <c r="AE554" s="47">
        <f t="shared" si="857"/>
        <v>0.4569053464559853</v>
      </c>
      <c r="AF554" s="78">
        <f t="shared" si="857"/>
        <v>0.81010391300306761</v>
      </c>
      <c r="AG554" s="78">
        <f t="shared" si="857"/>
        <v>0.94911665955327962</v>
      </c>
      <c r="AH554" s="78">
        <f t="shared" si="857"/>
        <v>7.2527170827215084</v>
      </c>
      <c r="AI554" s="78">
        <f t="shared" si="857"/>
        <v>-0.58796756102513725</v>
      </c>
      <c r="AJ554" s="47">
        <f t="shared" si="857"/>
        <v>0.69108603568876292</v>
      </c>
      <c r="AK554" s="78">
        <f t="shared" si="857"/>
        <v>1.1296230973665142</v>
      </c>
      <c r="AL554" s="78">
        <f t="shared" si="857"/>
        <v>1.6947454452579609</v>
      </c>
      <c r="AM554" s="78">
        <f t="shared" si="857"/>
        <v>1.2313012757605504</v>
      </c>
      <c r="AN554" s="78">
        <f t="shared" si="857"/>
        <v>0.54706634535104737</v>
      </c>
      <c r="AO554" s="47">
        <f t="shared" si="857"/>
        <v>1.0159210158688772</v>
      </c>
      <c r="AP554" s="78">
        <f t="shared" si="857"/>
        <v>-4.1064480478189109</v>
      </c>
      <c r="AQ554" s="78">
        <f t="shared" si="857"/>
        <v>0.27182704975271244</v>
      </c>
      <c r="AR554" s="78">
        <f t="shared" si="857"/>
        <v>-4.0193675384808065</v>
      </c>
      <c r="AS554" s="78">
        <f t="shared" si="857"/>
        <v>0.46691344489210573</v>
      </c>
      <c r="AT554" s="47">
        <f t="shared" si="857"/>
        <v>0.26352955865158378</v>
      </c>
      <c r="AU554" s="759">
        <f t="shared" ref="AU554" si="858">IFERROR(AU545/AU24,"N/A")</f>
        <v>0.4311937317104203</v>
      </c>
      <c r="AV554" s="200"/>
      <c r="AW554" s="200"/>
      <c r="AX554" s="200"/>
      <c r="AY554" s="105"/>
      <c r="AZ554" s="200"/>
      <c r="BA554" s="200"/>
      <c r="BB554" s="200"/>
      <c r="BC554" s="200"/>
      <c r="BD554" s="105"/>
      <c r="BE554" s="105"/>
      <c r="BF554" s="105"/>
      <c r="BG554" s="105"/>
      <c r="BH554" s="363"/>
    </row>
    <row r="555" spans="1:60" s="262" customFormat="1" hidden="1" outlineLevel="1" x14ac:dyDescent="0.35">
      <c r="A555" s="605" t="s">
        <v>1042</v>
      </c>
      <c r="B555" s="465"/>
      <c r="C555" s="479"/>
      <c r="D555" s="479"/>
      <c r="E555" s="479"/>
      <c r="F555" s="479"/>
      <c r="G555" s="457"/>
      <c r="H555" s="457"/>
      <c r="I555" s="457"/>
      <c r="J555" s="457"/>
      <c r="K555" s="479"/>
      <c r="L555" s="457"/>
      <c r="M555" s="457"/>
      <c r="N555" s="457"/>
      <c r="O555" s="457"/>
      <c r="P555" s="603">
        <f>P546/P25</f>
        <v>1.2522990060975419</v>
      </c>
      <c r="Q555" s="457"/>
      <c r="R555" s="457"/>
      <c r="S555" s="457"/>
      <c r="T555" s="457"/>
      <c r="U555" s="603">
        <f t="shared" ref="U555:AT555" si="859">IFERROR(U546/U25,"N/A")</f>
        <v>1.7298612202510599</v>
      </c>
      <c r="V555" s="604">
        <f t="shared" si="859"/>
        <v>1.4615146476642948</v>
      </c>
      <c r="W555" s="604">
        <f t="shared" si="859"/>
        <v>1.4342144867882607</v>
      </c>
      <c r="X555" s="604">
        <f t="shared" si="859"/>
        <v>1.9199239280774494</v>
      </c>
      <c r="Y555" s="604">
        <f t="shared" si="859"/>
        <v>5.8051916020941725</v>
      </c>
      <c r="Z555" s="603">
        <f t="shared" si="859"/>
        <v>1.7067843247418235</v>
      </c>
      <c r="AA555" s="604">
        <f t="shared" si="859"/>
        <v>5.2397145363746986</v>
      </c>
      <c r="AB555" s="604">
        <f t="shared" si="859"/>
        <v>-9.5188984599314325E-2</v>
      </c>
      <c r="AC555" s="604" t="str">
        <f t="shared" si="859"/>
        <v>N/A</v>
      </c>
      <c r="AD555" s="604">
        <f t="shared" si="859"/>
        <v>3.826018818951074</v>
      </c>
      <c r="AE555" s="603">
        <f t="shared" si="859"/>
        <v>-130.81375717974373</v>
      </c>
      <c r="AF555" s="604">
        <f t="shared" si="859"/>
        <v>0.37053248443163755</v>
      </c>
      <c r="AG555" s="604">
        <f t="shared" si="859"/>
        <v>0.5513994878361087</v>
      </c>
      <c r="AH555" s="604">
        <f t="shared" si="859"/>
        <v>0.49871708272148713</v>
      </c>
      <c r="AI555" s="604">
        <f t="shared" si="859"/>
        <v>6.700958063926267E-3</v>
      </c>
      <c r="AJ555" s="603">
        <f t="shared" si="859"/>
        <v>0.33452398447792014</v>
      </c>
      <c r="AK555" s="604">
        <f t="shared" si="859"/>
        <v>0.52603583796408226</v>
      </c>
      <c r="AL555" s="604">
        <f t="shared" si="859"/>
        <v>0.88917401668653351</v>
      </c>
      <c r="AM555" s="604">
        <f t="shared" si="859"/>
        <v>1.2503012757605487</v>
      </c>
      <c r="AN555" s="604">
        <f t="shared" si="859"/>
        <v>0.99055090353457909</v>
      </c>
      <c r="AO555" s="603">
        <f t="shared" si="859"/>
        <v>0.83156462345529847</v>
      </c>
      <c r="AP555" s="604">
        <f t="shared" si="859"/>
        <v>1.2984546610708438</v>
      </c>
      <c r="AQ555" s="604">
        <f t="shared" si="859"/>
        <v>1.6152976379880029</v>
      </c>
      <c r="AR555" s="604">
        <f t="shared" si="859"/>
        <v>1.4564786217828338</v>
      </c>
      <c r="AS555" s="604">
        <f t="shared" si="859"/>
        <v>1.2880035358449295</v>
      </c>
      <c r="AT555" s="603">
        <f t="shared" si="859"/>
        <v>1.4056328875500594</v>
      </c>
      <c r="AU555" s="772">
        <f t="shared" ref="AU555" si="860">IFERROR(AU546/AU25,"N/A")</f>
        <v>-5.1408226448475862E-2</v>
      </c>
      <c r="AV555" s="457"/>
      <c r="AW555" s="457"/>
      <c r="AX555" s="457"/>
      <c r="AY555" s="479"/>
      <c r="AZ555" s="457"/>
      <c r="BA555" s="457"/>
      <c r="BB555" s="457"/>
      <c r="BC555" s="457"/>
      <c r="BD555" s="479"/>
      <c r="BE555" s="479"/>
      <c r="BF555" s="479"/>
      <c r="BG555" s="479"/>
      <c r="BH555" s="363"/>
    </row>
    <row r="556" spans="1:60" s="262" customFormat="1" hidden="1" outlineLevel="1" x14ac:dyDescent="0.35">
      <c r="A556" s="154" t="s">
        <v>1056</v>
      </c>
      <c r="B556" s="312"/>
      <c r="C556" s="105"/>
      <c r="D556" s="105"/>
      <c r="E556" s="105"/>
      <c r="F556" s="105"/>
      <c r="G556" s="200"/>
      <c r="H556" s="200"/>
      <c r="I556" s="200"/>
      <c r="J556" s="200"/>
      <c r="K556" s="105"/>
      <c r="L556" s="200"/>
      <c r="M556" s="200"/>
      <c r="N556" s="200"/>
      <c r="O556" s="200"/>
      <c r="P556" s="47">
        <f>P547/P26</f>
        <v>0.48630896650953315</v>
      </c>
      <c r="Q556" s="200"/>
      <c r="R556" s="200"/>
      <c r="S556" s="200"/>
      <c r="T556" s="200"/>
      <c r="U556" s="47">
        <f t="shared" ref="U556:AT556" si="861">IFERROR(U547/U26,"N/A")</f>
        <v>1.6857621764514583</v>
      </c>
      <c r="V556" s="78">
        <f t="shared" si="861"/>
        <v>-0.17608257455793339</v>
      </c>
      <c r="W556" s="78">
        <f t="shared" si="861"/>
        <v>-0.9036036950299432</v>
      </c>
      <c r="X556" s="78">
        <f t="shared" si="861"/>
        <v>9.5007261410792618E-2</v>
      </c>
      <c r="Y556" s="78">
        <f t="shared" si="861"/>
        <v>-0.16415982595214709</v>
      </c>
      <c r="Z556" s="47">
        <f t="shared" si="861"/>
        <v>2.2230766429943035E-2</v>
      </c>
      <c r="AA556" s="78">
        <f t="shared" si="861"/>
        <v>0.61612757985294098</v>
      </c>
      <c r="AB556" s="78">
        <f t="shared" si="861"/>
        <v>0.44357292016258304</v>
      </c>
      <c r="AC556" s="78">
        <f t="shared" si="861"/>
        <v>0.43144601941060562</v>
      </c>
      <c r="AD556" s="78">
        <f t="shared" si="861"/>
        <v>0.64542920649249835</v>
      </c>
      <c r="AE556" s="47">
        <f t="shared" si="861"/>
        <v>0.53436046341872845</v>
      </c>
      <c r="AF556" s="78">
        <f t="shared" si="861"/>
        <v>0.70021105586021015</v>
      </c>
      <c r="AG556" s="78">
        <f t="shared" si="861"/>
        <v>0.870993643680264</v>
      </c>
      <c r="AH556" s="78">
        <f t="shared" si="861"/>
        <v>1.0182555442599504</v>
      </c>
      <c r="AI556" s="78">
        <f t="shared" si="861"/>
        <v>-0.31045558545024093</v>
      </c>
      <c r="AJ556" s="47">
        <f t="shared" si="861"/>
        <v>0.56623132370490381</v>
      </c>
      <c r="AK556" s="78">
        <f t="shared" si="861"/>
        <v>1.6234672186957768</v>
      </c>
      <c r="AL556" s="78">
        <f t="shared" si="861"/>
        <v>2.1422851277976429</v>
      </c>
      <c r="AM556" s="78">
        <f t="shared" si="861"/>
        <v>1.2269166603759354</v>
      </c>
      <c r="AN556" s="78">
        <f t="shared" si="861"/>
        <v>0.41060955821765294</v>
      </c>
      <c r="AO556" s="47">
        <f t="shared" si="861"/>
        <v>1.0945974537187828</v>
      </c>
      <c r="AP556" s="78">
        <f t="shared" si="861"/>
        <v>3.1000888973674283</v>
      </c>
      <c r="AQ556" s="78">
        <f t="shared" si="861"/>
        <v>0.22054954638495325</v>
      </c>
      <c r="AR556" s="78">
        <f t="shared" si="861"/>
        <v>-0.3688034316383797</v>
      </c>
      <c r="AS556" s="78">
        <f t="shared" si="861"/>
        <v>0.58634473084888006</v>
      </c>
      <c r="AT556" s="47">
        <f t="shared" si="861"/>
        <v>-0.13634742875280631</v>
      </c>
      <c r="AU556" s="759">
        <f t="shared" ref="AU556" si="862">IFERROR(AU547/AU26,"N/A")</f>
        <v>0.38896606037151682</v>
      </c>
      <c r="AV556" s="200"/>
      <c r="AW556" s="200"/>
      <c r="AX556" s="200"/>
      <c r="AY556" s="105"/>
      <c r="AZ556" s="200"/>
      <c r="BA556" s="200"/>
      <c r="BB556" s="200"/>
      <c r="BC556" s="200"/>
      <c r="BD556" s="105"/>
      <c r="BE556" s="105"/>
      <c r="BF556" s="105"/>
      <c r="BG556" s="105"/>
      <c r="BH556" s="363"/>
    </row>
    <row r="557" spans="1:60" s="262" customFormat="1" hidden="1" outlineLevel="1" x14ac:dyDescent="0.35">
      <c r="A557" s="154" t="s">
        <v>1040</v>
      </c>
      <c r="B557" s="312"/>
      <c r="C557" s="105"/>
      <c r="D557" s="105"/>
      <c r="E557" s="105"/>
      <c r="F557" s="105"/>
      <c r="G557" s="200"/>
      <c r="H557" s="200"/>
      <c r="I557" s="200"/>
      <c r="J557" s="200"/>
      <c r="K557" s="105"/>
      <c r="L557" s="200"/>
      <c r="M557" s="200"/>
      <c r="N557" s="200"/>
      <c r="O557" s="200"/>
      <c r="P557" s="47">
        <f>P548/(P27+P28)</f>
        <v>-1.1135969701234729</v>
      </c>
      <c r="Q557" s="200"/>
      <c r="R557" s="200"/>
      <c r="S557" s="200"/>
      <c r="T557" s="200"/>
      <c r="U557" s="47">
        <f t="shared" ref="U557:AT557" si="863">IFERROR(U548/(U27+U28),"N/A")</f>
        <v>-0.10057885901573313</v>
      </c>
      <c r="V557" s="78">
        <f t="shared" si="863"/>
        <v>0.10129242544206948</v>
      </c>
      <c r="W557" s="78">
        <f t="shared" si="863"/>
        <v>0.23939630497007541</v>
      </c>
      <c r="X557" s="78">
        <f t="shared" si="863"/>
        <v>-9.1076071922548518E-2</v>
      </c>
      <c r="Y557" s="78">
        <f t="shared" si="863"/>
        <v>-2.6095179639551609</v>
      </c>
      <c r="Z557" s="47">
        <f t="shared" si="863"/>
        <v>0.50320210597936665</v>
      </c>
      <c r="AA557" s="78">
        <f t="shared" si="863"/>
        <v>0.73271453637467687</v>
      </c>
      <c r="AB557" s="78">
        <f t="shared" si="863"/>
        <v>-5.702855651265982</v>
      </c>
      <c r="AC557" s="78">
        <f t="shared" si="863"/>
        <v>-8.8705495740908732E-2</v>
      </c>
      <c r="AD557" s="78">
        <f t="shared" si="863"/>
        <v>-2.0762306332865932</v>
      </c>
      <c r="AE557" s="47">
        <f t="shared" si="863"/>
        <v>-2.1371216677844247</v>
      </c>
      <c r="AF557" s="78">
        <f t="shared" si="863"/>
        <v>-0.34875322985407936</v>
      </c>
      <c r="AG557" s="78">
        <f t="shared" si="863"/>
        <v>-1.3623277848911615</v>
      </c>
      <c r="AH557" s="78">
        <f t="shared" si="863"/>
        <v>-1.2572829172784912</v>
      </c>
      <c r="AI557" s="78">
        <f t="shared" si="863"/>
        <v>-0.65507239627045399</v>
      </c>
      <c r="AJ557" s="47">
        <f t="shared" si="863"/>
        <v>-1.9613232529614131</v>
      </c>
      <c r="AK557" s="78">
        <f t="shared" si="863"/>
        <v>1.0975491664653265</v>
      </c>
      <c r="AL557" s="78">
        <f t="shared" si="863"/>
        <v>-50.76482598331355</v>
      </c>
      <c r="AM557" s="78">
        <f t="shared" si="863"/>
        <v>1.92396794242722</v>
      </c>
      <c r="AN557" s="78">
        <f t="shared" si="863"/>
        <v>-7.132505101289642E-2</v>
      </c>
      <c r="AO557" s="47">
        <f t="shared" si="863"/>
        <v>-0.96445768900818607</v>
      </c>
      <c r="AP557" s="78">
        <f t="shared" si="863"/>
        <v>-2.0991624425423239E-3</v>
      </c>
      <c r="AQ557" s="78">
        <f t="shared" si="863"/>
        <v>-0.13303569534532886</v>
      </c>
      <c r="AR557" s="78">
        <f t="shared" si="863"/>
        <v>0.14448888332707449</v>
      </c>
      <c r="AS557" s="78">
        <f t="shared" si="863"/>
        <v>0.37686805421842684</v>
      </c>
      <c r="AT557" s="47">
        <f t="shared" si="863"/>
        <v>-3.8070405602086826E-2</v>
      </c>
      <c r="AU557" s="759">
        <f t="shared" ref="AU557" si="864">IFERROR(AU548/(AU27+AU28),"N/A")</f>
        <v>0.19384697036709522</v>
      </c>
      <c r="AV557" s="200"/>
      <c r="AW557" s="200"/>
      <c r="AX557" s="200"/>
      <c r="AY557" s="105"/>
      <c r="AZ557" s="200"/>
      <c r="BA557" s="200"/>
      <c r="BB557" s="200"/>
      <c r="BC557" s="200"/>
      <c r="BD557" s="105"/>
      <c r="BE557" s="105"/>
      <c r="BF557" s="105"/>
      <c r="BG557" s="105"/>
      <c r="BH557" s="363"/>
    </row>
    <row r="558" spans="1:60" s="262" customFormat="1" hidden="1" outlineLevel="1" x14ac:dyDescent="0.35">
      <c r="A558" s="589" t="s">
        <v>1041</v>
      </c>
      <c r="B558" s="465"/>
      <c r="C558" s="479"/>
      <c r="D558" s="479"/>
      <c r="E558" s="479"/>
      <c r="F558" s="479"/>
      <c r="G558" s="457"/>
      <c r="H558" s="457"/>
      <c r="I558" s="457"/>
      <c r="J558" s="457"/>
      <c r="K558" s="479"/>
      <c r="L558" s="457"/>
      <c r="M558" s="457"/>
      <c r="N558" s="457"/>
      <c r="O558" s="457"/>
      <c r="P558" s="603">
        <f>P549/P29</f>
        <v>0.37241371592178579</v>
      </c>
      <c r="Q558" s="457"/>
      <c r="R558" s="457"/>
      <c r="S558" s="457"/>
      <c r="T558" s="457"/>
      <c r="U558" s="603">
        <f t="shared" ref="U558:AT558" si="865">IFERROR(U549/U29,"N/A")</f>
        <v>0.22422299739165927</v>
      </c>
      <c r="V558" s="604">
        <f t="shared" si="865"/>
        <v>0.26062575877540217</v>
      </c>
      <c r="W558" s="604">
        <f t="shared" si="865"/>
        <v>0.4363963049700757</v>
      </c>
      <c r="X558" s="604">
        <f t="shared" si="865"/>
        <v>-0.76174273858920816</v>
      </c>
      <c r="Y558" s="604">
        <f t="shared" si="865"/>
        <v>6.9336648287567706E-2</v>
      </c>
      <c r="Z558" s="603">
        <f t="shared" si="865"/>
        <v>0.39448796502072309</v>
      </c>
      <c r="AA558" s="604">
        <f t="shared" si="865"/>
        <v>1.0307145363746792</v>
      </c>
      <c r="AB558" s="604">
        <f t="shared" si="865"/>
        <v>1.0654776820673468</v>
      </c>
      <c r="AC558" s="604">
        <f t="shared" si="865"/>
        <v>-0.43003882907424301</v>
      </c>
      <c r="AD558" s="604">
        <f t="shared" si="865"/>
        <v>-3.3815809085389198E-2</v>
      </c>
      <c r="AE558" s="603">
        <f t="shared" si="865"/>
        <v>-0.70598032366710628</v>
      </c>
      <c r="AF558" s="604">
        <f t="shared" si="865"/>
        <v>0.12743724633640055</v>
      </c>
      <c r="AG558" s="604">
        <f t="shared" si="865"/>
        <v>7.3672215108834246E-2</v>
      </c>
      <c r="AH558" s="604">
        <f t="shared" si="865"/>
        <v>0.53483472978031232</v>
      </c>
      <c r="AI558" s="604">
        <f t="shared" si="865"/>
        <v>9.2836325976642931E-2</v>
      </c>
      <c r="AJ558" s="603">
        <f t="shared" si="865"/>
        <v>-0.56891106765155297</v>
      </c>
      <c r="AK558" s="604">
        <f t="shared" si="865"/>
        <v>0.15498618592157851</v>
      </c>
      <c r="AL558" s="604">
        <f t="shared" si="865"/>
        <v>6.795179446430917E-2</v>
      </c>
      <c r="AM558" s="604">
        <f t="shared" si="865"/>
        <v>-0.36008333962406847</v>
      </c>
      <c r="AN558" s="604">
        <f t="shared" si="865"/>
        <v>0.27270432214762191</v>
      </c>
      <c r="AO558" s="603">
        <f t="shared" si="865"/>
        <v>4.2771669153130382E-2</v>
      </c>
      <c r="AP558" s="604">
        <f t="shared" si="865"/>
        <v>0.41370066556445756</v>
      </c>
      <c r="AQ558" s="604">
        <f t="shared" si="865"/>
        <v>0.27396430465467408</v>
      </c>
      <c r="AR558" s="604">
        <f t="shared" si="865"/>
        <v>-0.38785471155049955</v>
      </c>
      <c r="AS558" s="604">
        <f t="shared" si="865"/>
        <v>0.17275502383754812</v>
      </c>
      <c r="AT558" s="603">
        <f t="shared" si="865"/>
        <v>0.88802232987798502</v>
      </c>
      <c r="AU558" s="772">
        <f t="shared" ref="AU558" si="866">IFERROR(AU549/AU29,"N/A")</f>
        <v>0.3519380804953563</v>
      </c>
      <c r="AV558" s="457"/>
      <c r="AW558" s="457"/>
      <c r="AX558" s="457"/>
      <c r="AY558" s="479"/>
      <c r="AZ558" s="457"/>
      <c r="BA558" s="457"/>
      <c r="BB558" s="457"/>
      <c r="BC558" s="457"/>
      <c r="BD558" s="479"/>
      <c r="BE558" s="479"/>
      <c r="BF558" s="479"/>
      <c r="BG558" s="479"/>
      <c r="BH558" s="363"/>
    </row>
    <row r="559" spans="1:60" s="225" customFormat="1" hidden="1" outlineLevel="1" x14ac:dyDescent="0.35">
      <c r="A559" s="227" t="s">
        <v>969</v>
      </c>
      <c r="B559" s="176"/>
      <c r="C559" s="113"/>
      <c r="D559" s="113"/>
      <c r="E559" s="113"/>
      <c r="F559" s="113"/>
      <c r="G559" s="177"/>
      <c r="H559" s="177"/>
      <c r="I559" s="177"/>
      <c r="J559" s="177"/>
      <c r="K559" s="113"/>
      <c r="L559" s="177"/>
      <c r="M559" s="177"/>
      <c r="N559" s="177"/>
      <c r="O559" s="177"/>
      <c r="P559" s="223">
        <f>(P552-P544)/(P31-P23)</f>
        <v>0.49368421052631578</v>
      </c>
      <c r="Q559" s="177"/>
      <c r="R559" s="177"/>
      <c r="S559" s="177"/>
      <c r="T559" s="177"/>
      <c r="U559" s="223">
        <f t="shared" ref="U559:AT559" si="867">IFERROR((U552-U544)/(U31-U23),"N/A")</f>
        <v>0.12217194570135746</v>
      </c>
      <c r="V559" s="226">
        <f t="shared" si="867"/>
        <v>-5.3254437869822487E-2</v>
      </c>
      <c r="W559" s="226">
        <f t="shared" si="867"/>
        <v>0.95833333333333337</v>
      </c>
      <c r="X559" s="226">
        <f t="shared" si="867"/>
        <v>7</v>
      </c>
      <c r="Y559" s="226">
        <f t="shared" si="867"/>
        <v>3.7419354838709675</v>
      </c>
      <c r="Z559" s="223">
        <f t="shared" si="867"/>
        <v>-0.49090909090909091</v>
      </c>
      <c r="AA559" s="226">
        <f t="shared" si="867"/>
        <v>1.0869565217391304E-2</v>
      </c>
      <c r="AB559" s="226">
        <f t="shared" si="867"/>
        <v>2.2702702702702702</v>
      </c>
      <c r="AC559" s="226">
        <f t="shared" si="867"/>
        <v>0.33045356371490281</v>
      </c>
      <c r="AD559" s="226">
        <f t="shared" si="867"/>
        <v>0.26172465960665658</v>
      </c>
      <c r="AE559" s="223">
        <f t="shared" si="867"/>
        <v>0.42958656330749356</v>
      </c>
      <c r="AF559" s="226">
        <f t="shared" si="867"/>
        <v>0.27318718381112983</v>
      </c>
      <c r="AG559" s="226">
        <f t="shared" si="867"/>
        <v>0.42758620689655175</v>
      </c>
      <c r="AH559" s="226">
        <f t="shared" si="867"/>
        <v>-0.4</v>
      </c>
      <c r="AI559" s="226">
        <f t="shared" si="867"/>
        <v>0.13333333333333333</v>
      </c>
      <c r="AJ559" s="223">
        <f t="shared" si="867"/>
        <v>0.37184115523465705</v>
      </c>
      <c r="AK559" s="226">
        <f t="shared" si="867"/>
        <v>0.54939759036144575</v>
      </c>
      <c r="AL559" s="226">
        <f t="shared" si="867"/>
        <v>3.1917808219178081</v>
      </c>
      <c r="AM559" s="226">
        <f t="shared" si="867"/>
        <v>0.68944099378881984</v>
      </c>
      <c r="AN559" s="226">
        <f t="shared" si="867"/>
        <v>-1.4698795180722892</v>
      </c>
      <c r="AO559" s="223">
        <f t="shared" si="867"/>
        <v>2.0381558028616853</v>
      </c>
      <c r="AP559" s="226">
        <f t="shared" si="867"/>
        <v>9.433962264150943E-3</v>
      </c>
      <c r="AQ559" s="226">
        <f t="shared" si="867"/>
        <v>0.29547738693467335</v>
      </c>
      <c r="AR559" s="226">
        <f t="shared" si="867"/>
        <v>1.1142061281337047E-2</v>
      </c>
      <c r="AS559" s="226">
        <f t="shared" si="867"/>
        <v>0.65677966101694918</v>
      </c>
      <c r="AT559" s="223">
        <f t="shared" si="867"/>
        <v>0.45833333333333331</v>
      </c>
      <c r="AU559" s="773">
        <f t="shared" ref="AU559" si="868">IFERROR((AU552-AU544)/(AU31-AU23),"N/A")</f>
        <v>0.40721649484536082</v>
      </c>
      <c r="AV559" s="177"/>
      <c r="AW559" s="177"/>
      <c r="AX559" s="177"/>
      <c r="AY559" s="113"/>
      <c r="AZ559" s="177"/>
      <c r="BA559" s="177"/>
      <c r="BB559" s="177"/>
      <c r="BC559" s="177"/>
      <c r="BD559" s="113"/>
      <c r="BE559" s="113"/>
      <c r="BF559" s="113"/>
      <c r="BG559" s="113"/>
      <c r="BH559" s="94"/>
    </row>
    <row r="560" spans="1:60" s="69" customFormat="1" collapsed="1" x14ac:dyDescent="0.35">
      <c r="A560" s="426"/>
      <c r="B560" s="518"/>
      <c r="C560" s="519"/>
      <c r="D560" s="519"/>
      <c r="E560" s="519"/>
      <c r="F560" s="519"/>
      <c r="G560" s="520"/>
      <c r="H560" s="520"/>
      <c r="I560" s="520"/>
      <c r="J560" s="520"/>
      <c r="K560" s="519"/>
      <c r="L560" s="520"/>
      <c r="M560" s="520"/>
      <c r="N560" s="520"/>
      <c r="O560" s="520"/>
      <c r="P560" s="519"/>
      <c r="Q560" s="520"/>
      <c r="R560" s="520"/>
      <c r="S560" s="520"/>
      <c r="T560" s="520"/>
      <c r="U560" s="519"/>
      <c r="V560" s="520"/>
      <c r="W560" s="520"/>
      <c r="X560" s="520"/>
      <c r="Y560" s="520"/>
      <c r="Z560" s="519"/>
      <c r="AA560" s="520"/>
      <c r="AB560" s="520"/>
      <c r="AC560" s="520"/>
      <c r="AD560" s="520"/>
      <c r="AE560" s="519"/>
      <c r="AF560" s="520"/>
      <c r="AG560" s="520"/>
      <c r="AH560" s="520"/>
      <c r="AI560" s="520"/>
      <c r="AJ560" s="519"/>
      <c r="AK560" s="520"/>
      <c r="AL560" s="520"/>
      <c r="AM560" s="520"/>
      <c r="AN560" s="520"/>
      <c r="AO560" s="519"/>
      <c r="AP560" s="520"/>
      <c r="AQ560" s="520"/>
      <c r="AR560" s="520"/>
      <c r="AS560" s="520"/>
      <c r="AT560" s="519"/>
      <c r="AU560" s="766"/>
      <c r="AV560" s="520"/>
      <c r="AW560" s="520"/>
      <c r="AX560" s="520"/>
      <c r="AY560" s="519"/>
      <c r="AZ560" s="520"/>
      <c r="BA560" s="520"/>
      <c r="BB560" s="520"/>
      <c r="BC560" s="520"/>
      <c r="BD560" s="519"/>
      <c r="BE560" s="519"/>
      <c r="BF560" s="519"/>
      <c r="BG560" s="519"/>
      <c r="BH560" s="79"/>
    </row>
    <row r="561" spans="1:60" s="21" customFormat="1" x14ac:dyDescent="0.35">
      <c r="A561" s="746" t="s">
        <v>821</v>
      </c>
      <c r="B561" s="746"/>
      <c r="C561" s="874"/>
      <c r="D561" s="874"/>
      <c r="E561" s="874"/>
      <c r="F561" s="874"/>
      <c r="G561" s="874"/>
      <c r="H561" s="874"/>
      <c r="I561" s="874"/>
      <c r="J561" s="874"/>
      <c r="K561" s="874"/>
      <c r="L561" s="874"/>
      <c r="M561" s="874"/>
      <c r="N561" s="874"/>
      <c r="O561" s="874"/>
      <c r="P561" s="874"/>
      <c r="Q561" s="874"/>
      <c r="R561" s="874"/>
      <c r="S561" s="874"/>
      <c r="T561" s="874"/>
      <c r="U561" s="874"/>
      <c r="V561" s="874"/>
      <c r="W561" s="874"/>
      <c r="X561" s="874"/>
      <c r="Y561" s="874"/>
      <c r="Z561" s="874"/>
      <c r="AA561" s="874"/>
      <c r="AB561" s="874"/>
      <c r="AC561" s="874"/>
      <c r="AD561" s="874"/>
      <c r="AE561" s="874"/>
      <c r="AF561" s="874"/>
      <c r="AG561" s="874"/>
      <c r="AH561" s="874"/>
      <c r="AI561" s="874"/>
      <c r="AJ561" s="874"/>
      <c r="AK561" s="874"/>
      <c r="AL561" s="874"/>
      <c r="AM561" s="874"/>
      <c r="AN561" s="874"/>
      <c r="AO561" s="874"/>
      <c r="AP561" s="874"/>
      <c r="AQ561" s="874"/>
      <c r="AR561" s="874"/>
      <c r="AS561" s="874"/>
      <c r="AT561" s="874"/>
      <c r="AU561" s="875"/>
      <c r="AV561" s="874"/>
      <c r="AW561" s="874"/>
      <c r="AX561" s="874"/>
      <c r="AY561" s="874"/>
      <c r="AZ561" s="874"/>
      <c r="BA561" s="874"/>
      <c r="BB561" s="874"/>
      <c r="BC561" s="874"/>
      <c r="BD561" s="874"/>
      <c r="BE561" s="874"/>
      <c r="BF561" s="874"/>
      <c r="BG561" s="874"/>
      <c r="BH561" s="651"/>
    </row>
    <row r="562" spans="1:60" s="225" customFormat="1" hidden="1" outlineLevel="1" x14ac:dyDescent="0.35">
      <c r="A562" s="227" t="s">
        <v>805</v>
      </c>
      <c r="B562" s="435"/>
      <c r="C562" s="116"/>
      <c r="D562" s="116"/>
      <c r="E562" s="116"/>
      <c r="F562" s="116"/>
      <c r="G562" s="299"/>
      <c r="H562" s="299"/>
      <c r="I562" s="299"/>
      <c r="J562" s="299"/>
      <c r="K562" s="116"/>
      <c r="L562" s="299"/>
      <c r="M562" s="299"/>
      <c r="N562" s="299"/>
      <c r="O562" s="299"/>
      <c r="P562" s="16">
        <f>K721</f>
        <v>0.21593080884972951</v>
      </c>
      <c r="Q562" s="299"/>
      <c r="R562" s="299"/>
      <c r="S562" s="299"/>
      <c r="T562" s="299"/>
      <c r="U562" s="16">
        <f>P721</f>
        <v>0.2242229973916596</v>
      </c>
      <c r="V562" s="94">
        <f>Q721</f>
        <v>0.22829242544206915</v>
      </c>
      <c r="W562" s="94">
        <f>R721</f>
        <v>0.23939630497007547</v>
      </c>
      <c r="X562" s="94">
        <f>S721</f>
        <v>0.24325726141078838</v>
      </c>
      <c r="Y562" s="94">
        <f>T721</f>
        <v>0.20553576322280076</v>
      </c>
      <c r="Z562" s="16">
        <f t="shared" ref="Z562:AR562" si="869">U721</f>
        <v>0.22943780141375439</v>
      </c>
      <c r="AA562" s="94">
        <f t="shared" si="869"/>
        <v>0.23471453637467946</v>
      </c>
      <c r="AB562" s="94">
        <f t="shared" si="869"/>
        <v>0.23714434873401199</v>
      </c>
      <c r="AC562" s="94">
        <f t="shared" si="869"/>
        <v>0.24062783759242443</v>
      </c>
      <c r="AD562" s="94">
        <f t="shared" si="869"/>
        <v>0.22049392823031791</v>
      </c>
      <c r="AE562" s="16">
        <f t="shared" si="869"/>
        <v>0.23338536650171046</v>
      </c>
      <c r="AF562" s="94">
        <f t="shared" si="869"/>
        <v>0.22667534157449576</v>
      </c>
      <c r="AG562" s="94">
        <f t="shared" si="869"/>
        <v>0.27567221510883483</v>
      </c>
      <c r="AH562" s="94">
        <f t="shared" si="869"/>
        <v>0.24571708272148801</v>
      </c>
      <c r="AI562" s="94">
        <f t="shared" si="869"/>
        <v>0.22390488110137671</v>
      </c>
      <c r="AJ562" s="16">
        <f t="shared" si="869"/>
        <v>0.24297943582777901</v>
      </c>
      <c r="AK562" s="94">
        <f t="shared" si="869"/>
        <v>0.1216477410002416</v>
      </c>
      <c r="AL562" s="94">
        <f t="shared" si="869"/>
        <v>0.28617401668653158</v>
      </c>
      <c r="AM562" s="94">
        <f t="shared" si="869"/>
        <v>0.24730127576054955</v>
      </c>
      <c r="AN562" s="94">
        <f t="shared" si="869"/>
        <v>0.22441787287602266</v>
      </c>
      <c r="AO562" s="16">
        <f t="shared" si="869"/>
        <v>0.21996032351594688</v>
      </c>
      <c r="AP562" s="94">
        <f t="shared" si="869"/>
        <v>0.14447411929289075</v>
      </c>
      <c r="AQ562" s="94">
        <f t="shared" si="869"/>
        <v>0.20829763798800635</v>
      </c>
      <c r="AR562" s="94">
        <f t="shared" si="869"/>
        <v>0.25165811537980226</v>
      </c>
      <c r="AS562" s="94">
        <f t="shared" ref="AS562" si="870">AN721</f>
        <v>0.16335840216989272</v>
      </c>
      <c r="AT562" s="16">
        <f t="shared" ref="AT562" si="871">AO721</f>
        <v>0.19212098581030621</v>
      </c>
      <c r="AU562" s="775">
        <v>0.20799999999999999</v>
      </c>
      <c r="AV562" s="299"/>
      <c r="AW562" s="299"/>
      <c r="AX562" s="299"/>
      <c r="AY562" s="116"/>
      <c r="AZ562" s="299"/>
      <c r="BA562" s="299"/>
      <c r="BB562" s="299"/>
      <c r="BC562" s="299"/>
      <c r="BD562" s="116"/>
      <c r="BE562" s="116"/>
      <c r="BF562" s="116"/>
      <c r="BG562" s="116"/>
      <c r="BH562" s="94"/>
    </row>
    <row r="563" spans="1:60" s="262" customFormat="1" hidden="1" outlineLevel="1" x14ac:dyDescent="0.35">
      <c r="A563" s="154" t="s">
        <v>654</v>
      </c>
      <c r="B563" s="686"/>
      <c r="C563" s="562"/>
      <c r="D563" s="562"/>
      <c r="E563" s="562"/>
      <c r="F563" s="562"/>
      <c r="G563" s="188"/>
      <c r="H563" s="188"/>
      <c r="I563" s="188"/>
      <c r="J563" s="188"/>
      <c r="K563" s="562"/>
      <c r="L563" s="188"/>
      <c r="M563" s="188"/>
      <c r="N563" s="188"/>
      <c r="O563" s="188"/>
      <c r="P563" s="562"/>
      <c r="Q563" s="188"/>
      <c r="R563" s="188"/>
      <c r="S563" s="188"/>
      <c r="T563" s="188"/>
      <c r="U563" s="562"/>
      <c r="V563" s="188"/>
      <c r="W563" s="188"/>
      <c r="X563" s="188"/>
      <c r="Y563" s="188"/>
      <c r="Z563" s="562"/>
      <c r="AA563" s="188"/>
      <c r="AB563" s="188"/>
      <c r="AC563" s="188"/>
      <c r="AD563" s="188"/>
      <c r="AE563" s="562"/>
      <c r="AF563" s="188"/>
      <c r="AG563" s="188"/>
      <c r="AH563" s="188"/>
      <c r="AI563" s="188"/>
      <c r="AJ563" s="562"/>
      <c r="AK563" s="363">
        <v>0.108</v>
      </c>
      <c r="AL563" s="188"/>
      <c r="AM563" s="188"/>
      <c r="AN563" s="188"/>
      <c r="AO563" s="531">
        <v>2.7E-2</v>
      </c>
      <c r="AP563" s="363">
        <v>7.0000000000000007E-2</v>
      </c>
      <c r="AQ563" s="188"/>
      <c r="AR563" s="188"/>
      <c r="AS563" s="188"/>
      <c r="AT563" s="531">
        <v>2.4E-2</v>
      </c>
      <c r="AU563" s="789"/>
      <c r="AV563" s="188"/>
      <c r="AW563" s="188"/>
      <c r="AX563" s="188"/>
      <c r="AY563" s="562"/>
      <c r="AZ563" s="188"/>
      <c r="BA563" s="188"/>
      <c r="BB563" s="188"/>
      <c r="BC563" s="188"/>
      <c r="BD563" s="562"/>
      <c r="BE563" s="562"/>
      <c r="BF563" s="562"/>
      <c r="BG563" s="562"/>
      <c r="BH563" s="363"/>
    </row>
    <row r="564" spans="1:60" s="262" customFormat="1" hidden="1" outlineLevel="1" x14ac:dyDescent="0.35">
      <c r="A564" s="154" t="s">
        <v>749</v>
      </c>
      <c r="B564" s="686"/>
      <c r="C564" s="562"/>
      <c r="D564" s="562"/>
      <c r="E564" s="562"/>
      <c r="F564" s="562"/>
      <c r="G564" s="188"/>
      <c r="H564" s="188"/>
      <c r="I564" s="188"/>
      <c r="J564" s="188"/>
      <c r="K564" s="562"/>
      <c r="L564" s="188"/>
      <c r="M564" s="188"/>
      <c r="N564" s="188"/>
      <c r="O564" s="188"/>
      <c r="P564" s="562"/>
      <c r="Q564" s="188"/>
      <c r="R564" s="188"/>
      <c r="S564" s="188"/>
      <c r="T564" s="188"/>
      <c r="U564" s="562"/>
      <c r="V564" s="188"/>
      <c r="W564" s="188"/>
      <c r="X564" s="188"/>
      <c r="Y564" s="188"/>
      <c r="Z564" s="562"/>
      <c r="AA564" s="188"/>
      <c r="AB564" s="188"/>
      <c r="AC564" s="188"/>
      <c r="AD564" s="188"/>
      <c r="AE564" s="562"/>
      <c r="AF564" s="188"/>
      <c r="AG564" s="188"/>
      <c r="AH564" s="188"/>
      <c r="AI564" s="188"/>
      <c r="AJ564" s="562"/>
      <c r="AK564" s="188"/>
      <c r="AL564" s="188"/>
      <c r="AM564" s="188"/>
      <c r="AN564" s="188"/>
      <c r="AO564" s="562"/>
      <c r="AP564" s="363">
        <v>-1E-3</v>
      </c>
      <c r="AQ564" s="188"/>
      <c r="AR564" s="363">
        <v>-1.4E-2</v>
      </c>
      <c r="AS564" s="188"/>
      <c r="AT564" s="531">
        <v>-4.0000000000000001E-3</v>
      </c>
      <c r="AU564" s="789"/>
      <c r="AV564" s="188"/>
      <c r="AW564" s="188"/>
      <c r="AX564" s="188"/>
      <c r="AY564" s="562"/>
      <c r="AZ564" s="188"/>
      <c r="BA564" s="188"/>
      <c r="BB564" s="188"/>
      <c r="BC564" s="188"/>
      <c r="BD564" s="562"/>
      <c r="BE564" s="562"/>
      <c r="BF564" s="562"/>
      <c r="BG564" s="562"/>
      <c r="BH564" s="363"/>
    </row>
    <row r="565" spans="1:60" s="225" customFormat="1" hidden="1" outlineLevel="1" x14ac:dyDescent="0.35">
      <c r="A565" s="88" t="s">
        <v>1008</v>
      </c>
      <c r="B565" s="688"/>
      <c r="C565" s="733"/>
      <c r="D565" s="733"/>
      <c r="E565" s="733"/>
      <c r="F565" s="733"/>
      <c r="G565" s="689"/>
      <c r="H565" s="689"/>
      <c r="I565" s="689"/>
      <c r="J565" s="689"/>
      <c r="K565" s="733"/>
      <c r="L565" s="689"/>
      <c r="M565" s="689"/>
      <c r="N565" s="689"/>
      <c r="O565" s="689"/>
      <c r="P565" s="532">
        <f>SUM(P562:P564)</f>
        <v>0.21593080884972951</v>
      </c>
      <c r="Q565" s="689"/>
      <c r="R565" s="689"/>
      <c r="S565" s="689"/>
      <c r="T565" s="689"/>
      <c r="U565" s="532">
        <f>SUM(U562:U564)</f>
        <v>0.2242229973916596</v>
      </c>
      <c r="V565" s="533">
        <f>SUM(V562:V564)</f>
        <v>0.22829242544206915</v>
      </c>
      <c r="W565" s="533">
        <f>SUM(W562:W564)</f>
        <v>0.23939630497007547</v>
      </c>
      <c r="X565" s="533">
        <f>SUM(X562:X564)</f>
        <v>0.24325726141078838</v>
      </c>
      <c r="Y565" s="533">
        <f>SUM(Y562:Y564)</f>
        <v>0.20553576322280076</v>
      </c>
      <c r="Z565" s="532">
        <f t="shared" ref="Z565:AQ565" si="872">SUM(Z562:Z564)</f>
        <v>0.22943780141375439</v>
      </c>
      <c r="AA565" s="533">
        <f t="shared" si="872"/>
        <v>0.23471453637467946</v>
      </c>
      <c r="AB565" s="533">
        <f t="shared" si="872"/>
        <v>0.23714434873401199</v>
      </c>
      <c r="AC565" s="533">
        <f t="shared" si="872"/>
        <v>0.24062783759242443</v>
      </c>
      <c r="AD565" s="533">
        <f t="shared" si="872"/>
        <v>0.22049392823031791</v>
      </c>
      <c r="AE565" s="532">
        <f t="shared" si="872"/>
        <v>0.23338536650171046</v>
      </c>
      <c r="AF565" s="533">
        <f t="shared" si="872"/>
        <v>0.22667534157449576</v>
      </c>
      <c r="AG565" s="533">
        <f t="shared" si="872"/>
        <v>0.27567221510883483</v>
      </c>
      <c r="AH565" s="533">
        <f t="shared" si="872"/>
        <v>0.24571708272148801</v>
      </c>
      <c r="AI565" s="533">
        <f t="shared" si="872"/>
        <v>0.22390488110137671</v>
      </c>
      <c r="AJ565" s="532">
        <f t="shared" si="872"/>
        <v>0.24297943582777901</v>
      </c>
      <c r="AK565" s="533">
        <f t="shared" si="872"/>
        <v>0.2296477410002416</v>
      </c>
      <c r="AL565" s="533">
        <f t="shared" si="872"/>
        <v>0.28617401668653158</v>
      </c>
      <c r="AM565" s="533">
        <f t="shared" si="872"/>
        <v>0.24730127576054955</v>
      </c>
      <c r="AN565" s="533">
        <f t="shared" si="872"/>
        <v>0.22441787287602266</v>
      </c>
      <c r="AO565" s="532">
        <f t="shared" si="872"/>
        <v>0.24696032351594688</v>
      </c>
      <c r="AP565" s="533">
        <f t="shared" si="872"/>
        <v>0.21347411929289076</v>
      </c>
      <c r="AQ565" s="533">
        <f t="shared" si="872"/>
        <v>0.20829763798800635</v>
      </c>
      <c r="AR565" s="533">
        <f t="shared" ref="AR565:AU565" si="873">SUM(AR562:AR564)</f>
        <v>0.23765811537980225</v>
      </c>
      <c r="AS565" s="533">
        <f>AN586</f>
        <v>0.189742325237332</v>
      </c>
      <c r="AT565" s="532">
        <f t="shared" si="873"/>
        <v>0.2121209858103062</v>
      </c>
      <c r="AU565" s="797">
        <f t="shared" si="873"/>
        <v>0.20799999999999999</v>
      </c>
      <c r="AV565" s="689"/>
      <c r="AW565" s="689"/>
      <c r="AX565" s="689"/>
      <c r="AY565" s="733"/>
      <c r="AZ565" s="689"/>
      <c r="BA565" s="689"/>
      <c r="BB565" s="689"/>
      <c r="BC565" s="689"/>
      <c r="BD565" s="733"/>
      <c r="BE565" s="733"/>
      <c r="BF565" s="733"/>
      <c r="BG565" s="733"/>
      <c r="BH565" s="94"/>
    </row>
    <row r="566" spans="1:60" s="262" customFormat="1" hidden="1" outlineLevel="2" x14ac:dyDescent="0.35">
      <c r="A566" s="513" t="s">
        <v>619</v>
      </c>
      <c r="B566" s="686"/>
      <c r="C566" s="562"/>
      <c r="D566" s="562"/>
      <c r="E566" s="562"/>
      <c r="F566" s="562"/>
      <c r="G566" s="188"/>
      <c r="H566" s="188"/>
      <c r="I566" s="188"/>
      <c r="J566" s="188"/>
      <c r="K566" s="562"/>
      <c r="L566" s="188"/>
      <c r="M566" s="188"/>
      <c r="N566" s="188"/>
      <c r="O566" s="188"/>
      <c r="P566" s="531">
        <v>3.0000000000000001E-3</v>
      </c>
      <c r="Q566" s="188"/>
      <c r="R566" s="188"/>
      <c r="S566" s="188"/>
      <c r="T566" s="188"/>
      <c r="U566" s="531">
        <v>3.0000000000000001E-3</v>
      </c>
      <c r="V566" s="363">
        <f>-0.3%-0.5%</f>
        <v>-8.0000000000000002E-3</v>
      </c>
      <c r="W566" s="363">
        <v>-1.0999999999999999E-2</v>
      </c>
      <c r="X566" s="363">
        <v>-8.9999999999999993E-3</v>
      </c>
      <c r="Y566" s="363">
        <v>0</v>
      </c>
      <c r="Z566" s="531">
        <v>-0.01</v>
      </c>
      <c r="AA566" s="363">
        <v>1.2E-2</v>
      </c>
      <c r="AB566" s="363">
        <v>6.0000000000000001E-3</v>
      </c>
      <c r="AC566" s="363">
        <v>8.9999999999999993E-3</v>
      </c>
      <c r="AD566" s="363">
        <v>1.4999999999999999E-2</v>
      </c>
      <c r="AE566" s="531">
        <v>1.0999999999999999E-2</v>
      </c>
      <c r="AF566" s="363">
        <v>1.2E-2</v>
      </c>
      <c r="AG566" s="363">
        <v>2.9000000000000001E-2</v>
      </c>
      <c r="AH566" s="363">
        <v>7.0000000000000001E-3</v>
      </c>
      <c r="AI566" s="363">
        <v>0.01</v>
      </c>
      <c r="AJ566" s="531">
        <v>8.9999999999999993E-3</v>
      </c>
      <c r="AK566" s="363">
        <v>-1.7999999999999999E-2</v>
      </c>
      <c r="AL566" s="363">
        <v>-0.02</v>
      </c>
      <c r="AM566" s="363">
        <v>-1.6E-2</v>
      </c>
      <c r="AN566" s="363">
        <v>-1.0999999999999999E-2</v>
      </c>
      <c r="AO566" s="531">
        <v>-1.6E-2</v>
      </c>
      <c r="AP566" s="363">
        <v>4.0000000000000001E-3</v>
      </c>
      <c r="AQ566" s="363">
        <v>-0.01</v>
      </c>
      <c r="AR566" s="363">
        <v>-1.2E-2</v>
      </c>
      <c r="AS566" s="363">
        <v>1.6E-2</v>
      </c>
      <c r="AT566" s="531">
        <v>-1E-3</v>
      </c>
      <c r="AU566" s="787">
        <v>1.4999999999999999E-2</v>
      </c>
      <c r="AV566" s="188"/>
      <c r="AW566" s="188"/>
      <c r="AX566" s="188"/>
      <c r="AY566" s="562"/>
      <c r="AZ566" s="188"/>
      <c r="BA566" s="188"/>
      <c r="BB566" s="188"/>
      <c r="BC566" s="188"/>
      <c r="BD566" s="562"/>
      <c r="BE566" s="562"/>
      <c r="BF566" s="562"/>
      <c r="BG566" s="562"/>
      <c r="BH566" s="363"/>
    </row>
    <row r="567" spans="1:60" s="262" customFormat="1" hidden="1" outlineLevel="2" x14ac:dyDescent="0.35">
      <c r="A567" s="605" t="s">
        <v>622</v>
      </c>
      <c r="B567" s="687"/>
      <c r="C567" s="609"/>
      <c r="D567" s="609"/>
      <c r="E567" s="609"/>
      <c r="F567" s="609"/>
      <c r="G567" s="608"/>
      <c r="H567" s="608"/>
      <c r="I567" s="608"/>
      <c r="J567" s="608"/>
      <c r="K567" s="609"/>
      <c r="L567" s="608"/>
      <c r="M567" s="608"/>
      <c r="N567" s="608"/>
      <c r="O567" s="608"/>
      <c r="P567" s="559">
        <v>0.01</v>
      </c>
      <c r="Q567" s="608"/>
      <c r="R567" s="608"/>
      <c r="S567" s="608"/>
      <c r="T567" s="608"/>
      <c r="U567" s="559">
        <v>1.6E-2</v>
      </c>
      <c r="V567" s="560">
        <v>1.0999999999999999E-2</v>
      </c>
      <c r="W567" s="560">
        <v>1.2999999999999999E-2</v>
      </c>
      <c r="X567" s="560">
        <v>0.01</v>
      </c>
      <c r="Y567" s="560">
        <v>5.0000000000000001E-3</v>
      </c>
      <c r="Z567" s="559">
        <v>0.01</v>
      </c>
      <c r="AA567" s="560">
        <v>5.0000000000000001E-3</v>
      </c>
      <c r="AB567" s="560">
        <v>1E-3</v>
      </c>
      <c r="AC567" s="560">
        <v>3.0000000000000001E-3</v>
      </c>
      <c r="AD567" s="560">
        <v>4.0000000000000001E-3</v>
      </c>
      <c r="AE567" s="559">
        <v>4.0000000000000001E-3</v>
      </c>
      <c r="AF567" s="560">
        <v>1E-3</v>
      </c>
      <c r="AG567" s="560">
        <v>3.0000000000000001E-3</v>
      </c>
      <c r="AH567" s="560">
        <v>3.0000000000000001E-3</v>
      </c>
      <c r="AI567" s="560">
        <v>2E-3</v>
      </c>
      <c r="AJ567" s="559">
        <v>1E-3</v>
      </c>
      <c r="AK567" s="560">
        <v>3.0000000000000001E-3</v>
      </c>
      <c r="AL567" s="560">
        <v>3.0000000000000001E-3</v>
      </c>
      <c r="AM567" s="560">
        <v>3.0000000000000001E-3</v>
      </c>
      <c r="AN567" s="560">
        <v>7.0000000000000001E-3</v>
      </c>
      <c r="AO567" s="559">
        <v>4.0000000000000001E-3</v>
      </c>
      <c r="AP567" s="560">
        <v>4.0000000000000001E-3</v>
      </c>
      <c r="AQ567" s="560">
        <v>7.0000000000000001E-3</v>
      </c>
      <c r="AR567" s="560">
        <v>8.0000000000000002E-3</v>
      </c>
      <c r="AS567" s="560">
        <v>8.0000000000000002E-3</v>
      </c>
      <c r="AT567" s="559">
        <v>7.0000000000000001E-3</v>
      </c>
      <c r="AU567" s="788">
        <v>-2E-3</v>
      </c>
      <c r="AV567" s="608"/>
      <c r="AW567" s="608"/>
      <c r="AX567" s="608"/>
      <c r="AY567" s="609"/>
      <c r="AZ567" s="608"/>
      <c r="BA567" s="608"/>
      <c r="BB567" s="608"/>
      <c r="BC567" s="608"/>
      <c r="BD567" s="609"/>
      <c r="BE567" s="609"/>
      <c r="BF567" s="609"/>
      <c r="BG567" s="609"/>
      <c r="BH567" s="363"/>
    </row>
    <row r="568" spans="1:60" s="262" customFormat="1" hidden="1" outlineLevel="1" x14ac:dyDescent="0.35">
      <c r="A568" s="154" t="s">
        <v>808</v>
      </c>
      <c r="B568" s="686"/>
      <c r="C568" s="562"/>
      <c r="D568" s="562"/>
      <c r="E568" s="562"/>
      <c r="F568" s="562"/>
      <c r="G568" s="188"/>
      <c r="H568" s="188"/>
      <c r="I568" s="188"/>
      <c r="J568" s="188"/>
      <c r="K568" s="562"/>
      <c r="L568" s="188"/>
      <c r="M568" s="188"/>
      <c r="N568" s="188"/>
      <c r="O568" s="188"/>
      <c r="P568" s="531">
        <f>SUM(P566:P567)</f>
        <v>1.3000000000000001E-2</v>
      </c>
      <c r="Q568" s="188"/>
      <c r="R568" s="188"/>
      <c r="S568" s="188"/>
      <c r="T568" s="188"/>
      <c r="U568" s="531">
        <f t="shared" ref="U568:AR568" si="874">SUM(U566:U567)</f>
        <v>1.9E-2</v>
      </c>
      <c r="V568" s="363">
        <f t="shared" si="874"/>
        <v>2.9999999999999992E-3</v>
      </c>
      <c r="W568" s="363">
        <f t="shared" si="874"/>
        <v>2E-3</v>
      </c>
      <c r="X568" s="363">
        <f t="shared" si="874"/>
        <v>1.0000000000000009E-3</v>
      </c>
      <c r="Y568" s="363">
        <f t="shared" si="874"/>
        <v>5.0000000000000001E-3</v>
      </c>
      <c r="Z568" s="531">
        <f t="shared" si="874"/>
        <v>0</v>
      </c>
      <c r="AA568" s="363">
        <f t="shared" si="874"/>
        <v>1.7000000000000001E-2</v>
      </c>
      <c r="AB568" s="363">
        <f t="shared" si="874"/>
        <v>7.0000000000000001E-3</v>
      </c>
      <c r="AC568" s="363">
        <f t="shared" si="874"/>
        <v>1.2E-2</v>
      </c>
      <c r="AD568" s="363">
        <f t="shared" si="874"/>
        <v>1.9E-2</v>
      </c>
      <c r="AE568" s="531">
        <f t="shared" si="874"/>
        <v>1.4999999999999999E-2</v>
      </c>
      <c r="AF568" s="363">
        <f t="shared" si="874"/>
        <v>1.3000000000000001E-2</v>
      </c>
      <c r="AG568" s="363">
        <f t="shared" si="874"/>
        <v>3.2000000000000001E-2</v>
      </c>
      <c r="AH568" s="363">
        <f t="shared" si="874"/>
        <v>0.01</v>
      </c>
      <c r="AI568" s="363">
        <f t="shared" si="874"/>
        <v>1.2E-2</v>
      </c>
      <c r="AJ568" s="531">
        <f t="shared" si="874"/>
        <v>9.9999999999999985E-3</v>
      </c>
      <c r="AK568" s="363">
        <f t="shared" si="874"/>
        <v>-1.4999999999999999E-2</v>
      </c>
      <c r="AL568" s="363">
        <f t="shared" si="874"/>
        <v>-1.7000000000000001E-2</v>
      </c>
      <c r="AM568" s="363">
        <f t="shared" si="874"/>
        <v>-1.3000000000000001E-2</v>
      </c>
      <c r="AN568" s="363">
        <f t="shared" si="874"/>
        <v>-3.9999999999999992E-3</v>
      </c>
      <c r="AO568" s="531">
        <f t="shared" si="874"/>
        <v>-1.2E-2</v>
      </c>
      <c r="AP568" s="363">
        <f t="shared" si="874"/>
        <v>8.0000000000000002E-3</v>
      </c>
      <c r="AQ568" s="363">
        <f t="shared" si="874"/>
        <v>-3.0000000000000001E-3</v>
      </c>
      <c r="AR568" s="363">
        <f t="shared" si="874"/>
        <v>-4.0000000000000001E-3</v>
      </c>
      <c r="AS568" s="363">
        <f>SUM(AS566:AS567)</f>
        <v>2.4E-2</v>
      </c>
      <c r="AT568" s="531">
        <f>SUM(AT566:AT567)</f>
        <v>6.0000000000000001E-3</v>
      </c>
      <c r="AU568" s="787">
        <f t="shared" ref="AU568" si="875">SUM(AU566:AU567)</f>
        <v>1.2999999999999999E-2</v>
      </c>
      <c r="AV568" s="188"/>
      <c r="AW568" s="188"/>
      <c r="AX568" s="188"/>
      <c r="AY568" s="562"/>
      <c r="AZ568" s="188"/>
      <c r="BA568" s="188"/>
      <c r="BB568" s="188"/>
      <c r="BC568" s="188"/>
      <c r="BD568" s="562"/>
      <c r="BE568" s="562"/>
      <c r="BF568" s="562"/>
      <c r="BG568" s="562"/>
      <c r="BH568" s="363"/>
    </row>
    <row r="569" spans="1:60" s="262" customFormat="1" hidden="1" outlineLevel="2" x14ac:dyDescent="0.35">
      <c r="A569" s="513" t="s">
        <v>621</v>
      </c>
      <c r="B569" s="686"/>
      <c r="C569" s="562"/>
      <c r="D569" s="562"/>
      <c r="E569" s="562"/>
      <c r="F569" s="562"/>
      <c r="G569" s="188"/>
      <c r="H569" s="188"/>
      <c r="I569" s="188"/>
      <c r="J569" s="188"/>
      <c r="K569" s="562"/>
      <c r="L569" s="188"/>
      <c r="M569" s="188"/>
      <c r="N569" s="188"/>
      <c r="O569" s="188"/>
      <c r="P569" s="531">
        <v>-1E-3</v>
      </c>
      <c r="Q569" s="188"/>
      <c r="R569" s="188"/>
      <c r="S569" s="188"/>
      <c r="T569" s="188"/>
      <c r="U569" s="531">
        <v>-2E-3</v>
      </c>
      <c r="V569" s="363">
        <v>-2E-3</v>
      </c>
      <c r="W569" s="188"/>
      <c r="X569" s="363">
        <v>-1E-3</v>
      </c>
      <c r="Y569" s="188"/>
      <c r="Z569" s="531">
        <v>2E-3</v>
      </c>
      <c r="AA569" s="363">
        <v>-2E-3</v>
      </c>
      <c r="AB569" s="363">
        <v>0.06</v>
      </c>
      <c r="AC569" s="188"/>
      <c r="AD569" s="363">
        <v>-3.0000000000000001E-3</v>
      </c>
      <c r="AE569" s="531">
        <v>1.4E-2</v>
      </c>
      <c r="AF569" s="363">
        <v>-4.0000000000000001E-3</v>
      </c>
      <c r="AG569" s="188"/>
      <c r="AH569" s="363">
        <v>-3.0000000000000001E-3</v>
      </c>
      <c r="AI569" s="363">
        <v>-1.2E-2</v>
      </c>
      <c r="AJ569" s="531">
        <v>-1E-3</v>
      </c>
      <c r="AK569" s="363">
        <v>-4.0000000000000001E-3</v>
      </c>
      <c r="AL569" s="363">
        <v>-5.0000000000000001E-3</v>
      </c>
      <c r="AM569" s="363">
        <v>0.01</v>
      </c>
      <c r="AN569" s="363">
        <v>-1.4E-2</v>
      </c>
      <c r="AO569" s="531">
        <v>-3.0000000000000001E-3</v>
      </c>
      <c r="AP569" s="363">
        <v>-8.9999999999999993E-3</v>
      </c>
      <c r="AQ569" s="363">
        <v>-8.0000000000000002E-3</v>
      </c>
      <c r="AR569" s="363">
        <v>-2E-3</v>
      </c>
      <c r="AS569" s="363">
        <v>1E-3</v>
      </c>
      <c r="AT569" s="531">
        <v>-5.0000000000000001E-3</v>
      </c>
      <c r="AU569" s="789"/>
      <c r="AV569" s="188"/>
      <c r="AW569" s="188"/>
      <c r="AX569" s="188"/>
      <c r="AY569" s="562"/>
      <c r="AZ569" s="188"/>
      <c r="BA569" s="188"/>
      <c r="BB569" s="188"/>
      <c r="BC569" s="188"/>
      <c r="BD569" s="562"/>
      <c r="BE569" s="562"/>
      <c r="BF569" s="562"/>
      <c r="BG569" s="562"/>
      <c r="BH569" s="363"/>
    </row>
    <row r="570" spans="1:60" s="262" customFormat="1" hidden="1" outlineLevel="2" x14ac:dyDescent="0.35">
      <c r="A570" s="513" t="s">
        <v>626</v>
      </c>
      <c r="B570" s="686"/>
      <c r="C570" s="562"/>
      <c r="D570" s="562"/>
      <c r="E570" s="562"/>
      <c r="F570" s="562"/>
      <c r="G570" s="188"/>
      <c r="H570" s="188"/>
      <c r="I570" s="188"/>
      <c r="J570" s="188"/>
      <c r="K570" s="562"/>
      <c r="L570" s="188"/>
      <c r="M570" s="188"/>
      <c r="N570" s="188"/>
      <c r="O570" s="188"/>
      <c r="P570" s="562"/>
      <c r="Q570" s="188"/>
      <c r="R570" s="188"/>
      <c r="S570" s="188"/>
      <c r="T570" s="188"/>
      <c r="U570" s="562"/>
      <c r="V570" s="188"/>
      <c r="W570" s="188"/>
      <c r="X570" s="188"/>
      <c r="Y570" s="188"/>
      <c r="Z570" s="562"/>
      <c r="AA570" s="188"/>
      <c r="AB570" s="188"/>
      <c r="AC570" s="363">
        <v>4.0000000000000001E-3</v>
      </c>
      <c r="AD570" s="188"/>
      <c r="AE570" s="562"/>
      <c r="AF570" s="188"/>
      <c r="AG570" s="188"/>
      <c r="AH570" s="188"/>
      <c r="AI570" s="188"/>
      <c r="AJ570" s="562"/>
      <c r="AK570" s="188"/>
      <c r="AL570" s="188"/>
      <c r="AM570" s="188"/>
      <c r="AN570" s="188"/>
      <c r="AO570" s="562"/>
      <c r="AP570" s="188"/>
      <c r="AQ570" s="188"/>
      <c r="AR570" s="188"/>
      <c r="AS570" s="188"/>
      <c r="AT570" s="562"/>
      <c r="AU570" s="789"/>
      <c r="AV570" s="188"/>
      <c r="AW570" s="188"/>
      <c r="AX570" s="188"/>
      <c r="AY570" s="562"/>
      <c r="AZ570" s="188"/>
      <c r="BA570" s="188"/>
      <c r="BB570" s="188"/>
      <c r="BC570" s="188"/>
      <c r="BD570" s="562"/>
      <c r="BE570" s="562"/>
      <c r="BF570" s="562"/>
      <c r="BG570" s="562"/>
      <c r="BH570" s="363"/>
    </row>
    <row r="571" spans="1:60" s="262" customFormat="1" hidden="1" outlineLevel="2" x14ac:dyDescent="0.35">
      <c r="A571" s="513" t="s">
        <v>618</v>
      </c>
      <c r="B571" s="686"/>
      <c r="C571" s="562"/>
      <c r="D571" s="562"/>
      <c r="E571" s="562"/>
      <c r="F571" s="562"/>
      <c r="G571" s="188"/>
      <c r="H571" s="188"/>
      <c r="I571" s="188"/>
      <c r="J571" s="188"/>
      <c r="K571" s="562"/>
      <c r="L571" s="188"/>
      <c r="M571" s="188"/>
      <c r="N571" s="188"/>
      <c r="O571" s="188"/>
      <c r="P571" s="562"/>
      <c r="Q571" s="188"/>
      <c r="R571" s="188"/>
      <c r="S571" s="188"/>
      <c r="T571" s="188"/>
      <c r="U571" s="562"/>
      <c r="V571" s="188"/>
      <c r="W571" s="188"/>
      <c r="X571" s="188"/>
      <c r="Y571" s="188"/>
      <c r="Z571" s="562"/>
      <c r="AA571" s="188"/>
      <c r="AB571" s="188"/>
      <c r="AC571" s="188"/>
      <c r="AD571" s="188"/>
      <c r="AE571" s="562"/>
      <c r="AF571" s="188"/>
      <c r="AG571" s="363">
        <v>4.5999999999999999E-2</v>
      </c>
      <c r="AH571" s="188"/>
      <c r="AI571" s="363">
        <v>-1E-3</v>
      </c>
      <c r="AJ571" s="531">
        <v>1.2E-2</v>
      </c>
      <c r="AK571" s="188"/>
      <c r="AL571" s="363">
        <v>-4.5999999999999999E-2</v>
      </c>
      <c r="AM571" s="188"/>
      <c r="AN571" s="188"/>
      <c r="AO571" s="531">
        <v>-1.2E-2</v>
      </c>
      <c r="AP571" s="188"/>
      <c r="AQ571" s="188"/>
      <c r="AR571" s="188"/>
      <c r="AS571" s="188"/>
      <c r="AT571" s="562"/>
      <c r="AU571" s="789"/>
      <c r="AV571" s="188"/>
      <c r="AW571" s="188"/>
      <c r="AX571" s="188"/>
      <c r="AY571" s="562"/>
      <c r="AZ571" s="188"/>
      <c r="BA571" s="188"/>
      <c r="BB571" s="188"/>
      <c r="BC571" s="188"/>
      <c r="BD571" s="562"/>
      <c r="BE571" s="562"/>
      <c r="BF571" s="562"/>
      <c r="BG571" s="562"/>
      <c r="BH571" s="363"/>
    </row>
    <row r="572" spans="1:60" s="262" customFormat="1" hidden="1" outlineLevel="2" x14ac:dyDescent="0.35">
      <c r="A572" s="605" t="s">
        <v>624</v>
      </c>
      <c r="B572" s="687"/>
      <c r="C572" s="609"/>
      <c r="D572" s="609"/>
      <c r="E572" s="609"/>
      <c r="F572" s="609"/>
      <c r="G572" s="608"/>
      <c r="H572" s="608"/>
      <c r="I572" s="608"/>
      <c r="J572" s="608"/>
      <c r="K572" s="609"/>
      <c r="L572" s="608"/>
      <c r="M572" s="608"/>
      <c r="N572" s="608"/>
      <c r="O572" s="608"/>
      <c r="P572" s="609"/>
      <c r="Q572" s="608"/>
      <c r="R572" s="608"/>
      <c r="S572" s="608"/>
      <c r="T572" s="608"/>
      <c r="U572" s="609"/>
      <c r="V572" s="608"/>
      <c r="W572" s="608"/>
      <c r="X572" s="608"/>
      <c r="Y572" s="608"/>
      <c r="Z572" s="609"/>
      <c r="AA572" s="608"/>
      <c r="AB572" s="608"/>
      <c r="AC572" s="608"/>
      <c r="AD572" s="608"/>
      <c r="AE572" s="609"/>
      <c r="AF572" s="608"/>
      <c r="AG572" s="560">
        <v>-5.8999999999999997E-2</v>
      </c>
      <c r="AH572" s="608"/>
      <c r="AI572" s="608"/>
      <c r="AJ572" s="559">
        <v>-1.2999999999999999E-2</v>
      </c>
      <c r="AK572" s="608"/>
      <c r="AL572" s="608"/>
      <c r="AM572" s="608"/>
      <c r="AN572" s="608"/>
      <c r="AO572" s="609"/>
      <c r="AP572" s="608"/>
      <c r="AQ572" s="608"/>
      <c r="AR572" s="608"/>
      <c r="AS572" s="608"/>
      <c r="AT572" s="609"/>
      <c r="AU572" s="793"/>
      <c r="AV572" s="608"/>
      <c r="AW572" s="608"/>
      <c r="AX572" s="608"/>
      <c r="AY572" s="609"/>
      <c r="AZ572" s="608"/>
      <c r="BA572" s="608"/>
      <c r="BB572" s="608"/>
      <c r="BC572" s="608"/>
      <c r="BD572" s="609"/>
      <c r="BE572" s="609"/>
      <c r="BF572" s="609"/>
      <c r="BG572" s="609"/>
      <c r="BH572" s="363"/>
    </row>
    <row r="573" spans="1:60" s="262" customFormat="1" hidden="1" outlineLevel="1" x14ac:dyDescent="0.35">
      <c r="A573" s="154" t="s">
        <v>1004</v>
      </c>
      <c r="B573" s="686"/>
      <c r="C573" s="562"/>
      <c r="D573" s="562"/>
      <c r="E573" s="562"/>
      <c r="F573" s="562"/>
      <c r="G573" s="188"/>
      <c r="H573" s="188"/>
      <c r="I573" s="188"/>
      <c r="J573" s="188"/>
      <c r="K573" s="562"/>
      <c r="L573" s="188"/>
      <c r="M573" s="188"/>
      <c r="N573" s="188"/>
      <c r="O573" s="188"/>
      <c r="P573" s="531">
        <f>SUM(P569:P572)</f>
        <v>-1E-3</v>
      </c>
      <c r="Q573" s="188"/>
      <c r="R573" s="188"/>
      <c r="S573" s="188"/>
      <c r="T573" s="188"/>
      <c r="U573" s="531">
        <f t="shared" ref="U573:AR573" si="876">SUM(U569:U572)</f>
        <v>-2E-3</v>
      </c>
      <c r="V573" s="363">
        <f t="shared" si="876"/>
        <v>-2E-3</v>
      </c>
      <c r="W573" s="363">
        <f t="shared" si="876"/>
        <v>0</v>
      </c>
      <c r="X573" s="363">
        <f t="shared" si="876"/>
        <v>-1E-3</v>
      </c>
      <c r="Y573" s="363">
        <f t="shared" si="876"/>
        <v>0</v>
      </c>
      <c r="Z573" s="531">
        <f t="shared" si="876"/>
        <v>2E-3</v>
      </c>
      <c r="AA573" s="363">
        <f t="shared" si="876"/>
        <v>-2E-3</v>
      </c>
      <c r="AB573" s="363">
        <f t="shared" si="876"/>
        <v>0.06</v>
      </c>
      <c r="AC573" s="363">
        <f t="shared" si="876"/>
        <v>4.0000000000000001E-3</v>
      </c>
      <c r="AD573" s="363">
        <f t="shared" si="876"/>
        <v>-3.0000000000000001E-3</v>
      </c>
      <c r="AE573" s="531">
        <f t="shared" si="876"/>
        <v>1.4E-2</v>
      </c>
      <c r="AF573" s="363">
        <f t="shared" si="876"/>
        <v>-4.0000000000000001E-3</v>
      </c>
      <c r="AG573" s="363">
        <f t="shared" si="876"/>
        <v>-1.2999999999999998E-2</v>
      </c>
      <c r="AH573" s="363">
        <f t="shared" si="876"/>
        <v>-3.0000000000000001E-3</v>
      </c>
      <c r="AI573" s="363">
        <f t="shared" si="876"/>
        <v>-1.3000000000000001E-2</v>
      </c>
      <c r="AJ573" s="531">
        <f t="shared" si="876"/>
        <v>-2E-3</v>
      </c>
      <c r="AK573" s="363">
        <f t="shared" si="876"/>
        <v>-4.0000000000000001E-3</v>
      </c>
      <c r="AL573" s="363">
        <f t="shared" si="876"/>
        <v>-5.0999999999999997E-2</v>
      </c>
      <c r="AM573" s="363">
        <f t="shared" si="876"/>
        <v>0.01</v>
      </c>
      <c r="AN573" s="363">
        <f t="shared" si="876"/>
        <v>-1.4E-2</v>
      </c>
      <c r="AO573" s="531">
        <f t="shared" si="876"/>
        <v>-1.4999999999999999E-2</v>
      </c>
      <c r="AP573" s="363">
        <f t="shared" si="876"/>
        <v>-8.9999999999999993E-3</v>
      </c>
      <c r="AQ573" s="363">
        <f t="shared" si="876"/>
        <v>-8.0000000000000002E-3</v>
      </c>
      <c r="AR573" s="363">
        <f t="shared" si="876"/>
        <v>-2E-3</v>
      </c>
      <c r="AS573" s="363">
        <f>SUM(AS569:AS572)</f>
        <v>1E-3</v>
      </c>
      <c r="AT573" s="531">
        <f>SUM(AT569:AT572)</f>
        <v>-5.0000000000000001E-3</v>
      </c>
      <c r="AU573" s="787">
        <v>0</v>
      </c>
      <c r="AV573" s="188"/>
      <c r="AW573" s="188"/>
      <c r="AX573" s="188"/>
      <c r="AY573" s="562"/>
      <c r="AZ573" s="188"/>
      <c r="BA573" s="188"/>
      <c r="BB573" s="188"/>
      <c r="BC573" s="188"/>
      <c r="BD573" s="562"/>
      <c r="BE573" s="562"/>
      <c r="BF573" s="562"/>
      <c r="BG573" s="562"/>
      <c r="BH573" s="363"/>
    </row>
    <row r="574" spans="1:60" s="262" customFormat="1" hidden="1" outlineLevel="1" x14ac:dyDescent="0.35">
      <c r="A574" s="154" t="s">
        <v>1006</v>
      </c>
      <c r="B574" s="686"/>
      <c r="C574" s="562"/>
      <c r="D574" s="562"/>
      <c r="E574" s="562"/>
      <c r="F574" s="562"/>
      <c r="G574" s="188"/>
      <c r="H574" s="188"/>
      <c r="I574" s="188"/>
      <c r="J574" s="188"/>
      <c r="K574" s="562"/>
      <c r="L574" s="188"/>
      <c r="M574" s="188"/>
      <c r="N574" s="188"/>
      <c r="O574" s="188"/>
      <c r="P574" s="531">
        <v>-3.0000000000000001E-3</v>
      </c>
      <c r="Q574" s="188"/>
      <c r="R574" s="188"/>
      <c r="S574" s="188"/>
      <c r="T574" s="188"/>
      <c r="U574" s="562"/>
      <c r="V574" s="363">
        <v>-1E-3</v>
      </c>
      <c r="W574" s="363">
        <v>-3.0000000000000001E-3</v>
      </c>
      <c r="X574" s="363">
        <v>-5.0000000000000001E-3</v>
      </c>
      <c r="Y574" s="363">
        <v>-2E-3</v>
      </c>
      <c r="Z574" s="531">
        <v>-2E-3</v>
      </c>
      <c r="AA574" s="363">
        <v>-4.0000000000000001E-3</v>
      </c>
      <c r="AB574" s="363">
        <v>-5.0000000000000001E-3</v>
      </c>
      <c r="AC574" s="363">
        <v>-4.0000000000000001E-3</v>
      </c>
      <c r="AD574" s="363">
        <v>-6.0000000000000001E-3</v>
      </c>
      <c r="AE574" s="531">
        <v>-5.0000000000000001E-3</v>
      </c>
      <c r="AF574" s="363">
        <v>-4.0000000000000001E-3</v>
      </c>
      <c r="AG574" s="363">
        <v>-2E-3</v>
      </c>
      <c r="AH574" s="363">
        <v>-5.0000000000000001E-3</v>
      </c>
      <c r="AI574" s="363">
        <v>1E-3</v>
      </c>
      <c r="AJ574" s="531">
        <v>-2E-3</v>
      </c>
      <c r="AK574" s="363">
        <v>3.0000000000000001E-3</v>
      </c>
      <c r="AL574" s="363">
        <v>4.0000000000000001E-3</v>
      </c>
      <c r="AM574" s="363">
        <v>8.0000000000000002E-3</v>
      </c>
      <c r="AN574" s="363">
        <v>1E-3</v>
      </c>
      <c r="AO574" s="531">
        <v>4.0000000000000001E-3</v>
      </c>
      <c r="AP574" s="363">
        <v>-4.0000000000000001E-3</v>
      </c>
      <c r="AQ574" s="363">
        <v>-1E-3</v>
      </c>
      <c r="AR574" s="363">
        <v>-3.0000000000000001E-3</v>
      </c>
      <c r="AS574" s="363">
        <v>-1E-3</v>
      </c>
      <c r="AT574" s="531">
        <v>-2E-3</v>
      </c>
      <c r="AU574" s="787">
        <v>4.0000000000000001E-3</v>
      </c>
      <c r="AV574" s="188"/>
      <c r="AW574" s="188"/>
      <c r="AX574" s="188"/>
      <c r="AY574" s="562"/>
      <c r="AZ574" s="188"/>
      <c r="BA574" s="188"/>
      <c r="BB574" s="188"/>
      <c r="BC574" s="188"/>
      <c r="BD574" s="562"/>
      <c r="BE574" s="562"/>
      <c r="BF574" s="562"/>
      <c r="BG574" s="562"/>
      <c r="BH574" s="363"/>
    </row>
    <row r="575" spans="1:60" s="262" customFormat="1" hidden="1" outlineLevel="2" x14ac:dyDescent="0.35">
      <c r="A575" s="513" t="s">
        <v>620</v>
      </c>
      <c r="B575" s="686"/>
      <c r="C575" s="562"/>
      <c r="D575" s="562"/>
      <c r="E575" s="562"/>
      <c r="F575" s="562"/>
      <c r="G575" s="188"/>
      <c r="H575" s="188"/>
      <c r="I575" s="188"/>
      <c r="J575" s="188"/>
      <c r="K575" s="562"/>
      <c r="L575" s="188"/>
      <c r="M575" s="188"/>
      <c r="N575" s="188"/>
      <c r="O575" s="188"/>
      <c r="P575" s="562"/>
      <c r="Q575" s="188"/>
      <c r="R575" s="188"/>
      <c r="S575" s="188"/>
      <c r="T575" s="188"/>
      <c r="U575" s="562"/>
      <c r="V575" s="188"/>
      <c r="W575" s="188"/>
      <c r="X575" s="188"/>
      <c r="Y575" s="188"/>
      <c r="Z575" s="562"/>
      <c r="AA575" s="188"/>
      <c r="AB575" s="188"/>
      <c r="AC575" s="188"/>
      <c r="AD575" s="188"/>
      <c r="AE575" s="562"/>
      <c r="AF575" s="188"/>
      <c r="AG575" s="188"/>
      <c r="AH575" s="188"/>
      <c r="AI575" s="188"/>
      <c r="AJ575" s="562"/>
      <c r="AK575" s="188"/>
      <c r="AL575" s="363">
        <v>-1.4E-2</v>
      </c>
      <c r="AM575" s="188"/>
      <c r="AN575" s="188"/>
      <c r="AO575" s="531">
        <v>-8.0000000000000002E-3</v>
      </c>
      <c r="AP575" s="188"/>
      <c r="AQ575" s="188"/>
      <c r="AR575" s="188"/>
      <c r="AS575" s="188"/>
      <c r="AT575" s="562"/>
      <c r="AU575" s="789"/>
      <c r="AV575" s="188"/>
      <c r="AW575" s="188"/>
      <c r="AX575" s="188"/>
      <c r="AY575" s="562"/>
      <c r="AZ575" s="188"/>
      <c r="BA575" s="188"/>
      <c r="BB575" s="188"/>
      <c r="BC575" s="188"/>
      <c r="BD575" s="562"/>
      <c r="BE575" s="562"/>
      <c r="BF575" s="562"/>
      <c r="BG575" s="562"/>
      <c r="BH575" s="363"/>
    </row>
    <row r="576" spans="1:60" s="262" customFormat="1" hidden="1" outlineLevel="2" x14ac:dyDescent="0.35">
      <c r="A576" s="513" t="s">
        <v>706</v>
      </c>
      <c r="B576" s="686"/>
      <c r="C576" s="562"/>
      <c r="D576" s="562"/>
      <c r="E576" s="562"/>
      <c r="F576" s="562"/>
      <c r="G576" s="188"/>
      <c r="H576" s="188"/>
      <c r="I576" s="188"/>
      <c r="J576" s="188"/>
      <c r="K576" s="562"/>
      <c r="L576" s="188"/>
      <c r="M576" s="188"/>
      <c r="N576" s="188"/>
      <c r="O576" s="188"/>
      <c r="P576" s="562"/>
      <c r="Q576" s="188"/>
      <c r="R576" s="188"/>
      <c r="S576" s="188"/>
      <c r="T576" s="188"/>
      <c r="U576" s="562"/>
      <c r="V576" s="188"/>
      <c r="W576" s="188"/>
      <c r="X576" s="188"/>
      <c r="Y576" s="188"/>
      <c r="Z576" s="562"/>
      <c r="AA576" s="188"/>
      <c r="AB576" s="188"/>
      <c r="AC576" s="188"/>
      <c r="AD576" s="188"/>
      <c r="AE576" s="562"/>
      <c r="AF576" s="188"/>
      <c r="AG576" s="188"/>
      <c r="AH576" s="188"/>
      <c r="AI576" s="188"/>
      <c r="AJ576" s="562"/>
      <c r="AK576" s="188"/>
      <c r="AL576" s="188"/>
      <c r="AM576" s="188"/>
      <c r="AN576" s="363">
        <v>-1.7000000000000001E-2</v>
      </c>
      <c r="AO576" s="562"/>
      <c r="AP576" s="188"/>
      <c r="AQ576" s="188"/>
      <c r="AR576" s="188"/>
      <c r="AS576" s="363">
        <v>1E-3</v>
      </c>
      <c r="AT576" s="531">
        <v>2E-3</v>
      </c>
      <c r="AU576" s="789"/>
      <c r="AV576" s="188"/>
      <c r="AW576" s="188"/>
      <c r="AX576" s="188"/>
      <c r="AY576" s="562"/>
      <c r="AZ576" s="188"/>
      <c r="BA576" s="188"/>
      <c r="BB576" s="188"/>
      <c r="BC576" s="188"/>
      <c r="BD576" s="562"/>
      <c r="BE576" s="562"/>
      <c r="BF576" s="562"/>
      <c r="BG576" s="562"/>
      <c r="BH576" s="363"/>
    </row>
    <row r="577" spans="1:60" s="262" customFormat="1" hidden="1" outlineLevel="2" x14ac:dyDescent="0.35">
      <c r="A577" s="513" t="s">
        <v>630</v>
      </c>
      <c r="B577" s="686"/>
      <c r="C577" s="562"/>
      <c r="D577" s="562"/>
      <c r="E577" s="562"/>
      <c r="F577" s="562"/>
      <c r="G577" s="188"/>
      <c r="H577" s="188"/>
      <c r="I577" s="188"/>
      <c r="J577" s="188"/>
      <c r="K577" s="562"/>
      <c r="L577" s="188"/>
      <c r="M577" s="188"/>
      <c r="N577" s="188"/>
      <c r="O577" s="188"/>
      <c r="P577" s="562"/>
      <c r="Q577" s="188"/>
      <c r="R577" s="188"/>
      <c r="S577" s="188"/>
      <c r="T577" s="188"/>
      <c r="U577" s="562"/>
      <c r="V577" s="188"/>
      <c r="W577" s="188"/>
      <c r="X577" s="188"/>
      <c r="Y577" s="188"/>
      <c r="Z577" s="562"/>
      <c r="AA577" s="188"/>
      <c r="AB577" s="188"/>
      <c r="AC577" s="188"/>
      <c r="AD577" s="188"/>
      <c r="AE577" s="562"/>
      <c r="AF577" s="188"/>
      <c r="AG577" s="188"/>
      <c r="AH577" s="363">
        <v>-1E-3</v>
      </c>
      <c r="AI577" s="188"/>
      <c r="AJ577" s="562"/>
      <c r="AK577" s="188"/>
      <c r="AL577" s="188"/>
      <c r="AM577" s="188"/>
      <c r="AN577" s="188"/>
      <c r="AO577" s="562"/>
      <c r="AP577" s="188"/>
      <c r="AQ577" s="188"/>
      <c r="AR577" s="188"/>
      <c r="AS577" s="188"/>
      <c r="AT577" s="562"/>
      <c r="AU577" s="789"/>
      <c r="AV577" s="188"/>
      <c r="AW577" s="188"/>
      <c r="AX577" s="188"/>
      <c r="AY577" s="562"/>
      <c r="AZ577" s="188"/>
      <c r="BA577" s="188"/>
      <c r="BB577" s="188"/>
      <c r="BC577" s="188"/>
      <c r="BD577" s="562"/>
      <c r="BE577" s="562"/>
      <c r="BF577" s="562"/>
      <c r="BG577" s="562"/>
      <c r="BH577" s="363"/>
    </row>
    <row r="578" spans="1:60" s="262" customFormat="1" hidden="1" outlineLevel="2" x14ac:dyDescent="0.35">
      <c r="A578" s="513" t="s">
        <v>627</v>
      </c>
      <c r="B578" s="686"/>
      <c r="C578" s="562"/>
      <c r="D578" s="562"/>
      <c r="E578" s="562"/>
      <c r="F578" s="562"/>
      <c r="G578" s="188"/>
      <c r="H578" s="188"/>
      <c r="I578" s="188"/>
      <c r="J578" s="188"/>
      <c r="K578" s="562"/>
      <c r="L578" s="188"/>
      <c r="M578" s="188"/>
      <c r="N578" s="188"/>
      <c r="O578" s="188"/>
      <c r="P578" s="531">
        <v>-6.0000000000000001E-3</v>
      </c>
      <c r="Q578" s="188"/>
      <c r="R578" s="188"/>
      <c r="S578" s="188"/>
      <c r="T578" s="188"/>
      <c r="U578" s="531">
        <v>-3.0000000000000001E-3</v>
      </c>
      <c r="V578" s="363">
        <v>-1E-3</v>
      </c>
      <c r="W578" s="363">
        <v>-3.0000000000000001E-3</v>
      </c>
      <c r="X578" s="363">
        <v>-4.0000000000000001E-3</v>
      </c>
      <c r="Y578" s="363">
        <v>-7.0000000000000001E-3</v>
      </c>
      <c r="Z578" s="531">
        <v>-3.0000000000000001E-3</v>
      </c>
      <c r="AA578" s="363">
        <v>-1.7999999999999999E-2</v>
      </c>
      <c r="AB578" s="363">
        <v>-2.3E-2</v>
      </c>
      <c r="AC578" s="363">
        <v>-6.0000000000000001E-3</v>
      </c>
      <c r="AD578" s="363">
        <v>-7.0000000000000001E-3</v>
      </c>
      <c r="AE578" s="531">
        <v>-1.4E-2</v>
      </c>
      <c r="AF578" s="188"/>
      <c r="AG578" s="188"/>
      <c r="AH578" s="188"/>
      <c r="AI578" s="188"/>
      <c r="AJ578" s="562"/>
      <c r="AK578" s="188"/>
      <c r="AL578" s="188"/>
      <c r="AM578" s="188"/>
      <c r="AN578" s="188"/>
      <c r="AO578" s="562"/>
      <c r="AP578" s="188"/>
      <c r="AQ578" s="188"/>
      <c r="AR578" s="188"/>
      <c r="AS578" s="188"/>
      <c r="AT578" s="562"/>
      <c r="AU578" s="789"/>
      <c r="AV578" s="188"/>
      <c r="AW578" s="188"/>
      <c r="AX578" s="188"/>
      <c r="AY578" s="562"/>
      <c r="AZ578" s="188"/>
      <c r="BA578" s="188"/>
      <c r="BB578" s="188"/>
      <c r="BC578" s="188"/>
      <c r="BD578" s="562"/>
      <c r="BE578" s="562"/>
      <c r="BF578" s="562"/>
      <c r="BG578" s="562"/>
      <c r="BH578" s="363"/>
    </row>
    <row r="579" spans="1:60" s="262" customFormat="1" hidden="1" outlineLevel="2" x14ac:dyDescent="0.35">
      <c r="A579" s="513" t="s">
        <v>628</v>
      </c>
      <c r="B579" s="686"/>
      <c r="C579" s="562"/>
      <c r="D579" s="562"/>
      <c r="E579" s="562"/>
      <c r="F579" s="562"/>
      <c r="G579" s="188"/>
      <c r="H579" s="188"/>
      <c r="I579" s="188"/>
      <c r="J579" s="188"/>
      <c r="K579" s="562"/>
      <c r="L579" s="188"/>
      <c r="M579" s="188"/>
      <c r="N579" s="188"/>
      <c r="O579" s="188"/>
      <c r="P579" s="562"/>
      <c r="Q579" s="188"/>
      <c r="R579" s="188"/>
      <c r="S579" s="188"/>
      <c r="T579" s="188"/>
      <c r="U579" s="531">
        <v>-4.0000000000000001E-3</v>
      </c>
      <c r="V579" s="188"/>
      <c r="W579" s="188"/>
      <c r="X579" s="188"/>
      <c r="Y579" s="363">
        <v>1.6E-2</v>
      </c>
      <c r="Z579" s="531">
        <v>4.0000000000000001E-3</v>
      </c>
      <c r="AA579" s="188"/>
      <c r="AB579" s="188"/>
      <c r="AC579" s="188"/>
      <c r="AD579" s="188"/>
      <c r="AE579" s="562"/>
      <c r="AF579" s="188"/>
      <c r="AG579" s="188"/>
      <c r="AH579" s="188"/>
      <c r="AI579" s="188"/>
      <c r="AJ579" s="562"/>
      <c r="AK579" s="188"/>
      <c r="AL579" s="188"/>
      <c r="AM579" s="188"/>
      <c r="AN579" s="188"/>
      <c r="AO579" s="562"/>
      <c r="AP579" s="188"/>
      <c r="AQ579" s="188"/>
      <c r="AR579" s="188"/>
      <c r="AS579" s="188"/>
      <c r="AT579" s="562"/>
      <c r="AU579" s="789"/>
      <c r="AV579" s="188"/>
      <c r="AW579" s="188"/>
      <c r="AX579" s="188"/>
      <c r="AY579" s="562"/>
      <c r="AZ579" s="188"/>
      <c r="BA579" s="188"/>
      <c r="BB579" s="188"/>
      <c r="BC579" s="188"/>
      <c r="BD579" s="562"/>
      <c r="BE579" s="562"/>
      <c r="BF579" s="562"/>
      <c r="BG579" s="562"/>
      <c r="BH579" s="363"/>
    </row>
    <row r="580" spans="1:60" s="262" customFormat="1" hidden="1" outlineLevel="2" x14ac:dyDescent="0.35">
      <c r="A580" s="605" t="s">
        <v>629</v>
      </c>
      <c r="B580" s="687"/>
      <c r="C580" s="609"/>
      <c r="D580" s="609"/>
      <c r="E580" s="609"/>
      <c r="F580" s="609"/>
      <c r="G580" s="608"/>
      <c r="H580" s="608"/>
      <c r="I580" s="608"/>
      <c r="J580" s="608"/>
      <c r="K580" s="609"/>
      <c r="L580" s="608"/>
      <c r="M580" s="608"/>
      <c r="N580" s="608"/>
      <c r="O580" s="608"/>
      <c r="P580" s="609"/>
      <c r="Q580" s="608"/>
      <c r="R580" s="608"/>
      <c r="S580" s="608"/>
      <c r="T580" s="608"/>
      <c r="U580" s="609"/>
      <c r="V580" s="560">
        <v>4.0000000000000001E-3</v>
      </c>
      <c r="W580" s="560">
        <v>4.0000000000000001E-3</v>
      </c>
      <c r="X580" s="560">
        <v>4.0000000000000001E-3</v>
      </c>
      <c r="Y580" s="560">
        <v>4.0000000000000001E-3</v>
      </c>
      <c r="Z580" s="559">
        <v>4.0000000000000001E-3</v>
      </c>
      <c r="AA580" s="608"/>
      <c r="AB580" s="608"/>
      <c r="AC580" s="608"/>
      <c r="AD580" s="608"/>
      <c r="AE580" s="609"/>
      <c r="AF580" s="608"/>
      <c r="AG580" s="608"/>
      <c r="AH580" s="608"/>
      <c r="AI580" s="608"/>
      <c r="AJ580" s="609"/>
      <c r="AK580" s="608"/>
      <c r="AL580" s="608"/>
      <c r="AM580" s="608"/>
      <c r="AN580" s="608"/>
      <c r="AO580" s="609"/>
      <c r="AP580" s="608"/>
      <c r="AQ580" s="608"/>
      <c r="AR580" s="608"/>
      <c r="AS580" s="608"/>
      <c r="AT580" s="609"/>
      <c r="AU580" s="793"/>
      <c r="AV580" s="608"/>
      <c r="AW580" s="608"/>
      <c r="AX580" s="608"/>
      <c r="AY580" s="609"/>
      <c r="AZ580" s="608"/>
      <c r="BA580" s="608"/>
      <c r="BB580" s="608"/>
      <c r="BC580" s="608"/>
      <c r="BD580" s="609"/>
      <c r="BE580" s="609"/>
      <c r="BF580" s="609"/>
      <c r="BG580" s="609"/>
      <c r="BH580" s="363"/>
    </row>
    <row r="581" spans="1:60" s="262" customFormat="1" hidden="1" outlineLevel="1" x14ac:dyDescent="0.35">
      <c r="A581" s="154" t="s">
        <v>1005</v>
      </c>
      <c r="B581" s="686"/>
      <c r="C581" s="562"/>
      <c r="D581" s="562"/>
      <c r="E581" s="562"/>
      <c r="F581" s="562"/>
      <c r="G581" s="188"/>
      <c r="H581" s="188"/>
      <c r="I581" s="188"/>
      <c r="J581" s="188"/>
      <c r="K581" s="562"/>
      <c r="L581" s="188"/>
      <c r="M581" s="188"/>
      <c r="N581" s="188"/>
      <c r="O581" s="188"/>
      <c r="P581" s="531">
        <f>SUM(P575:P580)</f>
        <v>-6.0000000000000001E-3</v>
      </c>
      <c r="Q581" s="188"/>
      <c r="R581" s="188"/>
      <c r="S581" s="188"/>
      <c r="T581" s="188"/>
      <c r="U581" s="531">
        <f t="shared" ref="U581:AR581" si="877">SUM(U575:U580)</f>
        <v>-7.0000000000000001E-3</v>
      </c>
      <c r="V581" s="363">
        <f t="shared" si="877"/>
        <v>3.0000000000000001E-3</v>
      </c>
      <c r="W581" s="363">
        <f t="shared" si="877"/>
        <v>1E-3</v>
      </c>
      <c r="X581" s="363">
        <f t="shared" si="877"/>
        <v>0</v>
      </c>
      <c r="Y581" s="363">
        <f t="shared" si="877"/>
        <v>1.3000000000000001E-2</v>
      </c>
      <c r="Z581" s="531">
        <f t="shared" si="877"/>
        <v>5.0000000000000001E-3</v>
      </c>
      <c r="AA581" s="363">
        <f t="shared" si="877"/>
        <v>-1.7999999999999999E-2</v>
      </c>
      <c r="AB581" s="363">
        <f t="shared" si="877"/>
        <v>-2.3E-2</v>
      </c>
      <c r="AC581" s="363">
        <f t="shared" si="877"/>
        <v>-6.0000000000000001E-3</v>
      </c>
      <c r="AD581" s="363">
        <f t="shared" si="877"/>
        <v>-7.0000000000000001E-3</v>
      </c>
      <c r="AE581" s="531">
        <f t="shared" si="877"/>
        <v>-1.4E-2</v>
      </c>
      <c r="AF581" s="363">
        <f t="shared" si="877"/>
        <v>0</v>
      </c>
      <c r="AG581" s="363">
        <f t="shared" si="877"/>
        <v>0</v>
      </c>
      <c r="AH581" s="363">
        <f t="shared" si="877"/>
        <v>-1E-3</v>
      </c>
      <c r="AI581" s="363">
        <f t="shared" si="877"/>
        <v>0</v>
      </c>
      <c r="AJ581" s="531">
        <f t="shared" si="877"/>
        <v>0</v>
      </c>
      <c r="AK581" s="363">
        <f t="shared" si="877"/>
        <v>0</v>
      </c>
      <c r="AL581" s="363">
        <f t="shared" si="877"/>
        <v>-1.4E-2</v>
      </c>
      <c r="AM581" s="363">
        <f t="shared" si="877"/>
        <v>0</v>
      </c>
      <c r="AN581" s="363">
        <f t="shared" si="877"/>
        <v>-1.7000000000000001E-2</v>
      </c>
      <c r="AO581" s="531">
        <f t="shared" si="877"/>
        <v>-8.0000000000000002E-3</v>
      </c>
      <c r="AP581" s="363">
        <f t="shared" si="877"/>
        <v>0</v>
      </c>
      <c r="AQ581" s="363">
        <f t="shared" si="877"/>
        <v>0</v>
      </c>
      <c r="AR581" s="363">
        <f t="shared" si="877"/>
        <v>0</v>
      </c>
      <c r="AS581" s="363">
        <f>SUM(AS575:AS580)</f>
        <v>1E-3</v>
      </c>
      <c r="AT581" s="531">
        <f>SUM(AT575:AT580)</f>
        <v>2E-3</v>
      </c>
      <c r="AU581" s="787">
        <f t="shared" ref="AU581" si="878">SUM(AU575:AU580)</f>
        <v>0</v>
      </c>
      <c r="AV581" s="188"/>
      <c r="AW581" s="188"/>
      <c r="AX581" s="188"/>
      <c r="AY581" s="562"/>
      <c r="AZ581" s="188"/>
      <c r="BA581" s="188"/>
      <c r="BB581" s="188"/>
      <c r="BC581" s="188"/>
      <c r="BD581" s="562"/>
      <c r="BE581" s="562"/>
      <c r="BF581" s="562"/>
      <c r="BG581" s="562"/>
      <c r="BH581" s="363"/>
    </row>
    <row r="582" spans="1:60" s="262" customFormat="1" hidden="1" outlineLevel="2" x14ac:dyDescent="0.35">
      <c r="A582" s="513" t="s">
        <v>623</v>
      </c>
      <c r="B582" s="686"/>
      <c r="C582" s="562"/>
      <c r="D582" s="562"/>
      <c r="E582" s="562"/>
      <c r="F582" s="562"/>
      <c r="G582" s="188"/>
      <c r="H582" s="188"/>
      <c r="I582" s="188"/>
      <c r="J582" s="188"/>
      <c r="K582" s="562"/>
      <c r="L582" s="188"/>
      <c r="M582" s="188"/>
      <c r="N582" s="188"/>
      <c r="O582" s="188"/>
      <c r="P582" s="562"/>
      <c r="Q582" s="188"/>
      <c r="R582" s="188"/>
      <c r="S582" s="188"/>
      <c r="T582" s="188"/>
      <c r="U582" s="562"/>
      <c r="V582" s="188"/>
      <c r="W582" s="363">
        <v>-6.0000000000000001E-3</v>
      </c>
      <c r="X582" s="188"/>
      <c r="Y582" s="363">
        <v>-3.0000000000000001E-3</v>
      </c>
      <c r="Z582" s="531">
        <v>-4.0000000000000001E-3</v>
      </c>
      <c r="AA582" s="188"/>
      <c r="AB582" s="188"/>
      <c r="AC582" s="188"/>
      <c r="AD582" s="188"/>
      <c r="AE582" s="562"/>
      <c r="AF582" s="188"/>
      <c r="AG582" s="363">
        <v>-7.0000000000000001E-3</v>
      </c>
      <c r="AH582" s="188"/>
      <c r="AI582" s="188"/>
      <c r="AJ582" s="531">
        <v>-2E-3</v>
      </c>
      <c r="AK582" s="188"/>
      <c r="AL582" s="188"/>
      <c r="AM582" s="188"/>
      <c r="AN582" s="188"/>
      <c r="AO582" s="562"/>
      <c r="AP582" s="188"/>
      <c r="AQ582" s="188"/>
      <c r="AR582" s="188"/>
      <c r="AS582" s="188"/>
      <c r="AT582" s="562"/>
      <c r="AU582" s="789"/>
      <c r="AV582" s="188"/>
      <c r="AW582" s="188"/>
      <c r="AX582" s="188"/>
      <c r="AY582" s="562"/>
      <c r="AZ582" s="188"/>
      <c r="BA582" s="188"/>
      <c r="BB582" s="188"/>
      <c r="BC582" s="188"/>
      <c r="BD582" s="562"/>
      <c r="BE582" s="562"/>
      <c r="BF582" s="562"/>
      <c r="BG582" s="562"/>
      <c r="BH582" s="363"/>
    </row>
    <row r="583" spans="1:60" s="262" customFormat="1" hidden="1" outlineLevel="2" x14ac:dyDescent="0.35">
      <c r="A583" s="513" t="s">
        <v>625</v>
      </c>
      <c r="B583" s="686"/>
      <c r="C583" s="562"/>
      <c r="D583" s="562"/>
      <c r="E583" s="562"/>
      <c r="F583" s="562"/>
      <c r="G583" s="188"/>
      <c r="H583" s="188"/>
      <c r="I583" s="188"/>
      <c r="J583" s="188"/>
      <c r="K583" s="562"/>
      <c r="L583" s="188"/>
      <c r="M583" s="188"/>
      <c r="N583" s="188"/>
      <c r="O583" s="188"/>
      <c r="P583" s="531">
        <v>5.0000000000000001E-3</v>
      </c>
      <c r="Q583" s="188"/>
      <c r="R583" s="188"/>
      <c r="S583" s="188"/>
      <c r="T583" s="188"/>
      <c r="U583" s="531">
        <v>-5.0000000000000001E-3</v>
      </c>
      <c r="V583" s="363">
        <v>0.01</v>
      </c>
      <c r="W583" s="363">
        <v>1.0999999999999999E-2</v>
      </c>
      <c r="X583" s="363">
        <v>8.9999999999999993E-3</v>
      </c>
      <c r="Y583" s="363">
        <v>8.9999999999999993E-3</v>
      </c>
      <c r="Z583" s="531">
        <v>0.01</v>
      </c>
      <c r="AA583" s="363">
        <v>-3.0000000000000001E-3</v>
      </c>
      <c r="AB583" s="363">
        <v>-3.0000000000000001E-3</v>
      </c>
      <c r="AC583" s="363">
        <v>-3.0000000000000001E-3</v>
      </c>
      <c r="AD583" s="363">
        <v>-2E-3</v>
      </c>
      <c r="AE583" s="531">
        <v>-3.0000000000000001E-3</v>
      </c>
      <c r="AF583" s="363">
        <v>-2E-3</v>
      </c>
      <c r="AG583" s="188"/>
      <c r="AH583" s="188"/>
      <c r="AI583" s="188"/>
      <c r="AJ583" s="562"/>
      <c r="AK583" s="188"/>
      <c r="AL583" s="188"/>
      <c r="AM583" s="188"/>
      <c r="AN583" s="188"/>
      <c r="AO583" s="562"/>
      <c r="AP583" s="188"/>
      <c r="AQ583" s="188"/>
      <c r="AR583" s="188"/>
      <c r="AS583" s="188"/>
      <c r="AT583" s="562"/>
      <c r="AU583" s="789"/>
      <c r="AV583" s="188"/>
      <c r="AW583" s="188"/>
      <c r="AX583" s="188"/>
      <c r="AY583" s="562"/>
      <c r="AZ583" s="188"/>
      <c r="BA583" s="188"/>
      <c r="BB583" s="188"/>
      <c r="BC583" s="188"/>
      <c r="BD583" s="562"/>
      <c r="BE583" s="562"/>
      <c r="BF583" s="562"/>
      <c r="BG583" s="562"/>
      <c r="BH583" s="363"/>
    </row>
    <row r="584" spans="1:60" s="262" customFormat="1" hidden="1" outlineLevel="2" x14ac:dyDescent="0.35">
      <c r="A584" s="605" t="s">
        <v>804</v>
      </c>
      <c r="B584" s="687"/>
      <c r="C584" s="609"/>
      <c r="D584" s="609"/>
      <c r="E584" s="609"/>
      <c r="F584" s="609"/>
      <c r="G584" s="608"/>
      <c r="H584" s="608"/>
      <c r="I584" s="608"/>
      <c r="J584" s="608"/>
      <c r="K584" s="609"/>
      <c r="L584" s="608"/>
      <c r="M584" s="608"/>
      <c r="N584" s="608"/>
      <c r="O584" s="608"/>
      <c r="P584" s="559">
        <f>P586-P583-P582-P581-P574-P573-P568-P565</f>
        <v>2.9218854193008292E-4</v>
      </c>
      <c r="Q584" s="608"/>
      <c r="R584" s="608"/>
      <c r="S584" s="608"/>
      <c r="T584" s="608"/>
      <c r="U584" s="559">
        <f t="shared" ref="U584:AR584" si="879">U586-U583-U582-U581-U574-U573-U568-U565</f>
        <v>2.1480402209481109E-4</v>
      </c>
      <c r="V584" s="560">
        <f t="shared" si="879"/>
        <v>-6.5778890673897084E-3</v>
      </c>
      <c r="W584" s="560">
        <f t="shared" si="879"/>
        <v>-7.2519562360634782E-3</v>
      </c>
      <c r="X584" s="560">
        <f t="shared" si="879"/>
        <v>-6.6294238183639553E-3</v>
      </c>
      <c r="Y584" s="560">
        <f t="shared" si="879"/>
        <v>-7.0418349924828705E-3</v>
      </c>
      <c r="Z584" s="559">
        <f t="shared" si="879"/>
        <v>-7.0524349120439367E-3</v>
      </c>
      <c r="AA584" s="560">
        <f t="shared" si="879"/>
        <v>1.9608051998162568E-3</v>
      </c>
      <c r="AB584" s="560">
        <f t="shared" si="879"/>
        <v>2.5278663748228569E-3</v>
      </c>
      <c r="AC584" s="560">
        <f t="shared" si="879"/>
        <v>2.0892451290635827E-3</v>
      </c>
      <c r="AD584" s="560">
        <f t="shared" si="879"/>
        <v>2.4109528710588302E-3</v>
      </c>
      <c r="AE584" s="559">
        <f t="shared" si="879"/>
        <v>2.5940693260685099E-3</v>
      </c>
      <c r="AF584" s="560">
        <f t="shared" si="879"/>
        <v>3.3190655307127614E-4</v>
      </c>
      <c r="AG584" s="560">
        <f t="shared" si="879"/>
        <v>5.0180157769680322E-4</v>
      </c>
      <c r="AH584" s="560">
        <f t="shared" si="879"/>
        <v>5.8419303906154241E-4</v>
      </c>
      <c r="AI584" s="560">
        <f t="shared" si="879"/>
        <v>5.1299177464594892E-4</v>
      </c>
      <c r="AJ584" s="559">
        <f t="shared" si="879"/>
        <v>3.5766168481063398E-4</v>
      </c>
      <c r="AK584" s="560">
        <f t="shared" si="879"/>
        <v>-4.9754387446265813E-4</v>
      </c>
      <c r="AL584" s="560">
        <f t="shared" si="879"/>
        <v>1.2362130147480777E-4</v>
      </c>
      <c r="AM584" s="560">
        <f t="shared" si="879"/>
        <v>-1.3908083419165496E-2</v>
      </c>
      <c r="AN584" s="560">
        <f t="shared" si="879"/>
        <v>-6.7554763869065448E-4</v>
      </c>
      <c r="AO584" s="559">
        <f t="shared" si="879"/>
        <v>-3.6750359879408889E-3</v>
      </c>
      <c r="AP584" s="560">
        <f t="shared" si="879"/>
        <v>-6.7226170775142036E-4</v>
      </c>
      <c r="AQ584" s="560">
        <f t="shared" si="879"/>
        <v>-8.8050474071010854E-5</v>
      </c>
      <c r="AR584" s="560">
        <f t="shared" si="879"/>
        <v>-3.5360888784280453E-5</v>
      </c>
      <c r="AS584" s="560">
        <f>AS586-AS583-AS582-AS581-AS574-AS573-AS568-AS565</f>
        <v>6.8351654293130615E-4</v>
      </c>
      <c r="AT584" s="559">
        <f>AT586-AT583-AT582-AT581-AT574-AT573-AT568-AT565</f>
        <v>-4.687362453049404E-4</v>
      </c>
      <c r="AU584" s="788">
        <f t="shared" ref="AU584" si="880">AU586-AU583-AU582-AU581-AU574-AU573-AU568-AU565</f>
        <v>2.8527849960455209E-4</v>
      </c>
      <c r="AV584" s="608"/>
      <c r="AW584" s="608"/>
      <c r="AX584" s="608"/>
      <c r="AY584" s="609"/>
      <c r="AZ584" s="608"/>
      <c r="BA584" s="608"/>
      <c r="BB584" s="608"/>
      <c r="BC584" s="608"/>
      <c r="BD584" s="609"/>
      <c r="BE584" s="609"/>
      <c r="BF584" s="609"/>
      <c r="BG584" s="609"/>
      <c r="BH584" s="363"/>
    </row>
    <row r="585" spans="1:60" s="262" customFormat="1" hidden="1" outlineLevel="1" x14ac:dyDescent="0.35">
      <c r="A585" s="589" t="s">
        <v>1007</v>
      </c>
      <c r="B585" s="686"/>
      <c r="C585" s="562"/>
      <c r="D585" s="562"/>
      <c r="E585" s="562"/>
      <c r="F585" s="562"/>
      <c r="G585" s="188"/>
      <c r="H585" s="188"/>
      <c r="I585" s="188"/>
      <c r="J585" s="188"/>
      <c r="K585" s="562"/>
      <c r="L585" s="188"/>
      <c r="M585" s="188"/>
      <c r="N585" s="188"/>
      <c r="O585" s="188"/>
      <c r="P585" s="531">
        <f>SUM(P582:P584)</f>
        <v>5.292188541930083E-3</v>
      </c>
      <c r="Q585" s="188"/>
      <c r="R585" s="188"/>
      <c r="S585" s="188"/>
      <c r="T585" s="188"/>
      <c r="U585" s="531">
        <f t="shared" ref="U585:AR585" si="881">SUM(U582:U584)</f>
        <v>-4.785195977905189E-3</v>
      </c>
      <c r="V585" s="363">
        <f t="shared" si="881"/>
        <v>3.4221109326102919E-3</v>
      </c>
      <c r="W585" s="363">
        <f t="shared" si="881"/>
        <v>-2.2519562360634789E-3</v>
      </c>
      <c r="X585" s="363">
        <f t="shared" si="881"/>
        <v>2.370576181636044E-3</v>
      </c>
      <c r="Y585" s="363">
        <f t="shared" si="881"/>
        <v>-1.0418349924828712E-3</v>
      </c>
      <c r="Z585" s="531">
        <f t="shared" si="881"/>
        <v>-1.0524349120439366E-3</v>
      </c>
      <c r="AA585" s="363">
        <f t="shared" si="881"/>
        <v>-1.0391948001837433E-3</v>
      </c>
      <c r="AB585" s="363">
        <f t="shared" si="881"/>
        <v>-4.7213362517714314E-4</v>
      </c>
      <c r="AC585" s="363">
        <f t="shared" si="881"/>
        <v>-9.1075487093641733E-4</v>
      </c>
      <c r="AD585" s="363">
        <f t="shared" si="881"/>
        <v>4.1095287105883012E-4</v>
      </c>
      <c r="AE585" s="531">
        <f t="shared" si="881"/>
        <v>-4.0593067393149013E-4</v>
      </c>
      <c r="AF585" s="363">
        <f t="shared" si="881"/>
        <v>-1.6680934469287239E-3</v>
      </c>
      <c r="AG585" s="363">
        <f t="shared" si="881"/>
        <v>-6.4981984223031969E-3</v>
      </c>
      <c r="AH585" s="363">
        <f t="shared" si="881"/>
        <v>5.8419303906154241E-4</v>
      </c>
      <c r="AI585" s="363">
        <f t="shared" si="881"/>
        <v>5.1299177464594892E-4</v>
      </c>
      <c r="AJ585" s="531">
        <f t="shared" si="881"/>
        <v>-1.6423383151893661E-3</v>
      </c>
      <c r="AK585" s="363">
        <f t="shared" si="881"/>
        <v>-4.9754387446265813E-4</v>
      </c>
      <c r="AL585" s="363">
        <f t="shared" si="881"/>
        <v>1.2362130147480777E-4</v>
      </c>
      <c r="AM585" s="363">
        <f t="shared" si="881"/>
        <v>-1.3908083419165496E-2</v>
      </c>
      <c r="AN585" s="363">
        <f t="shared" si="881"/>
        <v>-6.7554763869065448E-4</v>
      </c>
      <c r="AO585" s="531">
        <f t="shared" si="881"/>
        <v>-3.6750359879408889E-3</v>
      </c>
      <c r="AP585" s="363">
        <f t="shared" si="881"/>
        <v>-6.7226170775142036E-4</v>
      </c>
      <c r="AQ585" s="363">
        <f t="shared" si="881"/>
        <v>-8.8050474071010854E-5</v>
      </c>
      <c r="AR585" s="363">
        <f t="shared" si="881"/>
        <v>-3.5360888784280453E-5</v>
      </c>
      <c r="AS585" s="363">
        <f>SUM(AS582:AS584)</f>
        <v>6.8351654293130615E-4</v>
      </c>
      <c r="AT585" s="531">
        <f>SUM(AT582:AT584)</f>
        <v>-4.687362453049404E-4</v>
      </c>
      <c r="AU585" s="787">
        <f t="shared" ref="AU585" si="882">SUM(AU582:AU584)</f>
        <v>2.8527849960455209E-4</v>
      </c>
      <c r="AV585" s="188"/>
      <c r="AW585" s="188"/>
      <c r="AX585" s="188"/>
      <c r="AY585" s="562"/>
      <c r="AZ585" s="188"/>
      <c r="BA585" s="188"/>
      <c r="BB585" s="188"/>
      <c r="BC585" s="188"/>
      <c r="BD585" s="562"/>
      <c r="BE585" s="562"/>
      <c r="BF585" s="562"/>
      <c r="BG585" s="562"/>
      <c r="BH585" s="363"/>
    </row>
    <row r="586" spans="1:60" s="225" customFormat="1" hidden="1" outlineLevel="1" x14ac:dyDescent="0.35">
      <c r="A586" s="88" t="s">
        <v>1009</v>
      </c>
      <c r="B586" s="688"/>
      <c r="C586" s="733"/>
      <c r="D586" s="733"/>
      <c r="E586" s="733"/>
      <c r="F586" s="733"/>
      <c r="G586" s="689"/>
      <c r="H586" s="689"/>
      <c r="I586" s="689"/>
      <c r="J586" s="689"/>
      <c r="K586" s="733"/>
      <c r="L586" s="689"/>
      <c r="M586" s="689"/>
      <c r="N586" s="689"/>
      <c r="O586" s="689"/>
      <c r="P586" s="532">
        <f>P722</f>
        <v>0.2242229973916596</v>
      </c>
      <c r="Q586" s="689"/>
      <c r="R586" s="689"/>
      <c r="S586" s="689"/>
      <c r="T586" s="689"/>
      <c r="U586" s="532">
        <f t="shared" ref="U586:AR586" si="883">U722</f>
        <v>0.22943780141375439</v>
      </c>
      <c r="V586" s="533">
        <f t="shared" si="883"/>
        <v>0.23471453637467946</v>
      </c>
      <c r="W586" s="533">
        <f t="shared" si="883"/>
        <v>0.23714434873401199</v>
      </c>
      <c r="X586" s="533">
        <f t="shared" si="883"/>
        <v>0.24062783759242443</v>
      </c>
      <c r="Y586" s="533">
        <f t="shared" si="883"/>
        <v>0.22049392823031791</v>
      </c>
      <c r="Z586" s="532">
        <f t="shared" si="883"/>
        <v>0.23338536650171046</v>
      </c>
      <c r="AA586" s="533">
        <f t="shared" si="883"/>
        <v>0.22667534157449576</v>
      </c>
      <c r="AB586" s="533">
        <f t="shared" si="883"/>
        <v>0.27567221510883483</v>
      </c>
      <c r="AC586" s="533">
        <f t="shared" si="883"/>
        <v>0.24571708272148801</v>
      </c>
      <c r="AD586" s="533">
        <f t="shared" si="883"/>
        <v>0.22390488110137671</v>
      </c>
      <c r="AE586" s="532">
        <f t="shared" si="883"/>
        <v>0.24297943582777901</v>
      </c>
      <c r="AF586" s="533">
        <f t="shared" si="883"/>
        <v>0.23000724812756704</v>
      </c>
      <c r="AG586" s="533">
        <f t="shared" si="883"/>
        <v>0.28617401668653158</v>
      </c>
      <c r="AH586" s="533">
        <f t="shared" si="883"/>
        <v>0.24730127576054955</v>
      </c>
      <c r="AI586" s="533">
        <f t="shared" si="883"/>
        <v>0.22441787287602266</v>
      </c>
      <c r="AJ586" s="532">
        <f t="shared" si="883"/>
        <v>0.24733709751258964</v>
      </c>
      <c r="AK586" s="533">
        <f t="shared" si="883"/>
        <v>0.21315019712577896</v>
      </c>
      <c r="AL586" s="533">
        <f t="shared" si="883"/>
        <v>0.20829763798800635</v>
      </c>
      <c r="AM586" s="533">
        <f t="shared" si="883"/>
        <v>0.23839319234138406</v>
      </c>
      <c r="AN586" s="533">
        <f t="shared" si="883"/>
        <v>0.189742325237332</v>
      </c>
      <c r="AO586" s="532">
        <f t="shared" si="883"/>
        <v>0.21228528752800596</v>
      </c>
      <c r="AP586" s="533">
        <f t="shared" si="883"/>
        <v>0.20780185758513933</v>
      </c>
      <c r="AQ586" s="533">
        <f t="shared" si="883"/>
        <v>0.19620958751393533</v>
      </c>
      <c r="AR586" s="533">
        <f t="shared" si="883"/>
        <v>0.22862275449101796</v>
      </c>
      <c r="AS586" s="533">
        <f>AS722</f>
        <v>0.21542584178026331</v>
      </c>
      <c r="AT586" s="532">
        <f>AT722</f>
        <v>0.21265224956500126</v>
      </c>
      <c r="AU586" s="797">
        <f t="shared" ref="AU586" si="884">AU722</f>
        <v>0.22528527849960456</v>
      </c>
      <c r="AV586" s="689"/>
      <c r="AW586" s="689"/>
      <c r="AX586" s="689"/>
      <c r="AY586" s="733"/>
      <c r="AZ586" s="689"/>
      <c r="BA586" s="689"/>
      <c r="BB586" s="689"/>
      <c r="BC586" s="689"/>
      <c r="BD586" s="733"/>
      <c r="BE586" s="733"/>
      <c r="BF586" s="733"/>
      <c r="BG586" s="733"/>
      <c r="BH586" s="94"/>
    </row>
    <row r="587" spans="1:60" s="262" customFormat="1" hidden="1" outlineLevel="1" x14ac:dyDescent="0.35">
      <c r="A587" s="154" t="s">
        <v>631</v>
      </c>
      <c r="B587" s="686"/>
      <c r="C587" s="562"/>
      <c r="D587" s="562"/>
      <c r="E587" s="562"/>
      <c r="F587" s="562"/>
      <c r="G587" s="188"/>
      <c r="H587" s="188"/>
      <c r="I587" s="188"/>
      <c r="J587" s="188"/>
      <c r="K587" s="562"/>
      <c r="L587" s="188"/>
      <c r="M587" s="188"/>
      <c r="N587" s="188"/>
      <c r="O587" s="188"/>
      <c r="P587" s="562"/>
      <c r="Q587" s="188"/>
      <c r="R587" s="188"/>
      <c r="S587" s="188"/>
      <c r="T587" s="188"/>
      <c r="U587" s="562"/>
      <c r="V587" s="188"/>
      <c r="W587" s="188"/>
      <c r="X587" s="188"/>
      <c r="Y587" s="188"/>
      <c r="Z587" s="562"/>
      <c r="AA587" s="188"/>
      <c r="AB587" s="188"/>
      <c r="AC587" s="188"/>
      <c r="AD587" s="188"/>
      <c r="AE587" s="562"/>
      <c r="AF587" s="363">
        <v>-0.108</v>
      </c>
      <c r="AG587" s="188"/>
      <c r="AH587" s="188"/>
      <c r="AI587" s="188"/>
      <c r="AJ587" s="531">
        <v>-2.7E-2</v>
      </c>
      <c r="AK587" s="188"/>
      <c r="AL587" s="188"/>
      <c r="AM587" s="188"/>
      <c r="AN587" s="188"/>
      <c r="AO587" s="562"/>
      <c r="AP587" s="188"/>
      <c r="AQ587" s="188"/>
      <c r="AR587" s="188"/>
      <c r="AS587" s="188"/>
      <c r="AT587" s="562"/>
      <c r="AU587" s="789"/>
      <c r="AV587" s="188"/>
      <c r="AW587" s="188"/>
      <c r="AX587" s="188"/>
      <c r="AY587" s="562"/>
      <c r="AZ587" s="188"/>
      <c r="BA587" s="188"/>
      <c r="BB587" s="188"/>
      <c r="BC587" s="188"/>
      <c r="BD587" s="562"/>
      <c r="BE587" s="562"/>
      <c r="BF587" s="562"/>
      <c r="BG587" s="562"/>
      <c r="BH587" s="363"/>
    </row>
    <row r="588" spans="1:60" s="262" customFormat="1" hidden="1" outlineLevel="1" x14ac:dyDescent="0.35">
      <c r="A588" s="154" t="s">
        <v>774</v>
      </c>
      <c r="B588" s="686"/>
      <c r="C588" s="562"/>
      <c r="D588" s="562"/>
      <c r="E588" s="562"/>
      <c r="F588" s="562"/>
      <c r="G588" s="188"/>
      <c r="H588" s="188"/>
      <c r="I588" s="188"/>
      <c r="J588" s="188"/>
      <c r="K588" s="562"/>
      <c r="L588" s="188"/>
      <c r="M588" s="188"/>
      <c r="N588" s="188"/>
      <c r="O588" s="188"/>
      <c r="P588" s="562"/>
      <c r="Q588" s="188"/>
      <c r="R588" s="188"/>
      <c r="S588" s="188"/>
      <c r="T588" s="188"/>
      <c r="U588" s="562"/>
      <c r="V588" s="188"/>
      <c r="W588" s="188"/>
      <c r="X588" s="188"/>
      <c r="Y588" s="188"/>
      <c r="Z588" s="562"/>
      <c r="AA588" s="188"/>
      <c r="AB588" s="188"/>
      <c r="AC588" s="188"/>
      <c r="AD588" s="188"/>
      <c r="AE588" s="562"/>
      <c r="AF588" s="188"/>
      <c r="AG588" s="188"/>
      <c r="AH588" s="188"/>
      <c r="AI588" s="188"/>
      <c r="AJ588" s="562"/>
      <c r="AK588" s="188"/>
      <c r="AL588" s="188"/>
      <c r="AM588" s="188"/>
      <c r="AN588" s="188"/>
      <c r="AO588" s="562"/>
      <c r="AP588" s="188"/>
      <c r="AQ588" s="363">
        <v>5.3999999999999999E-2</v>
      </c>
      <c r="AR588" s="188"/>
      <c r="AS588" s="188"/>
      <c r="AT588" s="531">
        <v>1.2E-2</v>
      </c>
      <c r="AU588" s="789"/>
      <c r="AV588" s="188"/>
      <c r="AW588" s="188"/>
      <c r="AX588" s="188"/>
      <c r="AY588" s="562"/>
      <c r="AZ588" s="188"/>
      <c r="BA588" s="188"/>
      <c r="BB588" s="188"/>
      <c r="BC588" s="188"/>
      <c r="BD588" s="562"/>
      <c r="BE588" s="562"/>
      <c r="BF588" s="562"/>
      <c r="BG588" s="562"/>
      <c r="BH588" s="363"/>
    </row>
    <row r="589" spans="1:60" s="262" customFormat="1" hidden="1" outlineLevel="1" x14ac:dyDescent="0.35">
      <c r="A589" s="154" t="s">
        <v>773</v>
      </c>
      <c r="B589" s="686"/>
      <c r="C589" s="562"/>
      <c r="D589" s="562"/>
      <c r="E589" s="562"/>
      <c r="F589" s="562"/>
      <c r="G589" s="188"/>
      <c r="H589" s="188"/>
      <c r="I589" s="188"/>
      <c r="J589" s="188"/>
      <c r="K589" s="562"/>
      <c r="L589" s="188"/>
      <c r="M589" s="188"/>
      <c r="N589" s="188"/>
      <c r="O589" s="188"/>
      <c r="P589" s="562"/>
      <c r="Q589" s="188"/>
      <c r="R589" s="188"/>
      <c r="S589" s="188"/>
      <c r="T589" s="188"/>
      <c r="U589" s="562"/>
      <c r="V589" s="188"/>
      <c r="W589" s="188"/>
      <c r="X589" s="188"/>
      <c r="Y589" s="188"/>
      <c r="Z589" s="562"/>
      <c r="AA589" s="188"/>
      <c r="AB589" s="188"/>
      <c r="AC589" s="188"/>
      <c r="AD589" s="188"/>
      <c r="AE589" s="562"/>
      <c r="AF589" s="188"/>
      <c r="AG589" s="188"/>
      <c r="AH589" s="188"/>
      <c r="AI589" s="188"/>
      <c r="AJ589" s="562"/>
      <c r="AK589" s="188"/>
      <c r="AL589" s="188"/>
      <c r="AM589" s="188"/>
      <c r="AN589" s="188"/>
      <c r="AO589" s="562"/>
      <c r="AP589" s="188"/>
      <c r="AQ589" s="363">
        <v>-7.0000000000000001E-3</v>
      </c>
      <c r="AR589" s="188"/>
      <c r="AS589" s="188"/>
      <c r="AT589" s="531">
        <v>-2E-3</v>
      </c>
      <c r="AU589" s="789"/>
      <c r="AV589" s="188"/>
      <c r="AW589" s="188"/>
      <c r="AX589" s="188"/>
      <c r="AY589" s="562"/>
      <c r="AZ589" s="188"/>
      <c r="BA589" s="188"/>
      <c r="BB589" s="188"/>
      <c r="BC589" s="188"/>
      <c r="BD589" s="562"/>
      <c r="BE589" s="562"/>
      <c r="BF589" s="562"/>
      <c r="BG589" s="562"/>
      <c r="BH589" s="363"/>
    </row>
    <row r="590" spans="1:60" s="262" customFormat="1" hidden="1" outlineLevel="1" x14ac:dyDescent="0.35">
      <c r="A590" s="154" t="s">
        <v>617</v>
      </c>
      <c r="B590" s="686"/>
      <c r="C590" s="562"/>
      <c r="D590" s="562"/>
      <c r="E590" s="562"/>
      <c r="F590" s="562"/>
      <c r="G590" s="188"/>
      <c r="H590" s="188"/>
      <c r="I590" s="188"/>
      <c r="J590" s="188"/>
      <c r="K590" s="562"/>
      <c r="L590" s="188"/>
      <c r="M590" s="188"/>
      <c r="N590" s="188"/>
      <c r="O590" s="188"/>
      <c r="P590" s="562"/>
      <c r="Q590" s="188"/>
      <c r="R590" s="188"/>
      <c r="S590" s="188"/>
      <c r="T590" s="188"/>
      <c r="U590" s="562"/>
      <c r="V590" s="188"/>
      <c r="W590" s="188"/>
      <c r="X590" s="188"/>
      <c r="Y590" s="188"/>
      <c r="Z590" s="562"/>
      <c r="AA590" s="188"/>
      <c r="AB590" s="188"/>
      <c r="AC590" s="188"/>
      <c r="AD590" s="188"/>
      <c r="AE590" s="562"/>
      <c r="AF590" s="188"/>
      <c r="AG590" s="188"/>
      <c r="AH590" s="188"/>
      <c r="AI590" s="188"/>
      <c r="AJ590" s="562"/>
      <c r="AK590" s="363">
        <v>-7.0000000000000007E-2</v>
      </c>
      <c r="AL590" s="188"/>
      <c r="AM590" s="188"/>
      <c r="AN590" s="363">
        <v>-2.7E-2</v>
      </c>
      <c r="AO590" s="531">
        <v>-2.4E-2</v>
      </c>
      <c r="AP590" s="363">
        <v>-2E-3</v>
      </c>
      <c r="AQ590" s="188"/>
      <c r="AR590" s="188"/>
      <c r="AS590" s="188"/>
      <c r="AT590" s="562"/>
      <c r="AU590" s="789"/>
      <c r="AV590" s="188"/>
      <c r="AW590" s="188"/>
      <c r="AX590" s="188"/>
      <c r="AY590" s="562"/>
      <c r="AZ590" s="188"/>
      <c r="BA590" s="188"/>
      <c r="BB590" s="188"/>
      <c r="BC590" s="188"/>
      <c r="BD590" s="562"/>
      <c r="BE590" s="562"/>
      <c r="BF590" s="562"/>
      <c r="BG590" s="562"/>
      <c r="BH590" s="363"/>
    </row>
    <row r="591" spans="1:60" s="225" customFormat="1" hidden="1" outlineLevel="1" x14ac:dyDescent="0.35">
      <c r="A591" s="88" t="s">
        <v>806</v>
      </c>
      <c r="B591" s="688"/>
      <c r="C591" s="733"/>
      <c r="D591" s="733"/>
      <c r="E591" s="733"/>
      <c r="F591" s="733"/>
      <c r="G591" s="689"/>
      <c r="H591" s="689"/>
      <c r="I591" s="689"/>
      <c r="J591" s="689"/>
      <c r="K591" s="733"/>
      <c r="L591" s="689"/>
      <c r="M591" s="689"/>
      <c r="N591" s="689"/>
      <c r="O591" s="689"/>
      <c r="P591" s="532">
        <f>P721</f>
        <v>0.2242229973916596</v>
      </c>
      <c r="Q591" s="689"/>
      <c r="R591" s="689"/>
      <c r="S591" s="689"/>
      <c r="T591" s="689"/>
      <c r="U591" s="532">
        <f>U721</f>
        <v>0.22943780141375439</v>
      </c>
      <c r="V591" s="533">
        <f t="shared" ref="V591:AR591" si="885">V78</f>
        <v>0.23471453637467946</v>
      </c>
      <c r="W591" s="533">
        <f t="shared" si="885"/>
        <v>0.23714434873401199</v>
      </c>
      <c r="X591" s="533">
        <f t="shared" si="885"/>
        <v>0.24062783759242443</v>
      </c>
      <c r="Y591" s="533">
        <f t="shared" si="885"/>
        <v>0.22049392823031791</v>
      </c>
      <c r="Z591" s="532">
        <f t="shared" si="885"/>
        <v>0.23338536650171046</v>
      </c>
      <c r="AA591" s="533">
        <f t="shared" si="885"/>
        <v>0.22667534157449576</v>
      </c>
      <c r="AB591" s="533">
        <f t="shared" si="885"/>
        <v>0.27567221510883483</v>
      </c>
      <c r="AC591" s="533">
        <f t="shared" si="885"/>
        <v>0.24571708272148801</v>
      </c>
      <c r="AD591" s="533">
        <f t="shared" si="885"/>
        <v>0.22390488110137671</v>
      </c>
      <c r="AE591" s="532">
        <f t="shared" si="885"/>
        <v>0.24297943582777901</v>
      </c>
      <c r="AF591" s="533">
        <f t="shared" si="885"/>
        <v>0.1216477410002416</v>
      </c>
      <c r="AG591" s="533">
        <f t="shared" si="885"/>
        <v>0.28617401668653158</v>
      </c>
      <c r="AH591" s="533">
        <f t="shared" si="885"/>
        <v>0.24730127576054955</v>
      </c>
      <c r="AI591" s="533">
        <f t="shared" si="885"/>
        <v>0.22441787287602266</v>
      </c>
      <c r="AJ591" s="532">
        <f t="shared" si="885"/>
        <v>0.21996032351594688</v>
      </c>
      <c r="AK591" s="533">
        <f t="shared" si="885"/>
        <v>0.14447411929289075</v>
      </c>
      <c r="AL591" s="533">
        <f t="shared" si="885"/>
        <v>0.20829763798800635</v>
      </c>
      <c r="AM591" s="533">
        <f t="shared" si="885"/>
        <v>0.25165811537980226</v>
      </c>
      <c r="AN591" s="533">
        <f t="shared" si="885"/>
        <v>0.16335840216989272</v>
      </c>
      <c r="AO591" s="532">
        <f t="shared" si="885"/>
        <v>0.19212098581030621</v>
      </c>
      <c r="AP591" s="533">
        <f t="shared" si="885"/>
        <v>0.20594427244582042</v>
      </c>
      <c r="AQ591" s="533">
        <f t="shared" si="885"/>
        <v>0.24247491638795987</v>
      </c>
      <c r="AR591" s="533">
        <f t="shared" si="885"/>
        <v>0.22862275449101796</v>
      </c>
      <c r="AS591" s="533">
        <f t="shared" ref="AS591:AU591" si="886">AS78</f>
        <v>0.21542584178026331</v>
      </c>
      <c r="AT591" s="532">
        <f t="shared" si="886"/>
        <v>0.22250186428038776</v>
      </c>
      <c r="AU591" s="797">
        <f t="shared" si="886"/>
        <v>0.22528527849960456</v>
      </c>
      <c r="AV591" s="689"/>
      <c r="AW591" s="689"/>
      <c r="AX591" s="689"/>
      <c r="AY591" s="733"/>
      <c r="AZ591" s="689"/>
      <c r="BA591" s="689"/>
      <c r="BB591" s="689"/>
      <c r="BC591" s="689"/>
      <c r="BD591" s="733"/>
      <c r="BE591" s="733"/>
      <c r="BF591" s="733"/>
      <c r="BG591" s="733"/>
      <c r="BH591" s="94"/>
    </row>
    <row r="592" spans="1:60" s="225" customFormat="1" hidden="1" outlineLevel="1" x14ac:dyDescent="0.35">
      <c r="A592" s="538"/>
      <c r="B592" s="435"/>
      <c r="C592" s="116"/>
      <c r="D592" s="116"/>
      <c r="E592" s="116"/>
      <c r="F592" s="116"/>
      <c r="G592" s="299"/>
      <c r="H592" s="299"/>
      <c r="I592" s="299"/>
      <c r="J592" s="299"/>
      <c r="K592" s="116"/>
      <c r="L592" s="299"/>
      <c r="M592" s="299"/>
      <c r="N592" s="299"/>
      <c r="O592" s="299"/>
      <c r="P592" s="116"/>
      <c r="Q592" s="299"/>
      <c r="R592" s="299"/>
      <c r="S592" s="299"/>
      <c r="T592" s="299"/>
      <c r="U592" s="116"/>
      <c r="V592" s="299"/>
      <c r="W592" s="299"/>
      <c r="X592" s="299"/>
      <c r="Y592" s="299"/>
      <c r="Z592" s="116"/>
      <c r="AA592" s="299"/>
      <c r="AB592" s="299"/>
      <c r="AC592" s="299"/>
      <c r="AD592" s="299"/>
      <c r="AE592" s="116"/>
      <c r="AF592" s="299"/>
      <c r="AG592" s="299"/>
      <c r="AH592" s="299"/>
      <c r="AI592" s="299"/>
      <c r="AJ592" s="116"/>
      <c r="AK592" s="299"/>
      <c r="AL592" s="299"/>
      <c r="AM592" s="299"/>
      <c r="AN592" s="299"/>
      <c r="AO592" s="116"/>
      <c r="AP592" s="299"/>
      <c r="AQ592" s="299"/>
      <c r="AR592" s="299"/>
      <c r="AS592" s="299"/>
      <c r="AT592" s="116"/>
      <c r="AU592" s="794"/>
      <c r="AV592" s="299"/>
      <c r="AW592" s="299"/>
      <c r="AX592" s="299"/>
      <c r="AY592" s="116"/>
      <c r="AZ592" s="299"/>
      <c r="BA592" s="299"/>
      <c r="BB592" s="299"/>
      <c r="BC592" s="299"/>
      <c r="BD592" s="116"/>
      <c r="BE592" s="116"/>
      <c r="BF592" s="116"/>
      <c r="BG592" s="116"/>
      <c r="BH592" s="94"/>
    </row>
    <row r="593" spans="1:60" s="55" customFormat="1" hidden="1" outlineLevel="1" x14ac:dyDescent="0.35">
      <c r="A593" s="523" t="s">
        <v>632</v>
      </c>
      <c r="B593" s="690"/>
      <c r="C593" s="117"/>
      <c r="D593" s="117"/>
      <c r="E593" s="117"/>
      <c r="F593" s="117"/>
      <c r="G593" s="245"/>
      <c r="H593" s="245"/>
      <c r="I593" s="245"/>
      <c r="J593" s="245"/>
      <c r="K593" s="117"/>
      <c r="L593" s="245"/>
      <c r="M593" s="245"/>
      <c r="N593" s="245"/>
      <c r="O593" s="245"/>
      <c r="P593" s="17">
        <f>K830</f>
        <v>6.7171280276816603</v>
      </c>
      <c r="Q593" s="245"/>
      <c r="R593" s="245"/>
      <c r="S593" s="245"/>
      <c r="T593" s="245"/>
      <c r="U593" s="17">
        <f t="shared" ref="U593:AR593" si="887">P830</f>
        <v>7.4864048338368576</v>
      </c>
      <c r="V593" s="130">
        <f t="shared" si="887"/>
        <v>1.8468884781269252</v>
      </c>
      <c r="W593" s="130">
        <f t="shared" si="887"/>
        <v>2.0217729393468118</v>
      </c>
      <c r="X593" s="130">
        <f t="shared" si="887"/>
        <v>2.0532319391634979</v>
      </c>
      <c r="Y593" s="130">
        <f t="shared" si="887"/>
        <v>1.6597377678285898</v>
      </c>
      <c r="Z593" s="17">
        <f t="shared" si="887"/>
        <v>7.5847457627118642</v>
      </c>
      <c r="AA593" s="130">
        <f t="shared" si="887"/>
        <v>2.0521487204249156</v>
      </c>
      <c r="AB593" s="130">
        <f t="shared" si="887"/>
        <v>2.0792398131744241</v>
      </c>
      <c r="AC593" s="130">
        <f t="shared" si="887"/>
        <v>2.1477052359405304</v>
      </c>
      <c r="AD593" s="130">
        <f t="shared" si="887"/>
        <v>1.881720430107527</v>
      </c>
      <c r="AE593" s="17">
        <f t="shared" si="887"/>
        <v>8.1622757394536922</v>
      </c>
      <c r="AF593" s="130">
        <f t="shared" si="887"/>
        <v>2.1617647058823528</v>
      </c>
      <c r="AG593" s="130">
        <f t="shared" si="887"/>
        <v>2.5832245430809402</v>
      </c>
      <c r="AH593" s="130">
        <f t="shared" si="887"/>
        <v>2.3322996572547736</v>
      </c>
      <c r="AI593" s="130">
        <f t="shared" si="887"/>
        <v>0.8526247147049234</v>
      </c>
      <c r="AJ593" s="17">
        <f t="shared" si="887"/>
        <v>7.928839562591806</v>
      </c>
      <c r="AK593" s="130">
        <f t="shared" si="887"/>
        <v>0.98253631467275981</v>
      </c>
      <c r="AL593" s="130">
        <f t="shared" si="887"/>
        <v>3.0734856007944389</v>
      </c>
      <c r="AM593" s="130">
        <f t="shared" si="887"/>
        <v>2.5785427807486632</v>
      </c>
      <c r="AN593" s="130">
        <f t="shared" si="887"/>
        <v>2.2730340870739116</v>
      </c>
      <c r="AO593" s="17">
        <f t="shared" si="887"/>
        <v>8.8853820598006639</v>
      </c>
      <c r="AP593" s="130">
        <f t="shared" si="887"/>
        <v>1.514018691588785</v>
      </c>
      <c r="AQ593" s="130">
        <f t="shared" si="887"/>
        <v>1.9228800545981914</v>
      </c>
      <c r="AR593" s="130">
        <f t="shared" si="887"/>
        <v>2.7152658662092626</v>
      </c>
      <c r="AS593" s="130">
        <f t="shared" ref="AS593" si="888">AN830</f>
        <v>1.6629483439162518</v>
      </c>
      <c r="AT593" s="17">
        <f t="shared" ref="AT593" si="889">AO830</f>
        <v>7.8106306614253969</v>
      </c>
      <c r="AU593" s="871">
        <v>2.19</v>
      </c>
      <c r="AV593" s="245"/>
      <c r="AW593" s="245"/>
      <c r="AX593" s="245"/>
      <c r="AY593" s="117"/>
      <c r="AZ593" s="245"/>
      <c r="BA593" s="245"/>
      <c r="BB593" s="245"/>
      <c r="BC593" s="245"/>
      <c r="BD593" s="117"/>
      <c r="BE593" s="117"/>
      <c r="BF593" s="117"/>
      <c r="BG593" s="117"/>
      <c r="BH593" s="130"/>
    </row>
    <row r="594" spans="1:60" s="53" customFormat="1" hidden="1" outlineLevel="1" x14ac:dyDescent="0.35">
      <c r="A594" s="524" t="s">
        <v>652</v>
      </c>
      <c r="B594" s="691"/>
      <c r="C594" s="734"/>
      <c r="D594" s="734"/>
      <c r="E594" s="734"/>
      <c r="F594" s="734"/>
      <c r="G594" s="377"/>
      <c r="H594" s="377"/>
      <c r="I594" s="377"/>
      <c r="J594" s="377"/>
      <c r="K594" s="734"/>
      <c r="L594" s="377"/>
      <c r="M594" s="377"/>
      <c r="N594" s="377"/>
      <c r="O594" s="377"/>
      <c r="P594" s="734"/>
      <c r="Q594" s="377"/>
      <c r="R594" s="377"/>
      <c r="S594" s="377"/>
      <c r="T594" s="377"/>
      <c r="U594" s="734"/>
      <c r="V594" s="377"/>
      <c r="W594" s="377"/>
      <c r="X594" s="377"/>
      <c r="Y594" s="377"/>
      <c r="Z594" s="734"/>
      <c r="AA594" s="377"/>
      <c r="AB594" s="377"/>
      <c r="AC594" s="377"/>
      <c r="AD594" s="377"/>
      <c r="AE594" s="734"/>
      <c r="AF594" s="377"/>
      <c r="AG594" s="377"/>
      <c r="AH594" s="377"/>
      <c r="AI594" s="377"/>
      <c r="AJ594" s="734"/>
      <c r="AK594" s="624">
        <v>1.1599999999999999</v>
      </c>
      <c r="AL594" s="377"/>
      <c r="AM594" s="377"/>
      <c r="AN594" s="377"/>
      <c r="AO594" s="625">
        <v>1.28</v>
      </c>
      <c r="AP594" s="624">
        <v>0.72</v>
      </c>
      <c r="AQ594" s="377"/>
      <c r="AR594" s="377"/>
      <c r="AS594" s="624">
        <v>0.28999999999999998</v>
      </c>
      <c r="AT594" s="625">
        <v>1.01</v>
      </c>
      <c r="AU594" s="798"/>
      <c r="AV594" s="377"/>
      <c r="AW594" s="377"/>
      <c r="AX594" s="377"/>
      <c r="AY594" s="734"/>
      <c r="AZ594" s="377"/>
      <c r="BA594" s="377"/>
      <c r="BB594" s="377"/>
      <c r="BC594" s="377"/>
      <c r="BD594" s="734"/>
      <c r="BE594" s="734"/>
      <c r="BF594" s="734"/>
      <c r="BG594" s="734"/>
      <c r="BH594" s="526"/>
    </row>
    <row r="595" spans="1:60" s="53" customFormat="1" hidden="1" outlineLevel="1" x14ac:dyDescent="0.35">
      <c r="A595" s="524" t="s">
        <v>775</v>
      </c>
      <c r="B595" s="691"/>
      <c r="C595" s="734"/>
      <c r="D595" s="734"/>
      <c r="E595" s="734"/>
      <c r="F595" s="734"/>
      <c r="G595" s="377"/>
      <c r="H595" s="377"/>
      <c r="I595" s="377"/>
      <c r="J595" s="377"/>
      <c r="K595" s="734"/>
      <c r="L595" s="377"/>
      <c r="M595" s="377"/>
      <c r="N595" s="377"/>
      <c r="O595" s="377"/>
      <c r="P595" s="734"/>
      <c r="Q595" s="377"/>
      <c r="R595" s="377"/>
      <c r="S595" s="377"/>
      <c r="T595" s="377"/>
      <c r="U595" s="734"/>
      <c r="V595" s="377"/>
      <c r="W595" s="377"/>
      <c r="X595" s="377"/>
      <c r="Y595" s="377"/>
      <c r="Z595" s="734"/>
      <c r="AA595" s="377"/>
      <c r="AB595" s="377"/>
      <c r="AC595" s="377"/>
      <c r="AD595" s="377"/>
      <c r="AE595" s="734"/>
      <c r="AF595" s="377"/>
      <c r="AG595" s="377"/>
      <c r="AH595" s="377"/>
      <c r="AI595" s="377"/>
      <c r="AJ595" s="734"/>
      <c r="AK595" s="377"/>
      <c r="AL595" s="377"/>
      <c r="AM595" s="377"/>
      <c r="AN595" s="377"/>
      <c r="AO595" s="734"/>
      <c r="AP595" s="377"/>
      <c r="AQ595" s="624">
        <v>0.28000000000000003</v>
      </c>
      <c r="AR595" s="377"/>
      <c r="AS595" s="377"/>
      <c r="AT595" s="625">
        <v>0.28000000000000003</v>
      </c>
      <c r="AU595" s="798"/>
      <c r="AV595" s="377"/>
      <c r="AW595" s="377"/>
      <c r="AX595" s="377"/>
      <c r="AY595" s="734"/>
      <c r="AZ595" s="377"/>
      <c r="BA595" s="377"/>
      <c r="BB595" s="377"/>
      <c r="BC595" s="377"/>
      <c r="BD595" s="734"/>
      <c r="BE595" s="734"/>
      <c r="BF595" s="734"/>
      <c r="BG595" s="734"/>
      <c r="BH595" s="526"/>
    </row>
    <row r="596" spans="1:60" s="53" customFormat="1" hidden="1" outlineLevel="1" x14ac:dyDescent="0.35">
      <c r="A596" s="524" t="s">
        <v>750</v>
      </c>
      <c r="B596" s="691"/>
      <c r="C596" s="734"/>
      <c r="D596" s="734"/>
      <c r="E596" s="734"/>
      <c r="F596" s="734"/>
      <c r="G596" s="377"/>
      <c r="H596" s="377"/>
      <c r="I596" s="377"/>
      <c r="J596" s="377"/>
      <c r="K596" s="734"/>
      <c r="L596" s="377"/>
      <c r="M596" s="377"/>
      <c r="N596" s="377"/>
      <c r="O596" s="377"/>
      <c r="P596" s="734"/>
      <c r="Q596" s="377"/>
      <c r="R596" s="377"/>
      <c r="S596" s="377"/>
      <c r="T596" s="377"/>
      <c r="U596" s="734"/>
      <c r="V596" s="377"/>
      <c r="W596" s="377"/>
      <c r="X596" s="377"/>
      <c r="Y596" s="377"/>
      <c r="Z596" s="734"/>
      <c r="AA596" s="377"/>
      <c r="AB596" s="377"/>
      <c r="AC596" s="377"/>
      <c r="AD596" s="377"/>
      <c r="AE596" s="734"/>
      <c r="AF596" s="377"/>
      <c r="AG596" s="377"/>
      <c r="AH596" s="377"/>
      <c r="AI596" s="377"/>
      <c r="AJ596" s="734"/>
      <c r="AK596" s="377"/>
      <c r="AL596" s="377"/>
      <c r="AM596" s="377"/>
      <c r="AN596" s="377"/>
      <c r="AO596" s="734"/>
      <c r="AP596" s="624">
        <v>-0.01</v>
      </c>
      <c r="AQ596" s="624">
        <v>-7.0000000000000007E-2</v>
      </c>
      <c r="AR596" s="624">
        <v>-0.14000000000000001</v>
      </c>
      <c r="AS596" s="377"/>
      <c r="AT596" s="625">
        <v>-0.22</v>
      </c>
      <c r="AU596" s="798"/>
      <c r="AV596" s="377"/>
      <c r="AW596" s="377"/>
      <c r="AX596" s="377"/>
      <c r="AY596" s="734"/>
      <c r="AZ596" s="377"/>
      <c r="BA596" s="377"/>
      <c r="BB596" s="377"/>
      <c r="BC596" s="377"/>
      <c r="BD596" s="734"/>
      <c r="BE596" s="734"/>
      <c r="BF596" s="734"/>
      <c r="BG596" s="734"/>
      <c r="BH596" s="526"/>
    </row>
    <row r="597" spans="1:60" s="53" customFormat="1" hidden="1" outlineLevel="1" x14ac:dyDescent="0.35">
      <c r="A597" s="524" t="s">
        <v>653</v>
      </c>
      <c r="B597" s="691"/>
      <c r="C597" s="734"/>
      <c r="D597" s="734"/>
      <c r="E597" s="734"/>
      <c r="F597" s="734"/>
      <c r="G597" s="377"/>
      <c r="H597" s="377"/>
      <c r="I597" s="377"/>
      <c r="J597" s="377"/>
      <c r="K597" s="734"/>
      <c r="L597" s="377"/>
      <c r="M597" s="377"/>
      <c r="N597" s="377"/>
      <c r="O597" s="377"/>
      <c r="P597" s="734"/>
      <c r="Q597" s="377"/>
      <c r="R597" s="377"/>
      <c r="S597" s="377"/>
      <c r="T597" s="377"/>
      <c r="U597" s="734"/>
      <c r="V597" s="377"/>
      <c r="W597" s="377"/>
      <c r="X597" s="377"/>
      <c r="Y597" s="377"/>
      <c r="Z597" s="734"/>
      <c r="AA597" s="377"/>
      <c r="AB597" s="377"/>
      <c r="AC597" s="377"/>
      <c r="AD597" s="377"/>
      <c r="AE597" s="734"/>
      <c r="AF597" s="377"/>
      <c r="AG597" s="377"/>
      <c r="AH597" s="377"/>
      <c r="AI597" s="624">
        <v>1.25</v>
      </c>
      <c r="AJ597" s="625">
        <v>1.24</v>
      </c>
      <c r="AK597" s="624">
        <v>0.36</v>
      </c>
      <c r="AL597" s="377"/>
      <c r="AM597" s="377"/>
      <c r="AN597" s="624">
        <v>0.04</v>
      </c>
      <c r="AO597" s="625">
        <v>0.28999999999999998</v>
      </c>
      <c r="AP597" s="377"/>
      <c r="AQ597" s="377"/>
      <c r="AR597" s="377"/>
      <c r="AS597" s="377"/>
      <c r="AT597" s="734"/>
      <c r="AU597" s="798"/>
      <c r="AV597" s="377"/>
      <c r="AW597" s="377"/>
      <c r="AX597" s="377"/>
      <c r="AY597" s="734"/>
      <c r="AZ597" s="377"/>
      <c r="BA597" s="377"/>
      <c r="BB597" s="377"/>
      <c r="BC597" s="377"/>
      <c r="BD597" s="734"/>
      <c r="BE597" s="734"/>
      <c r="BF597" s="734"/>
      <c r="BG597" s="734"/>
      <c r="BH597" s="526"/>
    </row>
    <row r="598" spans="1:60" s="55" customFormat="1" hidden="1" outlineLevel="1" x14ac:dyDescent="0.35">
      <c r="A598" s="527" t="s">
        <v>1010</v>
      </c>
      <c r="B598" s="692"/>
      <c r="C598" s="735"/>
      <c r="D598" s="735"/>
      <c r="E598" s="735"/>
      <c r="F598" s="735"/>
      <c r="G598" s="693"/>
      <c r="H598" s="693"/>
      <c r="I598" s="693"/>
      <c r="J598" s="693"/>
      <c r="K598" s="735"/>
      <c r="L598" s="693"/>
      <c r="M598" s="693"/>
      <c r="N598" s="693"/>
      <c r="O598" s="693"/>
      <c r="P598" s="528">
        <f>SUM(P593:P597)</f>
        <v>6.7171280276816603</v>
      </c>
      <c r="Q598" s="693"/>
      <c r="R598" s="693"/>
      <c r="S598" s="693"/>
      <c r="T598" s="693"/>
      <c r="U598" s="528">
        <f t="shared" ref="U598:AT598" si="890">SUM(U593:U597)</f>
        <v>7.4864048338368576</v>
      </c>
      <c r="V598" s="529">
        <f t="shared" si="890"/>
        <v>1.8468884781269252</v>
      </c>
      <c r="W598" s="529">
        <f t="shared" si="890"/>
        <v>2.0217729393468118</v>
      </c>
      <c r="X598" s="529">
        <f t="shared" si="890"/>
        <v>2.0532319391634979</v>
      </c>
      <c r="Y598" s="529">
        <f t="shared" si="890"/>
        <v>1.6597377678285898</v>
      </c>
      <c r="Z598" s="528">
        <f t="shared" si="890"/>
        <v>7.5847457627118642</v>
      </c>
      <c r="AA598" s="529">
        <f t="shared" si="890"/>
        <v>2.0521487204249156</v>
      </c>
      <c r="AB598" s="529">
        <f t="shared" si="890"/>
        <v>2.0792398131744241</v>
      </c>
      <c r="AC598" s="529">
        <f t="shared" si="890"/>
        <v>2.1477052359405304</v>
      </c>
      <c r="AD598" s="529">
        <f t="shared" si="890"/>
        <v>1.881720430107527</v>
      </c>
      <c r="AE598" s="528">
        <f t="shared" si="890"/>
        <v>8.1622757394536922</v>
      </c>
      <c r="AF598" s="529">
        <f t="shared" si="890"/>
        <v>2.1617647058823528</v>
      </c>
      <c r="AG598" s="529">
        <f t="shared" si="890"/>
        <v>2.5832245430809402</v>
      </c>
      <c r="AH598" s="529">
        <f t="shared" si="890"/>
        <v>2.3322996572547736</v>
      </c>
      <c r="AI598" s="529">
        <f t="shared" si="890"/>
        <v>2.1026247147049233</v>
      </c>
      <c r="AJ598" s="528">
        <f t="shared" si="890"/>
        <v>9.1688395625918062</v>
      </c>
      <c r="AK598" s="529">
        <f t="shared" si="890"/>
        <v>2.5025363146727595</v>
      </c>
      <c r="AL598" s="529">
        <f t="shared" si="890"/>
        <v>3.0734856007944389</v>
      </c>
      <c r="AM598" s="529">
        <f t="shared" si="890"/>
        <v>2.5785427807486632</v>
      </c>
      <c r="AN598" s="529">
        <f t="shared" si="890"/>
        <v>2.3130340870739117</v>
      </c>
      <c r="AO598" s="528">
        <f t="shared" si="890"/>
        <v>10.455382059800662</v>
      </c>
      <c r="AP598" s="529">
        <f t="shared" si="890"/>
        <v>2.2240186915887854</v>
      </c>
      <c r="AQ598" s="529">
        <f t="shared" si="890"/>
        <v>2.1328800545981914</v>
      </c>
      <c r="AR598" s="529">
        <f t="shared" si="890"/>
        <v>2.5752658662092625</v>
      </c>
      <c r="AS598" s="529">
        <f t="shared" si="890"/>
        <v>1.9529483439162518</v>
      </c>
      <c r="AT598" s="528">
        <f t="shared" si="890"/>
        <v>8.8806306614253963</v>
      </c>
      <c r="AU598" s="799">
        <f t="shared" ref="AU598" si="891">SUM(AU593:AU597)</f>
        <v>2.19</v>
      </c>
      <c r="AV598" s="693"/>
      <c r="AW598" s="693"/>
      <c r="AX598" s="693"/>
      <c r="AY598" s="735"/>
      <c r="AZ598" s="693"/>
      <c r="BA598" s="693"/>
      <c r="BB598" s="693"/>
      <c r="BC598" s="693"/>
      <c r="BD598" s="735"/>
      <c r="BE598" s="735"/>
      <c r="BF598" s="735"/>
      <c r="BG598" s="735"/>
      <c r="BH598" s="130"/>
    </row>
    <row r="599" spans="1:60" s="53" customFormat="1" hidden="1" outlineLevel="1" x14ac:dyDescent="0.35">
      <c r="A599" s="524" t="s">
        <v>637</v>
      </c>
      <c r="B599" s="691"/>
      <c r="C599" s="734"/>
      <c r="D599" s="734"/>
      <c r="E599" s="734"/>
      <c r="F599" s="734"/>
      <c r="G599" s="377"/>
      <c r="H599" s="377"/>
      <c r="I599" s="377"/>
      <c r="J599" s="377"/>
      <c r="K599" s="734"/>
      <c r="L599" s="377"/>
      <c r="M599" s="377"/>
      <c r="N599" s="377"/>
      <c r="O599" s="377"/>
      <c r="P599" s="525">
        <v>0.66</v>
      </c>
      <c r="Q599" s="377"/>
      <c r="R599" s="377"/>
      <c r="S599" s="377"/>
      <c r="T599" s="377"/>
      <c r="U599" s="525">
        <v>0.4</v>
      </c>
      <c r="V599" s="624">
        <v>0.04</v>
      </c>
      <c r="W599" s="624">
        <v>0.04</v>
      </c>
      <c r="X599" s="624">
        <v>0.06</v>
      </c>
      <c r="Y599" s="624">
        <v>0.16</v>
      </c>
      <c r="Z599" s="625">
        <v>0.16</v>
      </c>
      <c r="AA599" s="624">
        <v>0.22</v>
      </c>
      <c r="AB599" s="624">
        <v>0.08</v>
      </c>
      <c r="AC599" s="624">
        <v>0.23</v>
      </c>
      <c r="AD599" s="624">
        <v>0.33</v>
      </c>
      <c r="AE599" s="625">
        <v>0.86</v>
      </c>
      <c r="AF599" s="624">
        <v>0.17</v>
      </c>
      <c r="AG599" s="624">
        <v>0.47</v>
      </c>
      <c r="AH599" s="624">
        <v>0.12</v>
      </c>
      <c r="AI599" s="624">
        <v>0.18</v>
      </c>
      <c r="AJ599" s="625">
        <v>0.92</v>
      </c>
      <c r="AK599" s="624">
        <v>-0.19</v>
      </c>
      <c r="AL599" s="624">
        <v>-0.19</v>
      </c>
      <c r="AM599" s="624">
        <v>-0.16</v>
      </c>
      <c r="AN599" s="624">
        <v>-0.13</v>
      </c>
      <c r="AO599" s="625">
        <v>-0.6</v>
      </c>
      <c r="AP599" s="624">
        <v>7.0000000000000007E-2</v>
      </c>
      <c r="AQ599" s="624">
        <v>-0.28000000000000003</v>
      </c>
      <c r="AR599" s="624">
        <v>-0.08</v>
      </c>
      <c r="AS599" s="624">
        <v>0.43</v>
      </c>
      <c r="AT599" s="625">
        <v>-0.06</v>
      </c>
      <c r="AU599" s="800">
        <f>0.34-0.01</f>
        <v>0.33</v>
      </c>
      <c r="AV599" s="377"/>
      <c r="AW599" s="377"/>
      <c r="AX599" s="377"/>
      <c r="AY599" s="734"/>
      <c r="AZ599" s="377"/>
      <c r="BA599" s="377"/>
      <c r="BB599" s="377"/>
      <c r="BC599" s="377"/>
      <c r="BD599" s="734"/>
      <c r="BE599" s="734"/>
      <c r="BF599" s="734"/>
      <c r="BG599" s="734"/>
      <c r="BH599" s="526"/>
    </row>
    <row r="600" spans="1:60" s="53" customFormat="1" hidden="1" outlineLevel="2" x14ac:dyDescent="0.35">
      <c r="A600" s="611" t="s">
        <v>640</v>
      </c>
      <c r="B600" s="691"/>
      <c r="C600" s="734"/>
      <c r="D600" s="734"/>
      <c r="E600" s="734"/>
      <c r="F600" s="734"/>
      <c r="G600" s="377"/>
      <c r="H600" s="377"/>
      <c r="I600" s="377"/>
      <c r="J600" s="377"/>
      <c r="K600" s="734"/>
      <c r="L600" s="377"/>
      <c r="M600" s="377"/>
      <c r="N600" s="377"/>
      <c r="O600" s="377"/>
      <c r="P600" s="734"/>
      <c r="Q600" s="377"/>
      <c r="R600" s="377"/>
      <c r="S600" s="377"/>
      <c r="T600" s="377"/>
      <c r="U600" s="525">
        <v>-0.02</v>
      </c>
      <c r="V600" s="624">
        <v>7.0000000000000007E-2</v>
      </c>
      <c r="W600" s="624">
        <v>0.03</v>
      </c>
      <c r="X600" s="377"/>
      <c r="Y600" s="624">
        <v>0.04</v>
      </c>
      <c r="Z600" s="625">
        <v>0.14000000000000001</v>
      </c>
      <c r="AA600" s="624">
        <v>-0.03</v>
      </c>
      <c r="AB600" s="624">
        <f>0.58-0.01</f>
        <v>0.56999999999999995</v>
      </c>
      <c r="AC600" s="377"/>
      <c r="AD600" s="624">
        <f>-0.07+0.05</f>
        <v>-2.0000000000000004E-2</v>
      </c>
      <c r="AE600" s="625">
        <v>0.54</v>
      </c>
      <c r="AF600" s="624">
        <v>0.01</v>
      </c>
      <c r="AG600" s="377"/>
      <c r="AH600" s="624">
        <v>0.01</v>
      </c>
      <c r="AI600" s="624">
        <v>-0.15</v>
      </c>
      <c r="AJ600" s="625">
        <v>-0.15</v>
      </c>
      <c r="AK600" s="624">
        <v>-7.0000000000000007E-2</v>
      </c>
      <c r="AL600" s="624">
        <v>0.01</v>
      </c>
      <c r="AM600" s="624">
        <v>0.1</v>
      </c>
      <c r="AN600" s="624">
        <v>-0.11</v>
      </c>
      <c r="AO600" s="625">
        <v>-7.0000000000000007E-2</v>
      </c>
      <c r="AP600" s="624">
        <v>-0.05</v>
      </c>
      <c r="AQ600" s="624">
        <v>-7.0000000000000007E-2</v>
      </c>
      <c r="AR600" s="624">
        <v>0.01</v>
      </c>
      <c r="AS600" s="624">
        <v>-0.02</v>
      </c>
      <c r="AT600" s="625">
        <v>-0.1</v>
      </c>
      <c r="AU600" s="800">
        <v>-0.03</v>
      </c>
      <c r="AV600" s="377"/>
      <c r="AW600" s="377"/>
      <c r="AX600" s="377"/>
      <c r="AY600" s="734"/>
      <c r="AZ600" s="377"/>
      <c r="BA600" s="377"/>
      <c r="BB600" s="377"/>
      <c r="BC600" s="377"/>
      <c r="BD600" s="734"/>
      <c r="BE600" s="734"/>
      <c r="BF600" s="734"/>
      <c r="BG600" s="734"/>
      <c r="BH600" s="526"/>
    </row>
    <row r="601" spans="1:60" s="53" customFormat="1" hidden="1" outlineLevel="2" x14ac:dyDescent="0.35">
      <c r="A601" s="611" t="s">
        <v>636</v>
      </c>
      <c r="B601" s="691"/>
      <c r="C601" s="734"/>
      <c r="D601" s="734"/>
      <c r="E601" s="734"/>
      <c r="F601" s="734"/>
      <c r="G601" s="377"/>
      <c r="H601" s="377"/>
      <c r="I601" s="377"/>
      <c r="J601" s="377"/>
      <c r="K601" s="734"/>
      <c r="L601" s="377"/>
      <c r="M601" s="377"/>
      <c r="N601" s="377"/>
      <c r="O601" s="377"/>
      <c r="P601" s="734"/>
      <c r="Q601" s="377"/>
      <c r="R601" s="377"/>
      <c r="S601" s="377"/>
      <c r="T601" s="377"/>
      <c r="U601" s="734"/>
      <c r="V601" s="377"/>
      <c r="W601" s="377"/>
      <c r="X601" s="377"/>
      <c r="Y601" s="377"/>
      <c r="Z601" s="734"/>
      <c r="AA601" s="377"/>
      <c r="AB601" s="377"/>
      <c r="AC601" s="377"/>
      <c r="AD601" s="377"/>
      <c r="AE601" s="734"/>
      <c r="AF601" s="377"/>
      <c r="AG601" s="624">
        <v>0.48</v>
      </c>
      <c r="AH601" s="377"/>
      <c r="AI601" s="624">
        <v>0.02</v>
      </c>
      <c r="AJ601" s="625">
        <v>0.5</v>
      </c>
      <c r="AK601" s="377"/>
      <c r="AL601" s="624">
        <v>-0.48</v>
      </c>
      <c r="AM601" s="377"/>
      <c r="AN601" s="377"/>
      <c r="AO601" s="625">
        <v>-0.5</v>
      </c>
      <c r="AP601" s="377"/>
      <c r="AQ601" s="377"/>
      <c r="AR601" s="377"/>
      <c r="AS601" s="377"/>
      <c r="AT601" s="734"/>
      <c r="AU601" s="798"/>
      <c r="AV601" s="377"/>
      <c r="AW601" s="377"/>
      <c r="AX601" s="377"/>
      <c r="AY601" s="734"/>
      <c r="AZ601" s="377"/>
      <c r="BA601" s="377"/>
      <c r="BB601" s="377"/>
      <c r="BC601" s="377"/>
      <c r="BD601" s="734"/>
      <c r="BE601" s="734"/>
      <c r="BF601" s="734"/>
      <c r="BG601" s="734"/>
      <c r="BH601" s="526"/>
    </row>
    <row r="602" spans="1:60" s="53" customFormat="1" hidden="1" outlineLevel="2" x14ac:dyDescent="0.35">
      <c r="A602" s="611" t="s">
        <v>641</v>
      </c>
      <c r="B602" s="691"/>
      <c r="C602" s="734"/>
      <c r="D602" s="734"/>
      <c r="E602" s="734"/>
      <c r="F602" s="734"/>
      <c r="G602" s="377"/>
      <c r="H602" s="377"/>
      <c r="I602" s="377"/>
      <c r="J602" s="377"/>
      <c r="K602" s="734"/>
      <c r="L602" s="377"/>
      <c r="M602" s="377"/>
      <c r="N602" s="377"/>
      <c r="O602" s="377"/>
      <c r="P602" s="734"/>
      <c r="Q602" s="377"/>
      <c r="R602" s="377"/>
      <c r="S602" s="377"/>
      <c r="T602" s="377"/>
      <c r="U602" s="734"/>
      <c r="V602" s="377"/>
      <c r="W602" s="377"/>
      <c r="X602" s="377"/>
      <c r="Y602" s="377"/>
      <c r="Z602" s="734"/>
      <c r="AA602" s="377"/>
      <c r="AB602" s="377"/>
      <c r="AC602" s="624">
        <v>0.01</v>
      </c>
      <c r="AD602" s="377"/>
      <c r="AE602" s="734"/>
      <c r="AF602" s="377"/>
      <c r="AG602" s="377"/>
      <c r="AH602" s="377"/>
      <c r="AI602" s="377"/>
      <c r="AJ602" s="734"/>
      <c r="AK602" s="377"/>
      <c r="AL602" s="377"/>
      <c r="AM602" s="377"/>
      <c r="AN602" s="377"/>
      <c r="AO602" s="734"/>
      <c r="AP602" s="377"/>
      <c r="AQ602" s="377"/>
      <c r="AR602" s="377"/>
      <c r="AS602" s="377"/>
      <c r="AT602" s="734"/>
      <c r="AU602" s="798"/>
      <c r="AV602" s="377"/>
      <c r="AW602" s="377"/>
      <c r="AX602" s="377"/>
      <c r="AY602" s="734"/>
      <c r="AZ602" s="377"/>
      <c r="BA602" s="377"/>
      <c r="BB602" s="377"/>
      <c r="BC602" s="377"/>
      <c r="BD602" s="734"/>
      <c r="BE602" s="734"/>
      <c r="BF602" s="734"/>
      <c r="BG602" s="734"/>
      <c r="BH602" s="526"/>
    </row>
    <row r="603" spans="1:60" s="53" customFormat="1" hidden="1" outlineLevel="2" x14ac:dyDescent="0.35">
      <c r="A603" s="612" t="s">
        <v>635</v>
      </c>
      <c r="B603" s="694"/>
      <c r="C603" s="736"/>
      <c r="D603" s="736"/>
      <c r="E603" s="736"/>
      <c r="F603" s="736"/>
      <c r="G603" s="695"/>
      <c r="H603" s="695"/>
      <c r="I603" s="695"/>
      <c r="J603" s="695"/>
      <c r="K603" s="736"/>
      <c r="L603" s="695"/>
      <c r="M603" s="695"/>
      <c r="N603" s="695"/>
      <c r="O603" s="695"/>
      <c r="P603" s="736"/>
      <c r="Q603" s="695"/>
      <c r="R603" s="695"/>
      <c r="S603" s="695"/>
      <c r="T603" s="695"/>
      <c r="U603" s="736"/>
      <c r="V603" s="695"/>
      <c r="W603" s="695"/>
      <c r="X603" s="695"/>
      <c r="Y603" s="695"/>
      <c r="Z603" s="736"/>
      <c r="AA603" s="695"/>
      <c r="AB603" s="695"/>
      <c r="AC603" s="695"/>
      <c r="AD603" s="695"/>
      <c r="AE603" s="736"/>
      <c r="AF603" s="695"/>
      <c r="AG603" s="614">
        <v>-0.54</v>
      </c>
      <c r="AH603" s="695"/>
      <c r="AI603" s="695"/>
      <c r="AJ603" s="615">
        <v>-0.54</v>
      </c>
      <c r="AK603" s="695"/>
      <c r="AL603" s="695"/>
      <c r="AM603" s="695"/>
      <c r="AN603" s="695"/>
      <c r="AO603" s="736"/>
      <c r="AP603" s="695"/>
      <c r="AQ603" s="695"/>
      <c r="AR603" s="695"/>
      <c r="AS603" s="695"/>
      <c r="AT603" s="736"/>
      <c r="AU603" s="801"/>
      <c r="AV603" s="695"/>
      <c r="AW603" s="695"/>
      <c r="AX603" s="695"/>
      <c r="AY603" s="736"/>
      <c r="AZ603" s="695"/>
      <c r="BA603" s="695"/>
      <c r="BB603" s="695"/>
      <c r="BC603" s="695"/>
      <c r="BD603" s="736"/>
      <c r="BE603" s="736"/>
      <c r="BF603" s="736"/>
      <c r="BG603" s="736"/>
      <c r="BH603" s="526"/>
    </row>
    <row r="604" spans="1:60" s="53" customFormat="1" hidden="1" outlineLevel="1" x14ac:dyDescent="0.35">
      <c r="A604" s="524" t="s">
        <v>1012</v>
      </c>
      <c r="B604" s="691"/>
      <c r="C604" s="734"/>
      <c r="D604" s="734"/>
      <c r="E604" s="734"/>
      <c r="F604" s="734"/>
      <c r="G604" s="377"/>
      <c r="H604" s="377"/>
      <c r="I604" s="377"/>
      <c r="J604" s="377"/>
      <c r="K604" s="734"/>
      <c r="L604" s="377"/>
      <c r="M604" s="377"/>
      <c r="N604" s="377"/>
      <c r="O604" s="377"/>
      <c r="P604" s="525">
        <f>SUM(P600:P603)</f>
        <v>0</v>
      </c>
      <c r="Q604" s="377"/>
      <c r="R604" s="377"/>
      <c r="S604" s="377"/>
      <c r="T604" s="377"/>
      <c r="U604" s="525">
        <f t="shared" ref="U604:AR604" si="892">SUM(U600:U603)</f>
        <v>-0.02</v>
      </c>
      <c r="V604" s="624">
        <f t="shared" si="892"/>
        <v>7.0000000000000007E-2</v>
      </c>
      <c r="W604" s="624">
        <f t="shared" si="892"/>
        <v>0.03</v>
      </c>
      <c r="X604" s="624">
        <f t="shared" si="892"/>
        <v>0</v>
      </c>
      <c r="Y604" s="624">
        <f t="shared" si="892"/>
        <v>0.04</v>
      </c>
      <c r="Z604" s="625">
        <f t="shared" si="892"/>
        <v>0.14000000000000001</v>
      </c>
      <c r="AA604" s="624">
        <f t="shared" si="892"/>
        <v>-0.03</v>
      </c>
      <c r="AB604" s="624">
        <f t="shared" si="892"/>
        <v>0.56999999999999995</v>
      </c>
      <c r="AC604" s="624">
        <f t="shared" si="892"/>
        <v>0.01</v>
      </c>
      <c r="AD604" s="624">
        <f t="shared" si="892"/>
        <v>-2.0000000000000004E-2</v>
      </c>
      <c r="AE604" s="625">
        <f t="shared" si="892"/>
        <v>0.54</v>
      </c>
      <c r="AF604" s="624">
        <f t="shared" si="892"/>
        <v>0.01</v>
      </c>
      <c r="AG604" s="624">
        <f t="shared" si="892"/>
        <v>-6.0000000000000053E-2</v>
      </c>
      <c r="AH604" s="624">
        <f t="shared" si="892"/>
        <v>0.01</v>
      </c>
      <c r="AI604" s="624">
        <f t="shared" si="892"/>
        <v>-0.13</v>
      </c>
      <c r="AJ604" s="625">
        <f t="shared" si="892"/>
        <v>-0.19000000000000006</v>
      </c>
      <c r="AK604" s="624">
        <f t="shared" si="892"/>
        <v>-7.0000000000000007E-2</v>
      </c>
      <c r="AL604" s="624">
        <f t="shared" si="892"/>
        <v>-0.47</v>
      </c>
      <c r="AM604" s="624">
        <f t="shared" si="892"/>
        <v>0.1</v>
      </c>
      <c r="AN604" s="624">
        <f t="shared" si="892"/>
        <v>-0.11</v>
      </c>
      <c r="AO604" s="625">
        <f t="shared" si="892"/>
        <v>-0.57000000000000006</v>
      </c>
      <c r="AP604" s="624">
        <f t="shared" si="892"/>
        <v>-0.05</v>
      </c>
      <c r="AQ604" s="624">
        <f t="shared" si="892"/>
        <v>-7.0000000000000007E-2</v>
      </c>
      <c r="AR604" s="624">
        <f t="shared" si="892"/>
        <v>0.01</v>
      </c>
      <c r="AS604" s="624">
        <f>SUM(AS600:AS603)</f>
        <v>-0.02</v>
      </c>
      <c r="AT604" s="625">
        <f>SUM(AT600:AT603)</f>
        <v>-0.1</v>
      </c>
      <c r="AU604" s="800">
        <f>SUM(AU600:AU603)</f>
        <v>-0.03</v>
      </c>
      <c r="AV604" s="377"/>
      <c r="AW604" s="377"/>
      <c r="AX604" s="377"/>
      <c r="AY604" s="734"/>
      <c r="AZ604" s="377"/>
      <c r="BA604" s="377"/>
      <c r="BB604" s="377"/>
      <c r="BC604" s="377"/>
      <c r="BD604" s="734"/>
      <c r="BE604" s="734"/>
      <c r="BF604" s="734"/>
      <c r="BG604" s="734"/>
      <c r="BH604" s="526"/>
    </row>
    <row r="605" spans="1:60" s="53" customFormat="1" hidden="1" outlineLevel="1" x14ac:dyDescent="0.35">
      <c r="A605" s="524" t="s">
        <v>1013</v>
      </c>
      <c r="B605" s="691"/>
      <c r="C605" s="734"/>
      <c r="D605" s="734"/>
      <c r="E605" s="734"/>
      <c r="F605" s="734"/>
      <c r="G605" s="377"/>
      <c r="H605" s="377"/>
      <c r="I605" s="377"/>
      <c r="J605" s="377"/>
      <c r="K605" s="734"/>
      <c r="L605" s="377"/>
      <c r="M605" s="377"/>
      <c r="N605" s="377"/>
      <c r="O605" s="377"/>
      <c r="P605" s="525">
        <v>-0.15</v>
      </c>
      <c r="Q605" s="377"/>
      <c r="R605" s="377"/>
      <c r="S605" s="377"/>
      <c r="T605" s="377"/>
      <c r="U605" s="525">
        <v>-0.43</v>
      </c>
      <c r="V605" s="624">
        <v>-0.05</v>
      </c>
      <c r="W605" s="624">
        <v>-0.04</v>
      </c>
      <c r="X605" s="624">
        <v>-0.02</v>
      </c>
      <c r="Y605" s="624">
        <v>-0.02</v>
      </c>
      <c r="Z605" s="625">
        <v>-0.14000000000000001</v>
      </c>
      <c r="AA605" s="624">
        <v>-0.04</v>
      </c>
      <c r="AB605" s="624">
        <v>-0.05</v>
      </c>
      <c r="AC605" s="624">
        <v>-0.03</v>
      </c>
      <c r="AD605" s="377"/>
      <c r="AE605" s="625">
        <v>-0.13</v>
      </c>
      <c r="AF605" s="624">
        <v>0.05</v>
      </c>
      <c r="AG605" s="624">
        <v>0.01</v>
      </c>
      <c r="AH605" s="624">
        <v>-0.08</v>
      </c>
      <c r="AI605" s="624">
        <v>-0.03</v>
      </c>
      <c r="AJ605" s="625">
        <v>-0.05</v>
      </c>
      <c r="AK605" s="624">
        <v>-0.05</v>
      </c>
      <c r="AL605" s="377"/>
      <c r="AM605" s="624">
        <v>0.05</v>
      </c>
      <c r="AN605" s="377"/>
      <c r="AO605" s="734"/>
      <c r="AP605" s="624">
        <v>-0.08</v>
      </c>
      <c r="AQ605" s="624">
        <v>-0.05</v>
      </c>
      <c r="AR605" s="377"/>
      <c r="AS605" s="624">
        <v>0.02</v>
      </c>
      <c r="AT605" s="625">
        <v>-0.11</v>
      </c>
      <c r="AU605" s="800">
        <v>0.13</v>
      </c>
      <c r="AV605" s="377"/>
      <c r="AW605" s="377"/>
      <c r="AX605" s="377"/>
      <c r="AY605" s="734"/>
      <c r="AZ605" s="377"/>
      <c r="BA605" s="377"/>
      <c r="BB605" s="377"/>
      <c r="BC605" s="377"/>
      <c r="BD605" s="734"/>
      <c r="BE605" s="734"/>
      <c r="BF605" s="734"/>
      <c r="BG605" s="734"/>
      <c r="BH605" s="526"/>
    </row>
    <row r="606" spans="1:60" s="53" customFormat="1" hidden="1" outlineLevel="2" x14ac:dyDescent="0.35">
      <c r="A606" s="611" t="s">
        <v>638</v>
      </c>
      <c r="B606" s="691"/>
      <c r="C606" s="734"/>
      <c r="D606" s="734"/>
      <c r="E606" s="734"/>
      <c r="F606" s="734"/>
      <c r="G606" s="377"/>
      <c r="H606" s="377"/>
      <c r="I606" s="377"/>
      <c r="J606" s="377"/>
      <c r="K606" s="734"/>
      <c r="L606" s="377"/>
      <c r="M606" s="377"/>
      <c r="N606" s="377"/>
      <c r="O606" s="377"/>
      <c r="P606" s="734"/>
      <c r="Q606" s="377"/>
      <c r="R606" s="377"/>
      <c r="S606" s="377"/>
      <c r="T606" s="377"/>
      <c r="U606" s="525">
        <v>-0.14000000000000001</v>
      </c>
      <c r="V606" s="377"/>
      <c r="W606" s="377"/>
      <c r="X606" s="377"/>
      <c r="Y606" s="377"/>
      <c r="Z606" s="625">
        <v>0.14000000000000001</v>
      </c>
      <c r="AA606" s="377"/>
      <c r="AB606" s="377"/>
      <c r="AC606" s="377"/>
      <c r="AD606" s="377"/>
      <c r="AE606" s="734"/>
      <c r="AF606" s="377"/>
      <c r="AG606" s="377"/>
      <c r="AH606" s="377"/>
      <c r="AI606" s="377"/>
      <c r="AJ606" s="734"/>
      <c r="AK606" s="377"/>
      <c r="AL606" s="377"/>
      <c r="AM606" s="377"/>
      <c r="AN606" s="377"/>
      <c r="AO606" s="734"/>
      <c r="AP606" s="377"/>
      <c r="AQ606" s="377"/>
      <c r="AR606" s="377"/>
      <c r="AS606" s="377"/>
      <c r="AT606" s="734"/>
      <c r="AU606" s="798"/>
      <c r="AV606" s="377"/>
      <c r="AW606" s="377"/>
      <c r="AX606" s="377"/>
      <c r="AY606" s="734"/>
      <c r="AZ606" s="377"/>
      <c r="BA606" s="377"/>
      <c r="BB606" s="377"/>
      <c r="BC606" s="377"/>
      <c r="BD606" s="734"/>
      <c r="BE606" s="734"/>
      <c r="BF606" s="734"/>
      <c r="BG606" s="734"/>
      <c r="BH606" s="526"/>
    </row>
    <row r="607" spans="1:60" s="53" customFormat="1" hidden="1" outlineLevel="2" x14ac:dyDescent="0.35">
      <c r="A607" s="611" t="s">
        <v>639</v>
      </c>
      <c r="B607" s="691"/>
      <c r="C607" s="734"/>
      <c r="D607" s="734"/>
      <c r="E607" s="734"/>
      <c r="F607" s="734"/>
      <c r="G607" s="377"/>
      <c r="H607" s="377"/>
      <c r="I607" s="377"/>
      <c r="J607" s="377"/>
      <c r="K607" s="734"/>
      <c r="L607" s="377"/>
      <c r="M607" s="377"/>
      <c r="N607" s="377"/>
      <c r="O607" s="377"/>
      <c r="P607" s="734"/>
      <c r="Q607" s="377"/>
      <c r="R607" s="377"/>
      <c r="S607" s="377"/>
      <c r="T607" s="377"/>
      <c r="U607" s="734"/>
      <c r="V607" s="377"/>
      <c r="W607" s="377"/>
      <c r="X607" s="377"/>
      <c r="Y607" s="377"/>
      <c r="Z607" s="734"/>
      <c r="AA607" s="377"/>
      <c r="AB607" s="377"/>
      <c r="AC607" s="377"/>
      <c r="AD607" s="377"/>
      <c r="AE607" s="734"/>
      <c r="AF607" s="377"/>
      <c r="AG607" s="377"/>
      <c r="AH607" s="377"/>
      <c r="AI607" s="377"/>
      <c r="AJ607" s="734"/>
      <c r="AK607" s="377"/>
      <c r="AL607" s="624">
        <v>-0.21</v>
      </c>
      <c r="AM607" s="377"/>
      <c r="AN607" s="377"/>
      <c r="AO607" s="625">
        <v>-0.41</v>
      </c>
      <c r="AP607" s="377"/>
      <c r="AQ607" s="377"/>
      <c r="AR607" s="377"/>
      <c r="AS607" s="377"/>
      <c r="AT607" s="734"/>
      <c r="AU607" s="798"/>
      <c r="AV607" s="377"/>
      <c r="AW607" s="377"/>
      <c r="AX607" s="377"/>
      <c r="AY607" s="734"/>
      <c r="AZ607" s="377"/>
      <c r="BA607" s="377"/>
      <c r="BB607" s="377"/>
      <c r="BC607" s="377"/>
      <c r="BD607" s="734"/>
      <c r="BE607" s="734"/>
      <c r="BF607" s="734"/>
      <c r="BG607" s="734"/>
      <c r="BH607" s="526"/>
    </row>
    <row r="608" spans="1:60" s="53" customFormat="1" hidden="1" outlineLevel="2" x14ac:dyDescent="0.35">
      <c r="A608" s="611" t="s">
        <v>707</v>
      </c>
      <c r="B608" s="691"/>
      <c r="C608" s="734"/>
      <c r="D608" s="734"/>
      <c r="E608" s="734"/>
      <c r="F608" s="734"/>
      <c r="G608" s="377"/>
      <c r="H608" s="377"/>
      <c r="I608" s="377"/>
      <c r="J608" s="377"/>
      <c r="K608" s="734"/>
      <c r="L608" s="377"/>
      <c r="M608" s="377"/>
      <c r="N608" s="377"/>
      <c r="O608" s="377"/>
      <c r="P608" s="734"/>
      <c r="Q608" s="377"/>
      <c r="R608" s="377"/>
      <c r="S608" s="377"/>
      <c r="T608" s="377"/>
      <c r="U608" s="734"/>
      <c r="V608" s="377"/>
      <c r="W608" s="377"/>
      <c r="X608" s="377"/>
      <c r="Y608" s="377"/>
      <c r="Z608" s="734"/>
      <c r="AA608" s="377"/>
      <c r="AB608" s="377"/>
      <c r="AC608" s="377"/>
      <c r="AD608" s="377"/>
      <c r="AE608" s="734"/>
      <c r="AF608" s="377"/>
      <c r="AG608" s="377"/>
      <c r="AH608" s="377"/>
      <c r="AI608" s="377"/>
      <c r="AJ608" s="734"/>
      <c r="AK608" s="377"/>
      <c r="AL608" s="377"/>
      <c r="AM608" s="377"/>
      <c r="AN608" s="624">
        <v>-0.2</v>
      </c>
      <c r="AO608" s="734"/>
      <c r="AP608" s="377"/>
      <c r="AQ608" s="377"/>
      <c r="AR608" s="377"/>
      <c r="AS608" s="377"/>
      <c r="AT608" s="625">
        <v>0.12</v>
      </c>
      <c r="AU608" s="798"/>
      <c r="AV608" s="377"/>
      <c r="AW608" s="377"/>
      <c r="AX608" s="377"/>
      <c r="AY608" s="734"/>
      <c r="AZ608" s="377"/>
      <c r="BA608" s="377"/>
      <c r="BB608" s="377"/>
      <c r="BC608" s="377"/>
      <c r="BD608" s="734"/>
      <c r="BE608" s="734"/>
      <c r="BF608" s="734"/>
      <c r="BG608" s="734"/>
      <c r="BH608" s="526"/>
    </row>
    <row r="609" spans="1:60" s="53" customFormat="1" hidden="1" outlineLevel="2" x14ac:dyDescent="0.35">
      <c r="A609" s="611" t="s">
        <v>642</v>
      </c>
      <c r="B609" s="691"/>
      <c r="C609" s="734"/>
      <c r="D609" s="734"/>
      <c r="E609" s="734"/>
      <c r="F609" s="734"/>
      <c r="G609" s="377"/>
      <c r="H609" s="377"/>
      <c r="I609" s="377"/>
      <c r="J609" s="377"/>
      <c r="K609" s="734"/>
      <c r="L609" s="377"/>
      <c r="M609" s="377"/>
      <c r="N609" s="377"/>
      <c r="O609" s="377"/>
      <c r="P609" s="734"/>
      <c r="Q609" s="377"/>
      <c r="R609" s="377"/>
      <c r="S609" s="377"/>
      <c r="T609" s="377"/>
      <c r="U609" s="734"/>
      <c r="V609" s="377"/>
      <c r="W609" s="377"/>
      <c r="X609" s="377"/>
      <c r="Y609" s="377"/>
      <c r="Z609" s="734"/>
      <c r="AA609" s="624">
        <v>-0.16</v>
      </c>
      <c r="AB609" s="624">
        <v>-0.24</v>
      </c>
      <c r="AC609" s="624">
        <v>-0.06</v>
      </c>
      <c r="AD609" s="624">
        <v>-0.06</v>
      </c>
      <c r="AE609" s="625">
        <v>-0.51</v>
      </c>
      <c r="AF609" s="377"/>
      <c r="AG609" s="377"/>
      <c r="AH609" s="377"/>
      <c r="AI609" s="377"/>
      <c r="AJ609" s="734"/>
      <c r="AK609" s="377"/>
      <c r="AL609" s="377"/>
      <c r="AM609" s="377"/>
      <c r="AN609" s="377"/>
      <c r="AO609" s="734"/>
      <c r="AP609" s="377"/>
      <c r="AQ609" s="377"/>
      <c r="AR609" s="377"/>
      <c r="AS609" s="377"/>
      <c r="AT609" s="734"/>
      <c r="AU609" s="798"/>
      <c r="AV609" s="377"/>
      <c r="AW609" s="377"/>
      <c r="AX609" s="377"/>
      <c r="AY609" s="734"/>
      <c r="AZ609" s="377"/>
      <c r="BA609" s="377"/>
      <c r="BB609" s="377"/>
      <c r="BC609" s="377"/>
      <c r="BD609" s="734"/>
      <c r="BE609" s="734"/>
      <c r="BF609" s="734"/>
      <c r="BG609" s="734"/>
      <c r="BH609" s="526"/>
    </row>
    <row r="610" spans="1:60" s="53" customFormat="1" hidden="1" outlineLevel="2" x14ac:dyDescent="0.35">
      <c r="A610" s="612" t="s">
        <v>643</v>
      </c>
      <c r="B610" s="694"/>
      <c r="C610" s="736"/>
      <c r="D610" s="736"/>
      <c r="E610" s="736"/>
      <c r="F610" s="736"/>
      <c r="G610" s="695"/>
      <c r="H610" s="695"/>
      <c r="I610" s="695"/>
      <c r="J610" s="695"/>
      <c r="K610" s="736"/>
      <c r="L610" s="695"/>
      <c r="M610" s="695"/>
      <c r="N610" s="695"/>
      <c r="O610" s="695"/>
      <c r="P610" s="736"/>
      <c r="Q610" s="695"/>
      <c r="R610" s="695"/>
      <c r="S610" s="695"/>
      <c r="T610" s="695"/>
      <c r="U610" s="736"/>
      <c r="V610" s="695"/>
      <c r="W610" s="695"/>
      <c r="X610" s="695"/>
      <c r="Y610" s="695"/>
      <c r="Z610" s="736"/>
      <c r="AA610" s="695"/>
      <c r="AB610" s="695"/>
      <c r="AC610" s="695"/>
      <c r="AD610" s="695"/>
      <c r="AE610" s="736"/>
      <c r="AF610" s="695"/>
      <c r="AG610" s="695"/>
      <c r="AH610" s="614">
        <v>-0.03</v>
      </c>
      <c r="AI610" s="695"/>
      <c r="AJ610" s="736"/>
      <c r="AK610" s="695"/>
      <c r="AL610" s="695"/>
      <c r="AM610" s="695"/>
      <c r="AN610" s="695"/>
      <c r="AO610" s="736"/>
      <c r="AP610" s="695"/>
      <c r="AQ610" s="695"/>
      <c r="AR610" s="695"/>
      <c r="AS610" s="695"/>
      <c r="AT610" s="736"/>
      <c r="AU610" s="801"/>
      <c r="AV610" s="695"/>
      <c r="AW610" s="695"/>
      <c r="AX610" s="695"/>
      <c r="AY610" s="736"/>
      <c r="AZ610" s="695"/>
      <c r="BA610" s="695"/>
      <c r="BB610" s="695"/>
      <c r="BC610" s="695"/>
      <c r="BD610" s="736"/>
      <c r="BE610" s="736"/>
      <c r="BF610" s="736"/>
      <c r="BG610" s="736"/>
      <c r="BH610" s="526"/>
    </row>
    <row r="611" spans="1:60" s="53" customFormat="1" hidden="1" outlineLevel="1" x14ac:dyDescent="0.35">
      <c r="A611" s="524" t="s">
        <v>1014</v>
      </c>
      <c r="B611" s="691"/>
      <c r="C611" s="734"/>
      <c r="D611" s="734"/>
      <c r="E611" s="734"/>
      <c r="F611" s="734"/>
      <c r="G611" s="377"/>
      <c r="H611" s="377"/>
      <c r="I611" s="377"/>
      <c r="J611" s="377"/>
      <c r="K611" s="734"/>
      <c r="L611" s="377"/>
      <c r="M611" s="377"/>
      <c r="N611" s="377"/>
      <c r="O611" s="377"/>
      <c r="P611" s="525">
        <f>SUM(P606:P610)</f>
        <v>0</v>
      </c>
      <c r="Q611" s="377"/>
      <c r="R611" s="377"/>
      <c r="S611" s="377"/>
      <c r="T611" s="377"/>
      <c r="U611" s="525">
        <f t="shared" ref="U611:AR611" si="893">SUM(U606:U610)</f>
        <v>-0.14000000000000001</v>
      </c>
      <c r="V611" s="624">
        <f t="shared" si="893"/>
        <v>0</v>
      </c>
      <c r="W611" s="624">
        <f t="shared" si="893"/>
        <v>0</v>
      </c>
      <c r="X611" s="624">
        <f t="shared" si="893"/>
        <v>0</v>
      </c>
      <c r="Y611" s="624">
        <f t="shared" si="893"/>
        <v>0</v>
      </c>
      <c r="Z611" s="625">
        <f t="shared" si="893"/>
        <v>0.14000000000000001</v>
      </c>
      <c r="AA611" s="624">
        <f t="shared" si="893"/>
        <v>-0.16</v>
      </c>
      <c r="AB611" s="624">
        <f t="shared" si="893"/>
        <v>-0.24</v>
      </c>
      <c r="AC611" s="624">
        <f t="shared" si="893"/>
        <v>-0.06</v>
      </c>
      <c r="AD611" s="624">
        <f t="shared" si="893"/>
        <v>-0.06</v>
      </c>
      <c r="AE611" s="625">
        <f t="shared" si="893"/>
        <v>-0.51</v>
      </c>
      <c r="AF611" s="624">
        <f t="shared" si="893"/>
        <v>0</v>
      </c>
      <c r="AG611" s="624">
        <f t="shared" si="893"/>
        <v>0</v>
      </c>
      <c r="AH611" s="624">
        <f t="shared" si="893"/>
        <v>-0.03</v>
      </c>
      <c r="AI611" s="624">
        <f t="shared" si="893"/>
        <v>0</v>
      </c>
      <c r="AJ611" s="625">
        <f t="shared" si="893"/>
        <v>0</v>
      </c>
      <c r="AK611" s="624">
        <f t="shared" si="893"/>
        <v>0</v>
      </c>
      <c r="AL611" s="624">
        <f t="shared" si="893"/>
        <v>-0.21</v>
      </c>
      <c r="AM611" s="624">
        <f t="shared" si="893"/>
        <v>0</v>
      </c>
      <c r="AN611" s="624">
        <f t="shared" si="893"/>
        <v>-0.2</v>
      </c>
      <c r="AO611" s="625">
        <f t="shared" si="893"/>
        <v>-0.41</v>
      </c>
      <c r="AP611" s="624">
        <f t="shared" si="893"/>
        <v>0</v>
      </c>
      <c r="AQ611" s="624">
        <f t="shared" si="893"/>
        <v>0</v>
      </c>
      <c r="AR611" s="624">
        <f t="shared" si="893"/>
        <v>0</v>
      </c>
      <c r="AS611" s="624">
        <f>SUM(AS606:AS610)</f>
        <v>0</v>
      </c>
      <c r="AT611" s="625">
        <f>SUM(AT606:AT610)</f>
        <v>0.12</v>
      </c>
      <c r="AU611" s="798"/>
      <c r="AV611" s="377"/>
      <c r="AW611" s="377"/>
      <c r="AX611" s="377"/>
      <c r="AY611" s="734"/>
      <c r="AZ611" s="377"/>
      <c r="BA611" s="377"/>
      <c r="BB611" s="377"/>
      <c r="BC611" s="377"/>
      <c r="BD611" s="734"/>
      <c r="BE611" s="734"/>
      <c r="BF611" s="734"/>
      <c r="BG611" s="734"/>
      <c r="BH611" s="526"/>
    </row>
    <row r="612" spans="1:60" s="53" customFormat="1" hidden="1" outlineLevel="2" x14ac:dyDescent="0.35">
      <c r="A612" s="611" t="s">
        <v>644</v>
      </c>
      <c r="B612" s="691"/>
      <c r="C612" s="734"/>
      <c r="D612" s="734"/>
      <c r="E612" s="734"/>
      <c r="F612" s="734"/>
      <c r="G612" s="377"/>
      <c r="H612" s="377"/>
      <c r="I612" s="377"/>
      <c r="J612" s="377"/>
      <c r="K612" s="734"/>
      <c r="L612" s="377"/>
      <c r="M612" s="377"/>
      <c r="N612" s="377"/>
      <c r="O612" s="377"/>
      <c r="P612" s="734"/>
      <c r="Q612" s="377"/>
      <c r="R612" s="377"/>
      <c r="S612" s="377"/>
      <c r="T612" s="377"/>
      <c r="U612" s="734"/>
      <c r="V612" s="377"/>
      <c r="W612" s="377"/>
      <c r="X612" s="377"/>
      <c r="Y612" s="377"/>
      <c r="Z612" s="734"/>
      <c r="AA612" s="377"/>
      <c r="AB612" s="377"/>
      <c r="AC612" s="377"/>
      <c r="AD612" s="377"/>
      <c r="AE612" s="734"/>
      <c r="AF612" s="377"/>
      <c r="AG612" s="624">
        <v>-7.0000000000000007E-2</v>
      </c>
      <c r="AH612" s="377"/>
      <c r="AI612" s="377"/>
      <c r="AJ612" s="625">
        <v>-0.04</v>
      </c>
      <c r="AK612" s="377"/>
      <c r="AL612" s="377"/>
      <c r="AM612" s="377"/>
      <c r="AN612" s="377"/>
      <c r="AO612" s="734"/>
      <c r="AP612" s="377"/>
      <c r="AQ612" s="377"/>
      <c r="AR612" s="377"/>
      <c r="AS612" s="377"/>
      <c r="AT612" s="734"/>
      <c r="AU612" s="798"/>
      <c r="AV612" s="377"/>
      <c r="AW612" s="377"/>
      <c r="AX612" s="377"/>
      <c r="AY612" s="734"/>
      <c r="AZ612" s="377"/>
      <c r="BA612" s="377"/>
      <c r="BB612" s="377"/>
      <c r="BC612" s="377"/>
      <c r="BD612" s="734"/>
      <c r="BE612" s="734"/>
      <c r="BF612" s="734"/>
      <c r="BG612" s="734"/>
      <c r="BH612" s="526"/>
    </row>
    <row r="613" spans="1:60" s="53" customFormat="1" hidden="1" outlineLevel="2" x14ac:dyDescent="0.35">
      <c r="A613" s="611" t="s">
        <v>645</v>
      </c>
      <c r="B613" s="691"/>
      <c r="C613" s="734"/>
      <c r="D613" s="734"/>
      <c r="E613" s="734"/>
      <c r="F613" s="734"/>
      <c r="G613" s="377"/>
      <c r="H613" s="377"/>
      <c r="I613" s="377"/>
      <c r="J613" s="377"/>
      <c r="K613" s="734"/>
      <c r="L613" s="377"/>
      <c r="M613" s="377"/>
      <c r="N613" s="377"/>
      <c r="O613" s="377"/>
      <c r="P613" s="734"/>
      <c r="Q613" s="377"/>
      <c r="R613" s="377"/>
      <c r="S613" s="377"/>
      <c r="T613" s="377"/>
      <c r="U613" s="734"/>
      <c r="V613" s="377"/>
      <c r="W613" s="377"/>
      <c r="X613" s="377"/>
      <c r="Y613" s="377"/>
      <c r="Z613" s="734"/>
      <c r="AA613" s="377"/>
      <c r="AB613" s="377"/>
      <c r="AC613" s="377"/>
      <c r="AD613" s="624">
        <v>-7.0000000000000007E-2</v>
      </c>
      <c r="AE613" s="625">
        <v>-7.0000000000000007E-2</v>
      </c>
      <c r="AF613" s="377"/>
      <c r="AG613" s="377"/>
      <c r="AH613" s="377"/>
      <c r="AI613" s="377"/>
      <c r="AJ613" s="734"/>
      <c r="AK613" s="377"/>
      <c r="AL613" s="377"/>
      <c r="AM613" s="377"/>
      <c r="AN613" s="377"/>
      <c r="AO613" s="734"/>
      <c r="AP613" s="377"/>
      <c r="AQ613" s="377"/>
      <c r="AR613" s="377"/>
      <c r="AS613" s="377"/>
      <c r="AT613" s="734"/>
      <c r="AU613" s="798"/>
      <c r="AV613" s="377"/>
      <c r="AW613" s="377"/>
      <c r="AX613" s="377"/>
      <c r="AY613" s="734"/>
      <c r="AZ613" s="377"/>
      <c r="BA613" s="377"/>
      <c r="BB613" s="377"/>
      <c r="BC613" s="377"/>
      <c r="BD613" s="734"/>
      <c r="BE613" s="734"/>
      <c r="BF613" s="734"/>
      <c r="BG613" s="734"/>
      <c r="BH613" s="526"/>
    </row>
    <row r="614" spans="1:60" s="53" customFormat="1" hidden="1" outlineLevel="2" x14ac:dyDescent="0.35">
      <c r="A614" s="611" t="s">
        <v>646</v>
      </c>
      <c r="B614" s="691"/>
      <c r="C614" s="734"/>
      <c r="D614" s="734"/>
      <c r="E614" s="734"/>
      <c r="F614" s="734"/>
      <c r="G614" s="377"/>
      <c r="H614" s="377"/>
      <c r="I614" s="377"/>
      <c r="J614" s="377"/>
      <c r="K614" s="734"/>
      <c r="L614" s="377"/>
      <c r="M614" s="377"/>
      <c r="N614" s="377"/>
      <c r="O614" s="377"/>
      <c r="P614" s="734"/>
      <c r="Q614" s="377"/>
      <c r="R614" s="377"/>
      <c r="S614" s="377"/>
      <c r="T614" s="377"/>
      <c r="U614" s="734"/>
      <c r="V614" s="624">
        <v>-0.02</v>
      </c>
      <c r="W614" s="377"/>
      <c r="X614" s="624">
        <v>-0.01</v>
      </c>
      <c r="Y614" s="624">
        <v>-0.02</v>
      </c>
      <c r="Z614" s="625">
        <v>-0.05</v>
      </c>
      <c r="AA614" s="377"/>
      <c r="AB614" s="377"/>
      <c r="AC614" s="377"/>
      <c r="AD614" s="624">
        <v>-0.09</v>
      </c>
      <c r="AE614" s="625">
        <v>-0.1</v>
      </c>
      <c r="AF614" s="624">
        <v>-7.0000000000000007E-2</v>
      </c>
      <c r="AG614" s="624">
        <v>-0.06</v>
      </c>
      <c r="AH614" s="624">
        <v>-0.05</v>
      </c>
      <c r="AI614" s="624">
        <v>0.06</v>
      </c>
      <c r="AJ614" s="625">
        <v>-0.14000000000000001</v>
      </c>
      <c r="AK614" s="377"/>
      <c r="AL614" s="377"/>
      <c r="AM614" s="377"/>
      <c r="AN614" s="377"/>
      <c r="AO614" s="734"/>
      <c r="AP614" s="377"/>
      <c r="AQ614" s="377"/>
      <c r="AR614" s="377"/>
      <c r="AS614" s="624">
        <v>-0.03</v>
      </c>
      <c r="AT614" s="734"/>
      <c r="AU614" s="800">
        <v>0.03</v>
      </c>
      <c r="AV614" s="377"/>
      <c r="AW614" s="377"/>
      <c r="AX614" s="377"/>
      <c r="AY614" s="734"/>
      <c r="AZ614" s="377"/>
      <c r="BA614" s="377"/>
      <c r="BB614" s="377"/>
      <c r="BC614" s="377"/>
      <c r="BD614" s="734"/>
      <c r="BE614" s="734"/>
      <c r="BF614" s="734"/>
      <c r="BG614" s="734"/>
      <c r="BH614" s="526"/>
    </row>
    <row r="615" spans="1:60" s="53" customFormat="1" hidden="1" outlineLevel="2" x14ac:dyDescent="0.35">
      <c r="A615" s="611" t="s">
        <v>647</v>
      </c>
      <c r="B615" s="691"/>
      <c r="C615" s="734"/>
      <c r="D615" s="734"/>
      <c r="E615" s="734"/>
      <c r="F615" s="734"/>
      <c r="G615" s="377"/>
      <c r="H615" s="377"/>
      <c r="I615" s="377"/>
      <c r="J615" s="377"/>
      <c r="K615" s="734"/>
      <c r="L615" s="377"/>
      <c r="M615" s="377"/>
      <c r="N615" s="377"/>
      <c r="O615" s="377"/>
      <c r="P615" s="525">
        <v>-0.08</v>
      </c>
      <c r="Q615" s="377"/>
      <c r="R615" s="377"/>
      <c r="S615" s="377"/>
      <c r="T615" s="377"/>
      <c r="U615" s="734"/>
      <c r="V615" s="624">
        <v>7.0000000000000007E-2</v>
      </c>
      <c r="W615" s="624">
        <v>-0.04</v>
      </c>
      <c r="X615" s="624">
        <v>0.03</v>
      </c>
      <c r="Y615" s="624">
        <v>0.02</v>
      </c>
      <c r="Z615" s="625">
        <v>0.09</v>
      </c>
      <c r="AA615" s="624">
        <v>0.09</v>
      </c>
      <c r="AB615" s="624">
        <v>0.12</v>
      </c>
      <c r="AC615" s="624">
        <v>0.01</v>
      </c>
      <c r="AD615" s="624">
        <v>0.13</v>
      </c>
      <c r="AE615" s="625">
        <v>0.34</v>
      </c>
      <c r="AF615" s="624">
        <v>0.18</v>
      </c>
      <c r="AG615" s="624">
        <v>0.16</v>
      </c>
      <c r="AH615" s="624">
        <v>0.22</v>
      </c>
      <c r="AI615" s="624">
        <v>0.05</v>
      </c>
      <c r="AJ615" s="625">
        <v>0.61</v>
      </c>
      <c r="AK615" s="624">
        <v>-0.05</v>
      </c>
      <c r="AL615" s="624">
        <v>-7.0000000000000007E-2</v>
      </c>
      <c r="AM615" s="624">
        <v>0.08</v>
      </c>
      <c r="AN615" s="624">
        <v>0.05</v>
      </c>
      <c r="AO615" s="734"/>
      <c r="AP615" s="624">
        <v>-0.03</v>
      </c>
      <c r="AQ615" s="624">
        <v>0.03</v>
      </c>
      <c r="AR615" s="624">
        <v>-0.08</v>
      </c>
      <c r="AS615" s="624">
        <v>0.03</v>
      </c>
      <c r="AT615" s="625">
        <v>-0.03</v>
      </c>
      <c r="AU615" s="800">
        <v>0.14000000000000001</v>
      </c>
      <c r="AV615" s="377"/>
      <c r="AW615" s="377"/>
      <c r="AX615" s="377"/>
      <c r="AY615" s="734"/>
      <c r="AZ615" s="377"/>
      <c r="BA615" s="377"/>
      <c r="BB615" s="377"/>
      <c r="BC615" s="377"/>
      <c r="BD615" s="734"/>
      <c r="BE615" s="734"/>
      <c r="BF615" s="734"/>
      <c r="BG615" s="734"/>
      <c r="BH615" s="526"/>
    </row>
    <row r="616" spans="1:60" s="53" customFormat="1" hidden="1" outlineLevel="2" x14ac:dyDescent="0.35">
      <c r="A616" s="612" t="s">
        <v>648</v>
      </c>
      <c r="B616" s="694"/>
      <c r="C616" s="736"/>
      <c r="D616" s="736"/>
      <c r="E616" s="736"/>
      <c r="F616" s="736"/>
      <c r="G616" s="695"/>
      <c r="H616" s="695"/>
      <c r="I616" s="695"/>
      <c r="J616" s="695"/>
      <c r="K616" s="736"/>
      <c r="L616" s="695"/>
      <c r="M616" s="695"/>
      <c r="N616" s="695"/>
      <c r="O616" s="695"/>
      <c r="P616" s="613">
        <v>0.34</v>
      </c>
      <c r="Q616" s="695"/>
      <c r="R616" s="695"/>
      <c r="S616" s="695"/>
      <c r="T616" s="695"/>
      <c r="U616" s="613">
        <v>0.28000000000000003</v>
      </c>
      <c r="V616" s="614">
        <v>0.09</v>
      </c>
      <c r="W616" s="614">
        <v>7.0000000000000007E-2</v>
      </c>
      <c r="X616" s="614">
        <v>0.04</v>
      </c>
      <c r="Y616" s="614">
        <v>0.04</v>
      </c>
      <c r="Z616" s="615">
        <v>0.24</v>
      </c>
      <c r="AA616" s="614">
        <v>0.03</v>
      </c>
      <c r="AB616" s="614">
        <v>0.02</v>
      </c>
      <c r="AC616" s="614">
        <v>0.02</v>
      </c>
      <c r="AD616" s="695"/>
      <c r="AE616" s="615">
        <v>0.08</v>
      </c>
      <c r="AF616" s="695"/>
      <c r="AG616" s="614">
        <v>0.04</v>
      </c>
      <c r="AH616" s="614">
        <v>0.06</v>
      </c>
      <c r="AI616" s="614">
        <v>0.08</v>
      </c>
      <c r="AJ616" s="615">
        <v>0.18</v>
      </c>
      <c r="AK616" s="614">
        <v>0.09</v>
      </c>
      <c r="AL616" s="614">
        <v>7.0000000000000007E-2</v>
      </c>
      <c r="AM616" s="614">
        <v>7.0000000000000007E-2</v>
      </c>
      <c r="AN616" s="614">
        <v>0.03</v>
      </c>
      <c r="AO616" s="615">
        <v>0.22</v>
      </c>
      <c r="AP616" s="614">
        <v>0.03</v>
      </c>
      <c r="AQ616" s="614">
        <v>0.02</v>
      </c>
      <c r="AR616" s="695"/>
      <c r="AS616" s="695"/>
      <c r="AT616" s="615">
        <v>0.04</v>
      </c>
      <c r="AU616" s="872">
        <v>-0.02</v>
      </c>
      <c r="AV616" s="695"/>
      <c r="AW616" s="695"/>
      <c r="AX616" s="695"/>
      <c r="AY616" s="736"/>
      <c r="AZ616" s="695"/>
      <c r="BA616" s="695"/>
      <c r="BB616" s="695"/>
      <c r="BC616" s="695"/>
      <c r="BD616" s="736"/>
      <c r="BE616" s="736"/>
      <c r="BF616" s="736"/>
      <c r="BG616" s="736"/>
      <c r="BH616" s="526"/>
    </row>
    <row r="617" spans="1:60" s="53" customFormat="1" hidden="1" outlineLevel="1" x14ac:dyDescent="0.35">
      <c r="A617" s="524" t="s">
        <v>1015</v>
      </c>
      <c r="B617" s="691"/>
      <c r="C617" s="734"/>
      <c r="D617" s="734"/>
      <c r="E617" s="734"/>
      <c r="F617" s="734"/>
      <c r="G617" s="377"/>
      <c r="H617" s="377"/>
      <c r="I617" s="377"/>
      <c r="J617" s="377"/>
      <c r="K617" s="734"/>
      <c r="L617" s="377"/>
      <c r="M617" s="377"/>
      <c r="N617" s="377"/>
      <c r="O617" s="377"/>
      <c r="P617" s="525">
        <f>SUM(P612:P616)</f>
        <v>0.26</v>
      </c>
      <c r="Q617" s="377"/>
      <c r="R617" s="377"/>
      <c r="S617" s="377"/>
      <c r="T617" s="377"/>
      <c r="U617" s="525">
        <f t="shared" ref="U617:AR617" si="894">SUM(U612:U616)</f>
        <v>0.28000000000000003</v>
      </c>
      <c r="V617" s="624">
        <f t="shared" si="894"/>
        <v>0.14000000000000001</v>
      </c>
      <c r="W617" s="624">
        <f t="shared" si="894"/>
        <v>3.0000000000000006E-2</v>
      </c>
      <c r="X617" s="624">
        <f t="shared" si="894"/>
        <v>0.06</v>
      </c>
      <c r="Y617" s="624">
        <f t="shared" si="894"/>
        <v>0.04</v>
      </c>
      <c r="Z617" s="625">
        <f t="shared" si="894"/>
        <v>0.27999999999999997</v>
      </c>
      <c r="AA617" s="624">
        <f t="shared" si="894"/>
        <v>0.12</v>
      </c>
      <c r="AB617" s="624">
        <f t="shared" si="894"/>
        <v>0.13999999999999999</v>
      </c>
      <c r="AC617" s="624">
        <f t="shared" si="894"/>
        <v>0.03</v>
      </c>
      <c r="AD617" s="624">
        <f t="shared" si="894"/>
        <v>-0.03</v>
      </c>
      <c r="AE617" s="625">
        <f t="shared" si="894"/>
        <v>0.25</v>
      </c>
      <c r="AF617" s="624">
        <f t="shared" si="894"/>
        <v>0.10999999999999999</v>
      </c>
      <c r="AG617" s="624">
        <f t="shared" si="894"/>
        <v>7.0000000000000007E-2</v>
      </c>
      <c r="AH617" s="624">
        <f t="shared" si="894"/>
        <v>0.22999999999999998</v>
      </c>
      <c r="AI617" s="624">
        <f t="shared" si="894"/>
        <v>0.19</v>
      </c>
      <c r="AJ617" s="625">
        <f t="shared" si="894"/>
        <v>0.60999999999999988</v>
      </c>
      <c r="AK617" s="624">
        <f t="shared" si="894"/>
        <v>3.9999999999999994E-2</v>
      </c>
      <c r="AL617" s="624">
        <f t="shared" si="894"/>
        <v>0</v>
      </c>
      <c r="AM617" s="624">
        <f t="shared" si="894"/>
        <v>0.15000000000000002</v>
      </c>
      <c r="AN617" s="624">
        <f t="shared" si="894"/>
        <v>0.08</v>
      </c>
      <c r="AO617" s="625">
        <f t="shared" si="894"/>
        <v>0.22</v>
      </c>
      <c r="AP617" s="624">
        <f t="shared" si="894"/>
        <v>0</v>
      </c>
      <c r="AQ617" s="624">
        <f t="shared" si="894"/>
        <v>0.05</v>
      </c>
      <c r="AR617" s="624">
        <f t="shared" si="894"/>
        <v>-0.08</v>
      </c>
      <c r="AS617" s="624">
        <f>SUM(AS612:AS616)</f>
        <v>0</v>
      </c>
      <c r="AT617" s="625">
        <f>SUM(AT612:AT616)</f>
        <v>1.0000000000000002E-2</v>
      </c>
      <c r="AU617" s="800">
        <f t="shared" ref="AU617" si="895">SUM(AU612:AU616)</f>
        <v>0.15000000000000002</v>
      </c>
      <c r="AV617" s="377"/>
      <c r="AW617" s="377"/>
      <c r="AX617" s="377"/>
      <c r="AY617" s="734"/>
      <c r="AZ617" s="377"/>
      <c r="BA617" s="377"/>
      <c r="BB617" s="377"/>
      <c r="BC617" s="377"/>
      <c r="BD617" s="734"/>
      <c r="BE617" s="734"/>
      <c r="BF617" s="734"/>
      <c r="BG617" s="734"/>
      <c r="BH617" s="526"/>
    </row>
    <row r="618" spans="1:60" s="55" customFormat="1" hidden="1" outlineLevel="1" x14ac:dyDescent="0.35">
      <c r="A618" s="527" t="s">
        <v>1011</v>
      </c>
      <c r="B618" s="692"/>
      <c r="C618" s="735"/>
      <c r="D618" s="735"/>
      <c r="E618" s="735"/>
      <c r="F618" s="735"/>
      <c r="G618" s="693"/>
      <c r="H618" s="693"/>
      <c r="I618" s="693"/>
      <c r="J618" s="693"/>
      <c r="K618" s="735"/>
      <c r="L618" s="693"/>
      <c r="M618" s="693"/>
      <c r="N618" s="693"/>
      <c r="O618" s="693"/>
      <c r="P618" s="528">
        <f>P598+P599+P604+P605+P611+P617</f>
        <v>7.4871280276816599</v>
      </c>
      <c r="Q618" s="693"/>
      <c r="R618" s="693"/>
      <c r="S618" s="693"/>
      <c r="T618" s="693"/>
      <c r="U618" s="528">
        <f t="shared" ref="U618:AR618" si="896">U598+U599+U604+U605+U611+U617</f>
        <v>7.5764048338368593</v>
      </c>
      <c r="V618" s="529">
        <f t="shared" si="896"/>
        <v>2.0468884781269252</v>
      </c>
      <c r="W618" s="529">
        <f t="shared" si="896"/>
        <v>2.0817729393468114</v>
      </c>
      <c r="X618" s="529">
        <f t="shared" si="896"/>
        <v>2.153231939163498</v>
      </c>
      <c r="Y618" s="529">
        <f t="shared" si="896"/>
        <v>1.8797377678285898</v>
      </c>
      <c r="Z618" s="528">
        <f t="shared" si="896"/>
        <v>8.1647457627118634</v>
      </c>
      <c r="AA618" s="529">
        <f t="shared" si="896"/>
        <v>2.1621487204249159</v>
      </c>
      <c r="AB618" s="529">
        <f t="shared" si="896"/>
        <v>2.5792398131744245</v>
      </c>
      <c r="AC618" s="529">
        <f t="shared" si="896"/>
        <v>2.3277052359405301</v>
      </c>
      <c r="AD618" s="529">
        <f t="shared" si="896"/>
        <v>2.1017204301075272</v>
      </c>
      <c r="AE618" s="528">
        <f t="shared" si="896"/>
        <v>9.172275739453692</v>
      </c>
      <c r="AF618" s="529">
        <f t="shared" si="896"/>
        <v>2.5017647058823522</v>
      </c>
      <c r="AG618" s="529">
        <f t="shared" si="896"/>
        <v>3.07322454308094</v>
      </c>
      <c r="AH618" s="529">
        <f t="shared" si="896"/>
        <v>2.5822996572547736</v>
      </c>
      <c r="AI618" s="529">
        <f t="shared" si="896"/>
        <v>2.3126247147049237</v>
      </c>
      <c r="AJ618" s="528">
        <f t="shared" si="896"/>
        <v>10.458839562591805</v>
      </c>
      <c r="AK618" s="529">
        <f t="shared" si="896"/>
        <v>2.2325363146727599</v>
      </c>
      <c r="AL618" s="529">
        <f t="shared" si="896"/>
        <v>2.2034856007944388</v>
      </c>
      <c r="AM618" s="529">
        <f t="shared" si="896"/>
        <v>2.7185427807486628</v>
      </c>
      <c r="AN618" s="529">
        <f t="shared" si="896"/>
        <v>1.953034087073912</v>
      </c>
      <c r="AO618" s="528">
        <f t="shared" si="896"/>
        <v>9.0953820598006629</v>
      </c>
      <c r="AP618" s="529">
        <f t="shared" si="896"/>
        <v>2.1640186915887853</v>
      </c>
      <c r="AQ618" s="529">
        <f t="shared" si="896"/>
        <v>1.7828800545981913</v>
      </c>
      <c r="AR618" s="529">
        <f t="shared" si="896"/>
        <v>2.4252658662092621</v>
      </c>
      <c r="AS618" s="529">
        <f>AS598+AS599+AS604+AS605+AS611+AS617</f>
        <v>2.3829483439162518</v>
      </c>
      <c r="AT618" s="528">
        <f>AT598+AT599+AT604+AT605+AT611+AT617</f>
        <v>8.7406306614253957</v>
      </c>
      <c r="AU618" s="799">
        <f t="shared" ref="AU618" si="897">AU598+AU599+AU604+AU605+AU611+AU617</f>
        <v>2.77</v>
      </c>
      <c r="AV618" s="693"/>
      <c r="AW618" s="693"/>
      <c r="AX618" s="693"/>
      <c r="AY618" s="735"/>
      <c r="AZ618" s="693"/>
      <c r="BA618" s="693"/>
      <c r="BB618" s="693"/>
      <c r="BC618" s="693"/>
      <c r="BD618" s="735"/>
      <c r="BE618" s="735"/>
      <c r="BF618" s="735"/>
      <c r="BG618" s="735"/>
      <c r="BH618" s="130"/>
    </row>
    <row r="619" spans="1:60" s="53" customFormat="1" hidden="1" outlineLevel="1" x14ac:dyDescent="0.35">
      <c r="A619" s="524" t="s">
        <v>633</v>
      </c>
      <c r="B619" s="691"/>
      <c r="C619" s="734"/>
      <c r="D619" s="734"/>
      <c r="E619" s="734"/>
      <c r="F619" s="734"/>
      <c r="G619" s="377"/>
      <c r="H619" s="377"/>
      <c r="I619" s="377"/>
      <c r="J619" s="377"/>
      <c r="K619" s="734"/>
      <c r="L619" s="377"/>
      <c r="M619" s="377"/>
      <c r="N619" s="377"/>
      <c r="O619" s="377"/>
      <c r="P619" s="734"/>
      <c r="Q619" s="377"/>
      <c r="R619" s="377"/>
      <c r="S619" s="377"/>
      <c r="T619" s="377"/>
      <c r="U619" s="734"/>
      <c r="V619" s="377"/>
      <c r="W619" s="377"/>
      <c r="X619" s="377"/>
      <c r="Y619" s="377"/>
      <c r="Z619" s="734"/>
      <c r="AA619" s="377"/>
      <c r="AB619" s="377"/>
      <c r="AC619" s="377"/>
      <c r="AD619" s="377"/>
      <c r="AE619" s="734"/>
      <c r="AF619" s="377"/>
      <c r="AG619" s="377"/>
      <c r="AH619" s="377"/>
      <c r="AI619" s="377"/>
      <c r="AJ619" s="734"/>
      <c r="AK619" s="624">
        <v>0.72</v>
      </c>
      <c r="AL619" s="377"/>
      <c r="AM619" s="377"/>
      <c r="AN619" s="624">
        <v>0.28999999999999998</v>
      </c>
      <c r="AO619" s="625">
        <v>1.01</v>
      </c>
      <c r="AP619" s="624">
        <v>-0.06</v>
      </c>
      <c r="AQ619" s="377"/>
      <c r="AR619" s="377"/>
      <c r="AS619" s="377"/>
      <c r="AT619" s="625">
        <v>-7.0000000000000007E-2</v>
      </c>
      <c r="AU619" s="798"/>
      <c r="AV619" s="377"/>
      <c r="AW619" s="377"/>
      <c r="AX619" s="377"/>
      <c r="AY619" s="734"/>
      <c r="AZ619" s="377"/>
      <c r="BA619" s="377"/>
      <c r="BB619" s="377"/>
      <c r="BC619" s="377"/>
      <c r="BD619" s="734"/>
      <c r="BE619" s="734"/>
      <c r="BF619" s="734"/>
      <c r="BG619" s="734"/>
      <c r="BH619" s="526"/>
    </row>
    <row r="620" spans="1:60" s="53" customFormat="1" hidden="1" outlineLevel="1" x14ac:dyDescent="0.35">
      <c r="A620" s="524" t="s">
        <v>634</v>
      </c>
      <c r="B620" s="691"/>
      <c r="C620" s="734"/>
      <c r="D620" s="734"/>
      <c r="E620" s="734"/>
      <c r="F620" s="734"/>
      <c r="G620" s="377"/>
      <c r="H620" s="377"/>
      <c r="I620" s="377"/>
      <c r="J620" s="377"/>
      <c r="K620" s="734"/>
      <c r="L620" s="377"/>
      <c r="M620" s="377"/>
      <c r="N620" s="377"/>
      <c r="O620" s="377"/>
      <c r="P620" s="734"/>
      <c r="Q620" s="377"/>
      <c r="R620" s="377"/>
      <c r="S620" s="377"/>
      <c r="T620" s="377"/>
      <c r="U620" s="734"/>
      <c r="V620" s="377"/>
      <c r="W620" s="377"/>
      <c r="X620" s="377"/>
      <c r="Y620" s="377"/>
      <c r="Z620" s="734"/>
      <c r="AA620" s="377"/>
      <c r="AB620" s="377"/>
      <c r="AC620" s="377"/>
      <c r="AD620" s="624">
        <v>1.25</v>
      </c>
      <c r="AE620" s="625">
        <v>1.24</v>
      </c>
      <c r="AF620" s="624">
        <v>0.36</v>
      </c>
      <c r="AG620" s="377"/>
      <c r="AH620" s="377"/>
      <c r="AI620" s="624">
        <v>-7.0000000000000007E-2</v>
      </c>
      <c r="AJ620" s="625">
        <v>0.28999999999999998</v>
      </c>
      <c r="AK620" s="377"/>
      <c r="AL620" s="377"/>
      <c r="AM620" s="377"/>
      <c r="AN620" s="377"/>
      <c r="AO620" s="734"/>
      <c r="AP620" s="377"/>
      <c r="AQ620" s="377"/>
      <c r="AR620" s="377"/>
      <c r="AS620" s="377"/>
      <c r="AT620" s="734"/>
      <c r="AU620" s="798"/>
      <c r="AV620" s="377"/>
      <c r="AW620" s="377"/>
      <c r="AX620" s="377"/>
      <c r="AY620" s="734"/>
      <c r="AZ620" s="377"/>
      <c r="BA620" s="377"/>
      <c r="BB620" s="377"/>
      <c r="BC620" s="377"/>
      <c r="BD620" s="734"/>
      <c r="BE620" s="734"/>
      <c r="BF620" s="734"/>
      <c r="BG620" s="734"/>
      <c r="BH620" s="526"/>
    </row>
    <row r="621" spans="1:60" s="53" customFormat="1" hidden="1" outlineLevel="1" x14ac:dyDescent="0.35">
      <c r="A621" s="524" t="s">
        <v>649</v>
      </c>
      <c r="B621" s="691"/>
      <c r="C621" s="734"/>
      <c r="D621" s="734"/>
      <c r="E621" s="734"/>
      <c r="F621" s="734"/>
      <c r="G621" s="377"/>
      <c r="H621" s="377"/>
      <c r="I621" s="377"/>
      <c r="J621" s="377"/>
      <c r="K621" s="734"/>
      <c r="L621" s="377"/>
      <c r="M621" s="377"/>
      <c r="N621" s="377"/>
      <c r="O621" s="377"/>
      <c r="P621" s="734"/>
      <c r="Q621" s="377"/>
      <c r="R621" s="377"/>
      <c r="S621" s="377"/>
      <c r="T621" s="377"/>
      <c r="U621" s="734"/>
      <c r="V621" s="377"/>
      <c r="W621" s="377"/>
      <c r="X621" s="377"/>
      <c r="Y621" s="377"/>
      <c r="Z621" s="734"/>
      <c r="AA621" s="377"/>
      <c r="AB621" s="377"/>
      <c r="AC621" s="377"/>
      <c r="AD621" s="377"/>
      <c r="AE621" s="734"/>
      <c r="AF621" s="624">
        <v>1.1599999999999999</v>
      </c>
      <c r="AG621" s="377"/>
      <c r="AH621" s="377"/>
      <c r="AI621" s="624">
        <v>0.11</v>
      </c>
      <c r="AJ621" s="625">
        <v>1.28</v>
      </c>
      <c r="AK621" s="377"/>
      <c r="AL621" s="377"/>
      <c r="AM621" s="377"/>
      <c r="AN621" s="377"/>
      <c r="AO621" s="734"/>
      <c r="AP621" s="377"/>
      <c r="AQ621" s="377"/>
      <c r="AR621" s="377"/>
      <c r="AS621" s="377"/>
      <c r="AT621" s="734"/>
      <c r="AU621" s="798"/>
      <c r="AV621" s="377"/>
      <c r="AW621" s="377"/>
      <c r="AX621" s="377"/>
      <c r="AY621" s="734"/>
      <c r="AZ621" s="377"/>
      <c r="BA621" s="377"/>
      <c r="BB621" s="377"/>
      <c r="BC621" s="377"/>
      <c r="BD621" s="734"/>
      <c r="BE621" s="734"/>
      <c r="BF621" s="734"/>
      <c r="BG621" s="734"/>
      <c r="BH621" s="526"/>
    </row>
    <row r="622" spans="1:60" s="53" customFormat="1" hidden="1" outlineLevel="1" x14ac:dyDescent="0.35">
      <c r="A622" s="524" t="s">
        <v>777</v>
      </c>
      <c r="B622" s="691"/>
      <c r="C622" s="734"/>
      <c r="D622" s="734"/>
      <c r="E622" s="734"/>
      <c r="F622" s="734"/>
      <c r="G622" s="377"/>
      <c r="H622" s="377"/>
      <c r="I622" s="377"/>
      <c r="J622" s="377"/>
      <c r="K622" s="734"/>
      <c r="L622" s="377"/>
      <c r="M622" s="377"/>
      <c r="N622" s="377"/>
      <c r="O622" s="377"/>
      <c r="P622" s="734"/>
      <c r="Q622" s="377"/>
      <c r="R622" s="377"/>
      <c r="S622" s="377"/>
      <c r="T622" s="377"/>
      <c r="U622" s="734"/>
      <c r="V622" s="377"/>
      <c r="W622" s="377"/>
      <c r="X622" s="377"/>
      <c r="Y622" s="377"/>
      <c r="Z622" s="734"/>
      <c r="AA622" s="377"/>
      <c r="AB622" s="377"/>
      <c r="AC622" s="377"/>
      <c r="AD622" s="377"/>
      <c r="AE622" s="734"/>
      <c r="AF622" s="377"/>
      <c r="AG622" s="377"/>
      <c r="AH622" s="377"/>
      <c r="AI622" s="377"/>
      <c r="AJ622" s="734"/>
      <c r="AK622" s="377"/>
      <c r="AL622" s="377"/>
      <c r="AM622" s="377"/>
      <c r="AN622" s="377"/>
      <c r="AO622" s="734"/>
      <c r="AP622" s="377"/>
      <c r="AQ622" s="624">
        <v>-0.52</v>
      </c>
      <c r="AR622" s="377"/>
      <c r="AS622" s="377"/>
      <c r="AT622" s="625">
        <v>-0.52</v>
      </c>
      <c r="AU622" s="798"/>
      <c r="AV622" s="377"/>
      <c r="AW622" s="377"/>
      <c r="AX622" s="377"/>
      <c r="AY622" s="734"/>
      <c r="AZ622" s="377"/>
      <c r="BA622" s="377"/>
      <c r="BB622" s="377"/>
      <c r="BC622" s="377"/>
      <c r="BD622" s="734"/>
      <c r="BE622" s="734"/>
      <c r="BF622" s="734"/>
      <c r="BG622" s="734"/>
      <c r="BH622" s="526"/>
    </row>
    <row r="623" spans="1:60" s="53" customFormat="1" hidden="1" outlineLevel="1" x14ac:dyDescent="0.35">
      <c r="A623" s="524" t="s">
        <v>807</v>
      </c>
      <c r="B623" s="691"/>
      <c r="C623" s="734"/>
      <c r="D623" s="734"/>
      <c r="E623" s="734"/>
      <c r="F623" s="734"/>
      <c r="G623" s="377"/>
      <c r="H623" s="377"/>
      <c r="I623" s="377"/>
      <c r="J623" s="377"/>
      <c r="K623" s="734"/>
      <c r="L623" s="377"/>
      <c r="M623" s="377"/>
      <c r="N623" s="377"/>
      <c r="O623" s="377"/>
      <c r="P623" s="734"/>
      <c r="Q623" s="377"/>
      <c r="R623" s="377"/>
      <c r="S623" s="377"/>
      <c r="T623" s="377"/>
      <c r="U623" s="734"/>
      <c r="V623" s="377"/>
      <c r="W623" s="377"/>
      <c r="X623" s="377"/>
      <c r="Y623" s="377"/>
      <c r="Z623" s="734"/>
      <c r="AA623" s="377"/>
      <c r="AB623" s="377"/>
      <c r="AC623" s="377"/>
      <c r="AD623" s="377"/>
      <c r="AE623" s="734"/>
      <c r="AF623" s="377"/>
      <c r="AG623" s="377"/>
      <c r="AH623" s="377"/>
      <c r="AI623" s="377"/>
      <c r="AJ623" s="734"/>
      <c r="AK623" s="377"/>
      <c r="AL623" s="377"/>
      <c r="AM623" s="377"/>
      <c r="AN623" s="377"/>
      <c r="AO623" s="734"/>
      <c r="AP623" s="377"/>
      <c r="AQ623" s="377"/>
      <c r="AR623" s="377"/>
      <c r="AS623" s="377"/>
      <c r="AT623" s="734"/>
      <c r="AU623" s="798"/>
      <c r="AV623" s="377"/>
      <c r="AW623" s="377"/>
      <c r="AX623" s="377"/>
      <c r="AY623" s="734"/>
      <c r="AZ623" s="377"/>
      <c r="BA623" s="377"/>
      <c r="BB623" s="377"/>
      <c r="BC623" s="377"/>
      <c r="BD623" s="734"/>
      <c r="BE623" s="734"/>
      <c r="BF623" s="734"/>
      <c r="BG623" s="734"/>
      <c r="BH623" s="526"/>
    </row>
    <row r="624" spans="1:60" s="53" customFormat="1" hidden="1" outlineLevel="1" x14ac:dyDescent="0.35">
      <c r="A624" s="524" t="s">
        <v>776</v>
      </c>
      <c r="B624" s="691"/>
      <c r="C624" s="734"/>
      <c r="D624" s="734"/>
      <c r="E624" s="734"/>
      <c r="F624" s="734"/>
      <c r="G624" s="377"/>
      <c r="H624" s="377"/>
      <c r="I624" s="377"/>
      <c r="J624" s="377"/>
      <c r="K624" s="734"/>
      <c r="L624" s="377"/>
      <c r="M624" s="377"/>
      <c r="N624" s="377"/>
      <c r="O624" s="377"/>
      <c r="P624" s="734"/>
      <c r="Q624" s="377"/>
      <c r="R624" s="377"/>
      <c r="S624" s="377"/>
      <c r="T624" s="377"/>
      <c r="U624" s="734"/>
      <c r="V624" s="377"/>
      <c r="W624" s="377"/>
      <c r="X624" s="377"/>
      <c r="Y624" s="377"/>
      <c r="Z624" s="734"/>
      <c r="AA624" s="377"/>
      <c r="AB624" s="377"/>
      <c r="AC624" s="377"/>
      <c r="AD624" s="377"/>
      <c r="AE624" s="734"/>
      <c r="AF624" s="377"/>
      <c r="AG624" s="377"/>
      <c r="AH624" s="377"/>
      <c r="AI624" s="377"/>
      <c r="AJ624" s="734"/>
      <c r="AK624" s="377"/>
      <c r="AL624" s="377"/>
      <c r="AM624" s="377"/>
      <c r="AN624" s="377"/>
      <c r="AO624" s="734"/>
      <c r="AP624" s="377"/>
      <c r="AQ624" s="624">
        <v>0.08</v>
      </c>
      <c r="AR624" s="377"/>
      <c r="AS624" s="377"/>
      <c r="AT624" s="625">
        <v>0.08</v>
      </c>
      <c r="AU624" s="798"/>
      <c r="AV624" s="377"/>
      <c r="AW624" s="377"/>
      <c r="AX624" s="377"/>
      <c r="AY624" s="734"/>
      <c r="AZ624" s="377"/>
      <c r="BA624" s="377"/>
      <c r="BB624" s="377"/>
      <c r="BC624" s="377"/>
      <c r="BD624" s="734"/>
      <c r="BE624" s="734"/>
      <c r="BF624" s="734"/>
      <c r="BG624" s="734"/>
      <c r="BH624" s="526"/>
    </row>
    <row r="625" spans="1:60" s="53" customFormat="1" hidden="1" outlineLevel="1" x14ac:dyDescent="0.35">
      <c r="A625" s="524" t="s">
        <v>650</v>
      </c>
      <c r="B625" s="691"/>
      <c r="C625" s="734"/>
      <c r="D625" s="734"/>
      <c r="E625" s="734"/>
      <c r="F625" s="734"/>
      <c r="G625" s="377"/>
      <c r="H625" s="377"/>
      <c r="I625" s="377"/>
      <c r="J625" s="377"/>
      <c r="K625" s="734"/>
      <c r="L625" s="377"/>
      <c r="M625" s="377"/>
      <c r="N625" s="377"/>
      <c r="O625" s="377"/>
      <c r="P625" s="734"/>
      <c r="Q625" s="377"/>
      <c r="R625" s="377"/>
      <c r="S625" s="377"/>
      <c r="T625" s="377"/>
      <c r="U625" s="734"/>
      <c r="V625" s="377"/>
      <c r="W625" s="377"/>
      <c r="X625" s="377"/>
      <c r="Y625" s="377"/>
      <c r="Z625" s="734"/>
      <c r="AA625" s="377"/>
      <c r="AB625" s="377"/>
      <c r="AC625" s="377"/>
      <c r="AD625" s="377"/>
      <c r="AE625" s="734"/>
      <c r="AF625" s="377"/>
      <c r="AG625" s="377"/>
      <c r="AH625" s="377"/>
      <c r="AI625" s="377"/>
      <c r="AJ625" s="734"/>
      <c r="AK625" s="377"/>
      <c r="AL625" s="624">
        <v>0.28000000000000003</v>
      </c>
      <c r="AM625" s="377"/>
      <c r="AN625" s="377"/>
      <c r="AO625" s="625">
        <v>0.28000000000000003</v>
      </c>
      <c r="AP625" s="377"/>
      <c r="AQ625" s="377"/>
      <c r="AR625" s="377"/>
      <c r="AS625" s="377"/>
      <c r="AT625" s="734"/>
      <c r="AU625" s="798"/>
      <c r="AV625" s="377"/>
      <c r="AW625" s="377"/>
      <c r="AX625" s="377"/>
      <c r="AY625" s="734"/>
      <c r="AZ625" s="377"/>
      <c r="BA625" s="377"/>
      <c r="BB625" s="377"/>
      <c r="BC625" s="377"/>
      <c r="BD625" s="734"/>
      <c r="BE625" s="734"/>
      <c r="BF625" s="734"/>
      <c r="BG625" s="734"/>
      <c r="BH625" s="526"/>
    </row>
    <row r="626" spans="1:60" s="55" customFormat="1" hidden="1" outlineLevel="1" x14ac:dyDescent="0.35">
      <c r="A626" s="527" t="s">
        <v>651</v>
      </c>
      <c r="B626" s="692"/>
      <c r="C626" s="735"/>
      <c r="D626" s="735"/>
      <c r="E626" s="735"/>
      <c r="F626" s="735"/>
      <c r="G626" s="693"/>
      <c r="H626" s="693"/>
      <c r="I626" s="693"/>
      <c r="J626" s="693"/>
      <c r="K626" s="735"/>
      <c r="L626" s="693"/>
      <c r="M626" s="693"/>
      <c r="N626" s="693"/>
      <c r="O626" s="693"/>
      <c r="P626" s="528">
        <f>P618-SUM(P619:P625)</f>
        <v>7.4871280276816599</v>
      </c>
      <c r="Q626" s="693"/>
      <c r="R626" s="693"/>
      <c r="S626" s="693"/>
      <c r="T626" s="693"/>
      <c r="U626" s="528">
        <f>U618-SUM(U619:U625)</f>
        <v>7.5764048338368593</v>
      </c>
      <c r="V626" s="529">
        <f>V618-SUM(V619:V625)</f>
        <v>2.0468884781269252</v>
      </c>
      <c r="W626" s="529">
        <f>W618-SUM(W619:W625)</f>
        <v>2.0817729393468114</v>
      </c>
      <c r="X626" s="529">
        <f>X618-SUM(X619:X625)</f>
        <v>2.153231939163498</v>
      </c>
      <c r="Y626" s="529">
        <f>Y618-SUM(Y619:Y625)</f>
        <v>1.8797377678285898</v>
      </c>
      <c r="Z626" s="528">
        <f t="shared" ref="Z626:AT626" si="898">Z618-SUM(Z619:Z625)</f>
        <v>8.1647457627118634</v>
      </c>
      <c r="AA626" s="529">
        <f t="shared" si="898"/>
        <v>2.1621487204249159</v>
      </c>
      <c r="AB626" s="529">
        <f t="shared" si="898"/>
        <v>2.5792398131744245</v>
      </c>
      <c r="AC626" s="529">
        <f t="shared" si="898"/>
        <v>2.3277052359405301</v>
      </c>
      <c r="AD626" s="529">
        <f t="shared" si="898"/>
        <v>0.85172043010752718</v>
      </c>
      <c r="AE626" s="528">
        <f t="shared" si="898"/>
        <v>7.9322757394536918</v>
      </c>
      <c r="AF626" s="529">
        <f t="shared" si="898"/>
        <v>0.98176470588235221</v>
      </c>
      <c r="AG626" s="529">
        <f t="shared" si="898"/>
        <v>3.07322454308094</v>
      </c>
      <c r="AH626" s="529">
        <f t="shared" si="898"/>
        <v>2.5822996572547736</v>
      </c>
      <c r="AI626" s="529">
        <f t="shared" si="898"/>
        <v>2.2726247147049237</v>
      </c>
      <c r="AJ626" s="528">
        <f t="shared" si="898"/>
        <v>8.8888395625918051</v>
      </c>
      <c r="AK626" s="529">
        <f t="shared" si="898"/>
        <v>1.51253631467276</v>
      </c>
      <c r="AL626" s="529">
        <f t="shared" si="898"/>
        <v>1.9234856007944388</v>
      </c>
      <c r="AM626" s="529">
        <f t="shared" si="898"/>
        <v>2.7185427807486628</v>
      </c>
      <c r="AN626" s="529">
        <f t="shared" si="898"/>
        <v>1.663034087073912</v>
      </c>
      <c r="AO626" s="528">
        <f t="shared" si="898"/>
        <v>7.8053820598006629</v>
      </c>
      <c r="AP626" s="529">
        <f t="shared" si="898"/>
        <v>2.2240186915887854</v>
      </c>
      <c r="AQ626" s="529">
        <f t="shared" si="898"/>
        <v>2.2228800545981913</v>
      </c>
      <c r="AR626" s="529">
        <f t="shared" si="898"/>
        <v>2.4252658662092621</v>
      </c>
      <c r="AS626" s="529">
        <f t="shared" si="898"/>
        <v>2.3829483439162518</v>
      </c>
      <c r="AT626" s="528">
        <f t="shared" si="898"/>
        <v>9.2506306614253955</v>
      </c>
      <c r="AU626" s="799">
        <f t="shared" ref="AU626" si="899">AU618-SUM(AU619:AU625)</f>
        <v>2.77</v>
      </c>
      <c r="AV626" s="693"/>
      <c r="AW626" s="693"/>
      <c r="AX626" s="693"/>
      <c r="AY626" s="735"/>
      <c r="AZ626" s="693"/>
      <c r="BA626" s="693"/>
      <c r="BB626" s="693"/>
      <c r="BC626" s="693"/>
      <c r="BD626" s="735"/>
      <c r="BE626" s="735"/>
      <c r="BF626" s="735"/>
      <c r="BG626" s="735"/>
      <c r="BH626" s="130"/>
    </row>
    <row r="627" spans="1:60" s="55" customFormat="1" collapsed="1" x14ac:dyDescent="0.35">
      <c r="A627" s="696"/>
      <c r="B627" s="690"/>
      <c r="C627" s="117"/>
      <c r="D627" s="117"/>
      <c r="E627" s="117"/>
      <c r="F627" s="117"/>
      <c r="G627" s="245"/>
      <c r="H627" s="245"/>
      <c r="I627" s="245"/>
      <c r="J627" s="245"/>
      <c r="K627" s="117"/>
      <c r="L627" s="245"/>
      <c r="M627" s="245"/>
      <c r="N627" s="245"/>
      <c r="O627" s="245"/>
      <c r="P627" s="117"/>
      <c r="Q627" s="245"/>
      <c r="R627" s="245"/>
      <c r="S627" s="245"/>
      <c r="T627" s="245"/>
      <c r="U627" s="117"/>
      <c r="V627" s="245"/>
      <c r="W627" s="245"/>
      <c r="X627" s="245"/>
      <c r="Y627" s="245"/>
      <c r="Z627" s="117"/>
      <c r="AA627" s="245"/>
      <c r="AB627" s="245"/>
      <c r="AC627" s="245"/>
      <c r="AD627" s="245"/>
      <c r="AE627" s="117"/>
      <c r="AF627" s="245"/>
      <c r="AG627" s="245"/>
      <c r="AH627" s="245"/>
      <c r="AI627" s="245"/>
      <c r="AJ627" s="117"/>
      <c r="AK627" s="245"/>
      <c r="AL627" s="245"/>
      <c r="AM627" s="245"/>
      <c r="AN627" s="245"/>
      <c r="AO627" s="117"/>
      <c r="AP627" s="245"/>
      <c r="AQ627" s="245"/>
      <c r="AR627" s="245"/>
      <c r="AS627" s="245"/>
      <c r="AT627" s="117"/>
      <c r="AU627" s="802"/>
      <c r="AV627" s="245"/>
      <c r="AW627" s="245"/>
      <c r="AX627" s="245"/>
      <c r="AY627" s="117"/>
      <c r="AZ627" s="245"/>
      <c r="BA627" s="245"/>
      <c r="BB627" s="245"/>
      <c r="BC627" s="245"/>
      <c r="BD627" s="117"/>
      <c r="BE627" s="117"/>
      <c r="BF627" s="117"/>
      <c r="BG627" s="117"/>
      <c r="BH627" s="130"/>
    </row>
    <row r="628" spans="1:60" s="55" customFormat="1" x14ac:dyDescent="0.35">
      <c r="A628" s="746" t="s">
        <v>921</v>
      </c>
      <c r="B628" s="746"/>
      <c r="C628" s="874"/>
      <c r="D628" s="874"/>
      <c r="E628" s="874"/>
      <c r="F628" s="874"/>
      <c r="G628" s="874"/>
      <c r="H628" s="874"/>
      <c r="I628" s="874"/>
      <c r="J628" s="874"/>
      <c r="K628" s="874"/>
      <c r="L628" s="874"/>
      <c r="M628" s="874"/>
      <c r="N628" s="874"/>
      <c r="O628" s="874"/>
      <c r="P628" s="874"/>
      <c r="Q628" s="874"/>
      <c r="R628" s="874"/>
      <c r="S628" s="874"/>
      <c r="T628" s="874"/>
      <c r="U628" s="874"/>
      <c r="V628" s="874"/>
      <c r="W628" s="874"/>
      <c r="X628" s="874"/>
      <c r="Y628" s="874"/>
      <c r="Z628" s="874"/>
      <c r="AA628" s="874"/>
      <c r="AB628" s="874"/>
      <c r="AC628" s="874"/>
      <c r="AD628" s="874"/>
      <c r="AE628" s="874"/>
      <c r="AF628" s="874"/>
      <c r="AG628" s="874"/>
      <c r="AH628" s="874"/>
      <c r="AI628" s="874"/>
      <c r="AJ628" s="874"/>
      <c r="AK628" s="874"/>
      <c r="AL628" s="874"/>
      <c r="AM628" s="874"/>
      <c r="AN628" s="874"/>
      <c r="AO628" s="874"/>
      <c r="AP628" s="874"/>
      <c r="AQ628" s="874"/>
      <c r="AR628" s="874"/>
      <c r="AS628" s="874"/>
      <c r="AT628" s="874"/>
      <c r="AU628" s="875"/>
      <c r="AV628" s="874"/>
      <c r="AW628" s="874"/>
      <c r="AX628" s="874"/>
      <c r="AY628" s="874"/>
      <c r="AZ628" s="874"/>
      <c r="BA628" s="874"/>
      <c r="BB628" s="874"/>
      <c r="BC628" s="874"/>
      <c r="BD628" s="874"/>
      <c r="BE628" s="874"/>
      <c r="BF628" s="874"/>
      <c r="BG628" s="874"/>
      <c r="BH628" s="130"/>
    </row>
    <row r="629" spans="1:60" s="69" customFormat="1" hidden="1" outlineLevel="1" x14ac:dyDescent="0.35">
      <c r="A629" s="90" t="s">
        <v>917</v>
      </c>
      <c r="B629" s="427"/>
      <c r="C629" s="70">
        <f t="shared" ref="C629:AN629" si="900">C966</f>
        <v>4941</v>
      </c>
      <c r="D629" s="70">
        <f t="shared" si="900"/>
        <v>5174</v>
      </c>
      <c r="E629" s="70">
        <f t="shared" si="900"/>
        <v>5284</v>
      </c>
      <c r="F629" s="70">
        <f t="shared" si="900"/>
        <v>5300</v>
      </c>
      <c r="G629" s="79">
        <f t="shared" si="900"/>
        <v>994</v>
      </c>
      <c r="H629" s="79">
        <f t="shared" si="900"/>
        <v>1679</v>
      </c>
      <c r="I629" s="79">
        <f t="shared" si="900"/>
        <v>1151</v>
      </c>
      <c r="J629" s="79">
        <f t="shared" si="900"/>
        <v>1993</v>
      </c>
      <c r="K629" s="70">
        <f t="shared" si="900"/>
        <v>5817</v>
      </c>
      <c r="L629" s="79">
        <f t="shared" si="900"/>
        <v>1092</v>
      </c>
      <c r="M629" s="79">
        <f t="shared" si="900"/>
        <v>1640</v>
      </c>
      <c r="N629" s="79">
        <f t="shared" si="900"/>
        <v>1711</v>
      </c>
      <c r="O629" s="79">
        <f t="shared" si="900"/>
        <v>2183</v>
      </c>
      <c r="P629" s="70">
        <f t="shared" si="900"/>
        <v>6626</v>
      </c>
      <c r="Q629" s="79">
        <f t="shared" si="900"/>
        <v>1080</v>
      </c>
      <c r="R629" s="79">
        <f t="shared" si="900"/>
        <v>1338</v>
      </c>
      <c r="S629" s="79">
        <f t="shared" si="900"/>
        <v>1664</v>
      </c>
      <c r="T629" s="79">
        <f t="shared" si="900"/>
        <v>2338</v>
      </c>
      <c r="U629" s="70">
        <f t="shared" si="900"/>
        <v>6420</v>
      </c>
      <c r="V629" s="79">
        <f t="shared" si="900"/>
        <v>1260</v>
      </c>
      <c r="W629" s="79">
        <f t="shared" si="900"/>
        <v>1285</v>
      </c>
      <c r="X629" s="79">
        <f t="shared" si="900"/>
        <v>1908</v>
      </c>
      <c r="Y629" s="79">
        <f t="shared" si="900"/>
        <v>2209</v>
      </c>
      <c r="Z629" s="70">
        <f t="shared" si="900"/>
        <v>6662</v>
      </c>
      <c r="AA629" s="79">
        <f t="shared" si="900"/>
        <v>988</v>
      </c>
      <c r="AB629" s="79">
        <f t="shared" si="900"/>
        <v>1642</v>
      </c>
      <c r="AC629" s="79">
        <f t="shared" si="900"/>
        <v>1750</v>
      </c>
      <c r="AD629" s="79">
        <f t="shared" si="900"/>
        <v>1860</v>
      </c>
      <c r="AE629" s="70">
        <f t="shared" si="900"/>
        <v>6240</v>
      </c>
      <c r="AF629" s="79">
        <f t="shared" si="900"/>
        <v>143</v>
      </c>
      <c r="AG629" s="79">
        <f t="shared" si="900"/>
        <v>1899</v>
      </c>
      <c r="AH629" s="79">
        <f t="shared" si="900"/>
        <v>2139</v>
      </c>
      <c r="AI629" s="79">
        <f t="shared" si="900"/>
        <v>2258</v>
      </c>
      <c r="AJ629" s="70">
        <f t="shared" si="900"/>
        <v>6439</v>
      </c>
      <c r="AK629" s="79">
        <f t="shared" si="900"/>
        <v>1048</v>
      </c>
      <c r="AL629" s="79">
        <f t="shared" si="900"/>
        <v>1662</v>
      </c>
      <c r="AM629" s="79">
        <f t="shared" si="900"/>
        <v>2022</v>
      </c>
      <c r="AN629" s="79">
        <f t="shared" si="900"/>
        <v>2338</v>
      </c>
      <c r="AO629" s="70">
        <f>AO966</f>
        <v>7070</v>
      </c>
      <c r="AP629" s="79">
        <f t="shared" ref="AP629:AR629" si="901">AP966</f>
        <v>1213</v>
      </c>
      <c r="AQ629" s="79">
        <f t="shared" si="901"/>
        <v>1905</v>
      </c>
      <c r="AR629" s="79">
        <f t="shared" si="901"/>
        <v>2480</v>
      </c>
      <c r="AS629" s="79">
        <f>AS966</f>
        <v>2515</v>
      </c>
      <c r="AT629" s="70">
        <f>AT966</f>
        <v>8113</v>
      </c>
      <c r="AU629" s="803">
        <f t="shared" ref="AU629" si="902">AU966</f>
        <v>1688</v>
      </c>
      <c r="AV629" s="79">
        <f t="shared" ref="AV629:BG629" si="903">AV966</f>
        <v>1186.109731361604</v>
      </c>
      <c r="AW629" s="79">
        <f t="shared" si="903"/>
        <v>2344.9734734802796</v>
      </c>
      <c r="AX629" s="79">
        <f t="shared" si="903"/>
        <v>2148.4196673371798</v>
      </c>
      <c r="AY629" s="70">
        <f t="shared" si="903"/>
        <v>7367.5028721790632</v>
      </c>
      <c r="AZ629" s="79">
        <f t="shared" si="903"/>
        <v>2073.8618709194066</v>
      </c>
      <c r="BA629" s="79">
        <f t="shared" si="903"/>
        <v>1387.5211794349166</v>
      </c>
      <c r="BB629" s="79">
        <f t="shared" si="903"/>
        <v>2396.9960776884459</v>
      </c>
      <c r="BC629" s="79">
        <f t="shared" si="903"/>
        <v>2281.2835106878711</v>
      </c>
      <c r="BD629" s="70">
        <f t="shared" si="903"/>
        <v>8139.6626387306387</v>
      </c>
      <c r="BE629" s="70">
        <f t="shared" si="903"/>
        <v>8775.4070572569672</v>
      </c>
      <c r="BF629" s="70">
        <f t="shared" si="903"/>
        <v>9455.6741722582938</v>
      </c>
      <c r="BG629" s="70">
        <f t="shared" si="903"/>
        <v>10196.942538237863</v>
      </c>
      <c r="BH629" s="79"/>
    </row>
    <row r="630" spans="1:60" s="345" customFormat="1" hidden="1" outlineLevel="1" x14ac:dyDescent="0.35">
      <c r="A630" s="91" t="s">
        <v>918</v>
      </c>
      <c r="B630" s="467"/>
      <c r="C630" s="67">
        <f t="shared" ref="C630:AQ630" si="904">C842</f>
        <v>-903</v>
      </c>
      <c r="D630" s="67">
        <f t="shared" si="904"/>
        <v>-1091</v>
      </c>
      <c r="E630" s="67">
        <f t="shared" si="904"/>
        <v>-1379</v>
      </c>
      <c r="F630" s="67">
        <f t="shared" si="904"/>
        <v>-1484</v>
      </c>
      <c r="G630" s="80">
        <f t="shared" si="904"/>
        <v>-324</v>
      </c>
      <c r="H630" s="80">
        <f t="shared" si="904"/>
        <v>-394</v>
      </c>
      <c r="I630" s="80">
        <f t="shared" si="904"/>
        <v>-404</v>
      </c>
      <c r="J630" s="80">
        <f t="shared" si="904"/>
        <v>-543</v>
      </c>
      <c r="K630" s="67">
        <f t="shared" si="904"/>
        <v>-1665</v>
      </c>
      <c r="L630" s="80">
        <f t="shared" si="904"/>
        <v>-293</v>
      </c>
      <c r="M630" s="80">
        <f t="shared" si="904"/>
        <v>-341</v>
      </c>
      <c r="N630" s="80">
        <f t="shared" si="904"/>
        <v>-369</v>
      </c>
      <c r="O630" s="80">
        <f t="shared" si="904"/>
        <v>-490</v>
      </c>
      <c r="P630" s="67">
        <f t="shared" si="904"/>
        <v>-1493</v>
      </c>
      <c r="Q630" s="80">
        <f t="shared" si="904"/>
        <v>-291</v>
      </c>
      <c r="R630" s="80">
        <f t="shared" si="904"/>
        <v>-370</v>
      </c>
      <c r="S630" s="80">
        <f t="shared" si="904"/>
        <v>-354</v>
      </c>
      <c r="T630" s="80">
        <f t="shared" si="904"/>
        <v>-446</v>
      </c>
      <c r="U630" s="67">
        <f t="shared" si="904"/>
        <v>-1461</v>
      </c>
      <c r="V630" s="80">
        <f t="shared" si="904"/>
        <v>-314</v>
      </c>
      <c r="W630" s="80">
        <f t="shared" si="904"/>
        <v>-323</v>
      </c>
      <c r="X630" s="80">
        <f t="shared" si="904"/>
        <v>-347</v>
      </c>
      <c r="Y630" s="80">
        <f t="shared" si="904"/>
        <v>-436</v>
      </c>
      <c r="Z630" s="67">
        <f t="shared" si="904"/>
        <v>-1420</v>
      </c>
      <c r="AA630" s="80">
        <f t="shared" si="904"/>
        <v>-287</v>
      </c>
      <c r="AB630" s="80">
        <f t="shared" si="904"/>
        <v>-302</v>
      </c>
      <c r="AC630" s="80">
        <f t="shared" si="904"/>
        <v>-325</v>
      </c>
      <c r="AD630" s="80">
        <f t="shared" si="904"/>
        <v>-459</v>
      </c>
      <c r="AE630" s="67">
        <f t="shared" si="904"/>
        <v>-1373</v>
      </c>
      <c r="AF630" s="80">
        <f t="shared" si="904"/>
        <v>-304</v>
      </c>
      <c r="AG630" s="80">
        <f t="shared" si="904"/>
        <v>-365</v>
      </c>
      <c r="AH630" s="80">
        <f t="shared" si="904"/>
        <v>-377</v>
      </c>
      <c r="AI630" s="80">
        <f t="shared" si="904"/>
        <v>-531</v>
      </c>
      <c r="AJ630" s="67">
        <f t="shared" si="904"/>
        <v>-1577</v>
      </c>
      <c r="AK630" s="80">
        <f t="shared" si="904"/>
        <v>-391</v>
      </c>
      <c r="AL630" s="80">
        <f t="shared" si="904"/>
        <v>-421</v>
      </c>
      <c r="AM630" s="80">
        <f t="shared" si="904"/>
        <v>-349</v>
      </c>
      <c r="AN630" s="80">
        <f t="shared" si="904"/>
        <v>-538</v>
      </c>
      <c r="AO630" s="67">
        <f t="shared" si="904"/>
        <v>-1699</v>
      </c>
      <c r="AP630" s="80">
        <f t="shared" si="904"/>
        <v>-332</v>
      </c>
      <c r="AQ630" s="80">
        <f t="shared" si="904"/>
        <v>-379</v>
      </c>
      <c r="AR630" s="80">
        <f>AR842</f>
        <v>-368</v>
      </c>
      <c r="AS630" s="80">
        <f>AS842</f>
        <v>-422</v>
      </c>
      <c r="AT630" s="67">
        <f>AT842</f>
        <v>-1501</v>
      </c>
      <c r="AU630" s="804">
        <f t="shared" ref="AU630" si="905">AU842</f>
        <v>-310</v>
      </c>
      <c r="AV630" s="80">
        <f t="shared" ref="AV630:BG630" si="906">AV842</f>
        <v>-475</v>
      </c>
      <c r="AW630" s="80">
        <f t="shared" si="906"/>
        <v>-475</v>
      </c>
      <c r="AX630" s="80">
        <f t="shared" si="906"/>
        <v>-475</v>
      </c>
      <c r="AY630" s="67">
        <f t="shared" si="906"/>
        <v>-1735</v>
      </c>
      <c r="AZ630" s="80">
        <f t="shared" si="906"/>
        <v>-475</v>
      </c>
      <c r="BA630" s="80">
        <f t="shared" si="906"/>
        <v>-475</v>
      </c>
      <c r="BB630" s="80">
        <f t="shared" si="906"/>
        <v>-475</v>
      </c>
      <c r="BC630" s="80">
        <f t="shared" si="906"/>
        <v>-475</v>
      </c>
      <c r="BD630" s="67">
        <f t="shared" si="906"/>
        <v>-1900</v>
      </c>
      <c r="BE630" s="67">
        <f t="shared" si="906"/>
        <v>-1900</v>
      </c>
      <c r="BF630" s="67">
        <f t="shared" si="906"/>
        <v>-1900</v>
      </c>
      <c r="BG630" s="67">
        <f t="shared" si="906"/>
        <v>-1900</v>
      </c>
      <c r="BH630" s="351"/>
    </row>
    <row r="631" spans="1:60" s="69" customFormat="1" hidden="1" outlineLevel="1" x14ac:dyDescent="0.35">
      <c r="A631" s="90" t="s">
        <v>922</v>
      </c>
      <c r="B631" s="427"/>
      <c r="C631" s="70">
        <f t="shared" ref="C631:AQ631" si="907">SUM(C629:C630)</f>
        <v>4038</v>
      </c>
      <c r="D631" s="70">
        <f t="shared" si="907"/>
        <v>4083</v>
      </c>
      <c r="E631" s="70">
        <f t="shared" si="907"/>
        <v>3905</v>
      </c>
      <c r="F631" s="70">
        <f t="shared" si="907"/>
        <v>3816</v>
      </c>
      <c r="G631" s="79">
        <f t="shared" si="907"/>
        <v>670</v>
      </c>
      <c r="H631" s="79">
        <f t="shared" si="907"/>
        <v>1285</v>
      </c>
      <c r="I631" s="79">
        <f t="shared" si="907"/>
        <v>747</v>
      </c>
      <c r="J631" s="79">
        <f t="shared" si="907"/>
        <v>1450</v>
      </c>
      <c r="K631" s="70">
        <f t="shared" si="907"/>
        <v>4152</v>
      </c>
      <c r="L631" s="79">
        <f t="shared" si="907"/>
        <v>799</v>
      </c>
      <c r="M631" s="79">
        <f t="shared" si="907"/>
        <v>1299</v>
      </c>
      <c r="N631" s="79">
        <f t="shared" si="907"/>
        <v>1342</v>
      </c>
      <c r="O631" s="79">
        <f t="shared" si="907"/>
        <v>1693</v>
      </c>
      <c r="P631" s="70">
        <f t="shared" si="907"/>
        <v>5133</v>
      </c>
      <c r="Q631" s="79">
        <f t="shared" si="907"/>
        <v>789</v>
      </c>
      <c r="R631" s="79">
        <f t="shared" si="907"/>
        <v>968</v>
      </c>
      <c r="S631" s="79">
        <f t="shared" si="907"/>
        <v>1310</v>
      </c>
      <c r="T631" s="79">
        <f t="shared" si="907"/>
        <v>1892</v>
      </c>
      <c r="U631" s="70">
        <f t="shared" si="907"/>
        <v>4959</v>
      </c>
      <c r="V631" s="79">
        <f t="shared" si="907"/>
        <v>946</v>
      </c>
      <c r="W631" s="79">
        <f t="shared" si="907"/>
        <v>962</v>
      </c>
      <c r="X631" s="79">
        <f t="shared" si="907"/>
        <v>1561</v>
      </c>
      <c r="Y631" s="79">
        <f t="shared" si="907"/>
        <v>1773</v>
      </c>
      <c r="Z631" s="70">
        <f t="shared" si="907"/>
        <v>5242</v>
      </c>
      <c r="AA631" s="79">
        <f t="shared" si="907"/>
        <v>701</v>
      </c>
      <c r="AB631" s="79">
        <f t="shared" si="907"/>
        <v>1340</v>
      </c>
      <c r="AC631" s="79">
        <f t="shared" si="907"/>
        <v>1425</v>
      </c>
      <c r="AD631" s="79">
        <f t="shared" si="907"/>
        <v>1401</v>
      </c>
      <c r="AE631" s="70">
        <f t="shared" si="907"/>
        <v>4867</v>
      </c>
      <c r="AF631" s="79">
        <f t="shared" si="907"/>
        <v>-161</v>
      </c>
      <c r="AG631" s="79">
        <f t="shared" si="907"/>
        <v>1534</v>
      </c>
      <c r="AH631" s="79">
        <f t="shared" si="907"/>
        <v>1762</v>
      </c>
      <c r="AI631" s="79">
        <f t="shared" si="907"/>
        <v>1727</v>
      </c>
      <c r="AJ631" s="70">
        <f t="shared" si="907"/>
        <v>4862</v>
      </c>
      <c r="AK631" s="79">
        <f t="shared" si="907"/>
        <v>657</v>
      </c>
      <c r="AL631" s="79">
        <f t="shared" si="907"/>
        <v>1241</v>
      </c>
      <c r="AM631" s="79">
        <f t="shared" si="907"/>
        <v>1673</v>
      </c>
      <c r="AN631" s="79">
        <f t="shared" si="907"/>
        <v>1800</v>
      </c>
      <c r="AO631" s="70">
        <f t="shared" si="907"/>
        <v>5371</v>
      </c>
      <c r="AP631" s="79">
        <f t="shared" si="907"/>
        <v>881</v>
      </c>
      <c r="AQ631" s="79">
        <f t="shared" si="907"/>
        <v>1526</v>
      </c>
      <c r="AR631" s="79">
        <f>SUM(AR629:AR630)</f>
        <v>2112</v>
      </c>
      <c r="AS631" s="79">
        <f>SUM(AS629:AS630)</f>
        <v>2093</v>
      </c>
      <c r="AT631" s="70">
        <f>SUM(AT629:AT630)</f>
        <v>6612</v>
      </c>
      <c r="AU631" s="803">
        <f t="shared" ref="AU631" si="908">SUM(AU629:AU630)</f>
        <v>1378</v>
      </c>
      <c r="AV631" s="79">
        <f t="shared" ref="AV631:BG631" si="909">SUM(AV629:AV630)</f>
        <v>711.10973136160396</v>
      </c>
      <c r="AW631" s="79">
        <f t="shared" si="909"/>
        <v>1869.9734734802796</v>
      </c>
      <c r="AX631" s="79">
        <f t="shared" si="909"/>
        <v>1673.4196673371798</v>
      </c>
      <c r="AY631" s="70">
        <f t="shared" si="909"/>
        <v>5632.5028721790632</v>
      </c>
      <c r="AZ631" s="79">
        <f t="shared" si="909"/>
        <v>1598.8618709194066</v>
      </c>
      <c r="BA631" s="79">
        <f t="shared" si="909"/>
        <v>912.52117943491658</v>
      </c>
      <c r="BB631" s="79">
        <f t="shared" si="909"/>
        <v>1921.9960776884459</v>
      </c>
      <c r="BC631" s="79">
        <f t="shared" si="909"/>
        <v>1806.2835106878711</v>
      </c>
      <c r="BD631" s="70">
        <f t="shared" si="909"/>
        <v>6239.6626387306387</v>
      </c>
      <c r="BE631" s="70">
        <f t="shared" si="909"/>
        <v>6875.4070572569672</v>
      </c>
      <c r="BF631" s="70">
        <f t="shared" si="909"/>
        <v>7555.6741722582938</v>
      </c>
      <c r="BG631" s="70">
        <f t="shared" si="909"/>
        <v>8296.9425382378631</v>
      </c>
      <c r="BH631" s="79"/>
    </row>
    <row r="632" spans="1:60" s="345" customFormat="1" hidden="1" outlineLevel="1" x14ac:dyDescent="0.35">
      <c r="A632" s="350" t="s">
        <v>925</v>
      </c>
      <c r="B632" s="317"/>
      <c r="C632" s="108"/>
      <c r="D632" s="108"/>
      <c r="E632" s="108"/>
      <c r="F632" s="108"/>
      <c r="G632" s="203"/>
      <c r="H632" s="203"/>
      <c r="I632" s="203"/>
      <c r="J632" s="203"/>
      <c r="K632" s="108"/>
      <c r="L632" s="203"/>
      <c r="M632" s="203"/>
      <c r="N632" s="203"/>
      <c r="O632" s="203"/>
      <c r="P632" s="108"/>
      <c r="Q632" s="203"/>
      <c r="R632" s="203"/>
      <c r="S632" s="203"/>
      <c r="T632" s="203"/>
      <c r="U632" s="108"/>
      <c r="V632" s="203"/>
      <c r="W632" s="203"/>
      <c r="X632" s="203"/>
      <c r="Y632" s="203"/>
      <c r="Z632" s="108"/>
      <c r="AA632" s="203"/>
      <c r="AB632" s="203"/>
      <c r="AC632" s="203"/>
      <c r="AD632" s="203"/>
      <c r="AE632" s="108"/>
      <c r="AF632" s="203"/>
      <c r="AG632" s="203"/>
      <c r="AH632" s="203"/>
      <c r="AI632" s="203"/>
      <c r="AJ632" s="108"/>
      <c r="AK632" s="203"/>
      <c r="AL632" s="351">
        <v>31</v>
      </c>
      <c r="AM632" s="351">
        <v>229</v>
      </c>
      <c r="AN632" s="351">
        <f>AO632-SUM(AK632,AL632,AM632)</f>
        <v>7</v>
      </c>
      <c r="AO632" s="46">
        <v>267</v>
      </c>
      <c r="AP632" s="351">
        <v>50</v>
      </c>
      <c r="AQ632" s="351">
        <v>14</v>
      </c>
      <c r="AR632" s="351">
        <v>10</v>
      </c>
      <c r="AS632" s="351">
        <f>AT632-SUM(AP632,AQ632,AR632)</f>
        <v>5</v>
      </c>
      <c r="AT632" s="46">
        <v>79</v>
      </c>
      <c r="AU632" s="805">
        <v>3</v>
      </c>
      <c r="AV632" s="203"/>
      <c r="AW632" s="203"/>
      <c r="AX632" s="203"/>
      <c r="AY632" s="108"/>
      <c r="AZ632" s="203"/>
      <c r="BA632" s="203"/>
      <c r="BB632" s="203"/>
      <c r="BC632" s="203"/>
      <c r="BD632" s="108"/>
      <c r="BE632" s="108"/>
      <c r="BF632" s="108"/>
      <c r="BG632" s="108"/>
      <c r="BH632" s="351"/>
    </row>
    <row r="633" spans="1:60" s="345" customFormat="1" hidden="1" outlineLevel="1" x14ac:dyDescent="0.35">
      <c r="A633" s="350" t="s">
        <v>928</v>
      </c>
      <c r="B633" s="317"/>
      <c r="C633" s="108"/>
      <c r="D633" s="108"/>
      <c r="E633" s="108"/>
      <c r="F633" s="108"/>
      <c r="G633" s="203"/>
      <c r="H633" s="203"/>
      <c r="I633" s="203"/>
      <c r="J633" s="203"/>
      <c r="K633" s="108"/>
      <c r="L633" s="203"/>
      <c r="M633" s="203"/>
      <c r="N633" s="203"/>
      <c r="O633" s="203"/>
      <c r="P633" s="108"/>
      <c r="Q633" s="203"/>
      <c r="R633" s="203"/>
      <c r="S633" s="203"/>
      <c r="T633" s="203"/>
      <c r="U633" s="108"/>
      <c r="V633" s="203"/>
      <c r="W633" s="203"/>
      <c r="X633" s="203"/>
      <c r="Y633" s="203"/>
      <c r="Z633" s="108"/>
      <c r="AA633" s="203"/>
      <c r="AB633" s="203"/>
      <c r="AC633" s="203"/>
      <c r="AD633" s="203"/>
      <c r="AE633" s="108"/>
      <c r="AF633" s="203"/>
      <c r="AG633" s="203"/>
      <c r="AH633" s="203"/>
      <c r="AI633" s="203"/>
      <c r="AJ633" s="108"/>
      <c r="AK633" s="203"/>
      <c r="AL633" s="203"/>
      <c r="AM633" s="203"/>
      <c r="AN633" s="351">
        <f>AO633-SUM(AK633,AL633,AM633)</f>
        <v>0</v>
      </c>
      <c r="AO633" s="108"/>
      <c r="AP633" s="203"/>
      <c r="AQ633" s="203"/>
      <c r="AR633" s="351">
        <v>33</v>
      </c>
      <c r="AS633" s="351">
        <f>AT633-SUM(AP633,AQ633,AR633)</f>
        <v>0</v>
      </c>
      <c r="AT633" s="46">
        <v>33</v>
      </c>
      <c r="AU633" s="805">
        <v>9</v>
      </c>
      <c r="AV633" s="203"/>
      <c r="AW633" s="203"/>
      <c r="AX633" s="203"/>
      <c r="AY633" s="108"/>
      <c r="AZ633" s="203"/>
      <c r="BA633" s="203"/>
      <c r="BB633" s="203"/>
      <c r="BC633" s="203"/>
      <c r="BD633" s="108"/>
      <c r="BE633" s="108"/>
      <c r="BF633" s="108"/>
      <c r="BG633" s="108"/>
      <c r="BH633" s="351"/>
    </row>
    <row r="634" spans="1:60" s="345" customFormat="1" hidden="1" outlineLevel="1" x14ac:dyDescent="0.35">
      <c r="A634" s="91" t="s">
        <v>926</v>
      </c>
      <c r="B634" s="467"/>
      <c r="C634" s="124"/>
      <c r="D634" s="124"/>
      <c r="E634" s="124"/>
      <c r="F634" s="124"/>
      <c r="G634" s="123"/>
      <c r="H634" s="123"/>
      <c r="I634" s="123"/>
      <c r="J634" s="123"/>
      <c r="K634" s="124"/>
      <c r="L634" s="123"/>
      <c r="M634" s="123"/>
      <c r="N634" s="123"/>
      <c r="O634" s="123"/>
      <c r="P634" s="124"/>
      <c r="Q634" s="123"/>
      <c r="R634" s="123"/>
      <c r="S634" s="123"/>
      <c r="T634" s="123"/>
      <c r="U634" s="124"/>
      <c r="V634" s="123"/>
      <c r="W634" s="123"/>
      <c r="X634" s="123"/>
      <c r="Y634" s="123"/>
      <c r="Z634" s="124"/>
      <c r="AA634" s="123"/>
      <c r="AB634" s="123"/>
      <c r="AC634" s="123"/>
      <c r="AD634" s="123"/>
      <c r="AE634" s="124"/>
      <c r="AF634" s="123"/>
      <c r="AG634" s="123"/>
      <c r="AH634" s="123"/>
      <c r="AI634" s="123"/>
      <c r="AJ634" s="124"/>
      <c r="AK634" s="80">
        <v>10</v>
      </c>
      <c r="AL634" s="80">
        <v>35</v>
      </c>
      <c r="AM634" s="80">
        <v>9</v>
      </c>
      <c r="AN634" s="80">
        <f>AO634-SUM(AK634,AL634,AM634)</f>
        <v>6</v>
      </c>
      <c r="AO634" s="67">
        <v>60</v>
      </c>
      <c r="AP634" s="123"/>
      <c r="AQ634" s="123"/>
      <c r="AR634" s="80">
        <v>6</v>
      </c>
      <c r="AS634" s="80">
        <f>AT634-SUM(AP634,AQ634,AR634)</f>
        <v>6</v>
      </c>
      <c r="AT634" s="67">
        <v>12</v>
      </c>
      <c r="AU634" s="804">
        <v>1</v>
      </c>
      <c r="AV634" s="123"/>
      <c r="AW634" s="123"/>
      <c r="AX634" s="123"/>
      <c r="AY634" s="124"/>
      <c r="AZ634" s="123"/>
      <c r="BA634" s="123"/>
      <c r="BB634" s="123"/>
      <c r="BC634" s="123"/>
      <c r="BD634" s="124"/>
      <c r="BE634" s="124"/>
      <c r="BF634" s="124"/>
      <c r="BG634" s="124"/>
      <c r="BH634" s="351"/>
    </row>
    <row r="635" spans="1:60" s="69" customFormat="1" hidden="1" outlineLevel="1" x14ac:dyDescent="0.35">
      <c r="A635" s="90" t="s">
        <v>927</v>
      </c>
      <c r="B635" s="427"/>
      <c r="C635" s="112"/>
      <c r="D635" s="112"/>
      <c r="E635" s="112"/>
      <c r="F635" s="112"/>
      <c r="G635" s="111"/>
      <c r="H635" s="111"/>
      <c r="I635" s="111"/>
      <c r="J635" s="111"/>
      <c r="K635" s="112"/>
      <c r="L635" s="111"/>
      <c r="M635" s="111"/>
      <c r="N635" s="111"/>
      <c r="O635" s="111"/>
      <c r="P635" s="112"/>
      <c r="Q635" s="111"/>
      <c r="R635" s="111"/>
      <c r="S635" s="111"/>
      <c r="T635" s="111"/>
      <c r="U635" s="112"/>
      <c r="V635" s="111"/>
      <c r="W635" s="111"/>
      <c r="X635" s="111"/>
      <c r="Y635" s="111"/>
      <c r="Z635" s="112"/>
      <c r="AA635" s="111"/>
      <c r="AB635" s="111"/>
      <c r="AC635" s="111"/>
      <c r="AD635" s="111"/>
      <c r="AE635" s="112"/>
      <c r="AF635" s="111"/>
      <c r="AG635" s="111"/>
      <c r="AH635" s="111"/>
      <c r="AI635" s="111"/>
      <c r="AJ635" s="112"/>
      <c r="AK635" s="79">
        <f t="shared" ref="AK635:AN635" si="910">SUM(AK631:AK634)</f>
        <v>667</v>
      </c>
      <c r="AL635" s="79">
        <f t="shared" si="910"/>
        <v>1307</v>
      </c>
      <c r="AM635" s="79">
        <f t="shared" si="910"/>
        <v>1911</v>
      </c>
      <c r="AN635" s="79">
        <f t="shared" si="910"/>
        <v>1813</v>
      </c>
      <c r="AO635" s="70">
        <f>SUM(AO631:AO634)</f>
        <v>5698</v>
      </c>
      <c r="AP635" s="79">
        <f>SUM(AP631:AP634)</f>
        <v>931</v>
      </c>
      <c r="AQ635" s="79">
        <f t="shared" ref="AQ635:AT635" si="911">SUM(AQ631:AQ634)</f>
        <v>1540</v>
      </c>
      <c r="AR635" s="79">
        <f t="shared" si="911"/>
        <v>2161</v>
      </c>
      <c r="AS635" s="79">
        <f t="shared" si="911"/>
        <v>2104</v>
      </c>
      <c r="AT635" s="70">
        <f t="shared" si="911"/>
        <v>6736</v>
      </c>
      <c r="AU635" s="803">
        <f>SUM(AU631:AU634)</f>
        <v>1391</v>
      </c>
      <c r="AV635" s="111"/>
      <c r="AW635" s="111"/>
      <c r="AX635" s="111"/>
      <c r="AY635" s="112"/>
      <c r="AZ635" s="111"/>
      <c r="BA635" s="111"/>
      <c r="BB635" s="111"/>
      <c r="BC635" s="111"/>
      <c r="BD635" s="112"/>
      <c r="BE635" s="112"/>
      <c r="BF635" s="112"/>
      <c r="BG635" s="112"/>
      <c r="BH635" s="79"/>
    </row>
    <row r="636" spans="1:60" s="69" customFormat="1" hidden="1" outlineLevel="1" x14ac:dyDescent="0.35">
      <c r="A636" s="426"/>
      <c r="B636" s="427"/>
      <c r="C636" s="112"/>
      <c r="D636" s="112"/>
      <c r="E636" s="112"/>
      <c r="F636" s="112"/>
      <c r="G636" s="111"/>
      <c r="H636" s="111"/>
      <c r="I636" s="111"/>
      <c r="J636" s="111"/>
      <c r="K636" s="112"/>
      <c r="L636" s="111"/>
      <c r="M636" s="111"/>
      <c r="N636" s="111"/>
      <c r="O636" s="111"/>
      <c r="P636" s="112"/>
      <c r="Q636" s="111"/>
      <c r="R636" s="111"/>
      <c r="S636" s="111"/>
      <c r="T636" s="111"/>
      <c r="U636" s="112"/>
      <c r="V636" s="111"/>
      <c r="W636" s="111"/>
      <c r="X636" s="111"/>
      <c r="Y636" s="111"/>
      <c r="Z636" s="112"/>
      <c r="AA636" s="111"/>
      <c r="AB636" s="111"/>
      <c r="AC636" s="111"/>
      <c r="AD636" s="111"/>
      <c r="AE636" s="112"/>
      <c r="AF636" s="111"/>
      <c r="AG636" s="111"/>
      <c r="AH636" s="111"/>
      <c r="AI636" s="111"/>
      <c r="AJ636" s="112"/>
      <c r="AK636" s="111"/>
      <c r="AL636" s="111"/>
      <c r="AM636" s="111"/>
      <c r="AN636" s="111"/>
      <c r="AO636" s="112"/>
      <c r="AP636" s="111"/>
      <c r="AQ636" s="111"/>
      <c r="AR636" s="111"/>
      <c r="AS636" s="111"/>
      <c r="AT636" s="112"/>
      <c r="AU636" s="792"/>
      <c r="AV636" s="111"/>
      <c r="AW636" s="111"/>
      <c r="AX636" s="111"/>
      <c r="AY636" s="112"/>
      <c r="AZ636" s="111"/>
      <c r="BA636" s="111"/>
      <c r="BB636" s="111"/>
      <c r="BC636" s="111"/>
      <c r="BD636" s="112"/>
      <c r="BE636" s="112"/>
      <c r="BF636" s="112"/>
      <c r="BG636" s="112"/>
      <c r="BH636" s="79"/>
    </row>
    <row r="637" spans="1:60" s="345" customFormat="1" hidden="1" outlineLevel="1" x14ac:dyDescent="0.35">
      <c r="A637" s="236" t="s">
        <v>919</v>
      </c>
      <c r="B637" s="317"/>
      <c r="C637" s="46">
        <f t="shared" ref="C637:AQ637" si="912">C819</f>
        <v>3193</v>
      </c>
      <c r="D637" s="46">
        <f t="shared" si="912"/>
        <v>4085</v>
      </c>
      <c r="E637" s="46">
        <f t="shared" si="912"/>
        <v>4283</v>
      </c>
      <c r="F637" s="46">
        <f t="shared" si="912"/>
        <v>4444</v>
      </c>
      <c r="G637" s="351">
        <f t="shared" si="912"/>
        <v>1129</v>
      </c>
      <c r="H637" s="351">
        <f t="shared" si="912"/>
        <v>1197</v>
      </c>
      <c r="I637" s="351">
        <f t="shared" si="912"/>
        <v>1230</v>
      </c>
      <c r="J637" s="351">
        <f t="shared" si="912"/>
        <v>1103</v>
      </c>
      <c r="K637" s="46">
        <f t="shared" si="912"/>
        <v>4659</v>
      </c>
      <c r="L637" s="351">
        <f t="shared" si="912"/>
        <v>1207</v>
      </c>
      <c r="M637" s="351">
        <f t="shared" si="912"/>
        <v>1267</v>
      </c>
      <c r="N637" s="351">
        <f t="shared" si="912"/>
        <v>1303</v>
      </c>
      <c r="O637" s="351">
        <f t="shared" si="912"/>
        <v>1179</v>
      </c>
      <c r="P637" s="46">
        <f t="shared" si="912"/>
        <v>4956</v>
      </c>
      <c r="Q637" s="351">
        <f t="shared" si="912"/>
        <v>1199</v>
      </c>
      <c r="R637" s="351">
        <f t="shared" si="912"/>
        <v>1300</v>
      </c>
      <c r="S637" s="351">
        <f t="shared" si="912"/>
        <v>1296</v>
      </c>
      <c r="T637" s="351">
        <f t="shared" si="912"/>
        <v>1038</v>
      </c>
      <c r="U637" s="46">
        <f t="shared" si="912"/>
        <v>4833</v>
      </c>
      <c r="V637" s="351">
        <f t="shared" si="912"/>
        <v>1275</v>
      </c>
      <c r="W637" s="351">
        <f t="shared" si="912"/>
        <v>1291</v>
      </c>
      <c r="X637" s="351">
        <f t="shared" si="912"/>
        <v>1329</v>
      </c>
      <c r="Y637" s="351">
        <f t="shared" si="912"/>
        <v>1155</v>
      </c>
      <c r="Z637" s="46">
        <f t="shared" si="912"/>
        <v>5050</v>
      </c>
      <c r="AA637" s="351">
        <f t="shared" si="912"/>
        <v>1323</v>
      </c>
      <c r="AB637" s="351">
        <f t="shared" si="912"/>
        <v>1583</v>
      </c>
      <c r="AC637" s="351">
        <f t="shared" si="912"/>
        <v>1429</v>
      </c>
      <c r="AD637" s="351">
        <f t="shared" si="912"/>
        <v>523</v>
      </c>
      <c r="AE637" s="46">
        <f t="shared" si="912"/>
        <v>4858</v>
      </c>
      <c r="AF637" s="351">
        <f t="shared" si="912"/>
        <v>602</v>
      </c>
      <c r="AG637" s="351">
        <f t="shared" si="912"/>
        <v>1857</v>
      </c>
      <c r="AH637" s="351">
        <f t="shared" si="912"/>
        <v>1543</v>
      </c>
      <c r="AI637" s="351">
        <f t="shared" si="912"/>
        <v>1347</v>
      </c>
      <c r="AJ637" s="46">
        <f t="shared" si="912"/>
        <v>5349</v>
      </c>
      <c r="AK637" s="351">
        <f t="shared" si="912"/>
        <v>891</v>
      </c>
      <c r="AL637" s="351">
        <f t="shared" si="912"/>
        <v>1127</v>
      </c>
      <c r="AM637" s="351">
        <f t="shared" si="912"/>
        <v>1583</v>
      </c>
      <c r="AN637" s="351">
        <f t="shared" si="912"/>
        <v>969</v>
      </c>
      <c r="AO637" s="46">
        <f t="shared" si="912"/>
        <v>4570</v>
      </c>
      <c r="AP637" s="351">
        <f t="shared" si="912"/>
        <v>1292</v>
      </c>
      <c r="AQ637" s="351">
        <f t="shared" si="912"/>
        <v>1290</v>
      </c>
      <c r="AR637" s="351">
        <f>AR819</f>
        <v>1413</v>
      </c>
      <c r="AS637" s="351">
        <f>AS819</f>
        <v>1389</v>
      </c>
      <c r="AT637" s="46">
        <f>AT819</f>
        <v>5384</v>
      </c>
      <c r="AU637" s="805">
        <f t="shared" ref="AU637" si="913">AU819</f>
        <v>1624</v>
      </c>
      <c r="AV637" s="351">
        <f t="shared" ref="AV637:BG637" si="914">AV819</f>
        <v>1242.0097752522743</v>
      </c>
      <c r="AW637" s="351">
        <f t="shared" si="914"/>
        <v>1510.1218446881926</v>
      </c>
      <c r="AX637" s="351">
        <f t="shared" si="914"/>
        <v>1591.6169221575942</v>
      </c>
      <c r="AY637" s="46">
        <f t="shared" si="914"/>
        <v>5967.7485420980611</v>
      </c>
      <c r="AZ637" s="351">
        <f t="shared" si="914"/>
        <v>1687.9080105357048</v>
      </c>
      <c r="BA637" s="351">
        <f t="shared" si="914"/>
        <v>1463.4520718263889</v>
      </c>
      <c r="BB637" s="351">
        <f t="shared" si="914"/>
        <v>1573.5364517164776</v>
      </c>
      <c r="BC637" s="351">
        <f t="shared" si="914"/>
        <v>1750.7652751190656</v>
      </c>
      <c r="BD637" s="46">
        <f t="shared" si="914"/>
        <v>6475.6618091976379</v>
      </c>
      <c r="BE637" s="46">
        <f t="shared" si="914"/>
        <v>7113.9761434234888</v>
      </c>
      <c r="BF637" s="46">
        <f t="shared" si="914"/>
        <v>7810.4381898482488</v>
      </c>
      <c r="BG637" s="46">
        <f t="shared" si="914"/>
        <v>8568.6901746959811</v>
      </c>
      <c r="BH637" s="351"/>
    </row>
    <row r="638" spans="1:60" s="262" customFormat="1" hidden="1" outlineLevel="1" x14ac:dyDescent="0.35">
      <c r="A638" s="99" t="s">
        <v>920</v>
      </c>
      <c r="B638" s="686"/>
      <c r="C638" s="531">
        <f t="shared" ref="C638:AQ638" si="915">C631/C637</f>
        <v>1.2646414030692139</v>
      </c>
      <c r="D638" s="531">
        <f t="shared" si="915"/>
        <v>0.99951040391676871</v>
      </c>
      <c r="E638" s="531">
        <f t="shared" si="915"/>
        <v>0.91174410459957977</v>
      </c>
      <c r="F638" s="531">
        <f t="shared" si="915"/>
        <v>0.85868586858685869</v>
      </c>
      <c r="G638" s="363">
        <f t="shared" si="915"/>
        <v>0.59344552701505759</v>
      </c>
      <c r="H638" s="363">
        <f t="shared" si="915"/>
        <v>1.0735171261487051</v>
      </c>
      <c r="I638" s="363">
        <f t="shared" si="915"/>
        <v>0.60731707317073169</v>
      </c>
      <c r="J638" s="363">
        <f t="shared" si="915"/>
        <v>1.3145965548504079</v>
      </c>
      <c r="K638" s="531">
        <f t="shared" si="915"/>
        <v>0.89117836445589182</v>
      </c>
      <c r="L638" s="363">
        <f t="shared" si="915"/>
        <v>0.6619718309859155</v>
      </c>
      <c r="M638" s="363">
        <f t="shared" si="915"/>
        <v>1.0252565114443568</v>
      </c>
      <c r="N638" s="363">
        <f t="shared" si="915"/>
        <v>1.029930928626247</v>
      </c>
      <c r="O638" s="363">
        <f t="shared" si="915"/>
        <v>1.4359626802374894</v>
      </c>
      <c r="P638" s="531">
        <f t="shared" si="915"/>
        <v>1.0357142857142858</v>
      </c>
      <c r="Q638" s="363">
        <f t="shared" si="915"/>
        <v>0.65804837364470392</v>
      </c>
      <c r="R638" s="363">
        <f t="shared" si="915"/>
        <v>0.74461538461538457</v>
      </c>
      <c r="S638" s="363">
        <f t="shared" si="915"/>
        <v>1.0108024691358024</v>
      </c>
      <c r="T638" s="363">
        <f t="shared" si="915"/>
        <v>1.8227360308285163</v>
      </c>
      <c r="U638" s="531">
        <f t="shared" si="915"/>
        <v>1.0260707635009312</v>
      </c>
      <c r="V638" s="363">
        <f t="shared" si="915"/>
        <v>0.74196078431372547</v>
      </c>
      <c r="W638" s="363">
        <f t="shared" si="915"/>
        <v>0.74515879163439191</v>
      </c>
      <c r="X638" s="363">
        <f t="shared" si="915"/>
        <v>1.1745673438675697</v>
      </c>
      <c r="Y638" s="363">
        <f t="shared" si="915"/>
        <v>1.535064935064935</v>
      </c>
      <c r="Z638" s="531">
        <f t="shared" si="915"/>
        <v>1.0380198019801981</v>
      </c>
      <c r="AA638" s="363">
        <f t="shared" si="915"/>
        <v>0.52985638699924409</v>
      </c>
      <c r="AB638" s="363">
        <f t="shared" si="915"/>
        <v>0.84649399873657616</v>
      </c>
      <c r="AC638" s="363">
        <f t="shared" si="915"/>
        <v>0.99720083974807561</v>
      </c>
      <c r="AD638" s="363">
        <f t="shared" si="915"/>
        <v>2.6787762906309753</v>
      </c>
      <c r="AE638" s="531">
        <f t="shared" si="915"/>
        <v>1.001852614244545</v>
      </c>
      <c r="AF638" s="363">
        <f t="shared" si="915"/>
        <v>-0.26744186046511625</v>
      </c>
      <c r="AG638" s="363">
        <f t="shared" si="915"/>
        <v>0.82606354334948839</v>
      </c>
      <c r="AH638" s="363">
        <f t="shared" si="915"/>
        <v>1.1419313026571614</v>
      </c>
      <c r="AI638" s="363">
        <f t="shared" si="915"/>
        <v>1.2821083890126206</v>
      </c>
      <c r="AJ638" s="531">
        <f t="shared" si="915"/>
        <v>0.90895494484950456</v>
      </c>
      <c r="AK638" s="363">
        <f t="shared" si="915"/>
        <v>0.73737373737373735</v>
      </c>
      <c r="AL638" s="363">
        <f t="shared" si="915"/>
        <v>1.101153504880213</v>
      </c>
      <c r="AM638" s="363">
        <f t="shared" si="915"/>
        <v>1.0568540745420087</v>
      </c>
      <c r="AN638" s="363">
        <f t="shared" si="915"/>
        <v>1.8575851393188854</v>
      </c>
      <c r="AO638" s="531">
        <f t="shared" si="915"/>
        <v>1.1752735229759299</v>
      </c>
      <c r="AP638" s="363">
        <f t="shared" si="915"/>
        <v>0.68188854489164086</v>
      </c>
      <c r="AQ638" s="363">
        <f t="shared" si="915"/>
        <v>1.1829457364341085</v>
      </c>
      <c r="AR638" s="363">
        <f>AR631/AR637</f>
        <v>1.4946921443736729</v>
      </c>
      <c r="AS638" s="363">
        <f>AS631/AS637</f>
        <v>1.5068394528437725</v>
      </c>
      <c r="AT638" s="531">
        <f>AT631/AT637</f>
        <v>1.2280832095096583</v>
      </c>
      <c r="AU638" s="787">
        <f t="shared" ref="AU638" si="916">AU631/AU637</f>
        <v>0.84852216748768472</v>
      </c>
      <c r="AV638" s="363">
        <f t="shared" ref="AV638:BG638" si="917">AV631/AV637</f>
        <v>0.57254761237057494</v>
      </c>
      <c r="AW638" s="363">
        <f t="shared" si="917"/>
        <v>1.2382931086374613</v>
      </c>
      <c r="AX638" s="363">
        <f t="shared" si="917"/>
        <v>1.0513960011613184</v>
      </c>
      <c r="AY638" s="531">
        <f t="shared" si="917"/>
        <v>0.94382376074425933</v>
      </c>
      <c r="AZ638" s="363">
        <f t="shared" si="917"/>
        <v>0.94724467265959778</v>
      </c>
      <c r="BA638" s="363">
        <f t="shared" si="917"/>
        <v>0.62354018761686514</v>
      </c>
      <c r="BB638" s="363">
        <f t="shared" si="917"/>
        <v>1.2214499864886221</v>
      </c>
      <c r="BC638" s="363">
        <f t="shared" si="917"/>
        <v>1.0317108388873144</v>
      </c>
      <c r="BD638" s="531">
        <f t="shared" si="917"/>
        <v>0.96355597660585046</v>
      </c>
      <c r="BE638" s="531">
        <f t="shared" si="917"/>
        <v>0.96646473345471273</v>
      </c>
      <c r="BF638" s="531">
        <f t="shared" si="917"/>
        <v>0.96738159737041529</v>
      </c>
      <c r="BG638" s="531">
        <f t="shared" si="917"/>
        <v>0.96828597709593811</v>
      </c>
      <c r="BH638" s="363"/>
    </row>
    <row r="639" spans="1:60" s="345" customFormat="1" hidden="1" outlineLevel="1" x14ac:dyDescent="0.35">
      <c r="A639" s="537"/>
      <c r="B639" s="317"/>
      <c r="C639" s="108"/>
      <c r="D639" s="108"/>
      <c r="E639" s="108"/>
      <c r="F639" s="108"/>
      <c r="G639" s="203"/>
      <c r="H639" s="203"/>
      <c r="I639" s="203"/>
      <c r="J639" s="203"/>
      <c r="K639" s="108"/>
      <c r="L639" s="203"/>
      <c r="M639" s="203"/>
      <c r="N639" s="203"/>
      <c r="O639" s="203"/>
      <c r="P639" s="108"/>
      <c r="Q639" s="203"/>
      <c r="R639" s="203"/>
      <c r="S639" s="203"/>
      <c r="T639" s="203"/>
      <c r="U639" s="108"/>
      <c r="V639" s="203"/>
      <c r="W639" s="203"/>
      <c r="X639" s="203"/>
      <c r="Y639" s="203"/>
      <c r="Z639" s="108"/>
      <c r="AA639" s="203"/>
      <c r="AB639" s="203"/>
      <c r="AC639" s="203"/>
      <c r="AD639" s="203"/>
      <c r="AE639" s="108"/>
      <c r="AF639" s="203"/>
      <c r="AG639" s="203"/>
      <c r="AH639" s="203"/>
      <c r="AI639" s="203"/>
      <c r="AJ639" s="108"/>
      <c r="AK639" s="203"/>
      <c r="AL639" s="203"/>
      <c r="AM639" s="203"/>
      <c r="AN639" s="203"/>
      <c r="AO639" s="108"/>
      <c r="AP639" s="203"/>
      <c r="AQ639" s="203"/>
      <c r="AR639" s="203"/>
      <c r="AS639" s="203"/>
      <c r="AT639" s="108"/>
      <c r="AU639" s="790"/>
      <c r="AV639" s="203"/>
      <c r="AW639" s="203"/>
      <c r="AX639" s="203"/>
      <c r="AY639" s="108"/>
      <c r="AZ639" s="203"/>
      <c r="BA639" s="203"/>
      <c r="BB639" s="203"/>
      <c r="BC639" s="203"/>
      <c r="BD639" s="108"/>
      <c r="BE639" s="108"/>
      <c r="BF639" s="108"/>
      <c r="BG639" s="108"/>
      <c r="BH639" s="351"/>
    </row>
    <row r="640" spans="1:60" s="345" customFormat="1" hidden="1" outlineLevel="1" x14ac:dyDescent="0.35">
      <c r="A640" s="236" t="s">
        <v>923</v>
      </c>
      <c r="B640" s="317"/>
      <c r="C640" s="108"/>
      <c r="D640" s="108"/>
      <c r="E640" s="108"/>
      <c r="F640" s="108"/>
      <c r="G640" s="203"/>
      <c r="H640" s="203"/>
      <c r="I640" s="203"/>
      <c r="J640" s="203"/>
      <c r="K640" s="108"/>
      <c r="L640" s="203"/>
      <c r="M640" s="203"/>
      <c r="N640" s="203"/>
      <c r="O640" s="203"/>
      <c r="P640" s="108"/>
      <c r="Q640" s="203"/>
      <c r="R640" s="203"/>
      <c r="S640" s="203"/>
      <c r="T640" s="203"/>
      <c r="U640" s="108"/>
      <c r="V640" s="203"/>
      <c r="W640" s="203"/>
      <c r="X640" s="203"/>
      <c r="Y640" s="203"/>
      <c r="Z640" s="108"/>
      <c r="AA640" s="203"/>
      <c r="AB640" s="203"/>
      <c r="AC640" s="203"/>
      <c r="AD640" s="203"/>
      <c r="AE640" s="108"/>
      <c r="AF640" s="203"/>
      <c r="AG640" s="203"/>
      <c r="AH640" s="203"/>
      <c r="AI640" s="203"/>
      <c r="AJ640" s="108"/>
      <c r="AK640" s="351">
        <f t="shared" ref="AK640:AO640" si="918">AK824</f>
        <v>1308</v>
      </c>
      <c r="AL640" s="351">
        <f t="shared" si="918"/>
        <v>1246</v>
      </c>
      <c r="AM640" s="351">
        <f t="shared" si="918"/>
        <v>1504</v>
      </c>
      <c r="AN640" s="351">
        <f t="shared" si="918"/>
        <v>1135</v>
      </c>
      <c r="AO640" s="46">
        <f t="shared" si="918"/>
        <v>5193</v>
      </c>
      <c r="AP640" s="351">
        <f>AP824</f>
        <v>1254</v>
      </c>
      <c r="AQ640" s="351">
        <f t="shared" ref="AQ640:AR640" si="919">AQ824</f>
        <v>1032</v>
      </c>
      <c r="AR640" s="351">
        <f t="shared" si="919"/>
        <v>1413</v>
      </c>
      <c r="AS640" s="351">
        <f t="shared" ref="AS640:AT640" si="920">AS824</f>
        <v>1389</v>
      </c>
      <c r="AT640" s="46">
        <f t="shared" si="920"/>
        <v>5088</v>
      </c>
      <c r="AU640" s="805">
        <f>AU824</f>
        <v>1624</v>
      </c>
      <c r="AV640" s="203"/>
      <c r="AW640" s="203"/>
      <c r="AX640" s="203"/>
      <c r="AY640" s="108"/>
      <c r="AZ640" s="203"/>
      <c r="BA640" s="203"/>
      <c r="BB640" s="203"/>
      <c r="BC640" s="203"/>
      <c r="BD640" s="108"/>
      <c r="BE640" s="108"/>
      <c r="BF640" s="108"/>
      <c r="BG640" s="108"/>
      <c r="BH640" s="351"/>
    </row>
    <row r="641" spans="1:60" s="262" customFormat="1" hidden="1" outlineLevel="1" x14ac:dyDescent="0.35">
      <c r="A641" s="631" t="s">
        <v>924</v>
      </c>
      <c r="B641" s="697"/>
      <c r="C641" s="737"/>
      <c r="D641" s="737"/>
      <c r="E641" s="737"/>
      <c r="F641" s="737"/>
      <c r="G641" s="698"/>
      <c r="H641" s="698"/>
      <c r="I641" s="698"/>
      <c r="J641" s="698"/>
      <c r="K641" s="737"/>
      <c r="L641" s="698"/>
      <c r="M641" s="698"/>
      <c r="N641" s="698"/>
      <c r="O641" s="698"/>
      <c r="P641" s="737"/>
      <c r="Q641" s="698"/>
      <c r="R641" s="698"/>
      <c r="S641" s="698"/>
      <c r="T641" s="698"/>
      <c r="U641" s="737"/>
      <c r="V641" s="698"/>
      <c r="W641" s="698"/>
      <c r="X641" s="698"/>
      <c r="Y641" s="698"/>
      <c r="Z641" s="737"/>
      <c r="AA641" s="698"/>
      <c r="AB641" s="698"/>
      <c r="AC641" s="698"/>
      <c r="AD641" s="698"/>
      <c r="AE641" s="737"/>
      <c r="AF641" s="698"/>
      <c r="AG641" s="698"/>
      <c r="AH641" s="698"/>
      <c r="AI641" s="698"/>
      <c r="AJ641" s="737"/>
      <c r="AK641" s="633">
        <f t="shared" ref="AK641:AO641" si="921">AK635/AK640</f>
        <v>0.50993883792048933</v>
      </c>
      <c r="AL641" s="633">
        <f t="shared" si="921"/>
        <v>1.0489566613162118</v>
      </c>
      <c r="AM641" s="633">
        <f t="shared" si="921"/>
        <v>1.2706117021276595</v>
      </c>
      <c r="AN641" s="633">
        <f t="shared" si="921"/>
        <v>1.5973568281938326</v>
      </c>
      <c r="AO641" s="632">
        <f t="shared" si="921"/>
        <v>1.0972462930868476</v>
      </c>
      <c r="AP641" s="633">
        <f>AP635/AP640</f>
        <v>0.74242424242424243</v>
      </c>
      <c r="AQ641" s="633">
        <f t="shared" ref="AQ641:AR641" si="922">AQ635/AQ640</f>
        <v>1.4922480620155039</v>
      </c>
      <c r="AR641" s="633">
        <f t="shared" si="922"/>
        <v>1.5293701344656758</v>
      </c>
      <c r="AS641" s="633">
        <f t="shared" ref="AS641:AT641" si="923">AS635/AS640</f>
        <v>1.5147588192944565</v>
      </c>
      <c r="AT641" s="632">
        <f t="shared" si="923"/>
        <v>1.3238993710691824</v>
      </c>
      <c r="AU641" s="806">
        <f>AU635/AU640</f>
        <v>0.85652709359605916</v>
      </c>
      <c r="AV641" s="698"/>
      <c r="AW641" s="698"/>
      <c r="AX641" s="698"/>
      <c r="AY641" s="737"/>
      <c r="AZ641" s="698"/>
      <c r="BA641" s="698"/>
      <c r="BB641" s="698"/>
      <c r="BC641" s="698"/>
      <c r="BD641" s="737"/>
      <c r="BE641" s="737"/>
      <c r="BF641" s="737"/>
      <c r="BG641" s="737"/>
      <c r="BH641" s="363"/>
    </row>
    <row r="642" spans="1:60" s="69" customFormat="1" collapsed="1" x14ac:dyDescent="0.35">
      <c r="A642" s="426"/>
      <c r="B642" s="427"/>
      <c r="C642" s="112"/>
      <c r="D642" s="112"/>
      <c r="E642" s="112"/>
      <c r="F642" s="112"/>
      <c r="G642" s="111"/>
      <c r="H642" s="111"/>
      <c r="I642" s="111"/>
      <c r="J642" s="111"/>
      <c r="K642" s="112"/>
      <c r="L642" s="111"/>
      <c r="M642" s="111"/>
      <c r="N642" s="111"/>
      <c r="O642" s="111"/>
      <c r="P642" s="112"/>
      <c r="Q642" s="111"/>
      <c r="R642" s="111"/>
      <c r="S642" s="111"/>
      <c r="T642" s="111"/>
      <c r="U642" s="112"/>
      <c r="V642" s="111"/>
      <c r="W642" s="111"/>
      <c r="X642" s="111"/>
      <c r="Y642" s="111"/>
      <c r="Z642" s="112"/>
      <c r="AA642" s="111"/>
      <c r="AB642" s="111"/>
      <c r="AC642" s="111"/>
      <c r="AD642" s="111"/>
      <c r="AE642" s="112"/>
      <c r="AF642" s="111"/>
      <c r="AG642" s="111"/>
      <c r="AH642" s="111"/>
      <c r="AI642" s="111"/>
      <c r="AJ642" s="112"/>
      <c r="AK642" s="111"/>
      <c r="AL642" s="111"/>
      <c r="AM642" s="111"/>
      <c r="AN642" s="111"/>
      <c r="AO642" s="112"/>
      <c r="AP642" s="111"/>
      <c r="AQ642" s="111"/>
      <c r="AR642" s="111"/>
      <c r="AS642" s="111"/>
      <c r="AT642" s="112"/>
      <c r="AU642" s="792"/>
      <c r="AV642" s="111"/>
      <c r="AW642" s="111"/>
      <c r="AX642" s="111"/>
      <c r="AY642" s="112"/>
      <c r="AZ642" s="111"/>
      <c r="BA642" s="111"/>
      <c r="BB642" s="111"/>
      <c r="BC642" s="111"/>
      <c r="BD642" s="112"/>
      <c r="BE642" s="112"/>
      <c r="BF642" s="112"/>
      <c r="BG642" s="112"/>
      <c r="BH642" s="79"/>
    </row>
    <row r="643" spans="1:60" s="55" customFormat="1" x14ac:dyDescent="0.35">
      <c r="A643" s="746" t="s">
        <v>929</v>
      </c>
      <c r="B643" s="746"/>
      <c r="C643" s="874"/>
      <c r="D643" s="874"/>
      <c r="E643" s="874"/>
      <c r="F643" s="874"/>
      <c r="G643" s="874"/>
      <c r="H643" s="874"/>
      <c r="I643" s="874"/>
      <c r="J643" s="874"/>
      <c r="K643" s="874"/>
      <c r="L643" s="874"/>
      <c r="M643" s="874"/>
      <c r="N643" s="874"/>
      <c r="O643" s="874"/>
      <c r="P643" s="874"/>
      <c r="Q643" s="874"/>
      <c r="R643" s="874"/>
      <c r="S643" s="874"/>
      <c r="T643" s="874"/>
      <c r="U643" s="874"/>
      <c r="V643" s="874"/>
      <c r="W643" s="874"/>
      <c r="X643" s="874"/>
      <c r="Y643" s="874"/>
      <c r="Z643" s="874"/>
      <c r="AA643" s="874"/>
      <c r="AB643" s="874"/>
      <c r="AC643" s="874"/>
      <c r="AD643" s="874"/>
      <c r="AE643" s="874"/>
      <c r="AF643" s="874"/>
      <c r="AG643" s="874"/>
      <c r="AH643" s="874"/>
      <c r="AI643" s="874"/>
      <c r="AJ643" s="874"/>
      <c r="AK643" s="874"/>
      <c r="AL643" s="874"/>
      <c r="AM643" s="874"/>
      <c r="AN643" s="874"/>
      <c r="AO643" s="874"/>
      <c r="AP643" s="874"/>
      <c r="AQ643" s="874"/>
      <c r="AR643" s="874"/>
      <c r="AS643" s="874"/>
      <c r="AT643" s="874"/>
      <c r="AU643" s="875"/>
      <c r="AV643" s="874"/>
      <c r="AW643" s="874"/>
      <c r="AX643" s="874"/>
      <c r="AY643" s="874"/>
      <c r="AZ643" s="874"/>
      <c r="BA643" s="874"/>
      <c r="BB643" s="874"/>
      <c r="BC643" s="874"/>
      <c r="BD643" s="874"/>
      <c r="BE643" s="874"/>
      <c r="BF643" s="874"/>
      <c r="BG643" s="874"/>
      <c r="BH643" s="130"/>
    </row>
    <row r="644" spans="1:60" s="69" customFormat="1" hidden="1" outlineLevel="1" x14ac:dyDescent="0.35">
      <c r="A644" s="90" t="s">
        <v>930</v>
      </c>
      <c r="B644" s="427"/>
      <c r="C644" s="70">
        <f t="shared" ref="C644:F644" si="924">C819+C817</f>
        <v>3244</v>
      </c>
      <c r="D644" s="70">
        <f t="shared" si="924"/>
        <v>4163</v>
      </c>
      <c r="E644" s="70">
        <f t="shared" si="924"/>
        <v>4357</v>
      </c>
      <c r="F644" s="70">
        <f t="shared" si="924"/>
        <v>4511</v>
      </c>
      <c r="G644" s="111"/>
      <c r="H644" s="111"/>
      <c r="I644" s="111"/>
      <c r="J644" s="111"/>
      <c r="K644" s="70">
        <f>K819+K817</f>
        <v>4721</v>
      </c>
      <c r="L644" s="111"/>
      <c r="M644" s="111"/>
      <c r="N644" s="111"/>
      <c r="O644" s="111"/>
      <c r="P644" s="70">
        <f>P819+P817</f>
        <v>4998</v>
      </c>
      <c r="Q644" s="111"/>
      <c r="R644" s="111"/>
      <c r="S644" s="111"/>
      <c r="T644" s="111"/>
      <c r="U644" s="70">
        <f>U819+U817</f>
        <v>4841</v>
      </c>
      <c r="V644" s="111"/>
      <c r="W644" s="111"/>
      <c r="X644" s="111"/>
      <c r="Y644" s="111"/>
      <c r="Z644" s="70">
        <f>Z819+Z817</f>
        <v>5058</v>
      </c>
      <c r="AA644" s="111"/>
      <c r="AB644" s="111"/>
      <c r="AC644" s="111"/>
      <c r="AD644" s="111"/>
      <c r="AE644" s="70">
        <f>AE819+AE817</f>
        <v>4869</v>
      </c>
      <c r="AF644" s="111"/>
      <c r="AG644" s="111"/>
      <c r="AH644" s="111"/>
      <c r="AI644" s="111"/>
      <c r="AJ644" s="70">
        <f>AJ819+AJ817</f>
        <v>5363</v>
      </c>
      <c r="AK644" s="111"/>
      <c r="AL644" s="111"/>
      <c r="AM644" s="111"/>
      <c r="AN644" s="111"/>
      <c r="AO644" s="70">
        <f>AO819+AO817</f>
        <v>4582</v>
      </c>
      <c r="AP644" s="111"/>
      <c r="AQ644" s="111"/>
      <c r="AR644" s="111"/>
      <c r="AS644" s="111"/>
      <c r="AT644" s="70">
        <f>AT819+AT817</f>
        <v>5388</v>
      </c>
      <c r="AU644" s="792"/>
      <c r="AV644" s="111"/>
      <c r="AW644" s="111"/>
      <c r="AX644" s="111"/>
      <c r="AY644" s="112"/>
      <c r="AZ644" s="111"/>
      <c r="BA644" s="111"/>
      <c r="BB644" s="111"/>
      <c r="BC644" s="111"/>
      <c r="BD644" s="112"/>
      <c r="BE644" s="112"/>
      <c r="BF644" s="112"/>
      <c r="BG644" s="112"/>
      <c r="BH644" s="79"/>
    </row>
    <row r="645" spans="1:60" s="345" customFormat="1" hidden="1" outlineLevel="1" x14ac:dyDescent="0.35">
      <c r="A645" s="91" t="s">
        <v>931</v>
      </c>
      <c r="B645" s="467"/>
      <c r="C645" s="67">
        <f t="shared" ref="C645:F645" si="925">C807*(1-SUM(C826:C827))</f>
        <v>153.37564766839378</v>
      </c>
      <c r="D645" s="67">
        <f t="shared" si="925"/>
        <v>145.39756733275414</v>
      </c>
      <c r="E645" s="67">
        <f t="shared" si="925"/>
        <v>134.37274083899851</v>
      </c>
      <c r="F645" s="67">
        <f t="shared" si="925"/>
        <v>121.45819555975437</v>
      </c>
      <c r="G645" s="123"/>
      <c r="H645" s="123"/>
      <c r="I645" s="123"/>
      <c r="J645" s="123"/>
      <c r="K645" s="67">
        <f>K807*(1-SUM(K826:K827))</f>
        <v>104.31956720512039</v>
      </c>
      <c r="L645" s="123"/>
      <c r="M645" s="123"/>
      <c r="N645" s="123"/>
      <c r="O645" s="123"/>
      <c r="P645" s="67">
        <f>P807*(1-SUM(P826:P827))</f>
        <v>101.01280956447481</v>
      </c>
      <c r="Q645" s="123"/>
      <c r="R645" s="123"/>
      <c r="S645" s="123"/>
      <c r="T645" s="123"/>
      <c r="U645" s="67">
        <f>U807*(1-SUM(U826:U827))</f>
        <v>105.71727978894916</v>
      </c>
      <c r="V645" s="123"/>
      <c r="W645" s="123"/>
      <c r="X645" s="123"/>
      <c r="Y645" s="123"/>
      <c r="Z645" s="67">
        <f>Z807*(1-SUM(Z826:Z827))</f>
        <v>142.71118672905146</v>
      </c>
      <c r="AA645" s="123"/>
      <c r="AB645" s="123"/>
      <c r="AC645" s="123"/>
      <c r="AD645" s="123"/>
      <c r="AE645" s="67">
        <f>AE807*(1-SUM(AE826:AE827))</f>
        <v>207.71303656597775</v>
      </c>
      <c r="AF645" s="123"/>
      <c r="AG645" s="123"/>
      <c r="AH645" s="123"/>
      <c r="AI645" s="123"/>
      <c r="AJ645" s="67">
        <f>AJ807*(1-SUM(AJ826:AJ827))</f>
        <v>268.14999999999998</v>
      </c>
      <c r="AK645" s="123"/>
      <c r="AL645" s="123"/>
      <c r="AM645" s="123"/>
      <c r="AN645" s="123"/>
      <c r="AO645" s="67">
        <f>AO807*(1-SUM(AO826:AO827))</f>
        <v>359.37254901960785</v>
      </c>
      <c r="AP645" s="123"/>
      <c r="AQ645" s="123"/>
      <c r="AR645" s="123"/>
      <c r="AS645" s="123"/>
      <c r="AT645" s="67">
        <f>AT807*(1-SUM(AT826:AT827))</f>
        <v>425.10758456265836</v>
      </c>
      <c r="AU645" s="791"/>
      <c r="AV645" s="123"/>
      <c r="AW645" s="123"/>
      <c r="AX645" s="123"/>
      <c r="AY645" s="124"/>
      <c r="AZ645" s="123"/>
      <c r="BA645" s="123"/>
      <c r="BB645" s="123"/>
      <c r="BC645" s="123"/>
      <c r="BD645" s="124"/>
      <c r="BE645" s="124"/>
      <c r="BF645" s="124"/>
      <c r="BG645" s="124"/>
      <c r="BH645" s="351"/>
    </row>
    <row r="646" spans="1:60" s="69" customFormat="1" hidden="1" outlineLevel="1" x14ac:dyDescent="0.35">
      <c r="A646" s="90" t="s">
        <v>932</v>
      </c>
      <c r="B646" s="427"/>
      <c r="C646" s="70">
        <f t="shared" ref="C646:F646" si="926">SUM(C644:C645)</f>
        <v>3397.3756476683939</v>
      </c>
      <c r="D646" s="70">
        <f t="shared" si="926"/>
        <v>4308.3975673327541</v>
      </c>
      <c r="E646" s="70">
        <f t="shared" si="926"/>
        <v>4491.3727408389987</v>
      </c>
      <c r="F646" s="70">
        <f t="shared" si="926"/>
        <v>4632.4581955597541</v>
      </c>
      <c r="G646" s="111"/>
      <c r="H646" s="111"/>
      <c r="I646" s="111"/>
      <c r="J646" s="111"/>
      <c r="K646" s="70">
        <f>SUM(K644:K645)</f>
        <v>4825.3195672051206</v>
      </c>
      <c r="L646" s="111"/>
      <c r="M646" s="111"/>
      <c r="N646" s="111"/>
      <c r="O646" s="111"/>
      <c r="P646" s="70">
        <f>SUM(P644:P645)</f>
        <v>5099.012809564475</v>
      </c>
      <c r="Q646" s="111"/>
      <c r="R646" s="111"/>
      <c r="S646" s="111"/>
      <c r="T646" s="111"/>
      <c r="U646" s="70">
        <f>SUM(U644:U645)</f>
        <v>4946.7172797889489</v>
      </c>
      <c r="V646" s="111"/>
      <c r="W646" s="111"/>
      <c r="X646" s="111"/>
      <c r="Y646" s="111"/>
      <c r="Z646" s="70">
        <f>SUM(Z644:Z645)</f>
        <v>5200.7111867290514</v>
      </c>
      <c r="AA646" s="111"/>
      <c r="AB646" s="111"/>
      <c r="AC646" s="111"/>
      <c r="AD646" s="111"/>
      <c r="AE646" s="70">
        <f>SUM(AE644:AE645)</f>
        <v>5076.7130365659777</v>
      </c>
      <c r="AF646" s="111"/>
      <c r="AG646" s="111"/>
      <c r="AH646" s="111"/>
      <c r="AI646" s="111"/>
      <c r="AJ646" s="70">
        <f>SUM(AJ644:AJ645)</f>
        <v>5631.15</v>
      </c>
      <c r="AK646" s="111"/>
      <c r="AL646" s="111"/>
      <c r="AM646" s="111"/>
      <c r="AN646" s="111"/>
      <c r="AO646" s="70">
        <f>SUM(AO644:AO645)</f>
        <v>4941.3725490196075</v>
      </c>
      <c r="AP646" s="111"/>
      <c r="AQ646" s="111"/>
      <c r="AR646" s="111"/>
      <c r="AS646" s="111"/>
      <c r="AT646" s="70">
        <f>SUM(AT644:AT645)</f>
        <v>5813.1075845626583</v>
      </c>
      <c r="AU646" s="792"/>
      <c r="AV646" s="111"/>
      <c r="AW646" s="111"/>
      <c r="AX646" s="111"/>
      <c r="AY646" s="112"/>
      <c r="AZ646" s="111"/>
      <c r="BA646" s="111"/>
      <c r="BB646" s="111"/>
      <c r="BC646" s="111"/>
      <c r="BD646" s="112"/>
      <c r="BE646" s="112"/>
      <c r="BF646" s="112"/>
      <c r="BG646" s="112"/>
      <c r="BH646" s="79"/>
    </row>
    <row r="647" spans="1:60" s="69" customFormat="1" hidden="1" outlineLevel="1" x14ac:dyDescent="0.35">
      <c r="A647" s="426"/>
      <c r="B647" s="427"/>
      <c r="C647" s="112"/>
      <c r="D647" s="112"/>
      <c r="E647" s="112"/>
      <c r="F647" s="112"/>
      <c r="G647" s="111"/>
      <c r="H647" s="111"/>
      <c r="I647" s="111"/>
      <c r="J647" s="111"/>
      <c r="K647" s="112"/>
      <c r="L647" s="111"/>
      <c r="M647" s="111"/>
      <c r="N647" s="111"/>
      <c r="O647" s="111"/>
      <c r="P647" s="112"/>
      <c r="Q647" s="111"/>
      <c r="R647" s="111"/>
      <c r="S647" s="111"/>
      <c r="T647" s="111"/>
      <c r="U647" s="112"/>
      <c r="V647" s="111"/>
      <c r="W647" s="111"/>
      <c r="X647" s="111"/>
      <c r="Y647" s="111"/>
      <c r="Z647" s="112"/>
      <c r="AA647" s="111"/>
      <c r="AB647" s="111"/>
      <c r="AC647" s="111"/>
      <c r="AD647" s="111"/>
      <c r="AE647" s="112"/>
      <c r="AF647" s="111"/>
      <c r="AG647" s="111"/>
      <c r="AH647" s="111"/>
      <c r="AI647" s="111"/>
      <c r="AJ647" s="112"/>
      <c r="AK647" s="111"/>
      <c r="AL647" s="111"/>
      <c r="AM647" s="111"/>
      <c r="AN647" s="111"/>
      <c r="AO647" s="112"/>
      <c r="AP647" s="111"/>
      <c r="AQ647" s="111"/>
      <c r="AR647" s="111"/>
      <c r="AS647" s="111"/>
      <c r="AT647" s="112"/>
      <c r="AU647" s="792"/>
      <c r="AV647" s="111"/>
      <c r="AW647" s="111"/>
      <c r="AX647" s="111"/>
      <c r="AY647" s="112"/>
      <c r="AZ647" s="111"/>
      <c r="BA647" s="111"/>
      <c r="BB647" s="111"/>
      <c r="BC647" s="111"/>
      <c r="BD647" s="112"/>
      <c r="BE647" s="112"/>
      <c r="BF647" s="112"/>
      <c r="BG647" s="112"/>
      <c r="BH647" s="79"/>
    </row>
    <row r="648" spans="1:60" s="345" customFormat="1" hidden="1" outlineLevel="1" x14ac:dyDescent="0.35">
      <c r="A648" s="350" t="s">
        <v>933</v>
      </c>
      <c r="B648" s="317"/>
      <c r="C648" s="108"/>
      <c r="D648" s="46">
        <f>SUM(AVERAGE(13566,13971,15504,15663),AVERAGE(285,292,329,354))</f>
        <v>14991</v>
      </c>
      <c r="E648" s="46">
        <f>SUM(AVERAGE(16494,17330,16968,15420),AVERAGE(393,412,444,442))</f>
        <v>16975.75</v>
      </c>
      <c r="F648" s="46">
        <f>SUM(AVERAGE(16182,16406,17644,17575),AVERAGE(437,467,497,465))</f>
        <v>17418.25</v>
      </c>
      <c r="G648" s="203"/>
      <c r="H648" s="203"/>
      <c r="I648" s="203"/>
      <c r="J648" s="203"/>
      <c r="K648" s="46">
        <f>SUM(AVERAGE(G1082,H1082,I1082,J1082),AVERAGE(G1083,H1083,I1083,J1083))</f>
        <v>18261.75</v>
      </c>
      <c r="L648" s="203"/>
      <c r="M648" s="203"/>
      <c r="N648" s="203"/>
      <c r="O648" s="203"/>
      <c r="P648" s="46">
        <f>SUM(AVERAGE(L1082,M1082,N1082,O1082),AVERAGE(L1083,M1083,N1083,O1083))</f>
        <v>16279.5</v>
      </c>
      <c r="Q648" s="203"/>
      <c r="R648" s="203"/>
      <c r="S648" s="203"/>
      <c r="T648" s="203"/>
      <c r="U648" s="46">
        <f>SUM(AVERAGE(Q1082,R1082,S1082,T1082),AVERAGE(Q1083,R1083,S1083,T1083))</f>
        <v>12763.25</v>
      </c>
      <c r="V648" s="203"/>
      <c r="W648" s="203"/>
      <c r="X648" s="203"/>
      <c r="Y648" s="203"/>
      <c r="Z648" s="46">
        <v>11316</v>
      </c>
      <c r="AA648" s="203"/>
      <c r="AB648" s="203"/>
      <c r="AC648" s="203"/>
      <c r="AD648" s="203"/>
      <c r="AE648" s="46">
        <f>SUM(AVERAGE(AA1082,AB1082,AC1082,AD1082),AVERAGE(AA1083,AB1083,AC1083,AD1083))</f>
        <v>11627</v>
      </c>
      <c r="AF648" s="203"/>
      <c r="AG648" s="203"/>
      <c r="AH648" s="203"/>
      <c r="AI648" s="203"/>
      <c r="AJ648" s="46">
        <f>SUM(AVERAGE(AF1082,AG1082,AH1082,AI1082),AVERAGE(AF1083,AG1083,AH1083,AI1083))</f>
        <v>10406.5</v>
      </c>
      <c r="AK648" s="203"/>
      <c r="AL648" s="203"/>
      <c r="AM648" s="203"/>
      <c r="AN648" s="203"/>
      <c r="AO648" s="46">
        <f>SUM(AVERAGE(AK1082,AL1082,AM1082,AN1082),AVERAGE(AK1083,AL1083,AM1083,AN1083))</f>
        <v>10197.25</v>
      </c>
      <c r="AP648" s="203"/>
      <c r="AQ648" s="203"/>
      <c r="AR648" s="203"/>
      <c r="AS648" s="203"/>
      <c r="AT648" s="46">
        <f>SUM(AVERAGE(AP1082,AQ1082,AR1082,AS1082),AVERAGE(AP1083,AQ1083,AR1083,AS1083))</f>
        <v>11499.5</v>
      </c>
      <c r="AU648" s="790"/>
      <c r="AV648" s="203"/>
      <c r="AW648" s="203"/>
      <c r="AX648" s="203"/>
      <c r="AY648" s="108"/>
      <c r="AZ648" s="203"/>
      <c r="BA648" s="203"/>
      <c r="BB648" s="203"/>
      <c r="BC648" s="203"/>
      <c r="BD648" s="108"/>
      <c r="BE648" s="108"/>
      <c r="BF648" s="108"/>
      <c r="BG648" s="108"/>
      <c r="BH648" s="351"/>
    </row>
    <row r="649" spans="1:60" s="345" customFormat="1" hidden="1" outlineLevel="1" x14ac:dyDescent="0.35">
      <c r="A649" s="91" t="s">
        <v>934</v>
      </c>
      <c r="B649" s="467"/>
      <c r="C649" s="124"/>
      <c r="D649" s="67">
        <f>AVERAGE(698+5080,728+4949,653+5105,1269+4183)</f>
        <v>5666.25</v>
      </c>
      <c r="E649" s="67">
        <f>AVERAGE(1133+4486,1116+4484,1204+4955,682+4484)</f>
        <v>5636</v>
      </c>
      <c r="F649" s="67">
        <f>AVERAGE(664+4510,650+5657,1506+4852,1085+4916)</f>
        <v>5960</v>
      </c>
      <c r="G649" s="123"/>
      <c r="H649" s="123"/>
      <c r="I649" s="123"/>
      <c r="J649" s="123"/>
      <c r="K649" s="67">
        <f>AVERAGE(G862,H862,I862,J862)</f>
        <v>5917</v>
      </c>
      <c r="L649" s="123"/>
      <c r="M649" s="123"/>
      <c r="N649" s="123"/>
      <c r="O649" s="123"/>
      <c r="P649" s="67">
        <f>AVERAGE(L862,M862,N862,O862)</f>
        <v>6926.25</v>
      </c>
      <c r="Q649" s="123"/>
      <c r="R649" s="123"/>
      <c r="S649" s="123"/>
      <c r="T649" s="123"/>
      <c r="U649" s="67">
        <f>AVERAGE(Q862,R862,S862,T862)</f>
        <v>9289.5</v>
      </c>
      <c r="V649" s="123"/>
      <c r="W649" s="123"/>
      <c r="X649" s="123"/>
      <c r="Y649" s="123"/>
      <c r="Z649" s="67">
        <f>AVERAGE(V862,W862,X862,Y862)</f>
        <v>11724.75</v>
      </c>
      <c r="AA649" s="123"/>
      <c r="AB649" s="123"/>
      <c r="AC649" s="123"/>
      <c r="AD649" s="123"/>
      <c r="AE649" s="67">
        <f>AVERAGE(AA862,AB862,AC862,AD862)</f>
        <v>12156</v>
      </c>
      <c r="AF649" s="123"/>
      <c r="AG649" s="123"/>
      <c r="AH649" s="123"/>
      <c r="AI649" s="123"/>
      <c r="AJ649" s="67">
        <f>AVERAGE(AF862,AG862,AH862,AI862)</f>
        <v>14911.75</v>
      </c>
      <c r="AK649" s="123"/>
      <c r="AL649" s="123"/>
      <c r="AM649" s="123"/>
      <c r="AN649" s="123"/>
      <c r="AO649" s="67">
        <f>AVERAGE(AK862,AL862,AM862,AN862)</f>
        <v>17982</v>
      </c>
      <c r="AP649" s="123"/>
      <c r="AQ649" s="123"/>
      <c r="AR649" s="123"/>
      <c r="AS649" s="123"/>
      <c r="AT649" s="67">
        <f>AVERAGE(AP862,AQ862,AR862,AS862)</f>
        <v>20412.5</v>
      </c>
      <c r="AU649" s="791"/>
      <c r="AV649" s="123"/>
      <c r="AW649" s="123"/>
      <c r="AX649" s="123"/>
      <c r="AY649" s="124"/>
      <c r="AZ649" s="123"/>
      <c r="BA649" s="123"/>
      <c r="BB649" s="123"/>
      <c r="BC649" s="123"/>
      <c r="BD649" s="124"/>
      <c r="BE649" s="124"/>
      <c r="BF649" s="124"/>
      <c r="BG649" s="124"/>
      <c r="BH649" s="351"/>
    </row>
    <row r="650" spans="1:60" s="69" customFormat="1" hidden="1" outlineLevel="1" x14ac:dyDescent="0.35">
      <c r="A650" s="90" t="s">
        <v>935</v>
      </c>
      <c r="B650" s="427"/>
      <c r="C650" s="112"/>
      <c r="D650" s="70">
        <f t="shared" ref="D650" si="927">SUM(D648:D649)</f>
        <v>20657.25</v>
      </c>
      <c r="E650" s="70">
        <f t="shared" ref="E650" si="928">SUM(E648:E649)</f>
        <v>22611.75</v>
      </c>
      <c r="F650" s="70">
        <f t="shared" ref="F650" si="929">SUM(F648:F649)</f>
        <v>23378.25</v>
      </c>
      <c r="G650" s="111"/>
      <c r="H650" s="111"/>
      <c r="I650" s="111"/>
      <c r="J650" s="111"/>
      <c r="K650" s="70">
        <f>SUM(K648:K649)</f>
        <v>24178.75</v>
      </c>
      <c r="L650" s="111"/>
      <c r="M650" s="111"/>
      <c r="N650" s="111"/>
      <c r="O650" s="111"/>
      <c r="P650" s="70">
        <f>SUM(P648:P649)</f>
        <v>23205.75</v>
      </c>
      <c r="Q650" s="111"/>
      <c r="R650" s="111"/>
      <c r="S650" s="111"/>
      <c r="T650" s="111"/>
      <c r="U650" s="70">
        <f>SUM(U648:U649)</f>
        <v>22052.75</v>
      </c>
      <c r="V650" s="111"/>
      <c r="W650" s="111"/>
      <c r="X650" s="111"/>
      <c r="Y650" s="111"/>
      <c r="Z650" s="70">
        <f>SUM(Z648:Z649)</f>
        <v>23040.75</v>
      </c>
      <c r="AA650" s="111"/>
      <c r="AB650" s="111"/>
      <c r="AC650" s="111"/>
      <c r="AD650" s="111"/>
      <c r="AE650" s="70">
        <f>SUM(AE648:AE649)</f>
        <v>23783</v>
      </c>
      <c r="AF650" s="111"/>
      <c r="AG650" s="111"/>
      <c r="AH650" s="111"/>
      <c r="AI650" s="111"/>
      <c r="AJ650" s="70">
        <f>SUM(AJ648:AJ649)</f>
        <v>25318.25</v>
      </c>
      <c r="AK650" s="111"/>
      <c r="AL650" s="111"/>
      <c r="AM650" s="111"/>
      <c r="AN650" s="111"/>
      <c r="AO650" s="70">
        <f>SUM(AO648:AO649)</f>
        <v>28179.25</v>
      </c>
      <c r="AP650" s="111"/>
      <c r="AQ650" s="111"/>
      <c r="AR650" s="111"/>
      <c r="AS650" s="111"/>
      <c r="AT650" s="70">
        <f>SUM(AT648:AT649)</f>
        <v>31912</v>
      </c>
      <c r="AU650" s="792"/>
      <c r="AV650" s="111"/>
      <c r="AW650" s="111"/>
      <c r="AX650" s="111"/>
      <c r="AY650" s="112"/>
      <c r="AZ650" s="111"/>
      <c r="BA650" s="111"/>
      <c r="BB650" s="111"/>
      <c r="BC650" s="111"/>
      <c r="BD650" s="112"/>
      <c r="BE650" s="112"/>
      <c r="BF650" s="112"/>
      <c r="BG650" s="112"/>
      <c r="BH650" s="79"/>
    </row>
    <row r="651" spans="1:60" s="225" customFormat="1" hidden="1" outlineLevel="1" x14ac:dyDescent="0.35">
      <c r="A651" s="227" t="s">
        <v>936</v>
      </c>
      <c r="B651" s="435"/>
      <c r="C651" s="116"/>
      <c r="D651" s="16">
        <f>D646/D650</f>
        <v>0.20856588206720419</v>
      </c>
      <c r="E651" s="16">
        <f>E646/E650</f>
        <v>0.19863003707537005</v>
      </c>
      <c r="F651" s="16">
        <f>F646/F650</f>
        <v>0.19815247914449347</v>
      </c>
      <c r="G651" s="299"/>
      <c r="H651" s="299"/>
      <c r="I651" s="299"/>
      <c r="J651" s="299"/>
      <c r="K651" s="16">
        <f>K646/K650</f>
        <v>0.19956861157856054</v>
      </c>
      <c r="L651" s="299"/>
      <c r="M651" s="299"/>
      <c r="N651" s="299"/>
      <c r="O651" s="299"/>
      <c r="P651" s="16">
        <f>P646/P650</f>
        <v>0.21973057580834385</v>
      </c>
      <c r="Q651" s="299"/>
      <c r="R651" s="299"/>
      <c r="S651" s="299"/>
      <c r="T651" s="299"/>
      <c r="U651" s="16">
        <f>U646/U650</f>
        <v>0.22431294418106354</v>
      </c>
      <c r="V651" s="299"/>
      <c r="W651" s="299"/>
      <c r="X651" s="299"/>
      <c r="Y651" s="299"/>
      <c r="Z651" s="16">
        <f>Z646/Z650</f>
        <v>0.22571796433401914</v>
      </c>
      <c r="AA651" s="299"/>
      <c r="AB651" s="299"/>
      <c r="AC651" s="299"/>
      <c r="AD651" s="299"/>
      <c r="AE651" s="16">
        <f>AE646/AE650</f>
        <v>0.21345974168801152</v>
      </c>
      <c r="AF651" s="299"/>
      <c r="AG651" s="299"/>
      <c r="AH651" s="299"/>
      <c r="AI651" s="299"/>
      <c r="AJ651" s="16">
        <f>AJ646/AJ650</f>
        <v>0.22241466136087604</v>
      </c>
      <c r="AK651" s="299"/>
      <c r="AL651" s="299"/>
      <c r="AM651" s="299"/>
      <c r="AN651" s="299"/>
      <c r="AO651" s="16">
        <f>AO646/AO650</f>
        <v>0.17535500586493991</v>
      </c>
      <c r="AP651" s="299"/>
      <c r="AQ651" s="299"/>
      <c r="AR651" s="299"/>
      <c r="AS651" s="299"/>
      <c r="AT651" s="16">
        <f>AT646/AT650</f>
        <v>0.18216055353981758</v>
      </c>
      <c r="AU651" s="794"/>
      <c r="AV651" s="299"/>
      <c r="AW651" s="299"/>
      <c r="AX651" s="299"/>
      <c r="AY651" s="116"/>
      <c r="AZ651" s="299"/>
      <c r="BA651" s="299"/>
      <c r="BB651" s="299"/>
      <c r="BC651" s="299"/>
      <c r="BD651" s="116"/>
      <c r="BE651" s="116"/>
      <c r="BF651" s="116"/>
      <c r="BG651" s="116"/>
      <c r="BH651" s="94"/>
    </row>
    <row r="652" spans="1:60" s="69" customFormat="1" collapsed="1" x14ac:dyDescent="0.35">
      <c r="A652" s="426"/>
      <c r="B652" s="427"/>
      <c r="C652" s="112"/>
      <c r="D652" s="112"/>
      <c r="E652" s="112"/>
      <c r="F652" s="112"/>
      <c r="G652" s="111"/>
      <c r="H652" s="111"/>
      <c r="I652" s="111"/>
      <c r="J652" s="111"/>
      <c r="K652" s="112"/>
      <c r="L652" s="111"/>
      <c r="M652" s="111"/>
      <c r="N652" s="111"/>
      <c r="O652" s="111"/>
      <c r="P652" s="112"/>
      <c r="Q652" s="111"/>
      <c r="R652" s="111"/>
      <c r="S652" s="111"/>
      <c r="T652" s="111"/>
      <c r="U652" s="112"/>
      <c r="V652" s="111"/>
      <c r="W652" s="111"/>
      <c r="X652" s="111"/>
      <c r="Y652" s="111"/>
      <c r="Z652" s="112"/>
      <c r="AA652" s="111"/>
      <c r="AB652" s="111"/>
      <c r="AC652" s="111"/>
      <c r="AD652" s="111"/>
      <c r="AE652" s="112"/>
      <c r="AF652" s="111"/>
      <c r="AG652" s="111"/>
      <c r="AH652" s="111"/>
      <c r="AI652" s="111"/>
      <c r="AJ652" s="112"/>
      <c r="AK652" s="111"/>
      <c r="AL652" s="111"/>
      <c r="AM652" s="111"/>
      <c r="AN652" s="111"/>
      <c r="AO652" s="112"/>
      <c r="AP652" s="111"/>
      <c r="AQ652" s="111"/>
      <c r="AR652" s="111"/>
      <c r="AS652" s="111"/>
      <c r="AT652" s="112"/>
      <c r="AU652" s="792"/>
      <c r="AV652" s="111"/>
      <c r="AW652" s="111"/>
      <c r="AX652" s="111"/>
      <c r="AY652" s="112"/>
      <c r="AZ652" s="111"/>
      <c r="BA652" s="111"/>
      <c r="BB652" s="111"/>
      <c r="BC652" s="111"/>
      <c r="BD652" s="112"/>
      <c r="BE652" s="112"/>
      <c r="BF652" s="112"/>
      <c r="BG652" s="112"/>
      <c r="BH652" s="79"/>
    </row>
    <row r="653" spans="1:60" s="55" customFormat="1" x14ac:dyDescent="0.35">
      <c r="A653" s="746" t="s">
        <v>831</v>
      </c>
      <c r="B653" s="746"/>
      <c r="C653" s="874"/>
      <c r="D653" s="874"/>
      <c r="E653" s="874"/>
      <c r="F653" s="874"/>
      <c r="G653" s="874"/>
      <c r="H653" s="874"/>
      <c r="I653" s="874"/>
      <c r="J653" s="874"/>
      <c r="K653" s="874"/>
      <c r="L653" s="874"/>
      <c r="M653" s="874"/>
      <c r="N653" s="874"/>
      <c r="O653" s="874"/>
      <c r="P653" s="874"/>
      <c r="Q653" s="874"/>
      <c r="R653" s="874"/>
      <c r="S653" s="874"/>
      <c r="T653" s="874"/>
      <c r="U653" s="874"/>
      <c r="V653" s="874"/>
      <c r="W653" s="874"/>
      <c r="X653" s="874"/>
      <c r="Y653" s="874"/>
      <c r="Z653" s="874"/>
      <c r="AA653" s="874"/>
      <c r="AB653" s="874"/>
      <c r="AC653" s="874"/>
      <c r="AD653" s="874"/>
      <c r="AE653" s="874"/>
      <c r="AF653" s="874"/>
      <c r="AG653" s="874"/>
      <c r="AH653" s="874"/>
      <c r="AI653" s="874"/>
      <c r="AJ653" s="874"/>
      <c r="AK653" s="874"/>
      <c r="AL653" s="874"/>
      <c r="AM653" s="874"/>
      <c r="AN653" s="874"/>
      <c r="AO653" s="874"/>
      <c r="AP653" s="874"/>
      <c r="AQ653" s="874"/>
      <c r="AR653" s="874"/>
      <c r="AS653" s="874"/>
      <c r="AT653" s="874"/>
      <c r="AU653" s="875"/>
      <c r="AV653" s="874"/>
      <c r="AW653" s="874"/>
      <c r="AX653" s="874"/>
      <c r="AY653" s="874"/>
      <c r="AZ653" s="874"/>
      <c r="BA653" s="874"/>
      <c r="BB653" s="874"/>
      <c r="BC653" s="874"/>
      <c r="BD653" s="874"/>
      <c r="BE653" s="874"/>
      <c r="BF653" s="874"/>
      <c r="BG653" s="874"/>
      <c r="BH653" s="130"/>
    </row>
    <row r="654" spans="1:60" s="345" customFormat="1" hidden="1" outlineLevel="1" x14ac:dyDescent="0.35">
      <c r="A654" s="161" t="s">
        <v>551</v>
      </c>
      <c r="B654" s="317"/>
      <c r="C654" s="46">
        <v>31513</v>
      </c>
      <c r="D654" s="46">
        <v>32955</v>
      </c>
      <c r="E654" s="46">
        <v>33128</v>
      </c>
      <c r="F654" s="46">
        <v>34851</v>
      </c>
      <c r="G654" s="203"/>
      <c r="H654" s="203"/>
      <c r="I654" s="203"/>
      <c r="J654" s="203"/>
      <c r="K654" s="46">
        <v>34719</v>
      </c>
      <c r="L654" s="203"/>
      <c r="M654" s="203"/>
      <c r="N654" s="203"/>
      <c r="O654" s="203"/>
      <c r="P654" s="46">
        <v>35581</v>
      </c>
      <c r="Q654" s="203"/>
      <c r="R654" s="203"/>
      <c r="S654" s="203"/>
      <c r="T654" s="203"/>
      <c r="U654" s="46">
        <v>35973</v>
      </c>
      <c r="V654" s="203"/>
      <c r="W654" s="203"/>
      <c r="X654" s="203"/>
      <c r="Y654" s="203"/>
      <c r="Z654" s="46">
        <v>35748</v>
      </c>
      <c r="AA654" s="203"/>
      <c r="AB654" s="203"/>
      <c r="AC654" s="203"/>
      <c r="AD654" s="203"/>
      <c r="AE654" s="46">
        <v>36958</v>
      </c>
      <c r="AF654" s="203"/>
      <c r="AG654" s="203"/>
      <c r="AH654" s="203"/>
      <c r="AI654" s="203"/>
      <c r="AJ654" s="46">
        <v>37412</v>
      </c>
      <c r="AK654" s="203"/>
      <c r="AL654" s="203"/>
      <c r="AM654" s="203"/>
      <c r="AN654" s="203"/>
      <c r="AO654" s="46">
        <v>39662</v>
      </c>
      <c r="AP654" s="203"/>
      <c r="AQ654" s="203"/>
      <c r="AR654" s="203"/>
      <c r="AS654" s="203"/>
      <c r="AT654" s="108"/>
      <c r="AU654" s="790"/>
      <c r="AV654" s="203"/>
      <c r="AW654" s="203"/>
      <c r="AX654" s="203"/>
      <c r="AY654" s="108"/>
      <c r="AZ654" s="203"/>
      <c r="BA654" s="203"/>
      <c r="BB654" s="203"/>
      <c r="BC654" s="203"/>
      <c r="BD654" s="108"/>
      <c r="BE654" s="108"/>
      <c r="BF654" s="108"/>
      <c r="BG654" s="108"/>
      <c r="BH654" s="351"/>
    </row>
    <row r="655" spans="1:60" s="345" customFormat="1" hidden="1" outlineLevel="1" x14ac:dyDescent="0.35">
      <c r="A655" s="161" t="s">
        <v>554</v>
      </c>
      <c r="B655" s="317"/>
      <c r="C655" s="46">
        <v>11745</v>
      </c>
      <c r="D655" s="46">
        <v>12658</v>
      </c>
      <c r="E655" s="46">
        <v>12942</v>
      </c>
      <c r="F655" s="46">
        <v>13978</v>
      </c>
      <c r="G655" s="203"/>
      <c r="H655" s="203"/>
      <c r="I655" s="203"/>
      <c r="J655" s="203"/>
      <c r="K655" s="46">
        <v>15027</v>
      </c>
      <c r="L655" s="203"/>
      <c r="M655" s="203"/>
      <c r="N655" s="203"/>
      <c r="O655" s="203"/>
      <c r="P655" s="46">
        <v>15859</v>
      </c>
      <c r="Q655" s="203"/>
      <c r="R655" s="203"/>
      <c r="S655" s="203"/>
      <c r="T655" s="203"/>
      <c r="U655" s="46">
        <v>15268</v>
      </c>
      <c r="V655" s="203"/>
      <c r="W655" s="203"/>
      <c r="X655" s="203"/>
      <c r="Y655" s="203"/>
      <c r="Z655" s="46">
        <v>17509</v>
      </c>
      <c r="AA655" s="203"/>
      <c r="AB655" s="203"/>
      <c r="AC655" s="203"/>
      <c r="AD655" s="203"/>
      <c r="AE655" s="46">
        <v>15426</v>
      </c>
      <c r="AF655" s="203"/>
      <c r="AG655" s="203"/>
      <c r="AH655" s="203"/>
      <c r="AI655" s="203"/>
      <c r="AJ655" s="46">
        <v>16249</v>
      </c>
      <c r="AK655" s="203"/>
      <c r="AL655" s="203"/>
      <c r="AM655" s="203"/>
      <c r="AN655" s="203"/>
      <c r="AO655" s="46">
        <v>16365</v>
      </c>
      <c r="AP655" s="203"/>
      <c r="AQ655" s="203"/>
      <c r="AR655" s="203"/>
      <c r="AS655" s="203"/>
      <c r="AT655" s="108"/>
      <c r="AU655" s="790"/>
      <c r="AV655" s="203"/>
      <c r="AW655" s="203"/>
      <c r="AX655" s="203"/>
      <c r="AY655" s="108"/>
      <c r="AZ655" s="203"/>
      <c r="BA655" s="203"/>
      <c r="BB655" s="203"/>
      <c r="BC655" s="203"/>
      <c r="BD655" s="108"/>
      <c r="BE655" s="108"/>
      <c r="BF655" s="108"/>
      <c r="BG655" s="108"/>
      <c r="BH655" s="351"/>
    </row>
    <row r="656" spans="1:60" s="345" customFormat="1" hidden="1" outlineLevel="1" x14ac:dyDescent="0.35">
      <c r="A656" s="534" t="s">
        <v>1070</v>
      </c>
      <c r="B656" s="425"/>
      <c r="C656" s="630">
        <f>C654+C655</f>
        <v>43258</v>
      </c>
      <c r="D656" s="630">
        <f>D654+D655</f>
        <v>45613</v>
      </c>
      <c r="E656" s="630">
        <f>E654+E655</f>
        <v>46070</v>
      </c>
      <c r="F656" s="630">
        <f>F654+F655</f>
        <v>48829</v>
      </c>
      <c r="G656" s="268"/>
      <c r="H656" s="268"/>
      <c r="I656" s="268"/>
      <c r="J656" s="268"/>
      <c r="K656" s="630">
        <f>K654+K655</f>
        <v>49746</v>
      </c>
      <c r="L656" s="268"/>
      <c r="M656" s="268"/>
      <c r="N656" s="268"/>
      <c r="O656" s="268"/>
      <c r="P656" s="630">
        <f>P654+P655</f>
        <v>51440</v>
      </c>
      <c r="Q656" s="268"/>
      <c r="R656" s="268"/>
      <c r="S656" s="268"/>
      <c r="T656" s="268"/>
      <c r="U656" s="630">
        <f>U654+U655</f>
        <v>51241</v>
      </c>
      <c r="V656" s="268"/>
      <c r="W656" s="268"/>
      <c r="X656" s="268"/>
      <c r="Y656" s="268"/>
      <c r="Z656" s="630">
        <f>Z654+Z655</f>
        <v>53257</v>
      </c>
      <c r="AA656" s="268"/>
      <c r="AB656" s="268"/>
      <c r="AC656" s="268"/>
      <c r="AD656" s="268"/>
      <c r="AE656" s="630">
        <f>AE654+AE655</f>
        <v>52384</v>
      </c>
      <c r="AF656" s="268"/>
      <c r="AG656" s="268"/>
      <c r="AH656" s="268"/>
      <c r="AI656" s="268"/>
      <c r="AJ656" s="630">
        <f>AJ654+AJ655</f>
        <v>53661</v>
      </c>
      <c r="AK656" s="268"/>
      <c r="AL656" s="268"/>
      <c r="AM656" s="268"/>
      <c r="AN656" s="268"/>
      <c r="AO656" s="630">
        <f>AO654+AO655</f>
        <v>56027</v>
      </c>
      <c r="AP656" s="268"/>
      <c r="AQ656" s="268"/>
      <c r="AR656" s="268"/>
      <c r="AS656" s="268"/>
      <c r="AT656" s="630">
        <v>56042</v>
      </c>
      <c r="AU656" s="795"/>
      <c r="AV656" s="268"/>
      <c r="AW656" s="268"/>
      <c r="AX656" s="268"/>
      <c r="AY656" s="269"/>
      <c r="AZ656" s="268"/>
      <c r="BA656" s="268"/>
      <c r="BB656" s="268"/>
      <c r="BC656" s="268"/>
      <c r="BD656" s="269"/>
      <c r="BE656" s="269"/>
      <c r="BF656" s="269"/>
      <c r="BG656" s="269"/>
      <c r="BH656" s="351"/>
    </row>
    <row r="657" spans="1:60" s="345" customFormat="1" hidden="1" outlineLevel="1" x14ac:dyDescent="0.35">
      <c r="A657" s="350" t="s">
        <v>552</v>
      </c>
      <c r="B657" s="317"/>
      <c r="C657" s="46">
        <v>13834</v>
      </c>
      <c r="D657" s="46">
        <v>16324</v>
      </c>
      <c r="E657" s="46">
        <v>18015</v>
      </c>
      <c r="F657" s="46">
        <v>18210</v>
      </c>
      <c r="G657" s="203"/>
      <c r="H657" s="203"/>
      <c r="I657" s="203"/>
      <c r="J657" s="203"/>
      <c r="K657" s="46">
        <v>18417</v>
      </c>
      <c r="L657" s="203"/>
      <c r="M657" s="203"/>
      <c r="N657" s="203"/>
      <c r="O657" s="203"/>
      <c r="P657" s="46">
        <v>17854</v>
      </c>
      <c r="Q657" s="203"/>
      <c r="R657" s="203"/>
      <c r="S657" s="203"/>
      <c r="T657" s="203"/>
      <c r="U657" s="46">
        <v>17642</v>
      </c>
      <c r="V657" s="203"/>
      <c r="W657" s="203"/>
      <c r="X657" s="203"/>
      <c r="Y657" s="203"/>
      <c r="Z657" s="46">
        <v>18124</v>
      </c>
      <c r="AA657" s="203"/>
      <c r="AB657" s="203"/>
      <c r="AC657" s="203"/>
      <c r="AD657" s="203"/>
      <c r="AE657" s="46">
        <v>18283</v>
      </c>
      <c r="AF657" s="203"/>
      <c r="AG657" s="203"/>
      <c r="AH657" s="203"/>
      <c r="AI657" s="203"/>
      <c r="AJ657" s="46">
        <v>18971</v>
      </c>
      <c r="AK657" s="203"/>
      <c r="AL657" s="203"/>
      <c r="AM657" s="203"/>
      <c r="AN657" s="203"/>
      <c r="AO657" s="46">
        <v>18724</v>
      </c>
      <c r="AP657" s="203"/>
      <c r="AQ657" s="203"/>
      <c r="AR657" s="203"/>
      <c r="AS657" s="203"/>
      <c r="AT657" s="46">
        <v>18271</v>
      </c>
      <c r="AU657" s="790"/>
      <c r="AV657" s="203"/>
      <c r="AW657" s="203"/>
      <c r="AX657" s="203"/>
      <c r="AY657" s="108"/>
      <c r="AZ657" s="203"/>
      <c r="BA657" s="203"/>
      <c r="BB657" s="203"/>
      <c r="BC657" s="203"/>
      <c r="BD657" s="108"/>
      <c r="BE657" s="108"/>
      <c r="BF657" s="108"/>
      <c r="BG657" s="108"/>
      <c r="BH657" s="351"/>
    </row>
    <row r="658" spans="1:60" s="345" customFormat="1" hidden="1" outlineLevel="1" x14ac:dyDescent="0.35">
      <c r="A658" s="350" t="s">
        <v>553</v>
      </c>
      <c r="B658" s="317"/>
      <c r="C658" s="46">
        <v>17743</v>
      </c>
      <c r="D658" s="46">
        <v>18120</v>
      </c>
      <c r="E658" s="46">
        <v>20113</v>
      </c>
      <c r="F658" s="46">
        <v>20638</v>
      </c>
      <c r="G658" s="203"/>
      <c r="H658" s="203"/>
      <c r="I658" s="203"/>
      <c r="J658" s="203"/>
      <c r="K658" s="46">
        <v>20504</v>
      </c>
      <c r="L658" s="203"/>
      <c r="M658" s="203"/>
      <c r="N658" s="203"/>
      <c r="O658" s="203"/>
      <c r="P658" s="46">
        <v>20506</v>
      </c>
      <c r="Q658" s="203"/>
      <c r="R658" s="203"/>
      <c r="S658" s="203"/>
      <c r="T658" s="203"/>
      <c r="U658" s="46">
        <v>20563</v>
      </c>
      <c r="V658" s="203"/>
      <c r="W658" s="203"/>
      <c r="X658" s="203"/>
      <c r="Y658" s="203"/>
      <c r="Z658" s="46">
        <v>20203</v>
      </c>
      <c r="AA658" s="203"/>
      <c r="AB658" s="203"/>
      <c r="AC658" s="203"/>
      <c r="AD658" s="203"/>
      <c r="AE658" s="46">
        <v>20869</v>
      </c>
      <c r="AF658" s="203"/>
      <c r="AG658" s="203"/>
      <c r="AH658" s="203"/>
      <c r="AI658" s="203"/>
      <c r="AJ658" s="46">
        <v>20884</v>
      </c>
      <c r="AK658" s="203"/>
      <c r="AL658" s="203"/>
      <c r="AM658" s="203"/>
      <c r="AN658" s="203"/>
      <c r="AO658" s="46">
        <v>21412</v>
      </c>
      <c r="AP658" s="203"/>
      <c r="AQ658" s="203"/>
      <c r="AR658" s="203"/>
      <c r="AS658" s="203"/>
      <c r="AT658" s="46">
        <v>20674</v>
      </c>
      <c r="AU658" s="790"/>
      <c r="AV658" s="203"/>
      <c r="AW658" s="203"/>
      <c r="AX658" s="203"/>
      <c r="AY658" s="108"/>
      <c r="AZ658" s="203"/>
      <c r="BA658" s="203"/>
      <c r="BB658" s="203"/>
      <c r="BC658" s="203"/>
      <c r="BD658" s="108"/>
      <c r="BE658" s="108"/>
      <c r="BF658" s="108"/>
      <c r="BG658" s="108"/>
      <c r="BH658" s="351"/>
    </row>
    <row r="659" spans="1:60" s="69" customFormat="1" hidden="1" outlineLevel="1" x14ac:dyDescent="0.35">
      <c r="A659" s="89" t="s">
        <v>555</v>
      </c>
      <c r="B659" s="319"/>
      <c r="C659" s="68">
        <f>SUM(C656:C658)</f>
        <v>74835</v>
      </c>
      <c r="D659" s="68">
        <f>SUM(D656:D658)</f>
        <v>80057</v>
      </c>
      <c r="E659" s="68">
        <f>SUM(E656:E658)</f>
        <v>84198</v>
      </c>
      <c r="F659" s="68">
        <f>SUM(F656:F658)</f>
        <v>87677</v>
      </c>
      <c r="G659" s="109"/>
      <c r="H659" s="109"/>
      <c r="I659" s="109"/>
      <c r="J659" s="109"/>
      <c r="K659" s="68">
        <f>SUM(K656:K658)</f>
        <v>88667</v>
      </c>
      <c r="L659" s="109"/>
      <c r="M659" s="109"/>
      <c r="N659" s="109"/>
      <c r="O659" s="109"/>
      <c r="P659" s="68">
        <f>SUM(P656:P658)</f>
        <v>89800</v>
      </c>
      <c r="Q659" s="109"/>
      <c r="R659" s="109"/>
      <c r="S659" s="109"/>
      <c r="T659" s="109"/>
      <c r="U659" s="68">
        <f>SUM(U656:U658)</f>
        <v>89446</v>
      </c>
      <c r="V659" s="109"/>
      <c r="W659" s="109"/>
      <c r="X659" s="109"/>
      <c r="Y659" s="109"/>
      <c r="Z659" s="68">
        <f>SUM(Z656:Z658)</f>
        <v>91584</v>
      </c>
      <c r="AA659" s="109"/>
      <c r="AB659" s="109"/>
      <c r="AC659" s="109"/>
      <c r="AD659" s="109"/>
      <c r="AE659" s="68">
        <f>SUM(AE656:AE658)</f>
        <v>91536</v>
      </c>
      <c r="AF659" s="109"/>
      <c r="AG659" s="109"/>
      <c r="AH659" s="109"/>
      <c r="AI659" s="109"/>
      <c r="AJ659" s="68">
        <f>SUM(AJ656:AJ658)</f>
        <v>93516</v>
      </c>
      <c r="AK659" s="109"/>
      <c r="AL659" s="109"/>
      <c r="AM659" s="109"/>
      <c r="AN659" s="109"/>
      <c r="AO659" s="68">
        <f>SUM(AO656:AO658)</f>
        <v>96163</v>
      </c>
      <c r="AP659" s="109"/>
      <c r="AQ659" s="109"/>
      <c r="AR659" s="109"/>
      <c r="AS659" s="109"/>
      <c r="AT659" s="68">
        <f>SUM(AT656:AT658)</f>
        <v>94987</v>
      </c>
      <c r="AU659" s="796"/>
      <c r="AV659" s="109"/>
      <c r="AW659" s="109"/>
      <c r="AX659" s="109"/>
      <c r="AY659" s="110"/>
      <c r="AZ659" s="109"/>
      <c r="BA659" s="109"/>
      <c r="BB659" s="109"/>
      <c r="BC659" s="109"/>
      <c r="BD659" s="110"/>
      <c r="BE659" s="110"/>
      <c r="BF659" s="110"/>
      <c r="BG659" s="110"/>
      <c r="BH659" s="79"/>
    </row>
    <row r="660" spans="1:60" s="69" customFormat="1" collapsed="1" x14ac:dyDescent="0.35">
      <c r="A660" s="426"/>
      <c r="B660" s="427"/>
      <c r="C660" s="112"/>
      <c r="D660" s="112"/>
      <c r="E660" s="112"/>
      <c r="F660" s="112"/>
      <c r="G660" s="111"/>
      <c r="H660" s="111"/>
      <c r="I660" s="111"/>
      <c r="J660" s="111"/>
      <c r="K660" s="112"/>
      <c r="L660" s="111"/>
      <c r="M660" s="111"/>
      <c r="N660" s="111"/>
      <c r="O660" s="111"/>
      <c r="P660" s="112"/>
      <c r="Q660" s="111"/>
      <c r="R660" s="111"/>
      <c r="S660" s="111"/>
      <c r="T660" s="111"/>
      <c r="U660" s="112"/>
      <c r="V660" s="111"/>
      <c r="W660" s="111"/>
      <c r="X660" s="111"/>
      <c r="Y660" s="111"/>
      <c r="Z660" s="112"/>
      <c r="AA660" s="111"/>
      <c r="AB660" s="111"/>
      <c r="AC660" s="111"/>
      <c r="AD660" s="111"/>
      <c r="AE660" s="112"/>
      <c r="AF660" s="111"/>
      <c r="AG660" s="111"/>
      <c r="AH660" s="111"/>
      <c r="AI660" s="111"/>
      <c r="AJ660" s="112"/>
      <c r="AK660" s="111"/>
      <c r="AL660" s="111"/>
      <c r="AM660" s="111"/>
      <c r="AN660" s="111"/>
      <c r="AO660" s="112"/>
      <c r="AP660" s="111"/>
      <c r="AQ660" s="111"/>
      <c r="AR660" s="111"/>
      <c r="AS660" s="111"/>
      <c r="AT660" s="112"/>
      <c r="AU660" s="792"/>
      <c r="AV660" s="111"/>
      <c r="AW660" s="111"/>
      <c r="AX660" s="111"/>
      <c r="AY660" s="112"/>
      <c r="AZ660" s="111"/>
      <c r="BA660" s="111"/>
      <c r="BB660" s="111"/>
      <c r="BC660" s="111"/>
      <c r="BD660" s="112"/>
      <c r="BE660" s="112"/>
      <c r="BF660" s="112"/>
      <c r="BG660" s="112"/>
      <c r="BH660" s="79"/>
    </row>
    <row r="661" spans="1:60" s="21" customFormat="1" x14ac:dyDescent="0.35">
      <c r="A661" s="746" t="s">
        <v>412</v>
      </c>
      <c r="B661" s="746"/>
      <c r="C661" s="874"/>
      <c r="D661" s="874"/>
      <c r="E661" s="874"/>
      <c r="F661" s="874"/>
      <c r="G661" s="874"/>
      <c r="H661" s="874"/>
      <c r="I661" s="874"/>
      <c r="J661" s="874"/>
      <c r="K661" s="874"/>
      <c r="L661" s="874"/>
      <c r="M661" s="874"/>
      <c r="N661" s="874"/>
      <c r="O661" s="874"/>
      <c r="P661" s="874"/>
      <c r="Q661" s="874"/>
      <c r="R661" s="874"/>
      <c r="S661" s="874"/>
      <c r="T661" s="874"/>
      <c r="U661" s="874"/>
      <c r="V661" s="874"/>
      <c r="W661" s="874"/>
      <c r="X661" s="874"/>
      <c r="Y661" s="874"/>
      <c r="Z661" s="874"/>
      <c r="AA661" s="874"/>
      <c r="AB661" s="874"/>
      <c r="AC661" s="874"/>
      <c r="AD661" s="874"/>
      <c r="AE661" s="874"/>
      <c r="AF661" s="874"/>
      <c r="AG661" s="874"/>
      <c r="AH661" s="874"/>
      <c r="AI661" s="874"/>
      <c r="AJ661" s="874"/>
      <c r="AK661" s="874"/>
      <c r="AL661" s="874"/>
      <c r="AM661" s="874"/>
      <c r="AN661" s="874"/>
      <c r="AO661" s="874"/>
      <c r="AP661" s="874"/>
      <c r="AQ661" s="874"/>
      <c r="AR661" s="874"/>
      <c r="AS661" s="874"/>
      <c r="AT661" s="874"/>
      <c r="AU661" s="875"/>
      <c r="AV661" s="874"/>
      <c r="AW661" s="874"/>
      <c r="AX661" s="874"/>
      <c r="AY661" s="874"/>
      <c r="AZ661" s="874"/>
      <c r="BA661" s="874"/>
      <c r="BB661" s="874"/>
      <c r="BC661" s="874"/>
      <c r="BD661" s="874"/>
      <c r="BE661" s="874"/>
      <c r="BF661" s="874"/>
      <c r="BG661" s="874"/>
      <c r="BH661" s="651"/>
    </row>
    <row r="662" spans="1:60" s="87" customFormat="1" hidden="1" outlineLevel="1" x14ac:dyDescent="0.35">
      <c r="A662" s="99" t="s">
        <v>655</v>
      </c>
      <c r="B662" s="312"/>
      <c r="C662" s="105"/>
      <c r="D662" s="105"/>
      <c r="E662" s="105"/>
      <c r="F662" s="105"/>
      <c r="G662" s="200"/>
      <c r="H662" s="200"/>
      <c r="I662" s="200"/>
      <c r="J662" s="200"/>
      <c r="K662" s="105"/>
      <c r="L662" s="200"/>
      <c r="M662" s="200"/>
      <c r="N662" s="200"/>
      <c r="O662" s="200"/>
      <c r="P662" s="105"/>
      <c r="Q662" s="200"/>
      <c r="R662" s="200"/>
      <c r="S662" s="200"/>
      <c r="T662" s="200"/>
      <c r="U662" s="105"/>
      <c r="V662" s="200"/>
      <c r="W662" s="200"/>
      <c r="X662" s="200"/>
      <c r="Y662" s="200"/>
      <c r="Z662" s="105"/>
      <c r="AA662" s="78">
        <v>5.7000000000000002E-2</v>
      </c>
      <c r="AB662" s="78">
        <v>3.7999999999999999E-2</v>
      </c>
      <c r="AC662" s="78">
        <v>6.0999999999999999E-2</v>
      </c>
      <c r="AD662" s="78">
        <v>3.9E-2</v>
      </c>
      <c r="AE662" s="47">
        <v>4.9000000000000002E-2</v>
      </c>
      <c r="AF662" s="78">
        <v>2.1999999999999999E-2</v>
      </c>
      <c r="AG662" s="78">
        <v>5.7000000000000002E-2</v>
      </c>
      <c r="AH662" s="78">
        <v>2.1999999999999999E-2</v>
      </c>
      <c r="AI662" s="78">
        <v>2.5000000000000001E-2</v>
      </c>
      <c r="AJ662" s="47">
        <v>3.2000000000000001E-2</v>
      </c>
      <c r="AK662" s="78">
        <v>-2.8000000000000001E-2</v>
      </c>
      <c r="AL662" s="200"/>
      <c r="AM662" s="200"/>
      <c r="AN662" s="200"/>
      <c r="AO662" s="105"/>
      <c r="AP662" s="200"/>
      <c r="AQ662" s="200"/>
      <c r="AR662" s="200"/>
      <c r="AS662" s="200"/>
      <c r="AT662" s="105"/>
      <c r="AU662" s="761"/>
      <c r="AV662" s="200"/>
      <c r="AW662" s="200"/>
      <c r="AX662" s="200"/>
      <c r="AY662" s="105"/>
      <c r="AZ662" s="200"/>
      <c r="BA662" s="200"/>
      <c r="BB662" s="200"/>
      <c r="BC662" s="200"/>
      <c r="BD662" s="105"/>
      <c r="BE662" s="105"/>
      <c r="BF662" s="105"/>
      <c r="BG662" s="105"/>
      <c r="BH662" s="363"/>
    </row>
    <row r="663" spans="1:60" s="87" customFormat="1" hidden="1" outlineLevel="1" x14ac:dyDescent="0.35">
      <c r="A663" s="99" t="s">
        <v>656</v>
      </c>
      <c r="B663" s="312"/>
      <c r="C663" s="105"/>
      <c r="D663" s="105"/>
      <c r="E663" s="105"/>
      <c r="F663" s="105"/>
      <c r="G663" s="200"/>
      <c r="H663" s="200"/>
      <c r="I663" s="200"/>
      <c r="J663" s="200"/>
      <c r="K663" s="105"/>
      <c r="L663" s="200"/>
      <c r="M663" s="200"/>
      <c r="N663" s="200"/>
      <c r="O663" s="200"/>
      <c r="P663" s="105"/>
      <c r="Q663" s="200"/>
      <c r="R663" s="200"/>
      <c r="S663" s="200"/>
      <c r="T663" s="200"/>
      <c r="U663" s="105"/>
      <c r="V663" s="200"/>
      <c r="W663" s="200"/>
      <c r="X663" s="200"/>
      <c r="Y663" s="200"/>
      <c r="Z663" s="105"/>
      <c r="AA663" s="78">
        <v>4.8000000000000001E-2</v>
      </c>
      <c r="AB663" s="78">
        <v>3.2000000000000001E-2</v>
      </c>
      <c r="AC663" s="78">
        <v>0.06</v>
      </c>
      <c r="AD663" s="78">
        <v>0.107</v>
      </c>
      <c r="AE663" s="47">
        <v>6.0999999999999999E-2</v>
      </c>
      <c r="AF663" s="78">
        <v>6.9000000000000006E-2</v>
      </c>
      <c r="AG663" s="78">
        <v>8.5000000000000006E-2</v>
      </c>
      <c r="AH663" s="78">
        <v>2.1999999999999999E-2</v>
      </c>
      <c r="AI663" s="78">
        <v>3.3000000000000002E-2</v>
      </c>
      <c r="AJ663" s="47">
        <v>5.0999999999999997E-2</v>
      </c>
      <c r="AK663" s="78">
        <v>-1E-3</v>
      </c>
      <c r="AL663" s="200"/>
      <c r="AM663" s="200"/>
      <c r="AN663" s="200"/>
      <c r="AO663" s="105"/>
      <c r="AP663" s="200"/>
      <c r="AQ663" s="200"/>
      <c r="AR663" s="200"/>
      <c r="AS663" s="200"/>
      <c r="AT663" s="105"/>
      <c r="AU663" s="761"/>
      <c r="AV663" s="200"/>
      <c r="AW663" s="200"/>
      <c r="AX663" s="200"/>
      <c r="AY663" s="105"/>
      <c r="AZ663" s="200"/>
      <c r="BA663" s="200"/>
      <c r="BB663" s="200"/>
      <c r="BC663" s="200"/>
      <c r="BD663" s="105"/>
      <c r="BE663" s="105"/>
      <c r="BF663" s="105"/>
      <c r="BG663" s="105"/>
      <c r="BH663" s="363"/>
    </row>
    <row r="664" spans="1:60" s="87" customFormat="1" hidden="1" outlineLevel="1" x14ac:dyDescent="0.35">
      <c r="A664" s="99" t="s">
        <v>657</v>
      </c>
      <c r="B664" s="312"/>
      <c r="C664" s="105"/>
      <c r="D664" s="105"/>
      <c r="E664" s="105"/>
      <c r="F664" s="105"/>
      <c r="G664" s="200"/>
      <c r="H664" s="200"/>
      <c r="I664" s="200"/>
      <c r="J664" s="200"/>
      <c r="K664" s="105"/>
      <c r="L664" s="200"/>
      <c r="M664" s="200"/>
      <c r="N664" s="200"/>
      <c r="O664" s="200"/>
      <c r="P664" s="105"/>
      <c r="Q664" s="200"/>
      <c r="R664" s="200"/>
      <c r="S664" s="200"/>
      <c r="T664" s="200"/>
      <c r="U664" s="105"/>
      <c r="V664" s="200"/>
      <c r="W664" s="200"/>
      <c r="X664" s="200"/>
      <c r="Y664" s="200"/>
      <c r="Z664" s="105"/>
      <c r="AA664" s="78">
        <v>3.1E-2</v>
      </c>
      <c r="AB664" s="78">
        <v>2.5000000000000001E-2</v>
      </c>
      <c r="AC664" s="78">
        <v>6.9000000000000006E-2</v>
      </c>
      <c r="AD664" s="78">
        <v>3.1E-2</v>
      </c>
      <c r="AE664" s="47">
        <v>3.9E-2</v>
      </c>
      <c r="AF664" s="78">
        <v>2.7E-2</v>
      </c>
      <c r="AG664" s="78">
        <v>3.7999999999999999E-2</v>
      </c>
      <c r="AH664" s="78">
        <v>-1.0999999999999999E-2</v>
      </c>
      <c r="AI664" s="78">
        <v>4.8000000000000001E-2</v>
      </c>
      <c r="AJ664" s="47">
        <v>2.5999999999999999E-2</v>
      </c>
      <c r="AK664" s="78">
        <v>7.0000000000000001E-3</v>
      </c>
      <c r="AL664" s="200"/>
      <c r="AM664" s="200"/>
      <c r="AN664" s="200"/>
      <c r="AO664" s="105"/>
      <c r="AP664" s="200"/>
      <c r="AQ664" s="200"/>
      <c r="AR664" s="200"/>
      <c r="AS664" s="200"/>
      <c r="AT664" s="105"/>
      <c r="AU664" s="761"/>
      <c r="AV664" s="200"/>
      <c r="AW664" s="200"/>
      <c r="AX664" s="200"/>
      <c r="AY664" s="105"/>
      <c r="AZ664" s="200"/>
      <c r="BA664" s="200"/>
      <c r="BB664" s="200"/>
      <c r="BC664" s="200"/>
      <c r="BD664" s="105"/>
      <c r="BE664" s="105"/>
      <c r="BF664" s="105"/>
      <c r="BG664" s="105"/>
      <c r="BH664" s="363"/>
    </row>
    <row r="665" spans="1:60" s="87" customFormat="1" hidden="1" outlineLevel="1" x14ac:dyDescent="0.35">
      <c r="A665" s="99" t="s">
        <v>658</v>
      </c>
      <c r="B665" s="312"/>
      <c r="C665" s="105"/>
      <c r="D665" s="105"/>
      <c r="E665" s="105"/>
      <c r="F665" s="105"/>
      <c r="G665" s="200"/>
      <c r="H665" s="200"/>
      <c r="I665" s="200"/>
      <c r="J665" s="200"/>
      <c r="K665" s="105"/>
      <c r="L665" s="200"/>
      <c r="M665" s="200"/>
      <c r="N665" s="200"/>
      <c r="O665" s="200"/>
      <c r="P665" s="105"/>
      <c r="Q665" s="200"/>
      <c r="R665" s="200"/>
      <c r="S665" s="200"/>
      <c r="T665" s="200"/>
      <c r="U665" s="105"/>
      <c r="V665" s="200"/>
      <c r="W665" s="200"/>
      <c r="X665" s="200"/>
      <c r="Y665" s="200"/>
      <c r="Z665" s="105"/>
      <c r="AA665" s="78">
        <v>0.115</v>
      </c>
      <c r="AB665" s="78">
        <v>8.4000000000000005E-2</v>
      </c>
      <c r="AC665" s="78">
        <v>0.13200000000000001</v>
      </c>
      <c r="AD665" s="78">
        <v>0.11</v>
      </c>
      <c r="AE665" s="47">
        <v>0.11</v>
      </c>
      <c r="AF665" s="78">
        <v>1.7000000000000001E-2</v>
      </c>
      <c r="AG665" s="78">
        <v>5.1999999999999998E-2</v>
      </c>
      <c r="AH665" s="78">
        <v>2.3E-2</v>
      </c>
      <c r="AI665" s="78">
        <v>4.1000000000000002E-2</v>
      </c>
      <c r="AJ665" s="47">
        <v>3.3000000000000002E-2</v>
      </c>
      <c r="AK665" s="78">
        <v>-0.03</v>
      </c>
      <c r="AL665" s="200"/>
      <c r="AM665" s="200"/>
      <c r="AN665" s="200"/>
      <c r="AO665" s="105"/>
      <c r="AP665" s="200"/>
      <c r="AQ665" s="200"/>
      <c r="AR665" s="200"/>
      <c r="AS665" s="200"/>
      <c r="AT665" s="105"/>
      <c r="AU665" s="761"/>
      <c r="AV665" s="200"/>
      <c r="AW665" s="200"/>
      <c r="AX665" s="200"/>
      <c r="AY665" s="105"/>
      <c r="AZ665" s="200"/>
      <c r="BA665" s="200"/>
      <c r="BB665" s="200"/>
      <c r="BC665" s="200"/>
      <c r="BD665" s="105"/>
      <c r="BE665" s="105"/>
      <c r="BF665" s="105"/>
      <c r="BG665" s="105"/>
      <c r="BH665" s="363"/>
    </row>
    <row r="666" spans="1:60" s="87" customFormat="1" hidden="1" outlineLevel="1" x14ac:dyDescent="0.35">
      <c r="A666" s="99" t="s">
        <v>659</v>
      </c>
      <c r="B666" s="312"/>
      <c r="C666" s="105"/>
      <c r="D666" s="105"/>
      <c r="E666" s="105"/>
      <c r="F666" s="105"/>
      <c r="G666" s="200"/>
      <c r="H666" s="200"/>
      <c r="I666" s="200"/>
      <c r="J666" s="200"/>
      <c r="K666" s="105"/>
      <c r="L666" s="200"/>
      <c r="M666" s="200"/>
      <c r="N666" s="200"/>
      <c r="O666" s="200"/>
      <c r="P666" s="105"/>
      <c r="Q666" s="200"/>
      <c r="R666" s="200"/>
      <c r="S666" s="200"/>
      <c r="T666" s="200"/>
      <c r="U666" s="105"/>
      <c r="V666" s="200"/>
      <c r="W666" s="200"/>
      <c r="X666" s="200"/>
      <c r="Y666" s="200"/>
      <c r="Z666" s="105"/>
      <c r="AA666" s="78">
        <v>-1.2E-2</v>
      </c>
      <c r="AB666" s="78">
        <v>7.0000000000000001E-3</v>
      </c>
      <c r="AC666" s="78">
        <v>1.9E-2</v>
      </c>
      <c r="AD666" s="78">
        <v>5.3999999999999999E-2</v>
      </c>
      <c r="AE666" s="47">
        <v>1.7000000000000001E-2</v>
      </c>
      <c r="AF666" s="78">
        <v>2.1000000000000001E-2</v>
      </c>
      <c r="AG666" s="78">
        <v>4.2999999999999997E-2</v>
      </c>
      <c r="AH666" s="78">
        <v>-0.02</v>
      </c>
      <c r="AI666" s="78">
        <v>1.9E-2</v>
      </c>
      <c r="AJ666" s="47">
        <v>1.4999999999999999E-2</v>
      </c>
      <c r="AK666" s="78">
        <v>8.9999999999999993E-3</v>
      </c>
      <c r="AL666" s="200"/>
      <c r="AM666" s="200"/>
      <c r="AN666" s="200"/>
      <c r="AO666" s="105"/>
      <c r="AP666" s="200"/>
      <c r="AQ666" s="200"/>
      <c r="AR666" s="200"/>
      <c r="AS666" s="200"/>
      <c r="AT666" s="105"/>
      <c r="AU666" s="761"/>
      <c r="AV666" s="200"/>
      <c r="AW666" s="200"/>
      <c r="AX666" s="200"/>
      <c r="AY666" s="105"/>
      <c r="AZ666" s="200"/>
      <c r="BA666" s="200"/>
      <c r="BB666" s="200"/>
      <c r="BC666" s="200"/>
      <c r="BD666" s="105"/>
      <c r="BE666" s="105"/>
      <c r="BF666" s="105"/>
      <c r="BG666" s="105"/>
      <c r="BH666" s="363"/>
    </row>
    <row r="667" spans="1:60" s="69" customFormat="1" hidden="1" outlineLevel="1" x14ac:dyDescent="0.35">
      <c r="A667" s="426"/>
      <c r="B667" s="427"/>
      <c r="C667" s="112"/>
      <c r="D667" s="112"/>
      <c r="E667" s="112"/>
      <c r="F667" s="112"/>
      <c r="G667" s="111"/>
      <c r="H667" s="111"/>
      <c r="I667" s="111"/>
      <c r="J667" s="111"/>
      <c r="K667" s="112"/>
      <c r="L667" s="111"/>
      <c r="M667" s="111"/>
      <c r="N667" s="111"/>
      <c r="O667" s="111"/>
      <c r="P667" s="112"/>
      <c r="Q667" s="111"/>
      <c r="R667" s="111"/>
      <c r="S667" s="111"/>
      <c r="T667" s="111"/>
      <c r="U667" s="112"/>
      <c r="V667" s="111"/>
      <c r="W667" s="111"/>
      <c r="X667" s="111"/>
      <c r="Y667" s="111"/>
      <c r="Z667" s="112"/>
      <c r="AA667" s="111"/>
      <c r="AB667" s="111"/>
      <c r="AC667" s="111"/>
      <c r="AD667" s="111"/>
      <c r="AE667" s="112"/>
      <c r="AF667" s="111"/>
      <c r="AG667" s="111"/>
      <c r="AH667" s="111"/>
      <c r="AI667" s="111"/>
      <c r="AJ667" s="112"/>
      <c r="AK667" s="111"/>
      <c r="AL667" s="111"/>
      <c r="AM667" s="111"/>
      <c r="AN667" s="111"/>
      <c r="AO667" s="112"/>
      <c r="AP667" s="111"/>
      <c r="AQ667" s="111"/>
      <c r="AR667" s="111"/>
      <c r="AS667" s="111"/>
      <c r="AT667" s="112"/>
      <c r="AU667" s="792"/>
      <c r="AV667" s="111"/>
      <c r="AW667" s="111"/>
      <c r="AX667" s="111"/>
      <c r="AY667" s="112"/>
      <c r="AZ667" s="111"/>
      <c r="BA667" s="111"/>
      <c r="BB667" s="111"/>
      <c r="BC667" s="111"/>
      <c r="BD667" s="112"/>
      <c r="BE667" s="112"/>
      <c r="BF667" s="112"/>
      <c r="BG667" s="112"/>
      <c r="BH667" s="79"/>
    </row>
    <row r="668" spans="1:60" s="60" customFormat="1" hidden="1" outlineLevel="1" x14ac:dyDescent="0.35">
      <c r="A668" s="350" t="s">
        <v>660</v>
      </c>
      <c r="B668" s="317"/>
      <c r="C668" s="108"/>
      <c r="D668" s="108"/>
      <c r="E668" s="108"/>
      <c r="F668" s="108"/>
      <c r="G668" s="203"/>
      <c r="H668" s="203"/>
      <c r="I668" s="203"/>
      <c r="J668" s="203"/>
      <c r="K668" s="108"/>
      <c r="L668" s="351">
        <v>2803</v>
      </c>
      <c r="M668" s="351">
        <v>2842</v>
      </c>
      <c r="N668" s="351">
        <v>2797</v>
      </c>
      <c r="O668" s="351">
        <f t="shared" ref="O668:O674" si="930">P668-SUM(L668,M668,N668)</f>
        <v>2648</v>
      </c>
      <c r="P668" s="46">
        <v>11090</v>
      </c>
      <c r="Q668" s="351">
        <v>2679</v>
      </c>
      <c r="R668" s="351">
        <v>2655</v>
      </c>
      <c r="S668" s="351">
        <v>2582</v>
      </c>
      <c r="T668" s="351">
        <f t="shared" ref="T668:T674" si="931">U668-SUM(Q668,R668,S668)</f>
        <v>2472</v>
      </c>
      <c r="U668" s="46">
        <v>10388</v>
      </c>
      <c r="V668" s="351">
        <v>2599</v>
      </c>
      <c r="W668" s="351">
        <v>2654</v>
      </c>
      <c r="X668" s="351">
        <v>2603</v>
      </c>
      <c r="Y668" s="351">
        <f t="shared" ref="Y668:Y674" si="932">Z668-SUM(V668,W668,X668)</f>
        <v>2543</v>
      </c>
      <c r="Z668" s="46">
        <v>10399</v>
      </c>
      <c r="AA668" s="351">
        <v>2936</v>
      </c>
      <c r="AB668" s="351">
        <v>2946</v>
      </c>
      <c r="AC668" s="351">
        <v>3023</v>
      </c>
      <c r="AD668" s="351">
        <f t="shared" ref="AD668:AD674" si="933">AE668-SUM(AA668,AB668,AC668)</f>
        <v>2961</v>
      </c>
      <c r="AE668" s="46">
        <v>11866</v>
      </c>
      <c r="AF668" s="351">
        <v>3144</v>
      </c>
      <c r="AG668" s="351">
        <v>3148</v>
      </c>
      <c r="AH668" s="351">
        <v>3023</v>
      </c>
      <c r="AI668" s="351">
        <f t="shared" ref="AI668:AI674" si="934">AJ668-SUM(AF668,AG668,AH668)</f>
        <v>2952</v>
      </c>
      <c r="AJ668" s="46">
        <v>12267</v>
      </c>
      <c r="AK668" s="351">
        <v>2929</v>
      </c>
      <c r="AL668" s="203"/>
      <c r="AM668" s="203"/>
      <c r="AN668" s="203"/>
      <c r="AO668" s="108"/>
      <c r="AP668" s="203"/>
      <c r="AQ668" s="203"/>
      <c r="AR668" s="203"/>
      <c r="AS668" s="203"/>
      <c r="AT668" s="108"/>
      <c r="AU668" s="790"/>
      <c r="AV668" s="203"/>
      <c r="AW668" s="203"/>
      <c r="AX668" s="203"/>
      <c r="AY668" s="108"/>
      <c r="AZ668" s="203"/>
      <c r="BA668" s="203"/>
      <c r="BB668" s="203"/>
      <c r="BC668" s="203"/>
      <c r="BD668" s="108"/>
      <c r="BE668" s="108"/>
      <c r="BF668" s="108"/>
      <c r="BG668" s="108"/>
      <c r="BH668" s="351"/>
    </row>
    <row r="669" spans="1:60" s="60" customFormat="1" hidden="1" outlineLevel="1" x14ac:dyDescent="0.35">
      <c r="A669" s="350" t="s">
        <v>661</v>
      </c>
      <c r="B669" s="317"/>
      <c r="C669" s="108"/>
      <c r="D669" s="108"/>
      <c r="E669" s="108"/>
      <c r="F669" s="108"/>
      <c r="G669" s="203"/>
      <c r="H669" s="203"/>
      <c r="I669" s="203"/>
      <c r="J669" s="203"/>
      <c r="K669" s="108"/>
      <c r="L669" s="351">
        <v>1496</v>
      </c>
      <c r="M669" s="351">
        <v>1571</v>
      </c>
      <c r="N669" s="351">
        <v>1514</v>
      </c>
      <c r="O669" s="351">
        <f t="shared" si="930"/>
        <v>1413</v>
      </c>
      <c r="P669" s="46">
        <v>5994</v>
      </c>
      <c r="Q669" s="351">
        <v>1436</v>
      </c>
      <c r="R669" s="351">
        <v>1492</v>
      </c>
      <c r="S669" s="351">
        <v>1474</v>
      </c>
      <c r="T669" s="351">
        <f t="shared" si="931"/>
        <v>1334</v>
      </c>
      <c r="U669" s="46">
        <v>5736</v>
      </c>
      <c r="V669" s="351">
        <v>1477</v>
      </c>
      <c r="W669" s="351">
        <v>1561</v>
      </c>
      <c r="X669" s="351">
        <v>1500</v>
      </c>
      <c r="Y669" s="351">
        <f t="shared" si="932"/>
        <v>1343</v>
      </c>
      <c r="Z669" s="46">
        <v>5881</v>
      </c>
      <c r="AA669" s="351">
        <v>1550</v>
      </c>
      <c r="AB669" s="351">
        <v>1569</v>
      </c>
      <c r="AC669" s="351">
        <v>1551</v>
      </c>
      <c r="AD669" s="351">
        <f t="shared" si="933"/>
        <v>1565</v>
      </c>
      <c r="AE669" s="46">
        <v>6235</v>
      </c>
      <c r="AF669" s="351">
        <v>1783</v>
      </c>
      <c r="AG669" s="351">
        <v>1815</v>
      </c>
      <c r="AH669" s="351">
        <v>1660</v>
      </c>
      <c r="AI669" s="351">
        <f t="shared" si="934"/>
        <v>1569</v>
      </c>
      <c r="AJ669" s="46">
        <v>6827</v>
      </c>
      <c r="AK669" s="351">
        <v>1704</v>
      </c>
      <c r="AL669" s="203"/>
      <c r="AM669" s="203"/>
      <c r="AN669" s="203"/>
      <c r="AO669" s="108"/>
      <c r="AP669" s="203"/>
      <c r="AQ669" s="203"/>
      <c r="AR669" s="203"/>
      <c r="AS669" s="203"/>
      <c r="AT669" s="108"/>
      <c r="AU669" s="790"/>
      <c r="AV669" s="203"/>
      <c r="AW669" s="203"/>
      <c r="AX669" s="203"/>
      <c r="AY669" s="108"/>
      <c r="AZ669" s="203"/>
      <c r="BA669" s="203"/>
      <c r="BB669" s="203"/>
      <c r="BC669" s="203"/>
      <c r="BD669" s="108"/>
      <c r="BE669" s="108"/>
      <c r="BF669" s="108"/>
      <c r="BG669" s="108"/>
      <c r="BH669" s="351"/>
    </row>
    <row r="670" spans="1:60" s="60" customFormat="1" hidden="1" outlineLevel="1" x14ac:dyDescent="0.35">
      <c r="A670" s="350" t="s">
        <v>662</v>
      </c>
      <c r="B670" s="317"/>
      <c r="C670" s="108"/>
      <c r="D670" s="108"/>
      <c r="E670" s="108"/>
      <c r="F670" s="108"/>
      <c r="G670" s="203"/>
      <c r="H670" s="203"/>
      <c r="I670" s="203"/>
      <c r="J670" s="203"/>
      <c r="K670" s="108"/>
      <c r="L670" s="351">
        <v>1381</v>
      </c>
      <c r="M670" s="351">
        <v>1423</v>
      </c>
      <c r="N670" s="351">
        <v>1399</v>
      </c>
      <c r="O670" s="351">
        <f t="shared" si="930"/>
        <v>1399</v>
      </c>
      <c r="P670" s="46">
        <v>5602</v>
      </c>
      <c r="Q670" s="351">
        <v>1337</v>
      </c>
      <c r="R670" s="351">
        <v>1370</v>
      </c>
      <c r="S670" s="351">
        <v>1354</v>
      </c>
      <c r="T670" s="351">
        <f t="shared" si="931"/>
        <v>1388</v>
      </c>
      <c r="U670" s="46">
        <v>5449</v>
      </c>
      <c r="V670" s="351">
        <v>1391</v>
      </c>
      <c r="W670" s="351">
        <v>1414</v>
      </c>
      <c r="X670" s="351">
        <v>1371</v>
      </c>
      <c r="Y670" s="351">
        <f t="shared" si="932"/>
        <v>1390</v>
      </c>
      <c r="Z670" s="46">
        <v>5566</v>
      </c>
      <c r="AA670" s="351">
        <v>1435</v>
      </c>
      <c r="AB670" s="351">
        <v>1449</v>
      </c>
      <c r="AC670" s="351">
        <v>1485</v>
      </c>
      <c r="AD670" s="351">
        <f t="shared" si="933"/>
        <v>1484</v>
      </c>
      <c r="AE670" s="46">
        <v>5853</v>
      </c>
      <c r="AF670" s="351">
        <v>1536</v>
      </c>
      <c r="AG670" s="351">
        <v>1520</v>
      </c>
      <c r="AH670" s="351">
        <v>1445</v>
      </c>
      <c r="AI670" s="351">
        <f t="shared" si="934"/>
        <v>1520</v>
      </c>
      <c r="AJ670" s="46">
        <v>6021</v>
      </c>
      <c r="AK670" s="351">
        <v>1540</v>
      </c>
      <c r="AL670" s="203"/>
      <c r="AM670" s="203"/>
      <c r="AN670" s="203"/>
      <c r="AO670" s="108"/>
      <c r="AP670" s="203"/>
      <c r="AQ670" s="203"/>
      <c r="AR670" s="203"/>
      <c r="AS670" s="203"/>
      <c r="AT670" s="108"/>
      <c r="AU670" s="790"/>
      <c r="AV670" s="203"/>
      <c r="AW670" s="203"/>
      <c r="AX670" s="203"/>
      <c r="AY670" s="108"/>
      <c r="AZ670" s="203"/>
      <c r="BA670" s="203"/>
      <c r="BB670" s="203"/>
      <c r="BC670" s="203"/>
      <c r="BD670" s="108"/>
      <c r="BE670" s="108"/>
      <c r="BF670" s="108"/>
      <c r="BG670" s="108"/>
      <c r="BH670" s="351"/>
    </row>
    <row r="671" spans="1:60" s="60" customFormat="1" hidden="1" outlineLevel="1" x14ac:dyDescent="0.35">
      <c r="A671" s="350" t="s">
        <v>663</v>
      </c>
      <c r="B671" s="317"/>
      <c r="C671" s="108"/>
      <c r="D671" s="108"/>
      <c r="E671" s="108"/>
      <c r="F671" s="108"/>
      <c r="G671" s="203"/>
      <c r="H671" s="203"/>
      <c r="I671" s="203"/>
      <c r="J671" s="203"/>
      <c r="K671" s="108"/>
      <c r="L671" s="351">
        <v>1246</v>
      </c>
      <c r="M671" s="351">
        <v>1358</v>
      </c>
      <c r="N671" s="351">
        <v>1448</v>
      </c>
      <c r="O671" s="351">
        <f t="shared" si="930"/>
        <v>1337</v>
      </c>
      <c r="P671" s="46">
        <v>5389</v>
      </c>
      <c r="Q671" s="351">
        <v>1271</v>
      </c>
      <c r="R671" s="351">
        <v>1261</v>
      </c>
      <c r="S671" s="351">
        <v>1348</v>
      </c>
      <c r="T671" s="351">
        <f t="shared" si="931"/>
        <v>1189</v>
      </c>
      <c r="U671" s="46">
        <v>5069</v>
      </c>
      <c r="V671" s="351">
        <v>1089</v>
      </c>
      <c r="W671" s="351">
        <v>1129</v>
      </c>
      <c r="X671" s="351">
        <v>1250</v>
      </c>
      <c r="Y671" s="351">
        <f t="shared" si="932"/>
        <v>1175</v>
      </c>
      <c r="Z671" s="46">
        <v>4643</v>
      </c>
      <c r="AA671" s="351">
        <v>1291</v>
      </c>
      <c r="AB671" s="351">
        <v>1290</v>
      </c>
      <c r="AC671" s="351">
        <v>1515</v>
      </c>
      <c r="AD671" s="351">
        <f t="shared" si="933"/>
        <v>1405</v>
      </c>
      <c r="AE671" s="46">
        <v>5501</v>
      </c>
      <c r="AF671" s="351">
        <v>1350</v>
      </c>
      <c r="AG671" s="351">
        <v>1337</v>
      </c>
      <c r="AH671" s="351">
        <v>1443</v>
      </c>
      <c r="AI671" s="351">
        <f t="shared" si="934"/>
        <v>1342</v>
      </c>
      <c r="AJ671" s="46">
        <v>5472</v>
      </c>
      <c r="AK671" s="351">
        <v>1190</v>
      </c>
      <c r="AL671" s="203"/>
      <c r="AM671" s="203"/>
      <c r="AN671" s="203"/>
      <c r="AO671" s="108"/>
      <c r="AP671" s="203"/>
      <c r="AQ671" s="203"/>
      <c r="AR671" s="203"/>
      <c r="AS671" s="203"/>
      <c r="AT671" s="108"/>
      <c r="AU671" s="790"/>
      <c r="AV671" s="203"/>
      <c r="AW671" s="203"/>
      <c r="AX671" s="203"/>
      <c r="AY671" s="108"/>
      <c r="AZ671" s="203"/>
      <c r="BA671" s="203"/>
      <c r="BB671" s="203"/>
      <c r="BC671" s="203"/>
      <c r="BD671" s="108"/>
      <c r="BE671" s="108"/>
      <c r="BF671" s="108"/>
      <c r="BG671" s="108"/>
      <c r="BH671" s="351"/>
    </row>
    <row r="672" spans="1:60" s="60" customFormat="1" hidden="1" outlineLevel="1" x14ac:dyDescent="0.35">
      <c r="A672" s="350" t="s">
        <v>664</v>
      </c>
      <c r="B672" s="317"/>
      <c r="C672" s="108"/>
      <c r="D672" s="108"/>
      <c r="E672" s="108"/>
      <c r="F672" s="108"/>
      <c r="G672" s="203"/>
      <c r="H672" s="203"/>
      <c r="I672" s="203"/>
      <c r="J672" s="203"/>
      <c r="K672" s="108"/>
      <c r="L672" s="351">
        <v>1081</v>
      </c>
      <c r="M672" s="351">
        <v>1143</v>
      </c>
      <c r="N672" s="351">
        <v>1179</v>
      </c>
      <c r="O672" s="351">
        <f t="shared" si="930"/>
        <v>1130</v>
      </c>
      <c r="P672" s="46">
        <v>4533</v>
      </c>
      <c r="Q672" s="351">
        <v>1050</v>
      </c>
      <c r="R672" s="351">
        <v>1114</v>
      </c>
      <c r="S672" s="351">
        <v>1163</v>
      </c>
      <c r="T672" s="351">
        <f t="shared" si="931"/>
        <v>1102</v>
      </c>
      <c r="U672" s="46">
        <v>4429</v>
      </c>
      <c r="V672" s="351">
        <v>1050</v>
      </c>
      <c r="W672" s="351">
        <v>1130</v>
      </c>
      <c r="X672" s="351">
        <v>1210</v>
      </c>
      <c r="Y672" s="351">
        <f t="shared" si="932"/>
        <v>1094</v>
      </c>
      <c r="Z672" s="46">
        <v>4484</v>
      </c>
      <c r="AA672" s="351">
        <v>1073</v>
      </c>
      <c r="AB672" s="351">
        <v>1169</v>
      </c>
      <c r="AC672" s="351">
        <v>1279</v>
      </c>
      <c r="AD672" s="351">
        <f t="shared" si="933"/>
        <v>1210</v>
      </c>
      <c r="AE672" s="46">
        <v>4731</v>
      </c>
      <c r="AF672" s="351">
        <v>1127</v>
      </c>
      <c r="AG672" s="351">
        <v>1223</v>
      </c>
      <c r="AH672" s="351">
        <v>1235</v>
      </c>
      <c r="AI672" s="351">
        <f t="shared" si="934"/>
        <v>1211</v>
      </c>
      <c r="AJ672" s="46">
        <v>4796</v>
      </c>
      <c r="AK672" s="351">
        <v>1123</v>
      </c>
      <c r="AL672" s="203"/>
      <c r="AM672" s="203"/>
      <c r="AN672" s="203"/>
      <c r="AO672" s="108"/>
      <c r="AP672" s="203"/>
      <c r="AQ672" s="203"/>
      <c r="AR672" s="203"/>
      <c r="AS672" s="203"/>
      <c r="AT672" s="108"/>
      <c r="AU672" s="790"/>
      <c r="AV672" s="203"/>
      <c r="AW672" s="203"/>
      <c r="AX672" s="203"/>
      <c r="AY672" s="108"/>
      <c r="AZ672" s="203"/>
      <c r="BA672" s="203"/>
      <c r="BB672" s="203"/>
      <c r="BC672" s="203"/>
      <c r="BD672" s="108"/>
      <c r="BE672" s="108"/>
      <c r="BF672" s="108"/>
      <c r="BG672" s="108"/>
      <c r="BH672" s="351"/>
    </row>
    <row r="673" spans="1:60" s="60" customFormat="1" hidden="1" outlineLevel="1" x14ac:dyDescent="0.35">
      <c r="A673" s="350" t="s">
        <v>665</v>
      </c>
      <c r="B673" s="317"/>
      <c r="C673" s="108"/>
      <c r="D673" s="108"/>
      <c r="E673" s="108"/>
      <c r="F673" s="108"/>
      <c r="G673" s="203"/>
      <c r="H673" s="203"/>
      <c r="I673" s="203"/>
      <c r="J673" s="203"/>
      <c r="K673" s="108"/>
      <c r="L673" s="351">
        <v>3</v>
      </c>
      <c r="M673" s="351">
        <v>-1</v>
      </c>
      <c r="N673" s="351">
        <v>2</v>
      </c>
      <c r="O673" s="351">
        <f t="shared" si="930"/>
        <v>1</v>
      </c>
      <c r="P673" s="46">
        <v>5</v>
      </c>
      <c r="Q673" s="351">
        <v>0</v>
      </c>
      <c r="R673" s="351">
        <v>-4</v>
      </c>
      <c r="S673" s="351">
        <v>2</v>
      </c>
      <c r="T673" s="351">
        <f t="shared" si="931"/>
        <v>0</v>
      </c>
      <c r="U673" s="46">
        <v>-2</v>
      </c>
      <c r="V673" s="351">
        <v>0</v>
      </c>
      <c r="W673" s="351">
        <v>3</v>
      </c>
      <c r="X673" s="351">
        <v>2</v>
      </c>
      <c r="Y673" s="351">
        <f t="shared" si="932"/>
        <v>2</v>
      </c>
      <c r="Z673" s="46">
        <v>7</v>
      </c>
      <c r="AA673" s="351">
        <v>1</v>
      </c>
      <c r="AB673" s="351">
        <v>2</v>
      </c>
      <c r="AC673" s="351">
        <v>3</v>
      </c>
      <c r="AD673" s="351">
        <f t="shared" si="933"/>
        <v>-3</v>
      </c>
      <c r="AE673" s="46">
        <v>3</v>
      </c>
      <c r="AF673" s="351">
        <v>0</v>
      </c>
      <c r="AG673" s="351">
        <v>12</v>
      </c>
      <c r="AH673" s="351">
        <v>35</v>
      </c>
      <c r="AI673" s="351">
        <f t="shared" si="934"/>
        <v>3</v>
      </c>
      <c r="AJ673" s="46">
        <v>50</v>
      </c>
      <c r="AK673" s="351">
        <v>21</v>
      </c>
      <c r="AL673" s="203"/>
      <c r="AM673" s="203"/>
      <c r="AN673" s="203"/>
      <c r="AO673" s="108"/>
      <c r="AP673" s="203"/>
      <c r="AQ673" s="203"/>
      <c r="AR673" s="203"/>
      <c r="AS673" s="203"/>
      <c r="AT673" s="108"/>
      <c r="AU673" s="790"/>
      <c r="AV673" s="203"/>
      <c r="AW673" s="203"/>
      <c r="AX673" s="203"/>
      <c r="AY673" s="108"/>
      <c r="AZ673" s="203"/>
      <c r="BA673" s="203"/>
      <c r="BB673" s="203"/>
      <c r="BC673" s="203"/>
      <c r="BD673" s="108"/>
      <c r="BE673" s="108"/>
      <c r="BF673" s="108"/>
      <c r="BG673" s="108"/>
      <c r="BH673" s="351"/>
    </row>
    <row r="674" spans="1:60" s="60" customFormat="1" hidden="1" outlineLevel="1" x14ac:dyDescent="0.35">
      <c r="A674" s="350" t="s">
        <v>666</v>
      </c>
      <c r="B674" s="317"/>
      <c r="C674" s="108"/>
      <c r="D674" s="108"/>
      <c r="E674" s="108"/>
      <c r="F674" s="108"/>
      <c r="G674" s="203"/>
      <c r="H674" s="203"/>
      <c r="I674" s="203"/>
      <c r="J674" s="203"/>
      <c r="K674" s="108"/>
      <c r="L674" s="351">
        <v>-179</v>
      </c>
      <c r="M674" s="351">
        <v>-202</v>
      </c>
      <c r="N674" s="351">
        <v>-202</v>
      </c>
      <c r="O674" s="351">
        <f t="shared" si="930"/>
        <v>-209</v>
      </c>
      <c r="P674" s="46">
        <v>-792</v>
      </c>
      <c r="Q674" s="351">
        <v>-195</v>
      </c>
      <c r="R674" s="351">
        <v>-202</v>
      </c>
      <c r="S674" s="351">
        <v>-211</v>
      </c>
      <c r="T674" s="351">
        <f t="shared" si="931"/>
        <v>-187</v>
      </c>
      <c r="U674" s="46">
        <v>-795</v>
      </c>
      <c r="V674" s="351">
        <v>-197</v>
      </c>
      <c r="W674" s="351">
        <v>-229</v>
      </c>
      <c r="X674" s="351">
        <v>-227</v>
      </c>
      <c r="Y674" s="351">
        <f t="shared" si="932"/>
        <v>-218</v>
      </c>
      <c r="Z674" s="46">
        <v>-871</v>
      </c>
      <c r="AA674" s="351">
        <v>-601</v>
      </c>
      <c r="AB674" s="351">
        <v>-615</v>
      </c>
      <c r="AC674" s="351">
        <v>-684</v>
      </c>
      <c r="AD674" s="351">
        <f t="shared" si="933"/>
        <v>-632</v>
      </c>
      <c r="AE674" s="46">
        <v>-2532</v>
      </c>
      <c r="AF674" s="351">
        <v>-662</v>
      </c>
      <c r="AG674" s="351">
        <v>-665</v>
      </c>
      <c r="AH674" s="351">
        <v>-689</v>
      </c>
      <c r="AI674" s="351">
        <f t="shared" si="934"/>
        <v>-652</v>
      </c>
      <c r="AJ674" s="46">
        <v>-2668</v>
      </c>
      <c r="AK674" s="351">
        <v>-644</v>
      </c>
      <c r="AL674" s="203"/>
      <c r="AM674" s="203"/>
      <c r="AN674" s="203"/>
      <c r="AO674" s="108"/>
      <c r="AP674" s="203"/>
      <c r="AQ674" s="203"/>
      <c r="AR674" s="203"/>
      <c r="AS674" s="203"/>
      <c r="AT674" s="108"/>
      <c r="AU674" s="790"/>
      <c r="AV674" s="203"/>
      <c r="AW674" s="203"/>
      <c r="AX674" s="203"/>
      <c r="AY674" s="108"/>
      <c r="AZ674" s="203"/>
      <c r="BA674" s="203"/>
      <c r="BB674" s="203"/>
      <c r="BC674" s="203"/>
      <c r="BD674" s="108"/>
      <c r="BE674" s="108"/>
      <c r="BF674" s="108"/>
      <c r="BG674" s="108"/>
      <c r="BH674" s="351"/>
    </row>
    <row r="675" spans="1:60" s="69" customFormat="1" hidden="1" outlineLevel="1" x14ac:dyDescent="0.35">
      <c r="A675" s="89" t="s">
        <v>667</v>
      </c>
      <c r="B675" s="319"/>
      <c r="C675" s="110"/>
      <c r="D675" s="110"/>
      <c r="E675" s="110"/>
      <c r="F675" s="110"/>
      <c r="G675" s="109"/>
      <c r="H675" s="109"/>
      <c r="I675" s="109"/>
      <c r="J675" s="109"/>
      <c r="K675" s="110"/>
      <c r="L675" s="76">
        <f t="shared" ref="L675:AK675" si="935">SUM(L668:L674)</f>
        <v>7831</v>
      </c>
      <c r="M675" s="76">
        <f t="shared" si="935"/>
        <v>8134</v>
      </c>
      <c r="N675" s="76">
        <f t="shared" si="935"/>
        <v>8137</v>
      </c>
      <c r="O675" s="76">
        <f t="shared" si="935"/>
        <v>7719</v>
      </c>
      <c r="P675" s="68">
        <f t="shared" si="935"/>
        <v>31821</v>
      </c>
      <c r="Q675" s="76">
        <f t="shared" si="935"/>
        <v>7578</v>
      </c>
      <c r="R675" s="76">
        <f t="shared" si="935"/>
        <v>7686</v>
      </c>
      <c r="S675" s="76">
        <f t="shared" si="935"/>
        <v>7712</v>
      </c>
      <c r="T675" s="76">
        <f t="shared" si="935"/>
        <v>7298</v>
      </c>
      <c r="U675" s="68">
        <f t="shared" si="935"/>
        <v>30274</v>
      </c>
      <c r="V675" s="76">
        <f t="shared" si="935"/>
        <v>7409</v>
      </c>
      <c r="W675" s="76">
        <f t="shared" si="935"/>
        <v>7662</v>
      </c>
      <c r="X675" s="76">
        <f t="shared" si="935"/>
        <v>7709</v>
      </c>
      <c r="Y675" s="76">
        <f t="shared" si="935"/>
        <v>7329</v>
      </c>
      <c r="Z675" s="68">
        <f t="shared" si="935"/>
        <v>30109</v>
      </c>
      <c r="AA675" s="76">
        <f t="shared" si="935"/>
        <v>7685</v>
      </c>
      <c r="AB675" s="76">
        <f t="shared" si="935"/>
        <v>7810</v>
      </c>
      <c r="AC675" s="76">
        <f t="shared" si="935"/>
        <v>8172</v>
      </c>
      <c r="AD675" s="76">
        <f t="shared" si="935"/>
        <v>7990</v>
      </c>
      <c r="AE675" s="68">
        <f t="shared" si="935"/>
        <v>31657</v>
      </c>
      <c r="AF675" s="76">
        <f t="shared" si="935"/>
        <v>8278</v>
      </c>
      <c r="AG675" s="76">
        <f t="shared" si="935"/>
        <v>8390</v>
      </c>
      <c r="AH675" s="76">
        <f t="shared" si="935"/>
        <v>8152</v>
      </c>
      <c r="AI675" s="76">
        <f t="shared" si="935"/>
        <v>7945</v>
      </c>
      <c r="AJ675" s="68">
        <f t="shared" si="935"/>
        <v>32765</v>
      </c>
      <c r="AK675" s="76">
        <f t="shared" si="935"/>
        <v>7863</v>
      </c>
      <c r="AL675" s="109"/>
      <c r="AM675" s="109"/>
      <c r="AN675" s="109"/>
      <c r="AO675" s="110"/>
      <c r="AP675" s="109"/>
      <c r="AQ675" s="109"/>
      <c r="AR675" s="109"/>
      <c r="AS675" s="109"/>
      <c r="AT675" s="110"/>
      <c r="AU675" s="796"/>
      <c r="AV675" s="109"/>
      <c r="AW675" s="109"/>
      <c r="AX675" s="109"/>
      <c r="AY675" s="110"/>
      <c r="AZ675" s="109"/>
      <c r="BA675" s="109"/>
      <c r="BB675" s="109"/>
      <c r="BC675" s="109"/>
      <c r="BD675" s="110"/>
      <c r="BE675" s="110"/>
      <c r="BF675" s="110"/>
      <c r="BG675" s="110"/>
      <c r="BH675" s="79"/>
    </row>
    <row r="676" spans="1:60" s="69" customFormat="1" hidden="1" outlineLevel="1" x14ac:dyDescent="0.35">
      <c r="A676" s="426"/>
      <c r="B676" s="427"/>
      <c r="C676" s="112"/>
      <c r="D676" s="112"/>
      <c r="E676" s="112"/>
      <c r="F676" s="112"/>
      <c r="G676" s="111"/>
      <c r="H676" s="111"/>
      <c r="I676" s="111"/>
      <c r="J676" s="111"/>
      <c r="K676" s="112"/>
      <c r="L676" s="111"/>
      <c r="M676" s="111"/>
      <c r="N676" s="111"/>
      <c r="O676" s="111"/>
      <c r="P676" s="112"/>
      <c r="Q676" s="111"/>
      <c r="R676" s="111"/>
      <c r="S676" s="111"/>
      <c r="T676" s="111"/>
      <c r="U676" s="112"/>
      <c r="V676" s="111"/>
      <c r="W676" s="111"/>
      <c r="X676" s="111"/>
      <c r="Y676" s="111"/>
      <c r="Z676" s="112"/>
      <c r="AA676" s="111"/>
      <c r="AB676" s="111"/>
      <c r="AC676" s="111"/>
      <c r="AD676" s="111"/>
      <c r="AE676" s="112"/>
      <c r="AF676" s="111"/>
      <c r="AG676" s="111"/>
      <c r="AH676" s="111"/>
      <c r="AI676" s="111"/>
      <c r="AJ676" s="112"/>
      <c r="AK676" s="111"/>
      <c r="AL676" s="111"/>
      <c r="AM676" s="111"/>
      <c r="AN676" s="111"/>
      <c r="AO676" s="112"/>
      <c r="AP676" s="111"/>
      <c r="AQ676" s="111"/>
      <c r="AR676" s="111"/>
      <c r="AS676" s="111"/>
      <c r="AT676" s="112"/>
      <c r="AU676" s="792"/>
      <c r="AV676" s="111"/>
      <c r="AW676" s="111"/>
      <c r="AX676" s="111"/>
      <c r="AY676" s="112"/>
      <c r="AZ676" s="111"/>
      <c r="BA676" s="111"/>
      <c r="BB676" s="111"/>
      <c r="BC676" s="111"/>
      <c r="BD676" s="112"/>
      <c r="BE676" s="112"/>
      <c r="BF676" s="112"/>
      <c r="BG676" s="112"/>
      <c r="BH676" s="79"/>
    </row>
    <row r="677" spans="1:60" s="60" customFormat="1" hidden="1" outlineLevel="1" x14ac:dyDescent="0.35">
      <c r="A677" s="350" t="s">
        <v>668</v>
      </c>
      <c r="B677" s="317"/>
      <c r="C677" s="108"/>
      <c r="D677" s="108"/>
      <c r="E677" s="108"/>
      <c r="F677" s="108"/>
      <c r="G677" s="203"/>
      <c r="H677" s="203"/>
      <c r="I677" s="203"/>
      <c r="J677" s="203"/>
      <c r="K677" s="108"/>
      <c r="L677" s="351">
        <v>622</v>
      </c>
      <c r="M677" s="351">
        <v>621</v>
      </c>
      <c r="N677" s="351">
        <v>620</v>
      </c>
      <c r="O677" s="351">
        <f t="shared" ref="O677:O683" si="936">P677-SUM(L677,M677,N677)</f>
        <v>541</v>
      </c>
      <c r="P677" s="46">
        <v>2404</v>
      </c>
      <c r="Q677" s="351">
        <v>601</v>
      </c>
      <c r="R677" s="351">
        <v>613</v>
      </c>
      <c r="S677" s="351">
        <v>584</v>
      </c>
      <c r="T677" s="351">
        <f t="shared" ref="T677:T683" si="937">U677-SUM(Q677,R677,S677)</f>
        <v>479</v>
      </c>
      <c r="U677" s="46">
        <v>2277</v>
      </c>
      <c r="V677" s="351">
        <v>622</v>
      </c>
      <c r="W677" s="351">
        <v>620</v>
      </c>
      <c r="X677" s="351">
        <v>595</v>
      </c>
      <c r="Y677" s="351">
        <f t="shared" ref="Y677:Y683" si="938">Z677-SUM(V677,W677,X677)</f>
        <v>558</v>
      </c>
      <c r="Z677" s="46">
        <v>2395</v>
      </c>
      <c r="AA677" s="351">
        <v>670</v>
      </c>
      <c r="AB677" s="351">
        <v>568</v>
      </c>
      <c r="AC677" s="351">
        <v>672</v>
      </c>
      <c r="AD677" s="351">
        <f t="shared" ref="AD677:AD683" si="939">AE677-SUM(AA677,AB677,AC677)</f>
        <v>580</v>
      </c>
      <c r="AE677" s="46">
        <v>2490</v>
      </c>
      <c r="AF677" s="351">
        <v>719</v>
      </c>
      <c r="AG677" s="351">
        <v>724</v>
      </c>
      <c r="AH677" s="351">
        <v>667</v>
      </c>
      <c r="AI677" s="351">
        <f t="shared" ref="AI677:AI683" si="940">AJ677-SUM(AF677,AG677,AH677)</f>
        <v>627</v>
      </c>
      <c r="AJ677" s="46">
        <v>2737</v>
      </c>
      <c r="AK677" s="351">
        <v>585</v>
      </c>
      <c r="AL677" s="203"/>
      <c r="AM677" s="203"/>
      <c r="AN677" s="203"/>
      <c r="AO677" s="108"/>
      <c r="AP677" s="203"/>
      <c r="AQ677" s="203"/>
      <c r="AR677" s="203"/>
      <c r="AS677" s="203"/>
      <c r="AT677" s="108"/>
      <c r="AU677" s="790"/>
      <c r="AV677" s="203"/>
      <c r="AW677" s="203"/>
      <c r="AX677" s="203"/>
      <c r="AY677" s="108"/>
      <c r="AZ677" s="203"/>
      <c r="BA677" s="203"/>
      <c r="BB677" s="203"/>
      <c r="BC677" s="203"/>
      <c r="BD677" s="108"/>
      <c r="BE677" s="108"/>
      <c r="BF677" s="108"/>
      <c r="BG677" s="108"/>
      <c r="BH677" s="351"/>
    </row>
    <row r="678" spans="1:60" s="60" customFormat="1" hidden="1" outlineLevel="1" x14ac:dyDescent="0.35">
      <c r="A678" s="350" t="s">
        <v>669</v>
      </c>
      <c r="B678" s="317"/>
      <c r="C678" s="108"/>
      <c r="D678" s="108"/>
      <c r="E678" s="108"/>
      <c r="F678" s="108"/>
      <c r="G678" s="203"/>
      <c r="H678" s="203"/>
      <c r="I678" s="203"/>
      <c r="J678" s="203"/>
      <c r="K678" s="108"/>
      <c r="L678" s="351">
        <v>335</v>
      </c>
      <c r="M678" s="351">
        <v>372</v>
      </c>
      <c r="N678" s="351">
        <v>350</v>
      </c>
      <c r="O678" s="351">
        <f t="shared" si="936"/>
        <v>285</v>
      </c>
      <c r="P678" s="46">
        <v>1342</v>
      </c>
      <c r="Q678" s="351">
        <v>348</v>
      </c>
      <c r="R678" s="351">
        <v>373</v>
      </c>
      <c r="S678" s="351">
        <v>332</v>
      </c>
      <c r="T678" s="351">
        <f t="shared" si="937"/>
        <v>279</v>
      </c>
      <c r="U678" s="46">
        <v>1332</v>
      </c>
      <c r="V678" s="351">
        <v>359</v>
      </c>
      <c r="W678" s="351">
        <v>421</v>
      </c>
      <c r="X678" s="351">
        <v>372</v>
      </c>
      <c r="Y678" s="351">
        <f t="shared" si="938"/>
        <v>271</v>
      </c>
      <c r="Z678" s="46">
        <v>1423</v>
      </c>
      <c r="AA678" s="351">
        <v>399</v>
      </c>
      <c r="AB678" s="351">
        <v>851</v>
      </c>
      <c r="AC678" s="351">
        <v>411</v>
      </c>
      <c r="AD678" s="351">
        <f t="shared" si="939"/>
        <v>405</v>
      </c>
      <c r="AE678" s="46">
        <v>2066</v>
      </c>
      <c r="AF678" s="351">
        <v>483</v>
      </c>
      <c r="AG678" s="351">
        <v>480</v>
      </c>
      <c r="AH678" s="351">
        <v>412</v>
      </c>
      <c r="AI678" s="351">
        <f t="shared" si="940"/>
        <v>345</v>
      </c>
      <c r="AJ678" s="46">
        <v>1720</v>
      </c>
      <c r="AK678" s="351">
        <v>396</v>
      </c>
      <c r="AL678" s="203"/>
      <c r="AM678" s="203"/>
      <c r="AN678" s="203"/>
      <c r="AO678" s="108"/>
      <c r="AP678" s="203"/>
      <c r="AQ678" s="203"/>
      <c r="AR678" s="203"/>
      <c r="AS678" s="203"/>
      <c r="AT678" s="108"/>
      <c r="AU678" s="790"/>
      <c r="AV678" s="203"/>
      <c r="AW678" s="203"/>
      <c r="AX678" s="203"/>
      <c r="AY678" s="108"/>
      <c r="AZ678" s="203"/>
      <c r="BA678" s="203"/>
      <c r="BB678" s="203"/>
      <c r="BC678" s="203"/>
      <c r="BD678" s="108"/>
      <c r="BE678" s="108"/>
      <c r="BF678" s="108"/>
      <c r="BG678" s="108"/>
      <c r="BH678" s="351"/>
    </row>
    <row r="679" spans="1:60" s="60" customFormat="1" hidden="1" outlineLevel="1" x14ac:dyDescent="0.35">
      <c r="A679" s="350" t="s">
        <v>670</v>
      </c>
      <c r="B679" s="317"/>
      <c r="C679" s="108"/>
      <c r="D679" s="108"/>
      <c r="E679" s="108"/>
      <c r="F679" s="108"/>
      <c r="G679" s="203"/>
      <c r="H679" s="203"/>
      <c r="I679" s="203"/>
      <c r="J679" s="203"/>
      <c r="K679" s="108"/>
      <c r="L679" s="351">
        <v>428</v>
      </c>
      <c r="M679" s="351">
        <v>437</v>
      </c>
      <c r="N679" s="351">
        <v>433</v>
      </c>
      <c r="O679" s="351">
        <f t="shared" si="936"/>
        <v>433</v>
      </c>
      <c r="P679" s="46">
        <v>1731</v>
      </c>
      <c r="Q679" s="351">
        <v>410</v>
      </c>
      <c r="R679" s="351">
        <v>441</v>
      </c>
      <c r="S679" s="351">
        <v>434</v>
      </c>
      <c r="T679" s="351">
        <f t="shared" si="937"/>
        <v>445</v>
      </c>
      <c r="U679" s="46">
        <v>1730</v>
      </c>
      <c r="V679" s="351">
        <v>457</v>
      </c>
      <c r="W679" s="351">
        <v>462</v>
      </c>
      <c r="X679" s="351">
        <v>431</v>
      </c>
      <c r="Y679" s="351">
        <f t="shared" si="938"/>
        <v>413</v>
      </c>
      <c r="Z679" s="46">
        <v>1763</v>
      </c>
      <c r="AA679" s="351">
        <v>429</v>
      </c>
      <c r="AB679" s="351">
        <v>408</v>
      </c>
      <c r="AC679" s="351">
        <v>467</v>
      </c>
      <c r="AD679" s="351">
        <f t="shared" si="939"/>
        <v>460</v>
      </c>
      <c r="AE679" s="46">
        <v>1764</v>
      </c>
      <c r="AF679" s="351">
        <v>460</v>
      </c>
      <c r="AG679" s="351">
        <v>435</v>
      </c>
      <c r="AH679" s="351">
        <v>446</v>
      </c>
      <c r="AI679" s="351">
        <f t="shared" si="940"/>
        <v>458</v>
      </c>
      <c r="AJ679" s="46">
        <v>1799</v>
      </c>
      <c r="AK679" s="351">
        <v>432</v>
      </c>
      <c r="AL679" s="203"/>
      <c r="AM679" s="203"/>
      <c r="AN679" s="203"/>
      <c r="AO679" s="108"/>
      <c r="AP679" s="203"/>
      <c r="AQ679" s="203"/>
      <c r="AR679" s="203"/>
      <c r="AS679" s="203"/>
      <c r="AT679" s="108"/>
      <c r="AU679" s="790"/>
      <c r="AV679" s="203"/>
      <c r="AW679" s="203"/>
      <c r="AX679" s="203"/>
      <c r="AY679" s="108"/>
      <c r="AZ679" s="203"/>
      <c r="BA679" s="203"/>
      <c r="BB679" s="203"/>
      <c r="BC679" s="203"/>
      <c r="BD679" s="108"/>
      <c r="BE679" s="108"/>
      <c r="BF679" s="108"/>
      <c r="BG679" s="108"/>
      <c r="BH679" s="351"/>
    </row>
    <row r="680" spans="1:60" s="60" customFormat="1" hidden="1" outlineLevel="1" x14ac:dyDescent="0.35">
      <c r="A680" s="350" t="s">
        <v>671</v>
      </c>
      <c r="B680" s="317"/>
      <c r="C680" s="108"/>
      <c r="D680" s="108"/>
      <c r="E680" s="108"/>
      <c r="F680" s="108"/>
      <c r="G680" s="203"/>
      <c r="H680" s="203"/>
      <c r="I680" s="203"/>
      <c r="J680" s="203"/>
      <c r="K680" s="108"/>
      <c r="L680" s="351">
        <v>212</v>
      </c>
      <c r="M680" s="351">
        <v>276</v>
      </c>
      <c r="N680" s="351">
        <v>330</v>
      </c>
      <c r="O680" s="351">
        <f t="shared" si="936"/>
        <v>259</v>
      </c>
      <c r="P680" s="46">
        <v>1077</v>
      </c>
      <c r="Q680" s="351">
        <v>271</v>
      </c>
      <c r="R680" s="351">
        <v>271</v>
      </c>
      <c r="S680" s="351">
        <v>335</v>
      </c>
      <c r="T680" s="351">
        <f t="shared" si="937"/>
        <v>206</v>
      </c>
      <c r="U680" s="46">
        <v>1083</v>
      </c>
      <c r="V680" s="351">
        <v>195</v>
      </c>
      <c r="W680" s="351">
        <v>217</v>
      </c>
      <c r="X680" s="351">
        <v>304</v>
      </c>
      <c r="Y680" s="351">
        <f t="shared" si="938"/>
        <v>325</v>
      </c>
      <c r="Z680" s="46">
        <v>1041</v>
      </c>
      <c r="AA680" s="351">
        <v>256</v>
      </c>
      <c r="AB680" s="351">
        <v>325</v>
      </c>
      <c r="AC680" s="351">
        <v>430</v>
      </c>
      <c r="AD680" s="351">
        <f t="shared" si="939"/>
        <v>366</v>
      </c>
      <c r="AE680" s="46">
        <v>1377</v>
      </c>
      <c r="AF680" s="351">
        <v>337</v>
      </c>
      <c r="AG680" s="351">
        <v>865</v>
      </c>
      <c r="AH680" s="351">
        <v>457</v>
      </c>
      <c r="AI680" s="351">
        <f t="shared" si="940"/>
        <v>396</v>
      </c>
      <c r="AJ680" s="46">
        <v>2055</v>
      </c>
      <c r="AK680" s="351">
        <v>284</v>
      </c>
      <c r="AL680" s="203"/>
      <c r="AM680" s="203"/>
      <c r="AN680" s="203"/>
      <c r="AO680" s="108"/>
      <c r="AP680" s="203"/>
      <c r="AQ680" s="203"/>
      <c r="AR680" s="203"/>
      <c r="AS680" s="203"/>
      <c r="AT680" s="108"/>
      <c r="AU680" s="790"/>
      <c r="AV680" s="203"/>
      <c r="AW680" s="203"/>
      <c r="AX680" s="203"/>
      <c r="AY680" s="108"/>
      <c r="AZ680" s="203"/>
      <c r="BA680" s="203"/>
      <c r="BB680" s="203"/>
      <c r="BC680" s="203"/>
      <c r="BD680" s="108"/>
      <c r="BE680" s="108"/>
      <c r="BF680" s="108"/>
      <c r="BG680" s="108"/>
      <c r="BH680" s="351"/>
    </row>
    <row r="681" spans="1:60" s="60" customFormat="1" hidden="1" outlineLevel="1" x14ac:dyDescent="0.35">
      <c r="A681" s="350" t="s">
        <v>672</v>
      </c>
      <c r="B681" s="317"/>
      <c r="C681" s="108"/>
      <c r="D681" s="108"/>
      <c r="E681" s="108"/>
      <c r="F681" s="108"/>
      <c r="G681" s="203"/>
      <c r="H681" s="203"/>
      <c r="I681" s="203"/>
      <c r="J681" s="203"/>
      <c r="K681" s="108"/>
      <c r="L681" s="351">
        <v>229</v>
      </c>
      <c r="M681" s="351">
        <v>241</v>
      </c>
      <c r="N681" s="351">
        <v>273</v>
      </c>
      <c r="O681" s="351">
        <f t="shared" si="936"/>
        <v>254</v>
      </c>
      <c r="P681" s="46">
        <v>997</v>
      </c>
      <c r="Q681" s="351">
        <v>241</v>
      </c>
      <c r="R681" s="351">
        <v>259</v>
      </c>
      <c r="S681" s="351">
        <v>293</v>
      </c>
      <c r="T681" s="351">
        <f t="shared" si="937"/>
        <v>255</v>
      </c>
      <c r="U681" s="46">
        <v>1048</v>
      </c>
      <c r="V681" s="351">
        <v>238</v>
      </c>
      <c r="W681" s="351">
        <v>281</v>
      </c>
      <c r="X681" s="351">
        <v>317</v>
      </c>
      <c r="Y681" s="351">
        <f t="shared" si="938"/>
        <v>229</v>
      </c>
      <c r="Z681" s="46">
        <v>1065</v>
      </c>
      <c r="AA681" s="351">
        <v>223</v>
      </c>
      <c r="AB681" s="351">
        <v>198</v>
      </c>
      <c r="AC681" s="351">
        <v>311</v>
      </c>
      <c r="AD681" s="351">
        <f t="shared" si="939"/>
        <v>272</v>
      </c>
      <c r="AE681" s="46">
        <v>1004</v>
      </c>
      <c r="AF681" s="351">
        <v>218</v>
      </c>
      <c r="AG681" s="351">
        <v>261</v>
      </c>
      <c r="AH681" s="351">
        <v>291</v>
      </c>
      <c r="AI681" s="351">
        <f t="shared" si="940"/>
        <v>257</v>
      </c>
      <c r="AJ681" s="46">
        <v>1027</v>
      </c>
      <c r="AK681" s="351">
        <v>219</v>
      </c>
      <c r="AL681" s="203"/>
      <c r="AM681" s="203"/>
      <c r="AN681" s="203"/>
      <c r="AO681" s="108"/>
      <c r="AP681" s="203"/>
      <c r="AQ681" s="203"/>
      <c r="AR681" s="203"/>
      <c r="AS681" s="203"/>
      <c r="AT681" s="108"/>
      <c r="AU681" s="790"/>
      <c r="AV681" s="203"/>
      <c r="AW681" s="203"/>
      <c r="AX681" s="203"/>
      <c r="AY681" s="108"/>
      <c r="AZ681" s="203"/>
      <c r="BA681" s="203"/>
      <c r="BB681" s="203"/>
      <c r="BC681" s="203"/>
      <c r="BD681" s="108"/>
      <c r="BE681" s="108"/>
      <c r="BF681" s="108"/>
      <c r="BG681" s="108"/>
      <c r="BH681" s="351"/>
    </row>
    <row r="682" spans="1:60" s="60" customFormat="1" hidden="1" outlineLevel="1" x14ac:dyDescent="0.35">
      <c r="A682" s="350" t="s">
        <v>673</v>
      </c>
      <c r="B682" s="317"/>
      <c r="C682" s="108"/>
      <c r="D682" s="108"/>
      <c r="E682" s="108"/>
      <c r="F682" s="108"/>
      <c r="G682" s="203"/>
      <c r="H682" s="203"/>
      <c r="I682" s="203"/>
      <c r="J682" s="203"/>
      <c r="K682" s="108"/>
      <c r="L682" s="351">
        <v>-71</v>
      </c>
      <c r="M682" s="351">
        <v>-46</v>
      </c>
      <c r="N682" s="351">
        <v>-61</v>
      </c>
      <c r="O682" s="351">
        <f t="shared" si="936"/>
        <v>-64</v>
      </c>
      <c r="P682" s="46">
        <v>-242</v>
      </c>
      <c r="Q682" s="351">
        <v>-98</v>
      </c>
      <c r="R682" s="351">
        <v>-72</v>
      </c>
      <c r="S682" s="351">
        <v>-55</v>
      </c>
      <c r="T682" s="351">
        <f t="shared" si="937"/>
        <v>-124</v>
      </c>
      <c r="U682" s="46">
        <v>-349</v>
      </c>
      <c r="V682" s="351">
        <v>-40</v>
      </c>
      <c r="W682" s="351">
        <v>-84</v>
      </c>
      <c r="X682" s="351">
        <v>-65</v>
      </c>
      <c r="Y682" s="351">
        <f t="shared" si="938"/>
        <v>-83</v>
      </c>
      <c r="Z682" s="46">
        <v>-272</v>
      </c>
      <c r="AA682" s="351">
        <v>-93</v>
      </c>
      <c r="AB682" s="351">
        <v>-51</v>
      </c>
      <c r="AC682" s="351">
        <v>-112</v>
      </c>
      <c r="AD682" s="351">
        <f t="shared" si="939"/>
        <v>-139</v>
      </c>
      <c r="AE682" s="46">
        <v>-395</v>
      </c>
      <c r="AF682" s="351">
        <v>-1046</v>
      </c>
      <c r="AG682" s="351">
        <v>-206</v>
      </c>
      <c r="AH682" s="351">
        <v>-77</v>
      </c>
      <c r="AI682" s="351">
        <f t="shared" si="940"/>
        <v>-136</v>
      </c>
      <c r="AJ682" s="46">
        <v>-1465</v>
      </c>
      <c r="AK682" s="351">
        <v>-624</v>
      </c>
      <c r="AL682" s="203"/>
      <c r="AM682" s="203"/>
      <c r="AN682" s="203"/>
      <c r="AO682" s="108"/>
      <c r="AP682" s="203"/>
      <c r="AQ682" s="203"/>
      <c r="AR682" s="203"/>
      <c r="AS682" s="203"/>
      <c r="AT682" s="108"/>
      <c r="AU682" s="790"/>
      <c r="AV682" s="203"/>
      <c r="AW682" s="203"/>
      <c r="AX682" s="203"/>
      <c r="AY682" s="108"/>
      <c r="AZ682" s="203"/>
      <c r="BA682" s="203"/>
      <c r="BB682" s="203"/>
      <c r="BC682" s="203"/>
      <c r="BD682" s="108"/>
      <c r="BE682" s="108"/>
      <c r="BF682" s="108"/>
      <c r="BG682" s="108"/>
      <c r="BH682" s="351"/>
    </row>
    <row r="683" spans="1:60" s="60" customFormat="1" hidden="1" outlineLevel="1" x14ac:dyDescent="0.35">
      <c r="A683" s="350" t="s">
        <v>674</v>
      </c>
      <c r="B683" s="317"/>
      <c r="C683" s="108"/>
      <c r="D683" s="108"/>
      <c r="E683" s="108"/>
      <c r="F683" s="108"/>
      <c r="G683" s="203"/>
      <c r="H683" s="203"/>
      <c r="I683" s="203"/>
      <c r="J683" s="203"/>
      <c r="K683" s="108"/>
      <c r="L683" s="351">
        <v>-39</v>
      </c>
      <c r="M683" s="351">
        <v>-45</v>
      </c>
      <c r="N683" s="351">
        <v>-44</v>
      </c>
      <c r="O683" s="351">
        <f t="shared" si="936"/>
        <v>-46</v>
      </c>
      <c r="P683" s="46">
        <v>-174</v>
      </c>
      <c r="Q683" s="351">
        <v>-43</v>
      </c>
      <c r="R683" s="351">
        <v>-45</v>
      </c>
      <c r="S683" s="351">
        <v>-47</v>
      </c>
      <c r="T683" s="351">
        <f t="shared" si="937"/>
        <v>-40</v>
      </c>
      <c r="U683" s="46">
        <v>-175</v>
      </c>
      <c r="V683" s="351">
        <v>-43</v>
      </c>
      <c r="W683" s="351">
        <v>-51</v>
      </c>
      <c r="X683" s="351">
        <v>-50</v>
      </c>
      <c r="Y683" s="351">
        <f t="shared" si="938"/>
        <v>-48</v>
      </c>
      <c r="Z683" s="46">
        <v>-192</v>
      </c>
      <c r="AA683" s="351">
        <v>-142</v>
      </c>
      <c r="AB683" s="351">
        <v>-146</v>
      </c>
      <c r="AC683" s="351">
        <v>-171</v>
      </c>
      <c r="AD683" s="351">
        <f t="shared" si="939"/>
        <v>-155</v>
      </c>
      <c r="AE683" s="46">
        <v>-614</v>
      </c>
      <c r="AF683" s="351">
        <v>-164</v>
      </c>
      <c r="AG683" s="351">
        <v>-158</v>
      </c>
      <c r="AH683" s="351">
        <v>-180</v>
      </c>
      <c r="AI683" s="351">
        <f t="shared" si="940"/>
        <v>-164</v>
      </c>
      <c r="AJ683" s="46">
        <v>-666</v>
      </c>
      <c r="AK683" s="351">
        <v>-156</v>
      </c>
      <c r="AL683" s="203"/>
      <c r="AM683" s="203"/>
      <c r="AN683" s="203"/>
      <c r="AO683" s="108"/>
      <c r="AP683" s="203"/>
      <c r="AQ683" s="203"/>
      <c r="AR683" s="203"/>
      <c r="AS683" s="203"/>
      <c r="AT683" s="108"/>
      <c r="AU683" s="790"/>
      <c r="AV683" s="203"/>
      <c r="AW683" s="203"/>
      <c r="AX683" s="203"/>
      <c r="AY683" s="108"/>
      <c r="AZ683" s="203"/>
      <c r="BA683" s="203"/>
      <c r="BB683" s="203"/>
      <c r="BC683" s="203"/>
      <c r="BD683" s="108"/>
      <c r="BE683" s="108"/>
      <c r="BF683" s="108"/>
      <c r="BG683" s="108"/>
      <c r="BH683" s="351"/>
    </row>
    <row r="684" spans="1:60" s="69" customFormat="1" hidden="1" outlineLevel="1" x14ac:dyDescent="0.35">
      <c r="A684" s="89" t="s">
        <v>675</v>
      </c>
      <c r="B684" s="319"/>
      <c r="C684" s="110"/>
      <c r="D684" s="110"/>
      <c r="E684" s="110"/>
      <c r="F684" s="110"/>
      <c r="G684" s="109"/>
      <c r="H684" s="109"/>
      <c r="I684" s="109"/>
      <c r="J684" s="109"/>
      <c r="K684" s="110"/>
      <c r="L684" s="76">
        <f t="shared" ref="L684:AK684" si="941">SUM(L677:L683)</f>
        <v>1716</v>
      </c>
      <c r="M684" s="76">
        <f t="shared" si="941"/>
        <v>1856</v>
      </c>
      <c r="N684" s="76">
        <f t="shared" si="941"/>
        <v>1901</v>
      </c>
      <c r="O684" s="76">
        <f t="shared" si="941"/>
        <v>1662</v>
      </c>
      <c r="P684" s="68">
        <f t="shared" si="941"/>
        <v>7135</v>
      </c>
      <c r="Q684" s="76">
        <f t="shared" si="941"/>
        <v>1730</v>
      </c>
      <c r="R684" s="76">
        <f t="shared" si="941"/>
        <v>1840</v>
      </c>
      <c r="S684" s="76">
        <f t="shared" si="941"/>
        <v>1876</v>
      </c>
      <c r="T684" s="76">
        <f t="shared" si="941"/>
        <v>1500</v>
      </c>
      <c r="U684" s="68">
        <f t="shared" si="941"/>
        <v>6946</v>
      </c>
      <c r="V684" s="76">
        <f t="shared" si="941"/>
        <v>1788</v>
      </c>
      <c r="W684" s="76">
        <f t="shared" si="941"/>
        <v>1866</v>
      </c>
      <c r="X684" s="76">
        <f t="shared" si="941"/>
        <v>1904</v>
      </c>
      <c r="Y684" s="76">
        <f t="shared" si="941"/>
        <v>1665</v>
      </c>
      <c r="Z684" s="68">
        <f t="shared" si="941"/>
        <v>7223</v>
      </c>
      <c r="AA684" s="76">
        <f t="shared" si="941"/>
        <v>1742</v>
      </c>
      <c r="AB684" s="76">
        <f t="shared" si="941"/>
        <v>2153</v>
      </c>
      <c r="AC684" s="76">
        <f t="shared" si="941"/>
        <v>2008</v>
      </c>
      <c r="AD684" s="76">
        <f t="shared" si="941"/>
        <v>1789</v>
      </c>
      <c r="AE684" s="68">
        <f t="shared" si="941"/>
        <v>7692</v>
      </c>
      <c r="AF684" s="76">
        <f t="shared" si="941"/>
        <v>1007</v>
      </c>
      <c r="AG684" s="76">
        <f t="shared" si="941"/>
        <v>2401</v>
      </c>
      <c r="AH684" s="76">
        <f t="shared" si="941"/>
        <v>2016</v>
      </c>
      <c r="AI684" s="76">
        <f t="shared" si="941"/>
        <v>1783</v>
      </c>
      <c r="AJ684" s="68">
        <f t="shared" si="941"/>
        <v>7207</v>
      </c>
      <c r="AK684" s="76">
        <f t="shared" si="941"/>
        <v>1136</v>
      </c>
      <c r="AL684" s="109"/>
      <c r="AM684" s="109"/>
      <c r="AN684" s="109"/>
      <c r="AO684" s="110"/>
      <c r="AP684" s="109"/>
      <c r="AQ684" s="109"/>
      <c r="AR684" s="109"/>
      <c r="AS684" s="109"/>
      <c r="AT684" s="110"/>
      <c r="AU684" s="796"/>
      <c r="AV684" s="109"/>
      <c r="AW684" s="109"/>
      <c r="AX684" s="109"/>
      <c r="AY684" s="110"/>
      <c r="AZ684" s="109"/>
      <c r="BA684" s="109"/>
      <c r="BB684" s="109"/>
      <c r="BC684" s="109"/>
      <c r="BD684" s="110"/>
      <c r="BE684" s="110"/>
      <c r="BF684" s="110"/>
      <c r="BG684" s="110"/>
      <c r="BH684" s="79"/>
    </row>
    <row r="685" spans="1:60" s="69" customFormat="1" hidden="1" outlineLevel="1" x14ac:dyDescent="0.35">
      <c r="A685" s="426"/>
      <c r="B685" s="427"/>
      <c r="C685" s="112"/>
      <c r="D685" s="112"/>
      <c r="E685" s="112"/>
      <c r="F685" s="112"/>
      <c r="G685" s="111"/>
      <c r="H685" s="111"/>
      <c r="I685" s="111"/>
      <c r="J685" s="111"/>
      <c r="K685" s="112"/>
      <c r="L685" s="111"/>
      <c r="M685" s="111"/>
      <c r="N685" s="111"/>
      <c r="O685" s="111"/>
      <c r="P685" s="112"/>
      <c r="Q685" s="111"/>
      <c r="R685" s="111"/>
      <c r="S685" s="111"/>
      <c r="T685" s="111"/>
      <c r="U685" s="112"/>
      <c r="V685" s="111"/>
      <c r="W685" s="111"/>
      <c r="X685" s="111"/>
      <c r="Y685" s="111"/>
      <c r="Z685" s="112"/>
      <c r="AA685" s="111"/>
      <c r="AB685" s="111"/>
      <c r="AC685" s="111"/>
      <c r="AD685" s="111"/>
      <c r="AE685" s="112"/>
      <c r="AF685" s="111"/>
      <c r="AG685" s="111"/>
      <c r="AH685" s="111"/>
      <c r="AI685" s="111"/>
      <c r="AJ685" s="112"/>
      <c r="AK685" s="111"/>
      <c r="AL685" s="111"/>
      <c r="AM685" s="111"/>
      <c r="AN685" s="111"/>
      <c r="AO685" s="112"/>
      <c r="AP685" s="111"/>
      <c r="AQ685" s="111"/>
      <c r="AR685" s="111"/>
      <c r="AS685" s="111"/>
      <c r="AT685" s="112"/>
      <c r="AU685" s="792"/>
      <c r="AV685" s="111"/>
      <c r="AW685" s="111"/>
      <c r="AX685" s="111"/>
      <c r="AY685" s="112"/>
      <c r="AZ685" s="111"/>
      <c r="BA685" s="111"/>
      <c r="BB685" s="111"/>
      <c r="BC685" s="111"/>
      <c r="BD685" s="112"/>
      <c r="BE685" s="112"/>
      <c r="BF685" s="112"/>
      <c r="BG685" s="112"/>
      <c r="BH685" s="79"/>
    </row>
    <row r="686" spans="1:60" s="87" customFormat="1" hidden="1" outlineLevel="1" x14ac:dyDescent="0.35">
      <c r="A686" s="99" t="s">
        <v>676</v>
      </c>
      <c r="B686" s="312"/>
      <c r="C686" s="105"/>
      <c r="D686" s="105"/>
      <c r="E686" s="105"/>
      <c r="F686" s="47">
        <v>4.4999999999999998E-2</v>
      </c>
      <c r="G686" s="200"/>
      <c r="H686" s="200"/>
      <c r="I686" s="200"/>
      <c r="J686" s="200"/>
      <c r="K686" s="47">
        <v>4.5999999999999999E-2</v>
      </c>
      <c r="L686" s="78">
        <v>4.9000000000000002E-2</v>
      </c>
      <c r="M686" s="78">
        <v>4.7E-2</v>
      </c>
      <c r="N686" s="78">
        <v>4.2000000000000003E-2</v>
      </c>
      <c r="O686" s="78">
        <v>5.8999999999999997E-2</v>
      </c>
      <c r="P686" s="47">
        <v>4.9000000000000002E-2</v>
      </c>
      <c r="Q686" s="78">
        <v>2.7E-2</v>
      </c>
      <c r="R686" s="78">
        <v>1.4E-2</v>
      </c>
      <c r="S686" s="78">
        <v>2E-3</v>
      </c>
      <c r="T686" s="78">
        <v>-1.7999999999999999E-2</v>
      </c>
      <c r="U686" s="47">
        <v>7.0000000000000001E-3</v>
      </c>
      <c r="V686" s="78">
        <v>-1.9E-2</v>
      </c>
      <c r="W686" s="78">
        <v>-1.4E-2</v>
      </c>
      <c r="X686" s="78">
        <v>-1.0999999999999999E-2</v>
      </c>
      <c r="Y686" s="78">
        <v>4.5999999999999999E-2</v>
      </c>
      <c r="Z686" s="47">
        <v>0</v>
      </c>
      <c r="AA686" s="200"/>
      <c r="AB686" s="200"/>
      <c r="AC686" s="200"/>
      <c r="AD686" s="200"/>
      <c r="AE686" s="105"/>
      <c r="AF686" s="200"/>
      <c r="AG686" s="200"/>
      <c r="AH686" s="200"/>
      <c r="AI686" s="200"/>
      <c r="AJ686" s="105"/>
      <c r="AK686" s="200"/>
      <c r="AL686" s="200"/>
      <c r="AM686" s="200"/>
      <c r="AN686" s="200"/>
      <c r="AO686" s="105"/>
      <c r="AP686" s="200"/>
      <c r="AQ686" s="200"/>
      <c r="AR686" s="200"/>
      <c r="AS686" s="200"/>
      <c r="AT686" s="105"/>
      <c r="AU686" s="761"/>
      <c r="AV686" s="200"/>
      <c r="AW686" s="200"/>
      <c r="AX686" s="200"/>
      <c r="AY686" s="105"/>
      <c r="AZ686" s="200"/>
      <c r="BA686" s="200"/>
      <c r="BB686" s="200"/>
      <c r="BC686" s="200"/>
      <c r="BD686" s="105"/>
      <c r="BE686" s="105"/>
      <c r="BF686" s="105"/>
      <c r="BG686" s="105"/>
      <c r="BH686" s="363"/>
    </row>
    <row r="687" spans="1:60" s="87" customFormat="1" hidden="1" outlineLevel="1" x14ac:dyDescent="0.35">
      <c r="A687" s="99" t="s">
        <v>677</v>
      </c>
      <c r="B687" s="312"/>
      <c r="C687" s="105"/>
      <c r="D687" s="105"/>
      <c r="E687" s="105"/>
      <c r="F687" s="47">
        <v>2.1999999999999999E-2</v>
      </c>
      <c r="G687" s="200"/>
      <c r="H687" s="200"/>
      <c r="I687" s="200"/>
      <c r="J687" s="200"/>
      <c r="K687" s="47">
        <v>4.2000000000000003E-2</v>
      </c>
      <c r="L687" s="78">
        <v>4.5999999999999999E-2</v>
      </c>
      <c r="M687" s="78">
        <v>4.7E-2</v>
      </c>
      <c r="N687" s="78">
        <v>3.1E-2</v>
      </c>
      <c r="O687" s="78">
        <v>9.1999999999999998E-2</v>
      </c>
      <c r="P687" s="47">
        <v>5.3999999999999999E-2</v>
      </c>
      <c r="Q687" s="78">
        <v>4.1000000000000002E-2</v>
      </c>
      <c r="R687" s="78">
        <v>4.9000000000000002E-2</v>
      </c>
      <c r="S687" s="78">
        <v>2.9000000000000001E-2</v>
      </c>
      <c r="T687" s="78">
        <v>-2.5000000000000001E-2</v>
      </c>
      <c r="U687" s="47">
        <v>2.4E-2</v>
      </c>
      <c r="V687" s="78">
        <v>2.4E-2</v>
      </c>
      <c r="W687" s="78">
        <v>2.3E-2</v>
      </c>
      <c r="X687" s="78">
        <v>0.02</v>
      </c>
      <c r="Y687" s="78">
        <v>2.1999999999999999E-2</v>
      </c>
      <c r="Z687" s="47">
        <v>2.1999999999999999E-2</v>
      </c>
      <c r="AA687" s="200"/>
      <c r="AB687" s="200"/>
      <c r="AC687" s="200"/>
      <c r="AD687" s="200"/>
      <c r="AE687" s="105"/>
      <c r="AF687" s="200"/>
      <c r="AG687" s="200"/>
      <c r="AH687" s="200"/>
      <c r="AI687" s="200"/>
      <c r="AJ687" s="105"/>
      <c r="AK687" s="200"/>
      <c r="AL687" s="200"/>
      <c r="AM687" s="200"/>
      <c r="AN687" s="200"/>
      <c r="AO687" s="105"/>
      <c r="AP687" s="200"/>
      <c r="AQ687" s="200"/>
      <c r="AR687" s="200"/>
      <c r="AS687" s="200"/>
      <c r="AT687" s="105"/>
      <c r="AU687" s="761"/>
      <c r="AV687" s="200"/>
      <c r="AW687" s="200"/>
      <c r="AX687" s="200"/>
      <c r="AY687" s="105"/>
      <c r="AZ687" s="200"/>
      <c r="BA687" s="200"/>
      <c r="BB687" s="200"/>
      <c r="BC687" s="200"/>
      <c r="BD687" s="105"/>
      <c r="BE687" s="105"/>
      <c r="BF687" s="105"/>
      <c r="BG687" s="105"/>
      <c r="BH687" s="363"/>
    </row>
    <row r="688" spans="1:60" s="87" customFormat="1" hidden="1" outlineLevel="1" x14ac:dyDescent="0.35">
      <c r="A688" s="99" t="s">
        <v>678</v>
      </c>
      <c r="B688" s="312"/>
      <c r="C688" s="105"/>
      <c r="D688" s="105"/>
      <c r="E688" s="105"/>
      <c r="F688" s="47">
        <v>4.7E-2</v>
      </c>
      <c r="G688" s="200"/>
      <c r="H688" s="200"/>
      <c r="I688" s="200"/>
      <c r="J688" s="200"/>
      <c r="K688" s="47">
        <v>0.05</v>
      </c>
      <c r="L688" s="78">
        <v>6.2E-2</v>
      </c>
      <c r="M688" s="78">
        <v>5.0999999999999997E-2</v>
      </c>
      <c r="N688" s="78">
        <v>5.3999999999999999E-2</v>
      </c>
      <c r="O688" s="78">
        <v>6.4000000000000001E-2</v>
      </c>
      <c r="P688" s="47">
        <v>5.8000000000000003E-2</v>
      </c>
      <c r="Q688" s="78">
        <v>0.03</v>
      </c>
      <c r="R688" s="78">
        <v>3.4000000000000002E-2</v>
      </c>
      <c r="S688" s="78">
        <v>3.6999999999999998E-2</v>
      </c>
      <c r="T688" s="78">
        <v>4.4999999999999998E-2</v>
      </c>
      <c r="U688" s="47">
        <v>3.6999999999999998E-2</v>
      </c>
      <c r="V688" s="78">
        <v>6.2E-2</v>
      </c>
      <c r="W688" s="78">
        <v>4.9000000000000002E-2</v>
      </c>
      <c r="X688" s="78">
        <v>1.4999999999999999E-2</v>
      </c>
      <c r="Y688" s="78">
        <v>1.2999999999999999E-2</v>
      </c>
      <c r="Z688" s="47">
        <v>3.5000000000000003E-2</v>
      </c>
      <c r="AA688" s="200"/>
      <c r="AB688" s="200"/>
      <c r="AC688" s="200"/>
      <c r="AD688" s="200"/>
      <c r="AE688" s="105"/>
      <c r="AF688" s="200"/>
      <c r="AG688" s="200"/>
      <c r="AH688" s="200"/>
      <c r="AI688" s="200"/>
      <c r="AJ688" s="105"/>
      <c r="AK688" s="200"/>
      <c r="AL688" s="200"/>
      <c r="AM688" s="200"/>
      <c r="AN688" s="200"/>
      <c r="AO688" s="105"/>
      <c r="AP688" s="200"/>
      <c r="AQ688" s="200"/>
      <c r="AR688" s="200"/>
      <c r="AS688" s="200"/>
      <c r="AT688" s="105"/>
      <c r="AU688" s="761"/>
      <c r="AV688" s="200"/>
      <c r="AW688" s="200"/>
      <c r="AX688" s="200"/>
      <c r="AY688" s="105"/>
      <c r="AZ688" s="200"/>
      <c r="BA688" s="200"/>
      <c r="BB688" s="200"/>
      <c r="BC688" s="200"/>
      <c r="BD688" s="105"/>
      <c r="BE688" s="105"/>
      <c r="BF688" s="105"/>
      <c r="BG688" s="105"/>
      <c r="BH688" s="363"/>
    </row>
    <row r="689" spans="1:60" s="87" customFormat="1" hidden="1" outlineLevel="1" x14ac:dyDescent="0.35">
      <c r="A689" s="99" t="s">
        <v>679</v>
      </c>
      <c r="B689" s="312"/>
      <c r="C689" s="105"/>
      <c r="D689" s="105"/>
      <c r="E689" s="105"/>
      <c r="F689" s="47">
        <v>-8.0000000000000002E-3</v>
      </c>
      <c r="G689" s="200"/>
      <c r="H689" s="200"/>
      <c r="I689" s="200"/>
      <c r="J689" s="200"/>
      <c r="K689" s="47">
        <v>0</v>
      </c>
      <c r="L689" s="78">
        <v>4.1000000000000002E-2</v>
      </c>
      <c r="M689" s="78">
        <v>6.4000000000000001E-2</v>
      </c>
      <c r="N689" s="78">
        <v>4.2999999999999997E-2</v>
      </c>
      <c r="O689" s="78">
        <v>6.2E-2</v>
      </c>
      <c r="P689" s="47">
        <v>5.1999999999999998E-2</v>
      </c>
      <c r="Q689" s="78">
        <v>5.8000000000000003E-2</v>
      </c>
      <c r="R689" s="78">
        <v>-0.03</v>
      </c>
      <c r="S689" s="78">
        <v>-2.8000000000000001E-2</v>
      </c>
      <c r="T689" s="78">
        <v>-7.6999999999999999E-2</v>
      </c>
      <c r="U689" s="47">
        <v>-1.9E-2</v>
      </c>
      <c r="V689" s="78">
        <v>-0.11700000000000001</v>
      </c>
      <c r="W689" s="78">
        <v>-9.0999999999999998E-2</v>
      </c>
      <c r="X689" s="78">
        <v>-8.1000000000000003E-2</v>
      </c>
      <c r="Y689" s="78">
        <v>-6.0000000000000001E-3</v>
      </c>
      <c r="Z689" s="47">
        <v>-7.4999999999999997E-2</v>
      </c>
      <c r="AA689" s="200"/>
      <c r="AB689" s="200"/>
      <c r="AC689" s="200"/>
      <c r="AD689" s="200"/>
      <c r="AE689" s="105"/>
      <c r="AF689" s="200"/>
      <c r="AG689" s="200"/>
      <c r="AH689" s="200"/>
      <c r="AI689" s="200"/>
      <c r="AJ689" s="105"/>
      <c r="AK689" s="200"/>
      <c r="AL689" s="200"/>
      <c r="AM689" s="200"/>
      <c r="AN689" s="200"/>
      <c r="AO689" s="105"/>
      <c r="AP689" s="200"/>
      <c r="AQ689" s="200"/>
      <c r="AR689" s="200"/>
      <c r="AS689" s="200"/>
      <c r="AT689" s="105"/>
      <c r="AU689" s="761"/>
      <c r="AV689" s="200"/>
      <c r="AW689" s="200"/>
      <c r="AX689" s="200"/>
      <c r="AY689" s="105"/>
      <c r="AZ689" s="200"/>
      <c r="BA689" s="200"/>
      <c r="BB689" s="200"/>
      <c r="BC689" s="200"/>
      <c r="BD689" s="105"/>
      <c r="BE689" s="105"/>
      <c r="BF689" s="105"/>
      <c r="BG689" s="105"/>
      <c r="BH689" s="363"/>
    </row>
    <row r="690" spans="1:60" s="87" customFormat="1" hidden="1" outlineLevel="1" x14ac:dyDescent="0.35">
      <c r="A690" s="99" t="s">
        <v>680</v>
      </c>
      <c r="B690" s="312"/>
      <c r="C690" s="105"/>
      <c r="D690" s="105"/>
      <c r="E690" s="105"/>
      <c r="F690" s="47">
        <v>3.7999999999999999E-2</v>
      </c>
      <c r="G690" s="200"/>
      <c r="H690" s="200"/>
      <c r="I690" s="200"/>
      <c r="J690" s="200"/>
      <c r="K690" s="47">
        <v>0.03</v>
      </c>
      <c r="L690" s="78">
        <v>2.5999999999999999E-2</v>
      </c>
      <c r="M690" s="78">
        <v>4.2000000000000003E-2</v>
      </c>
      <c r="N690" s="78">
        <v>3.1E-2</v>
      </c>
      <c r="O690" s="78">
        <v>5.8000000000000003E-2</v>
      </c>
      <c r="P690" s="47">
        <v>3.9E-2</v>
      </c>
      <c r="Q690" s="78">
        <v>2.1000000000000001E-2</v>
      </c>
      <c r="R690" s="78">
        <v>3.4000000000000002E-2</v>
      </c>
      <c r="S690" s="78">
        <v>0.05</v>
      </c>
      <c r="T690" s="78">
        <v>2.7E-2</v>
      </c>
      <c r="U690" s="47">
        <v>3.4000000000000002E-2</v>
      </c>
      <c r="V690" s="78">
        <v>2.8000000000000001E-2</v>
      </c>
      <c r="W690" s="78">
        <v>2.7E-2</v>
      </c>
      <c r="X690" s="78">
        <v>2.9000000000000001E-2</v>
      </c>
      <c r="Y690" s="78">
        <v>-7.0000000000000001E-3</v>
      </c>
      <c r="Z690" s="47">
        <v>1.9E-2</v>
      </c>
      <c r="AA690" s="200"/>
      <c r="AB690" s="200"/>
      <c r="AC690" s="200"/>
      <c r="AD690" s="200"/>
      <c r="AE690" s="105"/>
      <c r="AF690" s="200"/>
      <c r="AG690" s="200"/>
      <c r="AH690" s="200"/>
      <c r="AI690" s="200"/>
      <c r="AJ690" s="105"/>
      <c r="AK690" s="200"/>
      <c r="AL690" s="200"/>
      <c r="AM690" s="200"/>
      <c r="AN690" s="200"/>
      <c r="AO690" s="105"/>
      <c r="AP690" s="200"/>
      <c r="AQ690" s="200"/>
      <c r="AR690" s="200"/>
      <c r="AS690" s="200"/>
      <c r="AT690" s="105"/>
      <c r="AU690" s="761"/>
      <c r="AV690" s="200"/>
      <c r="AW690" s="200"/>
      <c r="AX690" s="200"/>
      <c r="AY690" s="105"/>
      <c r="AZ690" s="200"/>
      <c r="BA690" s="200"/>
      <c r="BB690" s="200"/>
      <c r="BC690" s="200"/>
      <c r="BD690" s="105"/>
      <c r="BE690" s="105"/>
      <c r="BF690" s="105"/>
      <c r="BG690" s="105"/>
      <c r="BH690" s="363"/>
    </row>
    <row r="691" spans="1:60" s="225" customFormat="1" hidden="1" outlineLevel="1" x14ac:dyDescent="0.35">
      <c r="A691" s="538"/>
      <c r="B691" s="176"/>
      <c r="C691" s="113"/>
      <c r="D691" s="113"/>
      <c r="E691" s="113"/>
      <c r="F691" s="113"/>
      <c r="G691" s="177"/>
      <c r="H691" s="177"/>
      <c r="I691" s="177"/>
      <c r="J691" s="177"/>
      <c r="K691" s="113"/>
      <c r="L691" s="177"/>
      <c r="M691" s="177"/>
      <c r="N691" s="177"/>
      <c r="O691" s="177"/>
      <c r="P691" s="113"/>
      <c r="Q691" s="177"/>
      <c r="R691" s="177"/>
      <c r="S691" s="177"/>
      <c r="T691" s="177"/>
      <c r="U691" s="113"/>
      <c r="V691" s="177"/>
      <c r="W691" s="177"/>
      <c r="X691" s="177"/>
      <c r="Y691" s="177"/>
      <c r="Z691" s="113"/>
      <c r="AA691" s="177"/>
      <c r="AB691" s="177"/>
      <c r="AC691" s="177"/>
      <c r="AD691" s="177"/>
      <c r="AE691" s="113"/>
      <c r="AF691" s="177"/>
      <c r="AG691" s="177"/>
      <c r="AH691" s="177"/>
      <c r="AI691" s="177"/>
      <c r="AJ691" s="113"/>
      <c r="AK691" s="177"/>
      <c r="AL691" s="177"/>
      <c r="AM691" s="177"/>
      <c r="AN691" s="177"/>
      <c r="AO691" s="113"/>
      <c r="AP691" s="177"/>
      <c r="AQ691" s="177"/>
      <c r="AR691" s="177"/>
      <c r="AS691" s="177"/>
      <c r="AT691" s="113"/>
      <c r="AU691" s="780"/>
      <c r="AV691" s="177"/>
      <c r="AW691" s="177"/>
      <c r="AX691" s="177"/>
      <c r="AY691" s="113"/>
      <c r="AZ691" s="177"/>
      <c r="BA691" s="177"/>
      <c r="BB691" s="177"/>
      <c r="BC691" s="177"/>
      <c r="BD691" s="113"/>
      <c r="BE691" s="113"/>
      <c r="BF691" s="113"/>
      <c r="BG691" s="113"/>
      <c r="BH691" s="94"/>
    </row>
    <row r="692" spans="1:60" s="60" customFormat="1" hidden="1" outlineLevel="1" x14ac:dyDescent="0.35">
      <c r="A692" s="350" t="s">
        <v>681</v>
      </c>
      <c r="B692" s="317"/>
      <c r="C692" s="46">
        <v>7232</v>
      </c>
      <c r="D692" s="46">
        <v>8429</v>
      </c>
      <c r="E692" s="46">
        <v>10073</v>
      </c>
      <c r="F692" s="46">
        <v>9943</v>
      </c>
      <c r="G692" s="351">
        <v>2693</v>
      </c>
      <c r="H692" s="351">
        <v>2683</v>
      </c>
      <c r="I692" s="351">
        <v>2692</v>
      </c>
      <c r="J692" s="351">
        <f t="shared" ref="J692:J698" si="942">+K692-SUM(G692,H692,I692)</f>
        <v>2589</v>
      </c>
      <c r="K692" s="46">
        <v>10657</v>
      </c>
      <c r="L692" s="351">
        <v>2776</v>
      </c>
      <c r="M692" s="351">
        <v>2815</v>
      </c>
      <c r="N692" s="351">
        <v>2772</v>
      </c>
      <c r="O692" s="351">
        <f t="shared" ref="O692:O698" si="943">+P692-SUM(L692,M692,N692)</f>
        <v>2627</v>
      </c>
      <c r="P692" s="46">
        <v>10990</v>
      </c>
      <c r="Q692" s="351">
        <v>2656</v>
      </c>
      <c r="R692" s="351">
        <v>2632</v>
      </c>
      <c r="S692" s="351">
        <v>2557</v>
      </c>
      <c r="T692" s="351">
        <f t="shared" ref="T692:T698" si="944">U692-SUM(Q692,R692,S692)</f>
        <v>2450</v>
      </c>
      <c r="U692" s="46">
        <v>10295</v>
      </c>
      <c r="V692" s="351">
        <v>2576</v>
      </c>
      <c r="W692" s="351">
        <v>2631</v>
      </c>
      <c r="X692" s="351">
        <v>2582</v>
      </c>
      <c r="Y692" s="351">
        <f t="shared" ref="Y692:Y698" si="945">+Z692-SUM(V692,W692,X692)</f>
        <v>2524</v>
      </c>
      <c r="Z692" s="46">
        <v>10313</v>
      </c>
      <c r="AA692" s="203"/>
      <c r="AB692" s="203"/>
      <c r="AC692" s="203"/>
      <c r="AD692" s="203"/>
      <c r="AE692" s="108"/>
      <c r="AF692" s="203"/>
      <c r="AG692" s="203"/>
      <c r="AH692" s="203"/>
      <c r="AI692" s="203"/>
      <c r="AJ692" s="108"/>
      <c r="AK692" s="203"/>
      <c r="AL692" s="203"/>
      <c r="AM692" s="203"/>
      <c r="AN692" s="203"/>
      <c r="AO692" s="108"/>
      <c r="AP692" s="203"/>
      <c r="AQ692" s="203"/>
      <c r="AR692" s="203"/>
      <c r="AS692" s="203"/>
      <c r="AT692" s="108"/>
      <c r="AU692" s="790"/>
      <c r="AV692" s="203"/>
      <c r="AW692" s="203"/>
      <c r="AX692" s="203"/>
      <c r="AY692" s="108"/>
      <c r="AZ692" s="203"/>
      <c r="BA692" s="203"/>
      <c r="BB692" s="203"/>
      <c r="BC692" s="203"/>
      <c r="BD692" s="108"/>
      <c r="BE692" s="108"/>
      <c r="BF692" s="108"/>
      <c r="BG692" s="108"/>
      <c r="BH692" s="351"/>
    </row>
    <row r="693" spans="1:60" s="60" customFormat="1" hidden="1" outlineLevel="1" x14ac:dyDescent="0.35">
      <c r="A693" s="350" t="s">
        <v>682</v>
      </c>
      <c r="B693" s="317"/>
      <c r="C693" s="108"/>
      <c r="D693" s="108"/>
      <c r="E693" s="108"/>
      <c r="F693" s="46">
        <v>5471</v>
      </c>
      <c r="G693" s="351">
        <v>1399</v>
      </c>
      <c r="H693" s="351">
        <v>1434</v>
      </c>
      <c r="I693" s="351">
        <v>1429</v>
      </c>
      <c r="J693" s="351">
        <f t="shared" si="942"/>
        <v>1322</v>
      </c>
      <c r="K693" s="46">
        <v>5584</v>
      </c>
      <c r="L693" s="351">
        <v>1423</v>
      </c>
      <c r="M693" s="351">
        <v>1494</v>
      </c>
      <c r="N693" s="351">
        <v>1448</v>
      </c>
      <c r="O693" s="351">
        <f t="shared" si="943"/>
        <v>1367</v>
      </c>
      <c r="P693" s="46">
        <v>5732</v>
      </c>
      <c r="Q693" s="351">
        <v>1372</v>
      </c>
      <c r="R693" s="351">
        <v>1432</v>
      </c>
      <c r="S693" s="351">
        <v>1417</v>
      </c>
      <c r="T693" s="351">
        <f t="shared" si="944"/>
        <v>1294</v>
      </c>
      <c r="U693" s="46">
        <v>5515</v>
      </c>
      <c r="V693" s="351">
        <v>1412</v>
      </c>
      <c r="W693" s="351">
        <v>1499</v>
      </c>
      <c r="X693" s="351">
        <v>1448</v>
      </c>
      <c r="Y693" s="351">
        <f t="shared" si="945"/>
        <v>1301</v>
      </c>
      <c r="Z693" s="46">
        <v>5660</v>
      </c>
      <c r="AA693" s="203"/>
      <c r="AB693" s="203"/>
      <c r="AC693" s="203"/>
      <c r="AD693" s="203"/>
      <c r="AE693" s="108"/>
      <c r="AF693" s="203"/>
      <c r="AG693" s="203"/>
      <c r="AH693" s="203"/>
      <c r="AI693" s="203"/>
      <c r="AJ693" s="108"/>
      <c r="AK693" s="203"/>
      <c r="AL693" s="203"/>
      <c r="AM693" s="203"/>
      <c r="AN693" s="203"/>
      <c r="AO693" s="108"/>
      <c r="AP693" s="203"/>
      <c r="AQ693" s="203"/>
      <c r="AR693" s="203"/>
      <c r="AS693" s="203"/>
      <c r="AT693" s="108"/>
      <c r="AU693" s="790"/>
      <c r="AV693" s="203"/>
      <c r="AW693" s="203"/>
      <c r="AX693" s="203"/>
      <c r="AY693" s="108"/>
      <c r="AZ693" s="203"/>
      <c r="BA693" s="203"/>
      <c r="BB693" s="203"/>
      <c r="BC693" s="203"/>
      <c r="BD693" s="108"/>
      <c r="BE693" s="108"/>
      <c r="BF693" s="108"/>
      <c r="BG693" s="108"/>
      <c r="BH693" s="351"/>
    </row>
    <row r="694" spans="1:60" s="60" customFormat="1" hidden="1" outlineLevel="1" x14ac:dyDescent="0.35">
      <c r="A694" s="350" t="s">
        <v>683</v>
      </c>
      <c r="B694" s="317"/>
      <c r="C694" s="46">
        <v>4294</v>
      </c>
      <c r="D694" s="46">
        <v>4513</v>
      </c>
      <c r="E694" s="46">
        <v>5031</v>
      </c>
      <c r="F694" s="46">
        <v>5138</v>
      </c>
      <c r="G694" s="351">
        <v>1311</v>
      </c>
      <c r="H694" s="351">
        <v>1336</v>
      </c>
      <c r="I694" s="351">
        <v>1328</v>
      </c>
      <c r="J694" s="351">
        <f t="shared" si="942"/>
        <v>1359</v>
      </c>
      <c r="K694" s="46">
        <v>5334</v>
      </c>
      <c r="L694" s="351">
        <v>1311</v>
      </c>
      <c r="M694" s="351">
        <v>1416</v>
      </c>
      <c r="N694" s="351">
        <v>1390</v>
      </c>
      <c r="O694" s="351">
        <f t="shared" si="943"/>
        <v>1455</v>
      </c>
      <c r="P694" s="46">
        <v>5572</v>
      </c>
      <c r="Q694" s="351">
        <v>1329</v>
      </c>
      <c r="R694" s="351">
        <v>1364</v>
      </c>
      <c r="S694" s="351">
        <v>1346</v>
      </c>
      <c r="T694" s="351">
        <f t="shared" si="944"/>
        <v>1381</v>
      </c>
      <c r="U694" s="46">
        <v>5420</v>
      </c>
      <c r="V694" s="351">
        <v>1383</v>
      </c>
      <c r="W694" s="351">
        <v>1404</v>
      </c>
      <c r="X694" s="351">
        <v>1361</v>
      </c>
      <c r="Y694" s="351">
        <f t="shared" si="945"/>
        <v>1379</v>
      </c>
      <c r="Z694" s="46">
        <v>5527</v>
      </c>
      <c r="AA694" s="203"/>
      <c r="AB694" s="203"/>
      <c r="AC694" s="203"/>
      <c r="AD694" s="203"/>
      <c r="AE694" s="108"/>
      <c r="AF694" s="203"/>
      <c r="AG694" s="203"/>
      <c r="AH694" s="203"/>
      <c r="AI694" s="203"/>
      <c r="AJ694" s="108"/>
      <c r="AK694" s="203"/>
      <c r="AL694" s="203"/>
      <c r="AM694" s="203"/>
      <c r="AN694" s="203"/>
      <c r="AO694" s="108"/>
      <c r="AP694" s="203"/>
      <c r="AQ694" s="203"/>
      <c r="AR694" s="203"/>
      <c r="AS694" s="203"/>
      <c r="AT694" s="108"/>
      <c r="AU694" s="790"/>
      <c r="AV694" s="203"/>
      <c r="AW694" s="203"/>
      <c r="AX694" s="203"/>
      <c r="AY694" s="108"/>
      <c r="AZ694" s="203"/>
      <c r="BA694" s="203"/>
      <c r="BB694" s="203"/>
      <c r="BC694" s="203"/>
      <c r="BD694" s="108"/>
      <c r="BE694" s="108"/>
      <c r="BF694" s="108"/>
      <c r="BG694" s="108"/>
      <c r="BH694" s="351"/>
    </row>
    <row r="695" spans="1:60" s="60" customFormat="1" hidden="1" outlineLevel="1" x14ac:dyDescent="0.35">
      <c r="A695" s="350" t="s">
        <v>684</v>
      </c>
      <c r="B695" s="317"/>
      <c r="C695" s="108"/>
      <c r="D695" s="108"/>
      <c r="E695" s="108"/>
      <c r="F695" s="46">
        <v>5458</v>
      </c>
      <c r="G695" s="351">
        <v>1277</v>
      </c>
      <c r="H695" s="351">
        <v>1340</v>
      </c>
      <c r="I695" s="351">
        <v>1449</v>
      </c>
      <c r="J695" s="351">
        <f t="shared" si="942"/>
        <v>1327</v>
      </c>
      <c r="K695" s="46">
        <v>5393</v>
      </c>
      <c r="L695" s="351">
        <v>1374</v>
      </c>
      <c r="M695" s="351">
        <v>1422</v>
      </c>
      <c r="N695" s="351">
        <v>1500</v>
      </c>
      <c r="O695" s="351">
        <f t="shared" si="943"/>
        <v>1308</v>
      </c>
      <c r="P695" s="46">
        <v>5604</v>
      </c>
      <c r="Q695" s="351">
        <v>1324</v>
      </c>
      <c r="R695" s="351">
        <v>1312</v>
      </c>
      <c r="S695" s="351">
        <v>1397</v>
      </c>
      <c r="T695" s="351">
        <f t="shared" si="944"/>
        <v>1220</v>
      </c>
      <c r="U695" s="46">
        <v>5253</v>
      </c>
      <c r="V695" s="351">
        <v>1144</v>
      </c>
      <c r="W695" s="351">
        <v>1181</v>
      </c>
      <c r="X695" s="351">
        <v>1293</v>
      </c>
      <c r="Y695" s="351">
        <f t="shared" si="945"/>
        <v>1208</v>
      </c>
      <c r="Z695" s="46">
        <v>4826</v>
      </c>
      <c r="AA695" s="203"/>
      <c r="AB695" s="203"/>
      <c r="AC695" s="203"/>
      <c r="AD695" s="203"/>
      <c r="AE695" s="108"/>
      <c r="AF695" s="203"/>
      <c r="AG695" s="203"/>
      <c r="AH695" s="203"/>
      <c r="AI695" s="203"/>
      <c r="AJ695" s="108"/>
      <c r="AK695" s="203"/>
      <c r="AL695" s="203"/>
      <c r="AM695" s="203"/>
      <c r="AN695" s="203"/>
      <c r="AO695" s="108"/>
      <c r="AP695" s="203"/>
      <c r="AQ695" s="203"/>
      <c r="AR695" s="203"/>
      <c r="AS695" s="203"/>
      <c r="AT695" s="108"/>
      <c r="AU695" s="790"/>
      <c r="AV695" s="203"/>
      <c r="AW695" s="203"/>
      <c r="AX695" s="203"/>
      <c r="AY695" s="108"/>
      <c r="AZ695" s="203"/>
      <c r="BA695" s="203"/>
      <c r="BB695" s="203"/>
      <c r="BC695" s="203"/>
      <c r="BD695" s="108"/>
      <c r="BE695" s="108"/>
      <c r="BF695" s="108"/>
      <c r="BG695" s="108"/>
      <c r="BH695" s="351"/>
    </row>
    <row r="696" spans="1:60" s="60" customFormat="1" hidden="1" outlineLevel="1" x14ac:dyDescent="0.35">
      <c r="A696" s="350" t="s">
        <v>685</v>
      </c>
      <c r="B696" s="317"/>
      <c r="C696" s="46">
        <v>3471</v>
      </c>
      <c r="D696" s="46">
        <v>3853</v>
      </c>
      <c r="E696" s="46">
        <v>4153</v>
      </c>
      <c r="F696" s="46">
        <v>4386</v>
      </c>
      <c r="G696" s="351">
        <v>1081</v>
      </c>
      <c r="H696" s="351">
        <v>1098</v>
      </c>
      <c r="I696" s="351">
        <v>1153</v>
      </c>
      <c r="J696" s="351">
        <f t="shared" si="942"/>
        <v>1103</v>
      </c>
      <c r="K696" s="46">
        <v>4435</v>
      </c>
      <c r="L696" s="351">
        <v>1079</v>
      </c>
      <c r="M696" s="351">
        <v>1139</v>
      </c>
      <c r="N696" s="351">
        <v>1177</v>
      </c>
      <c r="O696" s="351">
        <f t="shared" si="943"/>
        <v>1128</v>
      </c>
      <c r="P696" s="46">
        <v>4523</v>
      </c>
      <c r="Q696" s="351">
        <v>1048</v>
      </c>
      <c r="R696" s="351">
        <v>1111</v>
      </c>
      <c r="S696" s="351">
        <v>1162</v>
      </c>
      <c r="T696" s="351">
        <f t="shared" si="944"/>
        <v>1101</v>
      </c>
      <c r="U696" s="46">
        <v>4422</v>
      </c>
      <c r="V696" s="351">
        <v>1049</v>
      </c>
      <c r="W696" s="351">
        <v>1130</v>
      </c>
      <c r="X696" s="351">
        <v>1209</v>
      </c>
      <c r="Y696" s="351">
        <f t="shared" si="945"/>
        <v>1094</v>
      </c>
      <c r="Z696" s="46">
        <v>4482</v>
      </c>
      <c r="AA696" s="203"/>
      <c r="AB696" s="203"/>
      <c r="AC696" s="203"/>
      <c r="AD696" s="203"/>
      <c r="AE696" s="108"/>
      <c r="AF696" s="203"/>
      <c r="AG696" s="203"/>
      <c r="AH696" s="203"/>
      <c r="AI696" s="203"/>
      <c r="AJ696" s="108"/>
      <c r="AK696" s="203"/>
      <c r="AL696" s="203"/>
      <c r="AM696" s="203"/>
      <c r="AN696" s="203"/>
      <c r="AO696" s="108"/>
      <c r="AP696" s="203"/>
      <c r="AQ696" s="203"/>
      <c r="AR696" s="203"/>
      <c r="AS696" s="203"/>
      <c r="AT696" s="108"/>
      <c r="AU696" s="790"/>
      <c r="AV696" s="203"/>
      <c r="AW696" s="203"/>
      <c r="AX696" s="203"/>
      <c r="AY696" s="108"/>
      <c r="AZ696" s="203"/>
      <c r="BA696" s="203"/>
      <c r="BB696" s="203"/>
      <c r="BC696" s="203"/>
      <c r="BD696" s="108"/>
      <c r="BE696" s="108"/>
      <c r="BF696" s="108"/>
      <c r="BG696" s="108"/>
      <c r="BH696" s="351"/>
    </row>
    <row r="697" spans="1:60" s="60" customFormat="1" hidden="1" outlineLevel="1" x14ac:dyDescent="0.35">
      <c r="A697" s="350" t="s">
        <v>686</v>
      </c>
      <c r="B697" s="317"/>
      <c r="C697" s="46">
        <v>12</v>
      </c>
      <c r="D697" s="46">
        <v>10</v>
      </c>
      <c r="E697" s="46">
        <v>11</v>
      </c>
      <c r="F697" s="46">
        <v>4</v>
      </c>
      <c r="G697" s="351">
        <v>2</v>
      </c>
      <c r="H697" s="351">
        <v>1</v>
      </c>
      <c r="I697" s="351">
        <v>3</v>
      </c>
      <c r="J697" s="351">
        <f t="shared" si="942"/>
        <v>2</v>
      </c>
      <c r="K697" s="46">
        <v>8</v>
      </c>
      <c r="L697" s="351">
        <v>3</v>
      </c>
      <c r="M697" s="351">
        <v>-1</v>
      </c>
      <c r="N697" s="351">
        <v>3</v>
      </c>
      <c r="O697" s="351">
        <f t="shared" si="943"/>
        <v>-1</v>
      </c>
      <c r="P697" s="46">
        <v>4</v>
      </c>
      <c r="Q697" s="351">
        <v>2</v>
      </c>
      <c r="R697" s="351">
        <v>-4</v>
      </c>
      <c r="S697" s="351">
        <v>1</v>
      </c>
      <c r="T697" s="351">
        <f t="shared" si="944"/>
        <v>2</v>
      </c>
      <c r="U697" s="46">
        <v>1</v>
      </c>
      <c r="V697" s="351">
        <v>1</v>
      </c>
      <c r="W697" s="351">
        <v>4</v>
      </c>
      <c r="X697" s="351">
        <v>2</v>
      </c>
      <c r="Y697" s="351">
        <f t="shared" si="945"/>
        <v>2</v>
      </c>
      <c r="Z697" s="46">
        <v>9</v>
      </c>
      <c r="AA697" s="203"/>
      <c r="AB697" s="203"/>
      <c r="AC697" s="203"/>
      <c r="AD697" s="203"/>
      <c r="AE697" s="108"/>
      <c r="AF697" s="203"/>
      <c r="AG697" s="203"/>
      <c r="AH697" s="203"/>
      <c r="AI697" s="203"/>
      <c r="AJ697" s="108"/>
      <c r="AK697" s="203"/>
      <c r="AL697" s="203"/>
      <c r="AM697" s="203"/>
      <c r="AN697" s="203"/>
      <c r="AO697" s="108"/>
      <c r="AP697" s="203"/>
      <c r="AQ697" s="203"/>
      <c r="AR697" s="203"/>
      <c r="AS697" s="203"/>
      <c r="AT697" s="108"/>
      <c r="AU697" s="790"/>
      <c r="AV697" s="203"/>
      <c r="AW697" s="203"/>
      <c r="AX697" s="203"/>
      <c r="AY697" s="108"/>
      <c r="AZ697" s="203"/>
      <c r="BA697" s="203"/>
      <c r="BB697" s="203"/>
      <c r="BC697" s="203"/>
      <c r="BD697" s="108"/>
      <c r="BE697" s="108"/>
      <c r="BF697" s="108"/>
      <c r="BG697" s="108"/>
      <c r="BH697" s="351"/>
    </row>
    <row r="698" spans="1:60" s="60" customFormat="1" hidden="1" outlineLevel="1" x14ac:dyDescent="0.35">
      <c r="A698" s="350" t="s">
        <v>687</v>
      </c>
      <c r="B698" s="317"/>
      <c r="C698" s="46">
        <v>-358</v>
      </c>
      <c r="D698" s="46">
        <v>-386</v>
      </c>
      <c r="E698" s="46">
        <v>-458</v>
      </c>
      <c r="F698" s="46">
        <v>-496</v>
      </c>
      <c r="G698" s="351">
        <v>-129</v>
      </c>
      <c r="H698" s="351">
        <v>-140</v>
      </c>
      <c r="I698" s="351">
        <v>-138</v>
      </c>
      <c r="J698" s="351">
        <f t="shared" si="942"/>
        <v>-133</v>
      </c>
      <c r="K698" s="46">
        <v>-540</v>
      </c>
      <c r="L698" s="351">
        <v>-135</v>
      </c>
      <c r="M698" s="351">
        <v>-151</v>
      </c>
      <c r="N698" s="351">
        <v>-153</v>
      </c>
      <c r="O698" s="351">
        <f t="shared" si="943"/>
        <v>-165</v>
      </c>
      <c r="P698" s="46">
        <v>-604</v>
      </c>
      <c r="Q698" s="351">
        <v>-153</v>
      </c>
      <c r="R698" s="351">
        <v>-161</v>
      </c>
      <c r="S698" s="351">
        <v>-168</v>
      </c>
      <c r="T698" s="351">
        <f t="shared" si="944"/>
        <v>-150</v>
      </c>
      <c r="U698" s="46">
        <v>-632</v>
      </c>
      <c r="V698" s="351">
        <v>-156</v>
      </c>
      <c r="W698" s="351">
        <v>-187</v>
      </c>
      <c r="X698" s="351">
        <v>-186</v>
      </c>
      <c r="Y698" s="351">
        <f t="shared" si="945"/>
        <v>-179</v>
      </c>
      <c r="Z698" s="46">
        <v>-708</v>
      </c>
      <c r="AA698" s="203"/>
      <c r="AB698" s="203"/>
      <c r="AC698" s="203"/>
      <c r="AD698" s="203"/>
      <c r="AE698" s="108"/>
      <c r="AF698" s="203"/>
      <c r="AG698" s="203"/>
      <c r="AH698" s="203"/>
      <c r="AI698" s="203"/>
      <c r="AJ698" s="108"/>
      <c r="AK698" s="203"/>
      <c r="AL698" s="203"/>
      <c r="AM698" s="203"/>
      <c r="AN698" s="203"/>
      <c r="AO698" s="108"/>
      <c r="AP698" s="203"/>
      <c r="AQ698" s="203"/>
      <c r="AR698" s="203"/>
      <c r="AS698" s="203"/>
      <c r="AT698" s="108"/>
      <c r="AU698" s="790"/>
      <c r="AV698" s="203"/>
      <c r="AW698" s="203"/>
      <c r="AX698" s="203"/>
      <c r="AY698" s="108"/>
      <c r="AZ698" s="203"/>
      <c r="BA698" s="203"/>
      <c r="BB698" s="203"/>
      <c r="BC698" s="203"/>
      <c r="BD698" s="108"/>
      <c r="BE698" s="108"/>
      <c r="BF698" s="108"/>
      <c r="BG698" s="108"/>
      <c r="BH698" s="351"/>
    </row>
    <row r="699" spans="1:60" s="60" customFormat="1" hidden="1" outlineLevel="1" x14ac:dyDescent="0.35">
      <c r="A699" s="350" t="s">
        <v>688</v>
      </c>
      <c r="B699" s="317"/>
      <c r="C699" s="46">
        <v>3132</v>
      </c>
      <c r="D699" s="46">
        <v>3316</v>
      </c>
      <c r="E699" s="46">
        <v>3821</v>
      </c>
      <c r="F699" s="108"/>
      <c r="G699" s="203"/>
      <c r="H699" s="203"/>
      <c r="I699" s="203"/>
      <c r="J699" s="203"/>
      <c r="K699" s="108"/>
      <c r="L699" s="203"/>
      <c r="M699" s="203"/>
      <c r="N699" s="203"/>
      <c r="O699" s="203"/>
      <c r="P699" s="108"/>
      <c r="Q699" s="203"/>
      <c r="R699" s="203"/>
      <c r="S699" s="203"/>
      <c r="T699" s="203"/>
      <c r="U699" s="108"/>
      <c r="V699" s="203"/>
      <c r="W699" s="203"/>
      <c r="X699" s="203"/>
      <c r="Y699" s="203"/>
      <c r="Z699" s="108"/>
      <c r="AA699" s="203"/>
      <c r="AB699" s="203"/>
      <c r="AC699" s="203"/>
      <c r="AD699" s="203"/>
      <c r="AE699" s="108"/>
      <c r="AF699" s="203"/>
      <c r="AG699" s="203"/>
      <c r="AH699" s="203"/>
      <c r="AI699" s="203"/>
      <c r="AJ699" s="108"/>
      <c r="AK699" s="203"/>
      <c r="AL699" s="203"/>
      <c r="AM699" s="203"/>
      <c r="AN699" s="203"/>
      <c r="AO699" s="108"/>
      <c r="AP699" s="203"/>
      <c r="AQ699" s="203"/>
      <c r="AR699" s="203"/>
      <c r="AS699" s="203"/>
      <c r="AT699" s="108"/>
      <c r="AU699" s="790"/>
      <c r="AV699" s="203"/>
      <c r="AW699" s="203"/>
      <c r="AX699" s="203"/>
      <c r="AY699" s="108"/>
      <c r="AZ699" s="203"/>
      <c r="BA699" s="203"/>
      <c r="BB699" s="203"/>
      <c r="BC699" s="203"/>
      <c r="BD699" s="108"/>
      <c r="BE699" s="108"/>
      <c r="BF699" s="108"/>
      <c r="BG699" s="108"/>
      <c r="BH699" s="351"/>
    </row>
    <row r="700" spans="1:60" s="60" customFormat="1" hidden="1" outlineLevel="1" x14ac:dyDescent="0.35">
      <c r="A700" s="350" t="s">
        <v>689</v>
      </c>
      <c r="B700" s="317"/>
      <c r="C700" s="46">
        <v>3064</v>
      </c>
      <c r="D700" s="46">
        <v>3884</v>
      </c>
      <c r="E700" s="46">
        <v>3674</v>
      </c>
      <c r="F700" s="108"/>
      <c r="G700" s="203"/>
      <c r="H700" s="203"/>
      <c r="I700" s="203"/>
      <c r="J700" s="203"/>
      <c r="K700" s="108"/>
      <c r="L700" s="203"/>
      <c r="M700" s="203"/>
      <c r="N700" s="203"/>
      <c r="O700" s="203"/>
      <c r="P700" s="108"/>
      <c r="Q700" s="203"/>
      <c r="R700" s="203"/>
      <c r="S700" s="203"/>
      <c r="T700" s="203"/>
      <c r="U700" s="108"/>
      <c r="V700" s="203"/>
      <c r="W700" s="203"/>
      <c r="X700" s="203"/>
      <c r="Y700" s="203"/>
      <c r="Z700" s="108"/>
      <c r="AA700" s="203"/>
      <c r="AB700" s="203"/>
      <c r="AC700" s="203"/>
      <c r="AD700" s="203"/>
      <c r="AE700" s="108"/>
      <c r="AF700" s="203"/>
      <c r="AG700" s="203"/>
      <c r="AH700" s="203"/>
      <c r="AI700" s="203"/>
      <c r="AJ700" s="108"/>
      <c r="AK700" s="203"/>
      <c r="AL700" s="203"/>
      <c r="AM700" s="203"/>
      <c r="AN700" s="203"/>
      <c r="AO700" s="108"/>
      <c r="AP700" s="203"/>
      <c r="AQ700" s="203"/>
      <c r="AR700" s="203"/>
      <c r="AS700" s="203"/>
      <c r="AT700" s="108"/>
      <c r="AU700" s="790"/>
      <c r="AV700" s="203"/>
      <c r="AW700" s="203"/>
      <c r="AX700" s="203"/>
      <c r="AY700" s="108"/>
      <c r="AZ700" s="203"/>
      <c r="BA700" s="203"/>
      <c r="BB700" s="203"/>
      <c r="BC700" s="203"/>
      <c r="BD700" s="108"/>
      <c r="BE700" s="108"/>
      <c r="BF700" s="108"/>
      <c r="BG700" s="108"/>
      <c r="BH700" s="351"/>
    </row>
    <row r="701" spans="1:60" s="60" customFormat="1" hidden="1" outlineLevel="1" x14ac:dyDescent="0.35">
      <c r="A701" s="350" t="s">
        <v>690</v>
      </c>
      <c r="B701" s="317"/>
      <c r="C701" s="46">
        <v>2276</v>
      </c>
      <c r="D701" s="46">
        <v>3043</v>
      </c>
      <c r="E701" s="46">
        <v>3306</v>
      </c>
      <c r="F701" s="108"/>
      <c r="G701" s="203"/>
      <c r="H701" s="203"/>
      <c r="I701" s="203"/>
      <c r="J701" s="203"/>
      <c r="K701" s="108"/>
      <c r="L701" s="203"/>
      <c r="M701" s="203"/>
      <c r="N701" s="203"/>
      <c r="O701" s="203"/>
      <c r="P701" s="108"/>
      <c r="Q701" s="203"/>
      <c r="R701" s="203"/>
      <c r="S701" s="203"/>
      <c r="T701" s="203"/>
      <c r="U701" s="108"/>
      <c r="V701" s="203"/>
      <c r="W701" s="203"/>
      <c r="X701" s="203"/>
      <c r="Y701" s="203"/>
      <c r="Z701" s="108"/>
      <c r="AA701" s="203"/>
      <c r="AB701" s="203"/>
      <c r="AC701" s="203"/>
      <c r="AD701" s="203"/>
      <c r="AE701" s="108"/>
      <c r="AF701" s="203"/>
      <c r="AG701" s="203"/>
      <c r="AH701" s="203"/>
      <c r="AI701" s="203"/>
      <c r="AJ701" s="108"/>
      <c r="AK701" s="203"/>
      <c r="AL701" s="203"/>
      <c r="AM701" s="203"/>
      <c r="AN701" s="203"/>
      <c r="AO701" s="108"/>
      <c r="AP701" s="203"/>
      <c r="AQ701" s="203"/>
      <c r="AR701" s="203"/>
      <c r="AS701" s="203"/>
      <c r="AT701" s="108"/>
      <c r="AU701" s="790"/>
      <c r="AV701" s="203"/>
      <c r="AW701" s="203"/>
      <c r="AX701" s="203"/>
      <c r="AY701" s="108"/>
      <c r="AZ701" s="203"/>
      <c r="BA701" s="203"/>
      <c r="BB701" s="203"/>
      <c r="BC701" s="203"/>
      <c r="BD701" s="108"/>
      <c r="BE701" s="108"/>
      <c r="BF701" s="108"/>
      <c r="BG701" s="108"/>
      <c r="BH701" s="351"/>
    </row>
    <row r="702" spans="1:60" s="69" customFormat="1" hidden="1" outlineLevel="1" x14ac:dyDescent="0.35">
      <c r="A702" s="89" t="s">
        <v>691</v>
      </c>
      <c r="B702" s="319"/>
      <c r="C702" s="68">
        <f t="shared" ref="C702:Z702" si="946">SUM(C692:C701)</f>
        <v>23123</v>
      </c>
      <c r="D702" s="68">
        <f t="shared" si="946"/>
        <v>26662</v>
      </c>
      <c r="E702" s="68">
        <f t="shared" si="946"/>
        <v>29611</v>
      </c>
      <c r="F702" s="68">
        <f t="shared" si="946"/>
        <v>29904</v>
      </c>
      <c r="G702" s="76">
        <f t="shared" si="946"/>
        <v>7634</v>
      </c>
      <c r="H702" s="76">
        <f t="shared" si="946"/>
        <v>7752</v>
      </c>
      <c r="I702" s="76">
        <f t="shared" si="946"/>
        <v>7916</v>
      </c>
      <c r="J702" s="76">
        <f t="shared" si="946"/>
        <v>7569</v>
      </c>
      <c r="K702" s="68">
        <f t="shared" si="946"/>
        <v>30871</v>
      </c>
      <c r="L702" s="76">
        <f t="shared" si="946"/>
        <v>7831</v>
      </c>
      <c r="M702" s="76">
        <f t="shared" si="946"/>
        <v>8134</v>
      </c>
      <c r="N702" s="76">
        <f t="shared" si="946"/>
        <v>8137</v>
      </c>
      <c r="O702" s="76">
        <f t="shared" si="946"/>
        <v>7719</v>
      </c>
      <c r="P702" s="68">
        <f t="shared" si="946"/>
        <v>31821</v>
      </c>
      <c r="Q702" s="76">
        <f t="shared" si="946"/>
        <v>7578</v>
      </c>
      <c r="R702" s="76">
        <f t="shared" si="946"/>
        <v>7686</v>
      </c>
      <c r="S702" s="76">
        <f t="shared" si="946"/>
        <v>7712</v>
      </c>
      <c r="T702" s="76">
        <f t="shared" si="946"/>
        <v>7298</v>
      </c>
      <c r="U702" s="68">
        <f t="shared" si="946"/>
        <v>30274</v>
      </c>
      <c r="V702" s="76">
        <f t="shared" si="946"/>
        <v>7409</v>
      </c>
      <c r="W702" s="76">
        <f t="shared" si="946"/>
        <v>7662</v>
      </c>
      <c r="X702" s="76">
        <f t="shared" si="946"/>
        <v>7709</v>
      </c>
      <c r="Y702" s="76">
        <f t="shared" si="946"/>
        <v>7329</v>
      </c>
      <c r="Z702" s="68">
        <f t="shared" si="946"/>
        <v>30109</v>
      </c>
      <c r="AA702" s="109"/>
      <c r="AB702" s="109"/>
      <c r="AC702" s="109"/>
      <c r="AD702" s="109"/>
      <c r="AE702" s="110"/>
      <c r="AF702" s="109"/>
      <c r="AG702" s="109"/>
      <c r="AH702" s="109"/>
      <c r="AI702" s="109"/>
      <c r="AJ702" s="110"/>
      <c r="AK702" s="109"/>
      <c r="AL702" s="109"/>
      <c r="AM702" s="109"/>
      <c r="AN702" s="109"/>
      <c r="AO702" s="110"/>
      <c r="AP702" s="109"/>
      <c r="AQ702" s="109"/>
      <c r="AR702" s="109"/>
      <c r="AS702" s="109"/>
      <c r="AT702" s="110"/>
      <c r="AU702" s="796"/>
      <c r="AV702" s="109"/>
      <c r="AW702" s="109"/>
      <c r="AX702" s="109"/>
      <c r="AY702" s="110"/>
      <c r="AZ702" s="109"/>
      <c r="BA702" s="109"/>
      <c r="BB702" s="109"/>
      <c r="BC702" s="109"/>
      <c r="BD702" s="110"/>
      <c r="BE702" s="110"/>
      <c r="BF702" s="110"/>
      <c r="BG702" s="110"/>
      <c r="BH702" s="79"/>
    </row>
    <row r="703" spans="1:60" s="48" customFormat="1" collapsed="1" x14ac:dyDescent="0.35">
      <c r="A703" s="681"/>
      <c r="B703" s="682"/>
      <c r="C703" s="876"/>
      <c r="D703" s="876"/>
      <c r="E703" s="876"/>
      <c r="F703" s="876"/>
      <c r="G703" s="877"/>
      <c r="H703" s="877"/>
      <c r="I703" s="877"/>
      <c r="J703" s="877"/>
      <c r="K703" s="876"/>
      <c r="L703" s="877"/>
      <c r="M703" s="877"/>
      <c r="N703" s="877"/>
      <c r="O703" s="877"/>
      <c r="P703" s="876"/>
      <c r="Q703" s="877"/>
      <c r="R703" s="877"/>
      <c r="S703" s="877"/>
      <c r="T703" s="877"/>
      <c r="U703" s="876"/>
      <c r="V703" s="877"/>
      <c r="W703" s="877"/>
      <c r="X703" s="877"/>
      <c r="Y703" s="877"/>
      <c r="Z703" s="876"/>
      <c r="AA703" s="877"/>
      <c r="AB703" s="877"/>
      <c r="AC703" s="877"/>
      <c r="AD703" s="877"/>
      <c r="AE703" s="876"/>
      <c r="AF703" s="877"/>
      <c r="AG703" s="877"/>
      <c r="AH703" s="877"/>
      <c r="AI703" s="877"/>
      <c r="AJ703" s="876"/>
      <c r="AK703" s="877"/>
      <c r="AL703" s="877"/>
      <c r="AM703" s="877"/>
      <c r="AN703" s="877"/>
      <c r="AO703" s="876"/>
      <c r="AP703" s="877"/>
      <c r="AQ703" s="877"/>
      <c r="AR703" s="877"/>
      <c r="AS703" s="877"/>
      <c r="AT703" s="876"/>
      <c r="AU703" s="878"/>
      <c r="AV703" s="877"/>
      <c r="AW703" s="877"/>
      <c r="AX703" s="877"/>
      <c r="AY703" s="876"/>
      <c r="AZ703" s="877"/>
      <c r="BA703" s="877"/>
      <c r="BB703" s="877"/>
      <c r="BC703" s="877"/>
      <c r="BD703" s="876"/>
      <c r="BE703" s="876"/>
      <c r="BF703" s="876"/>
      <c r="BG703" s="876"/>
      <c r="BH703" s="749"/>
    </row>
    <row r="704" spans="1:60" s="225" customFormat="1" x14ac:dyDescent="0.35">
      <c r="A704" s="103" t="s">
        <v>25</v>
      </c>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c r="Y704" s="103"/>
      <c r="Z704" s="103"/>
      <c r="AA704" s="103"/>
      <c r="AB704" s="103"/>
      <c r="AC704" s="103"/>
      <c r="AD704" s="103"/>
      <c r="AE704" s="103"/>
      <c r="AF704" s="103"/>
      <c r="AG704" s="103"/>
      <c r="AH704" s="103"/>
      <c r="AI704" s="103"/>
      <c r="AJ704" s="103"/>
      <c r="AK704" s="103"/>
      <c r="AL704" s="103"/>
      <c r="AM704" s="103"/>
      <c r="AN704" s="103"/>
      <c r="AO704" s="103"/>
      <c r="AP704" s="103"/>
      <c r="AQ704" s="103"/>
      <c r="AR704" s="103"/>
      <c r="AS704" s="103"/>
      <c r="AT704" s="103"/>
      <c r="AU704" s="758"/>
      <c r="AV704" s="103"/>
      <c r="AW704" s="103"/>
      <c r="AX704" s="103"/>
      <c r="AY704" s="103"/>
      <c r="AZ704" s="103"/>
      <c r="BA704" s="103"/>
      <c r="BB704" s="103"/>
      <c r="BC704" s="103"/>
      <c r="BD704" s="103"/>
      <c r="BE704" s="103"/>
      <c r="BF704" s="103"/>
      <c r="BG704" s="103"/>
      <c r="BH704" s="94"/>
    </row>
    <row r="705" spans="1:60" s="225" customFormat="1" hidden="1" outlineLevel="1" x14ac:dyDescent="0.35">
      <c r="A705" s="232" t="s">
        <v>698</v>
      </c>
      <c r="B705" s="176"/>
      <c r="C705" s="223">
        <f t="shared" ref="C705:AH705" si="947">C790/C$787</f>
        <v>0.47199757816892274</v>
      </c>
      <c r="D705" s="223">
        <f t="shared" si="947"/>
        <v>0.47558322706473632</v>
      </c>
      <c r="E705" s="223">
        <f t="shared" si="947"/>
        <v>0.48725135929215496</v>
      </c>
      <c r="F705" s="223">
        <f t="shared" si="947"/>
        <v>0.48053772070626005</v>
      </c>
      <c r="G705" s="226">
        <f t="shared" si="947"/>
        <v>0.4743253864291328</v>
      </c>
      <c r="H705" s="226">
        <f t="shared" si="947"/>
        <v>0.47368421052631576</v>
      </c>
      <c r="I705" s="226">
        <f t="shared" si="947"/>
        <v>0.48004042445679634</v>
      </c>
      <c r="J705" s="226">
        <f t="shared" si="947"/>
        <v>0.47760602457391993</v>
      </c>
      <c r="K705" s="223">
        <f t="shared" si="947"/>
        <v>0.47643419390366365</v>
      </c>
      <c r="L705" s="226">
        <f t="shared" si="947"/>
        <v>0.4672455625079811</v>
      </c>
      <c r="M705" s="226">
        <f t="shared" si="947"/>
        <v>0.46901893287435459</v>
      </c>
      <c r="N705" s="226">
        <f t="shared" si="947"/>
        <v>0.47265576993978126</v>
      </c>
      <c r="O705" s="226">
        <f t="shared" si="947"/>
        <v>0.47570928876797514</v>
      </c>
      <c r="P705" s="223">
        <f t="shared" si="947"/>
        <v>0.47113541372049905</v>
      </c>
      <c r="Q705" s="226">
        <f t="shared" si="947"/>
        <v>0.45645288994457639</v>
      </c>
      <c r="R705" s="226">
        <f t="shared" si="947"/>
        <v>0.45615404631798073</v>
      </c>
      <c r="S705" s="226">
        <f t="shared" si="947"/>
        <v>0.45565352697095435</v>
      </c>
      <c r="T705" s="226">
        <f t="shared" si="947"/>
        <v>0.46903261167443133</v>
      </c>
      <c r="U705" s="223">
        <f t="shared" si="947"/>
        <v>0.45920591927066129</v>
      </c>
      <c r="V705" s="226">
        <f t="shared" si="947"/>
        <v>0.44526926710757186</v>
      </c>
      <c r="W705" s="226">
        <f t="shared" si="947"/>
        <v>0.44701122422344036</v>
      </c>
      <c r="X705" s="226">
        <f t="shared" si="947"/>
        <v>0.4502529510961214</v>
      </c>
      <c r="Y705" s="226">
        <f t="shared" si="947"/>
        <v>0.45354072861236183</v>
      </c>
      <c r="Z705" s="223">
        <f t="shared" si="947"/>
        <v>0.4490019595469793</v>
      </c>
      <c r="AA705" s="226">
        <f t="shared" si="947"/>
        <v>0.44515289525048796</v>
      </c>
      <c r="AB705" s="226">
        <f t="shared" si="947"/>
        <v>0.46491677336747761</v>
      </c>
      <c r="AC705" s="226">
        <f t="shared" si="947"/>
        <v>0.44946157611355847</v>
      </c>
      <c r="AD705" s="226">
        <f t="shared" si="947"/>
        <v>0.46770963704630786</v>
      </c>
      <c r="AE705" s="223">
        <f t="shared" si="947"/>
        <v>0.45683419149003379</v>
      </c>
      <c r="AF705" s="226">
        <f t="shared" si="947"/>
        <v>0.46279294515583475</v>
      </c>
      <c r="AG705" s="226">
        <f t="shared" si="947"/>
        <v>0.4574493444576877</v>
      </c>
      <c r="AH705" s="226">
        <f t="shared" si="947"/>
        <v>0.46565260058881258</v>
      </c>
      <c r="AI705" s="226">
        <f t="shared" ref="AI705:AY705" si="948">AI790/AI$787</f>
        <v>0.4633102580239144</v>
      </c>
      <c r="AJ705" s="223">
        <f t="shared" si="948"/>
        <v>0.46226155959102699</v>
      </c>
      <c r="AK705" s="226">
        <f t="shared" si="948"/>
        <v>0.49764720844461402</v>
      </c>
      <c r="AL705" s="226">
        <f t="shared" si="948"/>
        <v>0.48072451352343654</v>
      </c>
      <c r="AM705" s="226">
        <f t="shared" si="948"/>
        <v>0.4756601176323364</v>
      </c>
      <c r="AN705" s="226">
        <f t="shared" si="948"/>
        <v>0.4751571939341635</v>
      </c>
      <c r="AO705" s="223">
        <f t="shared" si="948"/>
        <v>0.48220064724919093</v>
      </c>
      <c r="AP705" s="226">
        <f t="shared" si="948"/>
        <v>0.45164086687306504</v>
      </c>
      <c r="AQ705" s="226">
        <f t="shared" si="948"/>
        <v>0.46028428093645485</v>
      </c>
      <c r="AR705" s="226">
        <f>AR790/AR$787</f>
        <v>0.45664670658682632</v>
      </c>
      <c r="AS705" s="226">
        <f>AS790/AS$787</f>
        <v>0.45217289991844345</v>
      </c>
      <c r="AT705" s="223">
        <f>AT790/AT$787</f>
        <v>0.45500869997514293</v>
      </c>
      <c r="AU705" s="773">
        <f t="shared" ref="AU705" si="949">AU790/AU$787</f>
        <v>0.45678454411930858</v>
      </c>
      <c r="AV705" s="226">
        <f t="shared" si="948"/>
        <v>0.46588675973164656</v>
      </c>
      <c r="AW705" s="226">
        <f t="shared" si="948"/>
        <v>0.46168985401983992</v>
      </c>
      <c r="AX705" s="226">
        <f t="shared" si="948"/>
        <v>0.45786614126732961</v>
      </c>
      <c r="AY705" s="223">
        <f t="shared" si="948"/>
        <v>0.4603589392011066</v>
      </c>
      <c r="AZ705" s="226">
        <f>AZ790/AZ$787</f>
        <v>0.45179500920991411</v>
      </c>
      <c r="BA705" s="226">
        <f>BA790/BA$787</f>
        <v>0.44861371224222318</v>
      </c>
      <c r="BB705" s="226">
        <f>BB790/BB$787</f>
        <v>0.47053532672016124</v>
      </c>
      <c r="BC705" s="226">
        <f>BC790/BC$787</f>
        <v>0.45449168728388351</v>
      </c>
      <c r="BD705" s="223">
        <f>BD790/BD$787</f>
        <v>0.45656796383043863</v>
      </c>
      <c r="BE705" s="223">
        <f>BE790/BE787</f>
        <v>0.45356775399558724</v>
      </c>
      <c r="BF705" s="223">
        <f>BF790/BF787</f>
        <v>0.45039658820065004</v>
      </c>
      <c r="BG705" s="223">
        <f>BG790/BG787</f>
        <v>0.44706523973719003</v>
      </c>
      <c r="BH705" s="94"/>
    </row>
    <row r="706" spans="1:60" s="178" customFormat="1" hidden="1" outlineLevel="1" x14ac:dyDescent="0.35">
      <c r="A706" s="233" t="s">
        <v>26</v>
      </c>
      <c r="B706" s="176"/>
      <c r="C706" s="113">
        <f t="shared" ref="C706:AH706" si="950">(C790+C799+C800)/C787</f>
        <v>0.52203433810491717</v>
      </c>
      <c r="D706" s="113">
        <f t="shared" si="950"/>
        <v>0.51759057835121147</v>
      </c>
      <c r="E706" s="113">
        <f t="shared" si="950"/>
        <v>0.52899260409982773</v>
      </c>
      <c r="F706" s="113">
        <f t="shared" si="950"/>
        <v>0.52360888175494913</v>
      </c>
      <c r="G706" s="177">
        <f t="shared" si="950"/>
        <v>0.51833900969347657</v>
      </c>
      <c r="H706" s="177">
        <f t="shared" si="950"/>
        <v>0.51689886480908154</v>
      </c>
      <c r="I706" s="177">
        <f t="shared" si="950"/>
        <v>0.52337038908539668</v>
      </c>
      <c r="J706" s="177">
        <f t="shared" si="950"/>
        <v>0.52477209671026559</v>
      </c>
      <c r="K706" s="113">
        <f t="shared" si="950"/>
        <v>0.52084480580480064</v>
      </c>
      <c r="L706" s="177">
        <f t="shared" si="950"/>
        <v>0.51193972672711019</v>
      </c>
      <c r="M706" s="177">
        <f t="shared" si="950"/>
        <v>0.51303171871158104</v>
      </c>
      <c r="N706" s="177">
        <f t="shared" si="950"/>
        <v>0.51566916554012532</v>
      </c>
      <c r="O706" s="177">
        <f t="shared" si="950"/>
        <v>0.52105194973442159</v>
      </c>
      <c r="P706" s="113">
        <f t="shared" si="950"/>
        <v>0.5153829232267999</v>
      </c>
      <c r="Q706" s="177">
        <f t="shared" si="950"/>
        <v>0.50118764845605701</v>
      </c>
      <c r="R706" s="177">
        <f t="shared" si="950"/>
        <v>0.50091074681238612</v>
      </c>
      <c r="S706" s="177">
        <f t="shared" si="950"/>
        <v>0.5016856846473029</v>
      </c>
      <c r="T706" s="177">
        <f t="shared" si="950"/>
        <v>0.52343107700739933</v>
      </c>
      <c r="U706" s="113">
        <f t="shared" si="950"/>
        <v>0.50660632886305079</v>
      </c>
      <c r="V706" s="177">
        <f t="shared" si="950"/>
        <v>0.49331893642866781</v>
      </c>
      <c r="W706" s="177">
        <f t="shared" si="950"/>
        <v>0.49477943095797444</v>
      </c>
      <c r="X706" s="177">
        <f t="shared" si="950"/>
        <v>0.49798936308211184</v>
      </c>
      <c r="Y706" s="177">
        <f t="shared" si="950"/>
        <v>0.5059353254195661</v>
      </c>
      <c r="Z706" s="113">
        <f t="shared" si="950"/>
        <v>0.49795742136902588</v>
      </c>
      <c r="AA706" s="177">
        <f t="shared" si="950"/>
        <v>0.50214703968770336</v>
      </c>
      <c r="AB706" s="177">
        <f t="shared" si="950"/>
        <v>0.51357234314980793</v>
      </c>
      <c r="AC706" s="177">
        <f t="shared" si="950"/>
        <v>0.49559471365638769</v>
      </c>
      <c r="AD706" s="177">
        <f t="shared" si="950"/>
        <v>0.51138923654568214</v>
      </c>
      <c r="AE706" s="113">
        <f t="shared" si="950"/>
        <v>0.50560697476071648</v>
      </c>
      <c r="AF706" s="177">
        <f t="shared" si="950"/>
        <v>0.50893935733268902</v>
      </c>
      <c r="AG706" s="177">
        <f t="shared" si="950"/>
        <v>0.50274135876042914</v>
      </c>
      <c r="AH706" s="177">
        <f t="shared" si="950"/>
        <v>0.50920019627085378</v>
      </c>
      <c r="AI706" s="177">
        <f t="shared" ref="AI706:AY706" si="951">(AI790+AI799+AI800)/AI787</f>
        <v>0.51000629326620517</v>
      </c>
      <c r="AJ706" s="113">
        <f t="shared" si="951"/>
        <v>0.50767587364565847</v>
      </c>
      <c r="AK706" s="177">
        <f t="shared" si="951"/>
        <v>0.54533892916189752</v>
      </c>
      <c r="AL706" s="177">
        <f t="shared" si="951"/>
        <v>0.52674091298494674</v>
      </c>
      <c r="AM706" s="177">
        <f t="shared" si="951"/>
        <v>0.52308847453385054</v>
      </c>
      <c r="AN706" s="177">
        <f t="shared" si="951"/>
        <v>0.53224016767352977</v>
      </c>
      <c r="AO706" s="113">
        <f t="shared" si="951"/>
        <v>0.53177122230520291</v>
      </c>
      <c r="AP706" s="177">
        <f t="shared" si="951"/>
        <v>0.50613003095975229</v>
      </c>
      <c r="AQ706" s="177">
        <f t="shared" si="951"/>
        <v>0.52884615384615385</v>
      </c>
      <c r="AR706" s="177">
        <f>(AR790+AR799+AR800)/AR787</f>
        <v>0.51425149700598805</v>
      </c>
      <c r="AS706" s="177">
        <f>(AS790+AS799+AS800)/AS787</f>
        <v>0.51019457066293838</v>
      </c>
      <c r="AT706" s="113">
        <f>(AT790+AT799+AT800)/AT787</f>
        <v>0.51438603032562769</v>
      </c>
      <c r="AU706" s="780">
        <f t="shared" ref="AU706" si="952">(AU790+AU799+AU800)/AU787</f>
        <v>0.50875607276014012</v>
      </c>
      <c r="AV706" s="177">
        <f t="shared" si="951"/>
        <v>0.52131031882865309</v>
      </c>
      <c r="AW706" s="177">
        <f t="shared" si="951"/>
        <v>0.51028587495477706</v>
      </c>
      <c r="AX706" s="177">
        <f t="shared" si="951"/>
        <v>0.50518116086031217</v>
      </c>
      <c r="AY706" s="113">
        <f t="shared" si="951"/>
        <v>0.51102010419567934</v>
      </c>
      <c r="AZ706" s="177">
        <f t="shared" ref="AZ706:BG706" si="953">(AZ790+AZ799+AZ800)/AZ787</f>
        <v>0.49660646616460324</v>
      </c>
      <c r="BA706" s="177">
        <f t="shared" si="953"/>
        <v>0.50070875749297417</v>
      </c>
      <c r="BB706" s="177">
        <f t="shared" si="953"/>
        <v>0.51619497645425771</v>
      </c>
      <c r="BC706" s="177">
        <f t="shared" si="953"/>
        <v>0.49894924514810596</v>
      </c>
      <c r="BD706" s="113">
        <f t="shared" si="953"/>
        <v>0.50313051607464077</v>
      </c>
      <c r="BE706" s="113">
        <f t="shared" si="953"/>
        <v>0.49731418647435394</v>
      </c>
      <c r="BF706" s="113">
        <f t="shared" si="953"/>
        <v>0.4914907126830384</v>
      </c>
      <c r="BG706" s="113">
        <f t="shared" si="953"/>
        <v>0.48566177533767729</v>
      </c>
      <c r="BH706" s="299"/>
    </row>
    <row r="707" spans="1:60" s="178" customFormat="1" hidden="1" outlineLevel="1" x14ac:dyDescent="0.35">
      <c r="A707" s="179" t="s">
        <v>699</v>
      </c>
      <c r="B707" s="180"/>
      <c r="C707" s="107">
        <f t="shared" ref="C707:AH707" si="954">1-C705</f>
        <v>0.52800242183107726</v>
      </c>
      <c r="D707" s="107">
        <f t="shared" si="954"/>
        <v>0.52441677293526368</v>
      </c>
      <c r="E707" s="107">
        <f t="shared" si="954"/>
        <v>0.51274864070784498</v>
      </c>
      <c r="F707" s="107">
        <f t="shared" si="954"/>
        <v>0.51946227929374</v>
      </c>
      <c r="G707" s="106">
        <f t="shared" si="954"/>
        <v>0.5256746135708672</v>
      </c>
      <c r="H707" s="106">
        <f t="shared" si="954"/>
        <v>0.52631578947368429</v>
      </c>
      <c r="I707" s="106">
        <f t="shared" si="954"/>
        <v>0.5199595755432036</v>
      </c>
      <c r="J707" s="106">
        <f t="shared" si="954"/>
        <v>0.52239397542608002</v>
      </c>
      <c r="K707" s="107">
        <f t="shared" si="954"/>
        <v>0.52356580609633641</v>
      </c>
      <c r="L707" s="106">
        <f t="shared" si="954"/>
        <v>0.5327544374920189</v>
      </c>
      <c r="M707" s="106">
        <f t="shared" si="954"/>
        <v>0.53098106712564541</v>
      </c>
      <c r="N707" s="106">
        <f t="shared" si="954"/>
        <v>0.52734423006021869</v>
      </c>
      <c r="O707" s="106">
        <f t="shared" si="954"/>
        <v>0.52429071123202486</v>
      </c>
      <c r="P707" s="107">
        <f t="shared" si="954"/>
        <v>0.52886458627950095</v>
      </c>
      <c r="Q707" s="106">
        <f t="shared" si="954"/>
        <v>0.54354711005542367</v>
      </c>
      <c r="R707" s="106">
        <f t="shared" si="954"/>
        <v>0.54384595368201927</v>
      </c>
      <c r="S707" s="106">
        <f t="shared" si="954"/>
        <v>0.54434647302904571</v>
      </c>
      <c r="T707" s="106">
        <f t="shared" si="954"/>
        <v>0.53096738832556867</v>
      </c>
      <c r="U707" s="107">
        <f t="shared" si="954"/>
        <v>0.54079408072933877</v>
      </c>
      <c r="V707" s="106">
        <f t="shared" si="954"/>
        <v>0.55473073289242814</v>
      </c>
      <c r="W707" s="106">
        <f t="shared" si="954"/>
        <v>0.55298877577655969</v>
      </c>
      <c r="X707" s="106">
        <f t="shared" si="954"/>
        <v>0.5497470489038786</v>
      </c>
      <c r="Y707" s="106">
        <f t="shared" si="954"/>
        <v>0.54645927138763817</v>
      </c>
      <c r="Z707" s="107">
        <f t="shared" si="954"/>
        <v>0.5509980404530207</v>
      </c>
      <c r="AA707" s="106">
        <f t="shared" si="954"/>
        <v>0.55484710474951204</v>
      </c>
      <c r="AB707" s="106">
        <f t="shared" si="954"/>
        <v>0.53508322663252239</v>
      </c>
      <c r="AC707" s="106">
        <f t="shared" si="954"/>
        <v>0.55053842388644147</v>
      </c>
      <c r="AD707" s="106">
        <f t="shared" si="954"/>
        <v>0.53229036295369214</v>
      </c>
      <c r="AE707" s="107">
        <f t="shared" si="954"/>
        <v>0.54316580850996621</v>
      </c>
      <c r="AF707" s="106">
        <f t="shared" si="954"/>
        <v>0.5372070548441652</v>
      </c>
      <c r="AG707" s="106">
        <f t="shared" si="954"/>
        <v>0.5425506555423123</v>
      </c>
      <c r="AH707" s="106">
        <f t="shared" si="954"/>
        <v>0.53434739941118736</v>
      </c>
      <c r="AI707" s="106">
        <f t="shared" ref="AI707:AY707" si="955">1-AI705</f>
        <v>0.53668974197608565</v>
      </c>
      <c r="AJ707" s="107">
        <f t="shared" si="955"/>
        <v>0.53773844040897301</v>
      </c>
      <c r="AK707" s="106">
        <f t="shared" si="955"/>
        <v>0.50235279155538604</v>
      </c>
      <c r="AL707" s="106">
        <f t="shared" si="955"/>
        <v>0.51927548647656341</v>
      </c>
      <c r="AM707" s="106">
        <f t="shared" si="955"/>
        <v>0.5243398823676636</v>
      </c>
      <c r="AN707" s="106">
        <f t="shared" si="955"/>
        <v>0.52484280606583655</v>
      </c>
      <c r="AO707" s="107">
        <f t="shared" si="955"/>
        <v>0.51779935275080913</v>
      </c>
      <c r="AP707" s="106">
        <f t="shared" si="955"/>
        <v>0.54835913312693496</v>
      </c>
      <c r="AQ707" s="106">
        <f t="shared" si="955"/>
        <v>0.5397157190635451</v>
      </c>
      <c r="AR707" s="106">
        <f t="shared" ref="AR707:AU708" si="956">1-AR705</f>
        <v>0.54335329341317373</v>
      </c>
      <c r="AS707" s="106">
        <f t="shared" si="956"/>
        <v>0.54782710008155655</v>
      </c>
      <c r="AT707" s="107">
        <f t="shared" si="956"/>
        <v>0.54499130002485707</v>
      </c>
      <c r="AU707" s="760">
        <f t="shared" si="956"/>
        <v>0.54321545588069142</v>
      </c>
      <c r="AV707" s="106">
        <f t="shared" si="955"/>
        <v>0.5341132402683535</v>
      </c>
      <c r="AW707" s="106">
        <f t="shared" si="955"/>
        <v>0.53831014598016003</v>
      </c>
      <c r="AX707" s="106">
        <f t="shared" si="955"/>
        <v>0.54213385873267039</v>
      </c>
      <c r="AY707" s="107">
        <f t="shared" si="955"/>
        <v>0.5396410607988934</v>
      </c>
      <c r="AZ707" s="106">
        <f t="shared" ref="AZ707:BG708" si="957">1-AZ705</f>
        <v>0.54820499079008589</v>
      </c>
      <c r="BA707" s="106">
        <f t="shared" si="957"/>
        <v>0.55138628775777687</v>
      </c>
      <c r="BB707" s="106">
        <f t="shared" si="957"/>
        <v>0.5294646732798387</v>
      </c>
      <c r="BC707" s="106">
        <f t="shared" si="957"/>
        <v>0.54550831271611644</v>
      </c>
      <c r="BD707" s="107">
        <f t="shared" si="957"/>
        <v>0.54343203616956137</v>
      </c>
      <c r="BE707" s="107">
        <f t="shared" si="957"/>
        <v>0.54643224600441276</v>
      </c>
      <c r="BF707" s="107">
        <f t="shared" si="957"/>
        <v>0.54960341179935002</v>
      </c>
      <c r="BG707" s="107">
        <f t="shared" si="957"/>
        <v>0.55293476026280997</v>
      </c>
      <c r="BH707" s="299"/>
    </row>
    <row r="708" spans="1:60" s="178" customFormat="1" hidden="1" outlineLevel="1" x14ac:dyDescent="0.35">
      <c r="A708" s="234" t="s">
        <v>27</v>
      </c>
      <c r="B708" s="176"/>
      <c r="C708" s="113">
        <f t="shared" ref="C708:AH708" si="958">1-C706</f>
        <v>0.47796566189508283</v>
      </c>
      <c r="D708" s="113">
        <f t="shared" si="958"/>
        <v>0.48240942164878853</v>
      </c>
      <c r="E708" s="113">
        <f t="shared" si="958"/>
        <v>0.47100739590017227</v>
      </c>
      <c r="F708" s="113">
        <f t="shared" si="958"/>
        <v>0.47639111824505087</v>
      </c>
      <c r="G708" s="177">
        <f t="shared" si="958"/>
        <v>0.48166099030652343</v>
      </c>
      <c r="H708" s="177">
        <f t="shared" si="958"/>
        <v>0.48310113519091846</v>
      </c>
      <c r="I708" s="177">
        <f t="shared" si="958"/>
        <v>0.47662961091460332</v>
      </c>
      <c r="J708" s="177">
        <f t="shared" si="958"/>
        <v>0.47522790328973441</v>
      </c>
      <c r="K708" s="113">
        <f t="shared" si="958"/>
        <v>0.47915519419519936</v>
      </c>
      <c r="L708" s="177">
        <f t="shared" si="958"/>
        <v>0.48806027327288981</v>
      </c>
      <c r="M708" s="177">
        <f t="shared" si="958"/>
        <v>0.48696828128841896</v>
      </c>
      <c r="N708" s="177">
        <f t="shared" si="958"/>
        <v>0.48433083445987468</v>
      </c>
      <c r="O708" s="177">
        <f t="shared" si="958"/>
        <v>0.47894805026557841</v>
      </c>
      <c r="P708" s="113">
        <f t="shared" si="958"/>
        <v>0.4846170767732001</v>
      </c>
      <c r="Q708" s="177">
        <f t="shared" si="958"/>
        <v>0.49881235154394299</v>
      </c>
      <c r="R708" s="177">
        <f t="shared" si="958"/>
        <v>0.49908925318761388</v>
      </c>
      <c r="S708" s="177">
        <f t="shared" si="958"/>
        <v>0.4983143153526971</v>
      </c>
      <c r="T708" s="177">
        <f t="shared" si="958"/>
        <v>0.47656892299260067</v>
      </c>
      <c r="U708" s="113">
        <f t="shared" si="958"/>
        <v>0.49339367113694921</v>
      </c>
      <c r="V708" s="177">
        <f t="shared" si="958"/>
        <v>0.50668106357133214</v>
      </c>
      <c r="W708" s="177">
        <f t="shared" si="958"/>
        <v>0.5052205690420255</v>
      </c>
      <c r="X708" s="177">
        <f t="shared" si="958"/>
        <v>0.50201063691788816</v>
      </c>
      <c r="Y708" s="177">
        <f t="shared" si="958"/>
        <v>0.4940646745804339</v>
      </c>
      <c r="Z708" s="113">
        <f t="shared" si="958"/>
        <v>0.50204257863097412</v>
      </c>
      <c r="AA708" s="177">
        <f t="shared" si="958"/>
        <v>0.49785296031229664</v>
      </c>
      <c r="AB708" s="177">
        <f t="shared" si="958"/>
        <v>0.48642765685019207</v>
      </c>
      <c r="AC708" s="177">
        <f t="shared" si="958"/>
        <v>0.50440528634361237</v>
      </c>
      <c r="AD708" s="177">
        <f t="shared" si="958"/>
        <v>0.48861076345431786</v>
      </c>
      <c r="AE708" s="113">
        <f t="shared" si="958"/>
        <v>0.49439302523928352</v>
      </c>
      <c r="AF708" s="177">
        <f t="shared" si="958"/>
        <v>0.49106064266731098</v>
      </c>
      <c r="AG708" s="177">
        <f t="shared" si="958"/>
        <v>0.49725864123957086</v>
      </c>
      <c r="AH708" s="177">
        <f t="shared" si="958"/>
        <v>0.49079980372914622</v>
      </c>
      <c r="AI708" s="177">
        <f t="shared" ref="AI708:AY708" si="959">1-AI706</f>
        <v>0.48999370673379483</v>
      </c>
      <c r="AJ708" s="113">
        <f t="shared" si="959"/>
        <v>0.49232412635434153</v>
      </c>
      <c r="AK708" s="177">
        <f t="shared" si="959"/>
        <v>0.45466107083810248</v>
      </c>
      <c r="AL708" s="177">
        <f t="shared" si="959"/>
        <v>0.47325908701505326</v>
      </c>
      <c r="AM708" s="177">
        <f t="shared" si="959"/>
        <v>0.47691152546614946</v>
      </c>
      <c r="AN708" s="177">
        <f t="shared" si="959"/>
        <v>0.46775983232647023</v>
      </c>
      <c r="AO708" s="113">
        <f t="shared" si="959"/>
        <v>0.46822877769479709</v>
      </c>
      <c r="AP708" s="177">
        <f t="shared" si="959"/>
        <v>0.49386996904024771</v>
      </c>
      <c r="AQ708" s="177">
        <f t="shared" si="959"/>
        <v>0.47115384615384615</v>
      </c>
      <c r="AR708" s="177">
        <f t="shared" si="956"/>
        <v>0.48574850299401195</v>
      </c>
      <c r="AS708" s="177">
        <f t="shared" si="956"/>
        <v>0.48980542933706162</v>
      </c>
      <c r="AT708" s="113">
        <f t="shared" si="956"/>
        <v>0.48561396967437231</v>
      </c>
      <c r="AU708" s="780">
        <f t="shared" si="956"/>
        <v>0.49124392723985988</v>
      </c>
      <c r="AV708" s="177">
        <f t="shared" si="959"/>
        <v>0.47868968117134691</v>
      </c>
      <c r="AW708" s="177">
        <f t="shared" si="959"/>
        <v>0.48971412504522294</v>
      </c>
      <c r="AX708" s="177">
        <f t="shared" si="959"/>
        <v>0.49481883913968783</v>
      </c>
      <c r="AY708" s="113">
        <f t="shared" si="959"/>
        <v>0.48897989580432066</v>
      </c>
      <c r="AZ708" s="177">
        <f t="shared" si="957"/>
        <v>0.50339353383539676</v>
      </c>
      <c r="BA708" s="177">
        <f t="shared" si="957"/>
        <v>0.49929124250702583</v>
      </c>
      <c r="BB708" s="177">
        <f t="shared" si="957"/>
        <v>0.48380502354574229</v>
      </c>
      <c r="BC708" s="177">
        <f t="shared" si="957"/>
        <v>0.5010507548518941</v>
      </c>
      <c r="BD708" s="113">
        <f t="shared" si="957"/>
        <v>0.49686948392535923</v>
      </c>
      <c r="BE708" s="113">
        <f t="shared" si="957"/>
        <v>0.50268581352564601</v>
      </c>
      <c r="BF708" s="113">
        <f t="shared" si="957"/>
        <v>0.50850928731696166</v>
      </c>
      <c r="BG708" s="113">
        <f t="shared" si="957"/>
        <v>0.51433822466232271</v>
      </c>
      <c r="BH708" s="299"/>
    </row>
    <row r="709" spans="1:60" s="186" customFormat="1" hidden="1" outlineLevel="1" x14ac:dyDescent="0.35">
      <c r="A709" s="181" t="s">
        <v>28</v>
      </c>
      <c r="B709" s="238"/>
      <c r="C709" s="182"/>
      <c r="D709" s="182"/>
      <c r="E709" s="182"/>
      <c r="F709" s="182"/>
      <c r="G709" s="183"/>
      <c r="H709" s="183"/>
      <c r="I709" s="183"/>
      <c r="J709" s="183"/>
      <c r="K709" s="182"/>
      <c r="L709" s="183"/>
      <c r="M709" s="183"/>
      <c r="N709" s="183"/>
      <c r="O709" s="183"/>
      <c r="P709" s="182"/>
      <c r="Q709" s="183"/>
      <c r="R709" s="183"/>
      <c r="S709" s="183"/>
      <c r="T709" s="183"/>
      <c r="U709" s="182"/>
      <c r="V709" s="183"/>
      <c r="W709" s="184"/>
      <c r="X709" s="184"/>
      <c r="Y709" s="183"/>
      <c r="Z709" s="182"/>
      <c r="AA709" s="183"/>
      <c r="AB709" s="184"/>
      <c r="AC709" s="184"/>
      <c r="AD709" s="183"/>
      <c r="AE709" s="182"/>
      <c r="AF709" s="183"/>
      <c r="AG709" s="184"/>
      <c r="AH709" s="184"/>
      <c r="AI709" s="183"/>
      <c r="AJ709" s="182"/>
      <c r="AK709" s="183"/>
      <c r="AL709" s="184"/>
      <c r="AM709" s="184"/>
      <c r="AN709" s="183"/>
      <c r="AO709" s="182"/>
      <c r="AP709" s="183"/>
      <c r="AQ709" s="184"/>
      <c r="AR709" s="184"/>
      <c r="AS709" s="183"/>
      <c r="AT709" s="182"/>
      <c r="AU709" s="778"/>
      <c r="AV709" s="183" t="str">
        <f t="shared" ref="AV709:AY709" ca="1" si="960">IFERROR(VLOOKUP($A709,tb_ConsensusEstimate,MATCH(AV$5,OFFSET(tb_ConsensusEstimate,0,0,1,COLUMNS(tb_ConsensusEstimate)),0),FALSE),"-")</f>
        <v>N/A</v>
      </c>
      <c r="AW709" s="183" t="str">
        <f t="shared" ca="1" si="960"/>
        <v>N/A</v>
      </c>
      <c r="AX709" s="183" t="str">
        <f t="shared" ca="1" si="960"/>
        <v>N/A</v>
      </c>
      <c r="AY709" s="185" t="str">
        <f t="shared" ca="1" si="960"/>
        <v>N/A</v>
      </c>
      <c r="AZ709" s="183" t="str">
        <f ca="1">IFERROR(VLOOKUP($A709,tb_ConsensusEstimate,MATCH(AZ$5,OFFSET(tb_ConsensusEstimate,0,0,1,COLUMNS(tb_ConsensusEstimate)),0),FALSE),"-")</f>
        <v>N/A</v>
      </c>
      <c r="BA709" s="183" t="str">
        <f ca="1">IFERROR(VLOOKUP($A709,tb_ConsensusEstimate,MATCH(BA$5,OFFSET(tb_ConsensusEstimate,0,0,1,COLUMNS(tb_ConsensusEstimate)),0),FALSE),"-")</f>
        <v>N/A</v>
      </c>
      <c r="BB709" s="183" t="str">
        <f ca="1">IFERROR(VLOOKUP($A709,tb_ConsensusEstimate,MATCH(BB$5,OFFSET(tb_ConsensusEstimate,0,0,1,COLUMNS(tb_ConsensusEstimate)),0),FALSE),"-")</f>
        <v>N/A</v>
      </c>
      <c r="BC709" s="183" t="str">
        <f ca="1">IFERROR(VLOOKUP($A709,tb_ConsensusEstimate,MATCH(BC$5,OFFSET(tb_ConsensusEstimate,0,0,1,COLUMNS(tb_ConsensusEstimate)),0),FALSE),"-")</f>
        <v>N/A</v>
      </c>
      <c r="BD709" s="185" t="str">
        <f ca="1">IFERROR(VLOOKUP($A709,tb_ConsensusEstimate,MATCH(BD$5,OFFSET(tb_ConsensusEstimate,0,0,1,COLUMNS(tb_ConsensusEstimate)),0),FALSE),"-")</f>
        <v>N/A</v>
      </c>
      <c r="BE709" s="185" t="str">
        <f ca="1">IFERROR(VLOOKUP(A709,tb_ConsensusEstimate,MATCH(BE5,OFFSET(tb_ConsensusEstimate,0,0,1,COLUMNS(tb_ConsensusEstimate)),0),FALSE),"-")</f>
        <v>N/A</v>
      </c>
      <c r="BF709" s="185" t="str">
        <f ca="1">IFERROR(VLOOKUP(A709,tb_ConsensusEstimate,MATCH(BF5,OFFSET(tb_ConsensusEstimate,0,0,1,COLUMNS(tb_ConsensusEstimate)),0),FALSE),"-")</f>
        <v>N/A</v>
      </c>
      <c r="BG709" s="185" t="str">
        <f ca="1">IFERROR(VLOOKUP(A709,tb_ConsensusEstimate,MATCH(BG5,OFFSET(tb_ConsensusEstimate,0,0,1,COLUMNS(tb_ConsensusEstimate)),0),FALSE),"-")</f>
        <v>N/A</v>
      </c>
      <c r="BH709" s="183"/>
    </row>
    <row r="710" spans="1:60" s="225" customFormat="1" hidden="1" outlineLevel="1" x14ac:dyDescent="0.35">
      <c r="A710" s="234"/>
      <c r="B710" s="176"/>
      <c r="C710" s="113"/>
      <c r="D710" s="113"/>
      <c r="E710" s="113"/>
      <c r="F710" s="113"/>
      <c r="G710" s="177"/>
      <c r="H710" s="177"/>
      <c r="I710" s="177"/>
      <c r="J710" s="177"/>
      <c r="K710" s="113"/>
      <c r="L710" s="177"/>
      <c r="M710" s="177"/>
      <c r="N710" s="177"/>
      <c r="O710" s="177"/>
      <c r="P710" s="113"/>
      <c r="Q710" s="177"/>
      <c r="R710" s="177"/>
      <c r="S710" s="177"/>
      <c r="T710" s="177"/>
      <c r="U710" s="113"/>
      <c r="V710" s="177"/>
      <c r="W710" s="177"/>
      <c r="X710" s="177"/>
      <c r="Y710" s="177"/>
      <c r="Z710" s="113"/>
      <c r="AA710" s="177"/>
      <c r="AB710" s="177"/>
      <c r="AC710" s="177"/>
      <c r="AD710" s="177"/>
      <c r="AE710" s="113"/>
      <c r="AF710" s="177"/>
      <c r="AG710" s="177"/>
      <c r="AH710" s="177"/>
      <c r="AI710" s="177"/>
      <c r="AJ710" s="113"/>
      <c r="AK710" s="177"/>
      <c r="AL710" s="177"/>
      <c r="AM710" s="177"/>
      <c r="AN710" s="177"/>
      <c r="AO710" s="113"/>
      <c r="AP710" s="177"/>
      <c r="AQ710" s="177"/>
      <c r="AR710" s="177"/>
      <c r="AS710" s="177"/>
      <c r="AT710" s="113"/>
      <c r="AU710" s="780"/>
      <c r="AV710" s="177"/>
      <c r="AW710" s="177"/>
      <c r="AX710" s="177"/>
      <c r="AY710" s="113"/>
      <c r="AZ710" s="177"/>
      <c r="BA710" s="177"/>
      <c r="BB710" s="177"/>
      <c r="BC710" s="177"/>
      <c r="BD710" s="113"/>
      <c r="BE710" s="113"/>
      <c r="BF710" s="113"/>
      <c r="BG710" s="113"/>
      <c r="BH710" s="94"/>
    </row>
    <row r="711" spans="1:60" s="225" customFormat="1" hidden="1" outlineLevel="1" x14ac:dyDescent="0.35">
      <c r="A711" s="235" t="s">
        <v>700</v>
      </c>
      <c r="B711" s="176"/>
      <c r="C711" s="223">
        <f t="shared" ref="C711:AU711" si="961">C793/C787</f>
        <v>5.440470527180729E-2</v>
      </c>
      <c r="D711" s="223">
        <f t="shared" si="961"/>
        <v>5.2509189108093914E-2</v>
      </c>
      <c r="E711" s="223">
        <f t="shared" si="961"/>
        <v>5.1940157373948873E-2</v>
      </c>
      <c r="F711" s="223">
        <f t="shared" si="961"/>
        <v>5.3671749598715894E-2</v>
      </c>
      <c r="G711" s="226">
        <f t="shared" si="961"/>
        <v>5.4493057374901753E-2</v>
      </c>
      <c r="H711" s="226">
        <f t="shared" si="961"/>
        <v>5.4437564499484004E-2</v>
      </c>
      <c r="I711" s="226">
        <f t="shared" si="961"/>
        <v>5.2299140980293077E-2</v>
      </c>
      <c r="J711" s="226">
        <f t="shared" si="961"/>
        <v>5.7207028669573258E-2</v>
      </c>
      <c r="K711" s="223">
        <f t="shared" si="961"/>
        <v>5.4581970133782513E-2</v>
      </c>
      <c r="L711" s="226">
        <f t="shared" si="961"/>
        <v>5.4782275571446812E-2</v>
      </c>
      <c r="M711" s="226">
        <f t="shared" si="961"/>
        <v>5.4339808212441602E-2</v>
      </c>
      <c r="N711" s="226">
        <f t="shared" si="961"/>
        <v>5.2476342632419813E-2</v>
      </c>
      <c r="O711" s="226">
        <f t="shared" si="961"/>
        <v>5.5836248218681175E-2</v>
      </c>
      <c r="P711" s="223">
        <f t="shared" si="961"/>
        <v>5.4335187454825427E-2</v>
      </c>
      <c r="Q711" s="226">
        <f t="shared" si="961"/>
        <v>5.75349696489839E-2</v>
      </c>
      <c r="R711" s="226">
        <f t="shared" si="961"/>
        <v>5.6206088992974239E-2</v>
      </c>
      <c r="S711" s="226">
        <f t="shared" si="961"/>
        <v>5.4719917012448133E-2</v>
      </c>
      <c r="T711" s="226">
        <f t="shared" si="961"/>
        <v>5.8646204439572483E-2</v>
      </c>
      <c r="U711" s="223">
        <f t="shared" si="961"/>
        <v>5.6748364933606396E-2</v>
      </c>
      <c r="V711" s="226">
        <f t="shared" si="961"/>
        <v>5.7362667026589285E-2</v>
      </c>
      <c r="W711" s="226">
        <f t="shared" si="961"/>
        <v>5.6121117201774991E-2</v>
      </c>
      <c r="X711" s="226">
        <f t="shared" si="961"/>
        <v>5.4481774549228174E-2</v>
      </c>
      <c r="Y711" s="226">
        <f t="shared" si="961"/>
        <v>5.6624368945285851E-2</v>
      </c>
      <c r="Z711" s="223">
        <f t="shared" si="961"/>
        <v>5.6129396525955694E-2</v>
      </c>
      <c r="AA711" s="226">
        <f t="shared" si="961"/>
        <v>5.8555627846454128E-2</v>
      </c>
      <c r="AB711" s="226">
        <f t="shared" si="961"/>
        <v>6.0307298335467351E-2</v>
      </c>
      <c r="AC711" s="226">
        <f t="shared" si="961"/>
        <v>5.6534508076358299E-2</v>
      </c>
      <c r="AD711" s="226">
        <f t="shared" si="961"/>
        <v>5.519399249061327E-2</v>
      </c>
      <c r="AE711" s="223">
        <f t="shared" si="961"/>
        <v>5.761758852702404E-2</v>
      </c>
      <c r="AF711" s="226">
        <f t="shared" si="961"/>
        <v>5.5448175887895627E-2</v>
      </c>
      <c r="AG711" s="226">
        <f t="shared" si="961"/>
        <v>5.4946364719904647E-2</v>
      </c>
      <c r="AH711" s="226">
        <f t="shared" si="961"/>
        <v>5.1889106967615312E-2</v>
      </c>
      <c r="AI711" s="226">
        <f t="shared" si="961"/>
        <v>5.424795468848332E-2</v>
      </c>
      <c r="AJ711" s="223">
        <f t="shared" si="961"/>
        <v>5.4143140546314666E-2</v>
      </c>
      <c r="AK711" s="226">
        <f t="shared" si="961"/>
        <v>5.7357242782652931E-2</v>
      </c>
      <c r="AL711" s="226">
        <f t="shared" si="961"/>
        <v>5.6663811039040508E-2</v>
      </c>
      <c r="AM711" s="226">
        <f t="shared" si="961"/>
        <v>5.4561381554248528E-2</v>
      </c>
      <c r="AN711" s="226">
        <f t="shared" si="961"/>
        <v>6.3494020466033779E-2</v>
      </c>
      <c r="AO711" s="223">
        <f t="shared" si="961"/>
        <v>5.8034602937515556E-2</v>
      </c>
      <c r="AP711" s="226">
        <f t="shared" si="961"/>
        <v>6.3405572755417958E-2</v>
      </c>
      <c r="AQ711" s="226">
        <f t="shared" si="961"/>
        <v>5.8110367892976592E-2</v>
      </c>
      <c r="AR711" s="226">
        <f t="shared" si="961"/>
        <v>5.4610778443113774E-2</v>
      </c>
      <c r="AS711" s="226">
        <f t="shared" si="961"/>
        <v>5.2429220552254456E-2</v>
      </c>
      <c r="AT711" s="223">
        <f t="shared" si="961"/>
        <v>5.7015908525975642E-2</v>
      </c>
      <c r="AU711" s="773">
        <f t="shared" si="961"/>
        <v>5.6377810416902048E-2</v>
      </c>
      <c r="AV711" s="953">
        <f>Drivers!AV87</f>
        <v>6.0999999999999999E-2</v>
      </c>
      <c r="AW711" s="953">
        <f>Drivers!AW87</f>
        <v>6.0999999999999999E-2</v>
      </c>
      <c r="AX711" s="953">
        <f>Drivers!AX87</f>
        <v>6.0999999999999999E-2</v>
      </c>
      <c r="AY711" s="113">
        <f>AY793/AY787</f>
        <v>5.9805418489283585E-2</v>
      </c>
      <c r="AZ711" s="953">
        <f>Drivers!AZ87</f>
        <v>6.0999999999999999E-2</v>
      </c>
      <c r="BA711" s="953">
        <f>Drivers!BA87</f>
        <v>6.0999999999999999E-2</v>
      </c>
      <c r="BB711" s="953">
        <f>Drivers!BB87</f>
        <v>6.0999999999999999E-2</v>
      </c>
      <c r="BC711" s="953">
        <f>Drivers!BC87</f>
        <v>6.0999999999999999E-2</v>
      </c>
      <c r="BD711" s="113">
        <f>BD793/BD787</f>
        <v>6.0999999999999999E-2</v>
      </c>
      <c r="BE711" s="953">
        <f>Drivers!BE87</f>
        <v>6.0999999999999999E-2</v>
      </c>
      <c r="BF711" s="953">
        <f>Drivers!BF87</f>
        <v>6.0999999999999999E-2</v>
      </c>
      <c r="BG711" s="953">
        <f>Drivers!BG87</f>
        <v>6.0999999999999999E-2</v>
      </c>
      <c r="BH711" s="94"/>
    </row>
    <row r="712" spans="1:60" s="225" customFormat="1" hidden="1" outlineLevel="1" x14ac:dyDescent="0.35">
      <c r="A712" s="235" t="s">
        <v>29</v>
      </c>
      <c r="B712" s="176"/>
      <c r="C712" s="223">
        <f t="shared" ref="C712:AU712" si="962">C794/C$787</f>
        <v>0.20598538251956927</v>
      </c>
      <c r="D712" s="223">
        <f t="shared" si="962"/>
        <v>0.19765959042832495</v>
      </c>
      <c r="E712" s="223">
        <f t="shared" si="962"/>
        <v>0.20188443483840465</v>
      </c>
      <c r="F712" s="223">
        <f t="shared" si="962"/>
        <v>0.19846843231674693</v>
      </c>
      <c r="G712" s="226">
        <f t="shared" si="962"/>
        <v>0.19806130468954677</v>
      </c>
      <c r="H712" s="226">
        <f t="shared" si="962"/>
        <v>0.20304437564499483</v>
      </c>
      <c r="I712" s="226">
        <f t="shared" si="962"/>
        <v>0.19871147043961596</v>
      </c>
      <c r="J712" s="226">
        <f t="shared" si="962"/>
        <v>0.20372572334522393</v>
      </c>
      <c r="K712" s="223">
        <f t="shared" si="962"/>
        <v>0.20086812866444237</v>
      </c>
      <c r="L712" s="226">
        <f t="shared" si="962"/>
        <v>0.19856978674498788</v>
      </c>
      <c r="M712" s="226">
        <f t="shared" si="962"/>
        <v>0.19805753626751907</v>
      </c>
      <c r="N712" s="226">
        <f t="shared" si="962"/>
        <v>0.19245422145753963</v>
      </c>
      <c r="O712" s="226">
        <f t="shared" si="962"/>
        <v>0.20015546055188496</v>
      </c>
      <c r="P712" s="223">
        <f t="shared" si="962"/>
        <v>0.19725967128625752</v>
      </c>
      <c r="Q712" s="226">
        <f t="shared" si="962"/>
        <v>0.19477434679334918</v>
      </c>
      <c r="R712" s="226">
        <f t="shared" si="962"/>
        <v>0.19711163153786104</v>
      </c>
      <c r="S712" s="226">
        <f t="shared" si="962"/>
        <v>0.19437240663900415</v>
      </c>
      <c r="T712" s="226">
        <f t="shared" si="962"/>
        <v>0.20649493011784051</v>
      </c>
      <c r="U712" s="223">
        <f t="shared" si="962"/>
        <v>0.19809077095857833</v>
      </c>
      <c r="V712" s="226">
        <f t="shared" si="962"/>
        <v>0.18855446079092994</v>
      </c>
      <c r="W712" s="226">
        <f t="shared" si="962"/>
        <v>0.1991647089532759</v>
      </c>
      <c r="X712" s="226">
        <f t="shared" si="962"/>
        <v>0.19392917369308602</v>
      </c>
      <c r="Y712" s="226">
        <f t="shared" si="962"/>
        <v>0.20289261836539774</v>
      </c>
      <c r="Z712" s="223">
        <f t="shared" si="962"/>
        <v>0.19612076123418248</v>
      </c>
      <c r="AA712" s="226">
        <f t="shared" si="962"/>
        <v>0.19726740403383214</v>
      </c>
      <c r="AB712" s="226">
        <f t="shared" si="962"/>
        <v>0.20192061459667093</v>
      </c>
      <c r="AC712" s="226">
        <f t="shared" si="962"/>
        <v>0.19481155163974548</v>
      </c>
      <c r="AD712" s="226">
        <f t="shared" si="962"/>
        <v>0.21426783479349187</v>
      </c>
      <c r="AE712" s="223">
        <f t="shared" si="962"/>
        <v>0.20207221151719998</v>
      </c>
      <c r="AF712" s="226">
        <f t="shared" si="962"/>
        <v>0.29765643875332204</v>
      </c>
      <c r="AG712" s="226">
        <f t="shared" si="962"/>
        <v>0.21060786650774732</v>
      </c>
      <c r="AH712" s="226">
        <f t="shared" si="962"/>
        <v>0.18547595682041218</v>
      </c>
      <c r="AI712" s="226">
        <f t="shared" si="962"/>
        <v>0.20792951541850221</v>
      </c>
      <c r="AJ712" s="223">
        <f t="shared" si="962"/>
        <v>0.22569815351747291</v>
      </c>
      <c r="AK712" s="226">
        <f t="shared" si="962"/>
        <v>0.2373140022892026</v>
      </c>
      <c r="AL712" s="226">
        <f t="shared" si="962"/>
        <v>0.20193366784971239</v>
      </c>
      <c r="AM712" s="226">
        <f t="shared" si="962"/>
        <v>0.17795019396821424</v>
      </c>
      <c r="AN712" s="226">
        <f t="shared" si="962"/>
        <v>0.23498952040438911</v>
      </c>
      <c r="AO712" s="223">
        <f t="shared" si="962"/>
        <v>0.21296987801842171</v>
      </c>
      <c r="AP712" s="226">
        <f t="shared" si="962"/>
        <v>0.20990712074303405</v>
      </c>
      <c r="AQ712" s="226">
        <f t="shared" si="962"/>
        <v>0.21725195094760313</v>
      </c>
      <c r="AR712" s="226">
        <f t="shared" si="962"/>
        <v>0.19724550898203594</v>
      </c>
      <c r="AS712" s="226">
        <f t="shared" si="962"/>
        <v>0.21659093557031342</v>
      </c>
      <c r="AT712" s="223">
        <f t="shared" si="962"/>
        <v>0.21004225702212279</v>
      </c>
      <c r="AU712" s="773">
        <f t="shared" si="962"/>
        <v>0.19478025081911648</v>
      </c>
      <c r="AV712" s="953">
        <f>Drivers!AV88</f>
        <v>0.19</v>
      </c>
      <c r="AW712" s="953">
        <f>Drivers!AW88</f>
        <v>0.19</v>
      </c>
      <c r="AX712" s="953">
        <f>Drivers!AX88</f>
        <v>0.19</v>
      </c>
      <c r="AY712" s="113">
        <f>AY794/AY$787</f>
        <v>0.19123543163741807</v>
      </c>
      <c r="AZ712" s="953">
        <f>Drivers!AZ88</f>
        <v>0.19</v>
      </c>
      <c r="BA712" s="953">
        <f>Drivers!BA88</f>
        <v>0.19</v>
      </c>
      <c r="BB712" s="953">
        <f>Drivers!BB88</f>
        <v>0.19</v>
      </c>
      <c r="BC712" s="953">
        <f>Drivers!BC88</f>
        <v>0.19</v>
      </c>
      <c r="BD712" s="113">
        <f>BD794/BD$787</f>
        <v>0.19000000000000003</v>
      </c>
      <c r="BE712" s="953">
        <f>Drivers!BE88</f>
        <v>0.19</v>
      </c>
      <c r="BF712" s="953">
        <f>Drivers!BF88</f>
        <v>0.19</v>
      </c>
      <c r="BG712" s="953">
        <f>Drivers!BG88</f>
        <v>0.19</v>
      </c>
      <c r="BH712" s="94"/>
    </row>
    <row r="713" spans="1:60" s="225" customFormat="1" hidden="1" outlineLevel="1" x14ac:dyDescent="0.35">
      <c r="A713" s="88" t="s">
        <v>30</v>
      </c>
      <c r="B713" s="180"/>
      <c r="C713" s="61">
        <f t="shared" ref="C713:AH713" si="963">C795/C787</f>
        <v>0.26761233403970075</v>
      </c>
      <c r="D713" s="61">
        <f t="shared" si="963"/>
        <v>0.27424799339884481</v>
      </c>
      <c r="E713" s="61">
        <f t="shared" si="963"/>
        <v>0.25892404849549155</v>
      </c>
      <c r="F713" s="61">
        <f t="shared" si="963"/>
        <v>0.26732209737827717</v>
      </c>
      <c r="G713" s="75">
        <f t="shared" si="963"/>
        <v>0.27312025150641867</v>
      </c>
      <c r="H713" s="75">
        <f t="shared" si="963"/>
        <v>0.26883384932920534</v>
      </c>
      <c r="I713" s="75">
        <f t="shared" si="963"/>
        <v>0.26894896412329461</v>
      </c>
      <c r="J713" s="75">
        <f t="shared" si="963"/>
        <v>0.26146122341128286</v>
      </c>
      <c r="K713" s="61">
        <f t="shared" si="963"/>
        <v>0.26811570729811152</v>
      </c>
      <c r="L713" s="75">
        <f t="shared" si="963"/>
        <v>0.27940237517558419</v>
      </c>
      <c r="M713" s="75">
        <f t="shared" si="963"/>
        <v>0.27858372264568476</v>
      </c>
      <c r="N713" s="75">
        <f t="shared" si="963"/>
        <v>0.2824136659702593</v>
      </c>
      <c r="O713" s="75">
        <f t="shared" si="963"/>
        <v>0.26829900246145871</v>
      </c>
      <c r="P713" s="61">
        <f t="shared" si="963"/>
        <v>0.277269727538418</v>
      </c>
      <c r="Q713" s="75">
        <f t="shared" si="963"/>
        <v>0.29123779361309055</v>
      </c>
      <c r="R713" s="75">
        <f t="shared" si="963"/>
        <v>0.29052823315118398</v>
      </c>
      <c r="S713" s="75">
        <f t="shared" si="963"/>
        <v>0.29525414937759337</v>
      </c>
      <c r="T713" s="75">
        <f t="shared" si="963"/>
        <v>0.26582625376815566</v>
      </c>
      <c r="U713" s="61">
        <f t="shared" si="963"/>
        <v>0.285954944837154</v>
      </c>
      <c r="V713" s="75">
        <f t="shared" si="963"/>
        <v>0.3088136050749089</v>
      </c>
      <c r="W713" s="75">
        <f t="shared" si="963"/>
        <v>0.29770294962150873</v>
      </c>
      <c r="X713" s="75">
        <f t="shared" si="963"/>
        <v>0.30133610066156441</v>
      </c>
      <c r="Y713" s="75">
        <f t="shared" si="963"/>
        <v>0.28694228407695455</v>
      </c>
      <c r="Z713" s="61">
        <f t="shared" si="963"/>
        <v>0.29874788269288255</v>
      </c>
      <c r="AA713" s="75">
        <f t="shared" si="963"/>
        <v>0.29902407286922578</v>
      </c>
      <c r="AB713" s="75">
        <f t="shared" si="963"/>
        <v>0.27285531370038413</v>
      </c>
      <c r="AC713" s="75">
        <f t="shared" si="963"/>
        <v>0.29919236417033773</v>
      </c>
      <c r="AD713" s="75">
        <f t="shared" si="963"/>
        <v>0.26282853566958697</v>
      </c>
      <c r="AE713" s="61">
        <f t="shared" si="963"/>
        <v>0.28347600846574217</v>
      </c>
      <c r="AF713" s="75">
        <f t="shared" si="963"/>
        <v>0.18410244020294758</v>
      </c>
      <c r="AG713" s="75">
        <f t="shared" si="963"/>
        <v>0.27699642431466032</v>
      </c>
      <c r="AH713" s="75">
        <f t="shared" si="963"/>
        <v>0.29698233562315995</v>
      </c>
      <c r="AI713" s="75">
        <f t="shared" ref="AI713:AY713" si="964">AI795/AI787</f>
        <v>0.27451227186910004</v>
      </c>
      <c r="AJ713" s="61">
        <f t="shared" si="964"/>
        <v>0.2578971463451854</v>
      </c>
      <c r="AK713" s="75">
        <f t="shared" si="964"/>
        <v>0.20768154648353046</v>
      </c>
      <c r="AL713" s="75">
        <f t="shared" si="964"/>
        <v>0.26067800758781057</v>
      </c>
      <c r="AM713" s="75">
        <f t="shared" si="964"/>
        <v>0.29182830684520084</v>
      </c>
      <c r="AN713" s="75">
        <f t="shared" si="964"/>
        <v>0.22635926519541363</v>
      </c>
      <c r="AO713" s="61">
        <f t="shared" si="964"/>
        <v>0.24679487179487181</v>
      </c>
      <c r="AP713" s="75">
        <f t="shared" si="964"/>
        <v>0.27504643962848296</v>
      </c>
      <c r="AQ713" s="75">
        <f t="shared" si="964"/>
        <v>0.26435340022296544</v>
      </c>
      <c r="AR713" s="75">
        <f>AR795/AR787</f>
        <v>0.29149700598802397</v>
      </c>
      <c r="AS713" s="75">
        <f>AS795/AS787</f>
        <v>0.2788069439589887</v>
      </c>
      <c r="AT713" s="61">
        <f>AT795/AT787</f>
        <v>0.27793313447675866</v>
      </c>
      <c r="AU713" s="807">
        <f t="shared" ref="AU713" si="965">AU795/AU787</f>
        <v>0.2920573946446729</v>
      </c>
      <c r="AV713" s="106">
        <f t="shared" si="964"/>
        <v>0.28311324026835333</v>
      </c>
      <c r="AW713" s="106">
        <f t="shared" si="964"/>
        <v>0.28731014598016003</v>
      </c>
      <c r="AX713" s="106">
        <f t="shared" si="964"/>
        <v>0.29113385873267039</v>
      </c>
      <c r="AY713" s="107">
        <f t="shared" si="964"/>
        <v>0.28860021067219166</v>
      </c>
      <c r="AZ713" s="106">
        <f t="shared" ref="AZ713:BG713" si="966">AZ795/AZ787</f>
        <v>0.29720499079008578</v>
      </c>
      <c r="BA713" s="106">
        <f t="shared" si="966"/>
        <v>0.30038628775777676</v>
      </c>
      <c r="BB713" s="106">
        <f t="shared" si="966"/>
        <v>0.27846467327983876</v>
      </c>
      <c r="BC713" s="106">
        <f t="shared" si="966"/>
        <v>0.29450831271611644</v>
      </c>
      <c r="BD713" s="107">
        <f t="shared" si="966"/>
        <v>0.29243203616956143</v>
      </c>
      <c r="BE713" s="107">
        <f t="shared" si="966"/>
        <v>0.2954322460044127</v>
      </c>
      <c r="BF713" s="107">
        <f t="shared" si="966"/>
        <v>0.2986034117993499</v>
      </c>
      <c r="BG713" s="107">
        <f t="shared" si="966"/>
        <v>0.30193476026281002</v>
      </c>
      <c r="BH713" s="94"/>
    </row>
    <row r="714" spans="1:60" s="225" customFormat="1" hidden="1" outlineLevel="1" x14ac:dyDescent="0.35">
      <c r="A714" s="227" t="str">
        <f>CONCATENATE("Adjusted ",A713,IFERROR("  - "&amp;RIGHT(A796,FIND("(",A796)),""))</f>
        <v>Adjusted EBITDA Margin, %</v>
      </c>
      <c r="B714" s="176"/>
      <c r="C714" s="223">
        <f t="shared" ref="C714:AH714" si="967">C796/C787</f>
        <v>0.25822773861523157</v>
      </c>
      <c r="D714" s="223">
        <f t="shared" si="967"/>
        <v>0.26397119495911786</v>
      </c>
      <c r="E714" s="223">
        <f t="shared" si="967"/>
        <v>0.25037992637871059</v>
      </c>
      <c r="F714" s="223">
        <f t="shared" si="967"/>
        <v>0.25986490101658644</v>
      </c>
      <c r="G714" s="226">
        <f t="shared" si="967"/>
        <v>0.25962798008907517</v>
      </c>
      <c r="H714" s="226">
        <f t="shared" si="967"/>
        <v>0.26277089783281732</v>
      </c>
      <c r="I714" s="226">
        <f t="shared" si="967"/>
        <v>0.26301162203132894</v>
      </c>
      <c r="J714" s="226">
        <f t="shared" si="967"/>
        <v>0.25578015589906195</v>
      </c>
      <c r="K714" s="223">
        <f t="shared" si="967"/>
        <v>0.26034142075086653</v>
      </c>
      <c r="L714" s="226">
        <f t="shared" si="967"/>
        <v>0.26382326650491633</v>
      </c>
      <c r="M714" s="226">
        <f t="shared" si="967"/>
        <v>0.27219080403245638</v>
      </c>
      <c r="N714" s="226">
        <f t="shared" si="967"/>
        <v>0.2766375814182131</v>
      </c>
      <c r="O714" s="226">
        <f t="shared" si="967"/>
        <v>0.26065552532711489</v>
      </c>
      <c r="P714" s="223">
        <f t="shared" si="967"/>
        <v>0.26847050689796048</v>
      </c>
      <c r="Q714" s="226">
        <f t="shared" si="967"/>
        <v>0.27302718395354975</v>
      </c>
      <c r="R714" s="226">
        <f t="shared" si="967"/>
        <v>0.28415300546448086</v>
      </c>
      <c r="S714" s="226">
        <f t="shared" si="967"/>
        <v>0.28928941908713696</v>
      </c>
      <c r="T714" s="226">
        <f t="shared" si="967"/>
        <v>0.2599342285557687</v>
      </c>
      <c r="U714" s="223">
        <f t="shared" si="967"/>
        <v>0.27683821100614386</v>
      </c>
      <c r="V714" s="226">
        <f t="shared" si="967"/>
        <v>0.28937778377648804</v>
      </c>
      <c r="W714" s="226">
        <f t="shared" si="967"/>
        <v>0.29130775254502739</v>
      </c>
      <c r="X714" s="226">
        <f t="shared" si="967"/>
        <v>0.29472045660915813</v>
      </c>
      <c r="Y714" s="226">
        <f t="shared" si="967"/>
        <v>0.27957429390094146</v>
      </c>
      <c r="Z714" s="223">
        <f t="shared" si="967"/>
        <v>0.28885050981434124</v>
      </c>
      <c r="AA714" s="226">
        <f t="shared" si="967"/>
        <v>0.2836694860117111</v>
      </c>
      <c r="AB714" s="226">
        <f t="shared" si="967"/>
        <v>0.32432778489116515</v>
      </c>
      <c r="AC714" s="226">
        <f t="shared" si="967"/>
        <v>0.29185022026431717</v>
      </c>
      <c r="AD714" s="226">
        <f t="shared" si="967"/>
        <v>0.26758448060075096</v>
      </c>
      <c r="AE714" s="223">
        <f t="shared" si="967"/>
        <v>0.29175221909846166</v>
      </c>
      <c r="AF714" s="226">
        <f t="shared" si="967"/>
        <v>0.27615366030442134</v>
      </c>
      <c r="AG714" s="226">
        <f t="shared" si="967"/>
        <v>0.33146603098927296</v>
      </c>
      <c r="AH714" s="226">
        <f t="shared" si="967"/>
        <v>0.29084887144259075</v>
      </c>
      <c r="AI714" s="226">
        <f t="shared" ref="AI714:AY714" si="968">AI796/AI787</f>
        <v>0.27111390811831343</v>
      </c>
      <c r="AJ714" s="223">
        <f t="shared" si="968"/>
        <v>0.29275141156722112</v>
      </c>
      <c r="AK714" s="226">
        <f t="shared" si="968"/>
        <v>0.26084191784306243</v>
      </c>
      <c r="AL714" s="226">
        <f t="shared" si="968"/>
        <v>0.25431403744951658</v>
      </c>
      <c r="AM714" s="226">
        <f t="shared" si="968"/>
        <v>0.28582154924289827</v>
      </c>
      <c r="AN714" s="226">
        <f t="shared" si="968"/>
        <v>0.2468252989766983</v>
      </c>
      <c r="AO714" s="223">
        <f t="shared" si="968"/>
        <v>0.26185586258401794</v>
      </c>
      <c r="AP714" s="226">
        <f t="shared" si="968"/>
        <v>0.26229102167182661</v>
      </c>
      <c r="AQ714" s="226">
        <f t="shared" si="968"/>
        <v>0.26477146042363436</v>
      </c>
      <c r="AR714" s="226">
        <f>AR796/AR787</f>
        <v>0.28622754491017965</v>
      </c>
      <c r="AS714" s="226">
        <f>AS796/AS787</f>
        <v>0.27344751252475824</v>
      </c>
      <c r="AT714" s="223">
        <f>AT796/AT787</f>
        <v>0.27202957991548593</v>
      </c>
      <c r="AU714" s="773">
        <f t="shared" ref="AU714" si="969">AU796/AU787</f>
        <v>0.2772568071404361</v>
      </c>
      <c r="AV714" s="177">
        <f t="shared" si="968"/>
        <v>0.27659282155105841</v>
      </c>
      <c r="AW714" s="177">
        <f t="shared" si="968"/>
        <v>0.281592967046638</v>
      </c>
      <c r="AX714" s="177">
        <f t="shared" si="968"/>
        <v>0.28556738583937835</v>
      </c>
      <c r="AY714" s="113">
        <f t="shared" si="968"/>
        <v>0.28039514590938186</v>
      </c>
      <c r="AZ714" s="177">
        <f t="shared" ref="AZ714:BG714" si="970">AZ796/AZ787</f>
        <v>0.28297076328683163</v>
      </c>
      <c r="BA714" s="177">
        <f t="shared" si="970"/>
        <v>0.29425745890474719</v>
      </c>
      <c r="BB714" s="177">
        <f t="shared" si="970"/>
        <v>0.27309294978170978</v>
      </c>
      <c r="BC714" s="177">
        <f t="shared" si="970"/>
        <v>0.28927801179091378</v>
      </c>
      <c r="BD714" s="113">
        <f t="shared" si="970"/>
        <v>0.28462596123450401</v>
      </c>
      <c r="BE714" s="113">
        <f t="shared" si="970"/>
        <v>0.28809828526532538</v>
      </c>
      <c r="BF714" s="113">
        <f t="shared" si="970"/>
        <v>0.29171410269494952</v>
      </c>
      <c r="BG714" s="113">
        <f t="shared" si="970"/>
        <v>0.29546416458861069</v>
      </c>
      <c r="BH714" s="94"/>
    </row>
    <row r="715" spans="1:60" s="175" customFormat="1" hidden="1" outlineLevel="1" x14ac:dyDescent="0.35">
      <c r="A715" s="173" t="s">
        <v>31</v>
      </c>
      <c r="B715" s="699"/>
      <c r="C715" s="174"/>
      <c r="D715" s="174"/>
      <c r="E715" s="174"/>
      <c r="F715" s="174"/>
      <c r="G715" s="243"/>
      <c r="H715" s="243"/>
      <c r="I715" s="243"/>
      <c r="J715" s="243"/>
      <c r="K715" s="174"/>
      <c r="L715" s="243"/>
      <c r="M715" s="243"/>
      <c r="N715" s="243"/>
      <c r="O715" s="243"/>
      <c r="P715" s="174"/>
      <c r="Q715" s="243"/>
      <c r="R715" s="243"/>
      <c r="S715" s="243"/>
      <c r="T715" s="243"/>
      <c r="U715" s="174"/>
      <c r="V715" s="243"/>
      <c r="W715" s="243"/>
      <c r="X715" s="243"/>
      <c r="Y715" s="243"/>
      <c r="Z715" s="174"/>
      <c r="AA715" s="243"/>
      <c r="AB715" s="243"/>
      <c r="AC715" s="243"/>
      <c r="AD715" s="243"/>
      <c r="AE715" s="174"/>
      <c r="AF715" s="243"/>
      <c r="AG715" s="243"/>
      <c r="AH715" s="243"/>
      <c r="AI715" s="243"/>
      <c r="AJ715" s="174"/>
      <c r="AK715" s="243"/>
      <c r="AL715" s="243"/>
      <c r="AM715" s="243"/>
      <c r="AN715" s="243"/>
      <c r="AO715" s="174"/>
      <c r="AP715" s="243"/>
      <c r="AQ715" s="243"/>
      <c r="AR715" s="243"/>
      <c r="AS715" s="243"/>
      <c r="AT715" s="174"/>
      <c r="AU715" s="808"/>
      <c r="AV715" s="243">
        <f t="shared" ref="AV715:AY715" ca="1" si="971">IFERROR(AV797/AV788,0)</f>
        <v>0</v>
      </c>
      <c r="AW715" s="243">
        <f t="shared" ca="1" si="971"/>
        <v>0</v>
      </c>
      <c r="AX715" s="243">
        <f t="shared" ca="1" si="971"/>
        <v>0</v>
      </c>
      <c r="AY715" s="174">
        <f t="shared" ca="1" si="971"/>
        <v>0</v>
      </c>
      <c r="AZ715" s="243">
        <f t="shared" ref="AZ715:BG715" ca="1" si="972">IFERROR(AZ797/AZ788,0)</f>
        <v>0</v>
      </c>
      <c r="BA715" s="243">
        <f t="shared" ca="1" si="972"/>
        <v>0</v>
      </c>
      <c r="BB715" s="243">
        <f t="shared" ca="1" si="972"/>
        <v>0</v>
      </c>
      <c r="BC715" s="243">
        <f t="shared" ca="1" si="972"/>
        <v>0</v>
      </c>
      <c r="BD715" s="174">
        <f t="shared" ca="1" si="972"/>
        <v>0</v>
      </c>
      <c r="BE715" s="174">
        <f t="shared" ca="1" si="972"/>
        <v>0</v>
      </c>
      <c r="BF715" s="174">
        <f t="shared" ca="1" si="972"/>
        <v>0</v>
      </c>
      <c r="BG715" s="174">
        <f t="shared" ca="1" si="972"/>
        <v>0</v>
      </c>
      <c r="BH715" s="173"/>
    </row>
    <row r="716" spans="1:60" s="175" customFormat="1" hidden="1" outlineLevel="1" x14ac:dyDescent="0.35">
      <c r="A716" s="243"/>
      <c r="B716" s="699"/>
      <c r="C716" s="174"/>
      <c r="D716" s="174"/>
      <c r="E716" s="174"/>
      <c r="F716" s="174"/>
      <c r="G716" s="243"/>
      <c r="H716" s="243"/>
      <c r="I716" s="243"/>
      <c r="J716" s="243"/>
      <c r="K716" s="174"/>
      <c r="L716" s="243"/>
      <c r="M716" s="243"/>
      <c r="N716" s="243"/>
      <c r="O716" s="243"/>
      <c r="P716" s="174"/>
      <c r="Q716" s="243"/>
      <c r="R716" s="243"/>
      <c r="S716" s="243"/>
      <c r="T716" s="243"/>
      <c r="U716" s="174"/>
      <c r="V716" s="243"/>
      <c r="W716" s="243"/>
      <c r="X716" s="243"/>
      <c r="Y716" s="243"/>
      <c r="Z716" s="174"/>
      <c r="AA716" s="243"/>
      <c r="AB716" s="243"/>
      <c r="AC716" s="243"/>
      <c r="AD716" s="243"/>
      <c r="AE716" s="174"/>
      <c r="AF716" s="243"/>
      <c r="AG716" s="243"/>
      <c r="AH716" s="243"/>
      <c r="AI716" s="243"/>
      <c r="AJ716" s="174"/>
      <c r="AK716" s="243"/>
      <c r="AL716" s="243"/>
      <c r="AM716" s="243"/>
      <c r="AN716" s="243"/>
      <c r="AO716" s="174"/>
      <c r="AP716" s="243"/>
      <c r="AQ716" s="243"/>
      <c r="AR716" s="243"/>
      <c r="AS716" s="243"/>
      <c r="AT716" s="174"/>
      <c r="AU716" s="808"/>
      <c r="AV716" s="243"/>
      <c r="AW716" s="243"/>
      <c r="AX716" s="243"/>
      <c r="AY716" s="174"/>
      <c r="AZ716" s="243"/>
      <c r="BA716" s="243"/>
      <c r="BB716" s="243"/>
      <c r="BC716" s="243"/>
      <c r="BD716" s="174"/>
      <c r="BE716" s="174"/>
      <c r="BF716" s="174"/>
      <c r="BG716" s="174"/>
      <c r="BH716" s="173"/>
    </row>
    <row r="717" spans="1:60" s="588" customFormat="1" collapsed="1" x14ac:dyDescent="0.35">
      <c r="A717" s="154" t="s">
        <v>790</v>
      </c>
      <c r="B717" s="700"/>
      <c r="C717" s="587"/>
      <c r="D717" s="587"/>
      <c r="E717" s="587"/>
      <c r="F717" s="587"/>
      <c r="G717" s="311"/>
      <c r="H717" s="311"/>
      <c r="I717" s="311"/>
      <c r="J717" s="311"/>
      <c r="K717" s="587"/>
      <c r="L717" s="311"/>
      <c r="M717" s="311"/>
      <c r="N717" s="311"/>
      <c r="O717" s="311"/>
      <c r="P717" s="587"/>
      <c r="Q717" s="311"/>
      <c r="R717" s="311"/>
      <c r="S717" s="311"/>
      <c r="T717" s="311"/>
      <c r="U717" s="587"/>
      <c r="V717" s="154">
        <f t="shared" ref="V717:BG717" si="973">V150</f>
        <v>0.22761061946902655</v>
      </c>
      <c r="W717" s="154">
        <f t="shared" si="973"/>
        <v>0.24835469345341185</v>
      </c>
      <c r="X717" s="154">
        <f t="shared" si="973"/>
        <v>0.23033509700176366</v>
      </c>
      <c r="Y717" s="154">
        <f t="shared" si="973"/>
        <v>0.21656050955414013</v>
      </c>
      <c r="Z717" s="586">
        <f t="shared" si="973"/>
        <v>0.23100927246790298</v>
      </c>
      <c r="AA717" s="154">
        <f t="shared" si="973"/>
        <v>0.2281786941580756</v>
      </c>
      <c r="AB717" s="154">
        <f t="shared" si="973"/>
        <v>0.21155160628844841</v>
      </c>
      <c r="AC717" s="154">
        <f t="shared" si="973"/>
        <v>0.24074074074074073</v>
      </c>
      <c r="AD717" s="154">
        <f t="shared" si="973"/>
        <v>0.19183408943616331</v>
      </c>
      <c r="AE717" s="586">
        <f t="shared" si="973"/>
        <v>0.2178972040850494</v>
      </c>
      <c r="AF717" s="154">
        <f t="shared" si="973"/>
        <v>0.23592411260709914</v>
      </c>
      <c r="AG717" s="154">
        <f t="shared" si="973"/>
        <v>0.39501998155548723</v>
      </c>
      <c r="AH717" s="154">
        <f t="shared" si="973"/>
        <v>0.23071830519695466</v>
      </c>
      <c r="AI717" s="154">
        <f t="shared" si="973"/>
        <v>0.22696476964769649</v>
      </c>
      <c r="AJ717" s="586">
        <f t="shared" si="973"/>
        <v>0.27397150632303507</v>
      </c>
      <c r="AK717" s="154">
        <f t="shared" si="973"/>
        <v>0.21498481268984138</v>
      </c>
      <c r="AL717" s="154">
        <f t="shared" si="973"/>
        <v>0.22029281579843377</v>
      </c>
      <c r="AM717" s="154">
        <f t="shared" si="973"/>
        <v>0.22870272180982679</v>
      </c>
      <c r="AN717" s="154">
        <f t="shared" si="973"/>
        <v>0.20789946140035906</v>
      </c>
      <c r="AO717" s="586">
        <f t="shared" si="973"/>
        <v>0.21799548375890221</v>
      </c>
      <c r="AP717" s="154">
        <f t="shared" si="973"/>
        <v>0.24735945485519592</v>
      </c>
      <c r="AQ717" s="154">
        <f t="shared" si="973"/>
        <v>0.23838080959520239</v>
      </c>
      <c r="AR717" s="154">
        <f t="shared" si="973"/>
        <v>0.27215608465608465</v>
      </c>
      <c r="AS717" s="154">
        <f t="shared" si="973"/>
        <v>0.27675159235668789</v>
      </c>
      <c r="AT717" s="586">
        <f t="shared" si="973"/>
        <v>0.25953938981898528</v>
      </c>
      <c r="AU717" s="809">
        <f t="shared" ref="AU717" si="974">AU150</f>
        <v>0.24376314998497145</v>
      </c>
      <c r="AV717" s="311">
        <f t="shared" si="973"/>
        <v>0.25838080959520238</v>
      </c>
      <c r="AW717" s="311">
        <f t="shared" si="973"/>
        <v>0.25715608465608464</v>
      </c>
      <c r="AX717" s="311">
        <f t="shared" si="973"/>
        <v>0.2867515923566879</v>
      </c>
      <c r="AY717" s="587">
        <f t="shared" si="973"/>
        <v>0.26172459780046387</v>
      </c>
      <c r="AZ717" s="311">
        <f t="shared" si="973"/>
        <v>0.25376314998497146</v>
      </c>
      <c r="BA717" s="311">
        <f t="shared" si="973"/>
        <v>0.27838080959520239</v>
      </c>
      <c r="BB717" s="311">
        <f t="shared" si="973"/>
        <v>0.24215608465608462</v>
      </c>
      <c r="BC717" s="311">
        <f t="shared" si="973"/>
        <v>0.29675159235668791</v>
      </c>
      <c r="BD717" s="587">
        <f t="shared" si="973"/>
        <v>0.2676279071223519</v>
      </c>
      <c r="BE717" s="587">
        <f t="shared" si="973"/>
        <v>0.27262790712235191</v>
      </c>
      <c r="BF717" s="587">
        <f t="shared" si="973"/>
        <v>0.27762790712235191</v>
      </c>
      <c r="BG717" s="587">
        <f t="shared" si="973"/>
        <v>0.28262790712235192</v>
      </c>
      <c r="BH717" s="154"/>
    </row>
    <row r="718" spans="1:60" s="588" customFormat="1" x14ac:dyDescent="0.35">
      <c r="A718" s="154" t="s">
        <v>787</v>
      </c>
      <c r="B718" s="700"/>
      <c r="C718" s="587"/>
      <c r="D718" s="587"/>
      <c r="E718" s="587"/>
      <c r="F718" s="587"/>
      <c r="G718" s="311"/>
      <c r="H718" s="311"/>
      <c r="I718" s="311"/>
      <c r="J718" s="311"/>
      <c r="K718" s="587"/>
      <c r="L718" s="311"/>
      <c r="M718" s="311"/>
      <c r="N718" s="311"/>
      <c r="O718" s="311"/>
      <c r="P718" s="587"/>
      <c r="Q718" s="311"/>
      <c r="R718" s="311"/>
      <c r="S718" s="311"/>
      <c r="T718" s="311"/>
      <c r="U718" s="587"/>
      <c r="V718" s="154">
        <f t="shared" ref="V718:BG718" si="975">V230</f>
        <v>0.22415329768270945</v>
      </c>
      <c r="W718" s="154">
        <f t="shared" si="975"/>
        <v>0.22371850564726325</v>
      </c>
      <c r="X718" s="154">
        <f t="shared" si="975"/>
        <v>0.24680148576145275</v>
      </c>
      <c r="Y718" s="154">
        <f t="shared" si="975"/>
        <v>0.24020887728459531</v>
      </c>
      <c r="Z718" s="586">
        <f t="shared" si="975"/>
        <v>0.23394841912161432</v>
      </c>
      <c r="AA718" s="154">
        <f t="shared" si="975"/>
        <v>0.23406005758946935</v>
      </c>
      <c r="AB718" s="154">
        <f t="shared" si="975"/>
        <v>0.43010752688172044</v>
      </c>
      <c r="AC718" s="154">
        <f t="shared" si="975"/>
        <v>0.26710222905457343</v>
      </c>
      <c r="AD718" s="154">
        <f t="shared" si="975"/>
        <v>0.28298755186721991</v>
      </c>
      <c r="AE718" s="586">
        <f t="shared" si="975"/>
        <v>0.30280904573572659</v>
      </c>
      <c r="AF718" s="154">
        <f t="shared" si="975"/>
        <v>0.26042080190551808</v>
      </c>
      <c r="AG718" s="154">
        <f t="shared" si="975"/>
        <v>0.26474079936683814</v>
      </c>
      <c r="AH718" s="154">
        <f t="shared" si="975"/>
        <v>0.27720504009163804</v>
      </c>
      <c r="AI718" s="154">
        <f t="shared" si="975"/>
        <v>0.24498156493240475</v>
      </c>
      <c r="AJ718" s="586">
        <f t="shared" si="975"/>
        <v>0.26212151197308531</v>
      </c>
      <c r="AK718" s="154">
        <f t="shared" si="975"/>
        <v>0.22165605095541402</v>
      </c>
      <c r="AL718" s="154">
        <f t="shared" si="975"/>
        <v>0.24122448979591837</v>
      </c>
      <c r="AM718" s="154">
        <f t="shared" si="975"/>
        <v>0.25480000000000003</v>
      </c>
      <c r="AN718" s="154">
        <f t="shared" si="975"/>
        <v>0.20734908136482941</v>
      </c>
      <c r="AO718" s="586">
        <f t="shared" si="975"/>
        <v>0.23157126472734857</v>
      </c>
      <c r="AP718" s="154">
        <f t="shared" si="975"/>
        <v>0.2162645218945487</v>
      </c>
      <c r="AQ718" s="154">
        <f t="shared" si="975"/>
        <v>0.197212183789365</v>
      </c>
      <c r="AR718" s="154">
        <f t="shared" si="975"/>
        <v>0.23854796888504753</v>
      </c>
      <c r="AS718" s="154">
        <f t="shared" si="975"/>
        <v>0.21856287425149701</v>
      </c>
      <c r="AT718" s="586">
        <f t="shared" si="975"/>
        <v>0.21830746573014614</v>
      </c>
      <c r="AU718" s="809">
        <f t="shared" ref="AU718" si="976">AU230</f>
        <v>0.23350454365863296</v>
      </c>
      <c r="AV718" s="311">
        <f t="shared" si="975"/>
        <v>0.20721218378936501</v>
      </c>
      <c r="AW718" s="311">
        <f t="shared" si="975"/>
        <v>0.24854796888504754</v>
      </c>
      <c r="AX718" s="311">
        <f t="shared" si="975"/>
        <v>0.22856287425149702</v>
      </c>
      <c r="AY718" s="587">
        <f t="shared" si="975"/>
        <v>0.23040671205499674</v>
      </c>
      <c r="AZ718" s="311">
        <f t="shared" si="975"/>
        <v>0.24350454365863297</v>
      </c>
      <c r="BA718" s="311">
        <f t="shared" si="975"/>
        <v>0.21721218378936502</v>
      </c>
      <c r="BB718" s="311">
        <f t="shared" si="975"/>
        <v>0.25854796888504755</v>
      </c>
      <c r="BC718" s="311">
        <f t="shared" si="975"/>
        <v>0.23856287425149703</v>
      </c>
      <c r="BD718" s="587">
        <f t="shared" si="975"/>
        <v>0.24040671205499672</v>
      </c>
      <c r="BE718" s="587">
        <f t="shared" si="975"/>
        <v>0.24540671205499673</v>
      </c>
      <c r="BF718" s="587">
        <f t="shared" si="975"/>
        <v>0.25040671205499671</v>
      </c>
      <c r="BG718" s="587">
        <f t="shared" si="975"/>
        <v>0.25540671205499671</v>
      </c>
      <c r="BH718" s="154"/>
    </row>
    <row r="719" spans="1:60" s="588" customFormat="1" x14ac:dyDescent="0.35">
      <c r="A719" s="154" t="s">
        <v>788</v>
      </c>
      <c r="B719" s="700"/>
      <c r="C719" s="587"/>
      <c r="D719" s="587"/>
      <c r="E719" s="587"/>
      <c r="F719" s="587"/>
      <c r="G719" s="311"/>
      <c r="H719" s="311"/>
      <c r="I719" s="311"/>
      <c r="J719" s="311"/>
      <c r="K719" s="587"/>
      <c r="L719" s="311"/>
      <c r="M719" s="311"/>
      <c r="N719" s="311"/>
      <c r="O719" s="311"/>
      <c r="P719" s="587"/>
      <c r="Q719" s="311"/>
      <c r="R719" s="311"/>
      <c r="S719" s="311"/>
      <c r="T719" s="311"/>
      <c r="U719" s="587"/>
      <c r="V719" s="154">
        <f t="shared" ref="V719:BG719" si="977">V307</f>
        <v>0.30369442705072008</v>
      </c>
      <c r="W719" s="154">
        <f t="shared" si="977"/>
        <v>0.30110837438423643</v>
      </c>
      <c r="X719" s="154">
        <f t="shared" si="977"/>
        <v>0.28689567430025448</v>
      </c>
      <c r="Y719" s="154">
        <f t="shared" si="977"/>
        <v>0.26957070707070707</v>
      </c>
      <c r="Z719" s="586">
        <f t="shared" si="977"/>
        <v>0.29041869217500393</v>
      </c>
      <c r="AA719" s="154">
        <f t="shared" si="977"/>
        <v>0.28404907975460125</v>
      </c>
      <c r="AB719" s="154">
        <f t="shared" si="977"/>
        <v>0.26370280146163216</v>
      </c>
      <c r="AC719" s="154">
        <f t="shared" si="977"/>
        <v>0.29638411381149971</v>
      </c>
      <c r="AD719" s="154">
        <f t="shared" si="977"/>
        <v>0.28699284009546538</v>
      </c>
      <c r="AE719" s="586">
        <f t="shared" si="977"/>
        <v>0.28289374529012812</v>
      </c>
      <c r="AF719" s="154">
        <f t="shared" si="977"/>
        <v>0.28538681948424066</v>
      </c>
      <c r="AG719" s="154">
        <f t="shared" si="977"/>
        <v>0.27167630057803466</v>
      </c>
      <c r="AH719" s="154">
        <f t="shared" si="977"/>
        <v>0.28910529519172246</v>
      </c>
      <c r="AI719" s="154">
        <f t="shared" si="977"/>
        <v>0.27985948477751754</v>
      </c>
      <c r="AJ719" s="586">
        <f t="shared" si="977"/>
        <v>0.28142396718429535</v>
      </c>
      <c r="AK719" s="154">
        <f t="shared" si="977"/>
        <v>0.26697353279631758</v>
      </c>
      <c r="AL719" s="154">
        <f t="shared" si="977"/>
        <v>0.26379027853631898</v>
      </c>
      <c r="AM719" s="154">
        <f t="shared" si="977"/>
        <v>0.26670540383497965</v>
      </c>
      <c r="AN719" s="154">
        <f t="shared" si="977"/>
        <v>0.21345165810368985</v>
      </c>
      <c r="AO719" s="586">
        <f t="shared" si="977"/>
        <v>0.2500336428475306</v>
      </c>
      <c r="AP719" s="154">
        <f t="shared" si="977"/>
        <v>0.21683309557774608</v>
      </c>
      <c r="AQ719" s="154">
        <f t="shared" si="977"/>
        <v>0.16767123287671232</v>
      </c>
      <c r="AR719" s="154">
        <f t="shared" si="977"/>
        <v>0.23518518518518519</v>
      </c>
      <c r="AS719" s="154">
        <f t="shared" si="977"/>
        <v>0.24723083739477181</v>
      </c>
      <c r="AT719" s="586">
        <f t="shared" si="977"/>
        <v>0.21905332534451769</v>
      </c>
      <c r="AU719" s="809">
        <f t="shared" ref="AU719" si="978">AU307</f>
        <v>0.22642348754448399</v>
      </c>
      <c r="AV719" s="311">
        <f t="shared" si="977"/>
        <v>0.22</v>
      </c>
      <c r="AW719" s="311">
        <f t="shared" si="977"/>
        <v>0.222</v>
      </c>
      <c r="AX719" s="311">
        <f t="shared" si="977"/>
        <v>0.221</v>
      </c>
      <c r="AY719" s="587">
        <f t="shared" si="977"/>
        <v>0.22242508605900863</v>
      </c>
      <c r="AZ719" s="311">
        <f t="shared" si="977"/>
        <v>0.24642348754448398</v>
      </c>
      <c r="BA719" s="311">
        <f t="shared" si="977"/>
        <v>0.27</v>
      </c>
      <c r="BB719" s="311">
        <f t="shared" si="977"/>
        <v>0.22700000000000001</v>
      </c>
      <c r="BC719" s="311">
        <f t="shared" si="977"/>
        <v>0.23100000000000001</v>
      </c>
      <c r="BD719" s="587">
        <f t="shared" si="977"/>
        <v>0.24239884232171868</v>
      </c>
      <c r="BE719" s="587">
        <f t="shared" si="977"/>
        <v>0.25239884232171866</v>
      </c>
      <c r="BF719" s="587">
        <f t="shared" si="977"/>
        <v>0.26239884232171867</v>
      </c>
      <c r="BG719" s="587">
        <f t="shared" si="977"/>
        <v>0.27239884232171868</v>
      </c>
      <c r="BH719" s="154"/>
    </row>
    <row r="720" spans="1:60" s="588" customFormat="1" x14ac:dyDescent="0.35">
      <c r="A720" s="589" t="s">
        <v>789</v>
      </c>
      <c r="B720" s="701"/>
      <c r="C720" s="591"/>
      <c r="D720" s="591"/>
      <c r="E720" s="591"/>
      <c r="F720" s="591"/>
      <c r="G720" s="459"/>
      <c r="H720" s="459"/>
      <c r="I720" s="459"/>
      <c r="J720" s="459"/>
      <c r="K720" s="591"/>
      <c r="L720" s="459"/>
      <c r="M720" s="459"/>
      <c r="N720" s="459"/>
      <c r="O720" s="459"/>
      <c r="P720" s="591"/>
      <c r="Q720" s="459"/>
      <c r="R720" s="459"/>
      <c r="S720" s="459"/>
      <c r="T720" s="459"/>
      <c r="U720" s="591"/>
      <c r="V720" s="589">
        <f t="shared" ref="V720:BG720" si="979">V385</f>
        <v>0.2180385288966725</v>
      </c>
      <c r="W720" s="589">
        <f t="shared" si="979"/>
        <v>0.23763179237631793</v>
      </c>
      <c r="X720" s="589">
        <f t="shared" si="979"/>
        <v>0.25077160493827161</v>
      </c>
      <c r="Y720" s="589">
        <f t="shared" si="979"/>
        <v>0.19606164383561644</v>
      </c>
      <c r="Z720" s="590">
        <f t="shared" si="979"/>
        <v>0.22649307708204175</v>
      </c>
      <c r="AA720" s="589">
        <f t="shared" si="979"/>
        <v>0.20644599303135888</v>
      </c>
      <c r="AB720" s="589">
        <f t="shared" si="979"/>
        <v>0.17188755020080321</v>
      </c>
      <c r="AC720" s="589">
        <f t="shared" si="979"/>
        <v>0.23979213066072755</v>
      </c>
      <c r="AD720" s="589">
        <f t="shared" si="979"/>
        <v>0.21879936808846762</v>
      </c>
      <c r="AE720" s="590">
        <f t="shared" si="979"/>
        <v>0.20994806232520974</v>
      </c>
      <c r="AF720" s="589">
        <f t="shared" si="979"/>
        <v>0.19205298013245034</v>
      </c>
      <c r="AG720" s="589">
        <f t="shared" si="979"/>
        <v>0.2131398013750955</v>
      </c>
      <c r="AH720" s="589">
        <f t="shared" si="979"/>
        <v>0.2304147465437788</v>
      </c>
      <c r="AI720" s="589">
        <f t="shared" si="979"/>
        <v>0.20520915548539859</v>
      </c>
      <c r="AJ720" s="590">
        <f t="shared" si="979"/>
        <v>0.2105780574125049</v>
      </c>
      <c r="AK720" s="589">
        <f t="shared" si="979"/>
        <v>0.19583333333333333</v>
      </c>
      <c r="AL720" s="589">
        <f t="shared" si="979"/>
        <v>0.20681818181818182</v>
      </c>
      <c r="AM720" s="589">
        <f t="shared" si="979"/>
        <v>0.23323397913561847</v>
      </c>
      <c r="AN720" s="589">
        <f t="shared" si="979"/>
        <v>0.23506594259115593</v>
      </c>
      <c r="AO720" s="590">
        <f t="shared" si="979"/>
        <v>0.21821005629974763</v>
      </c>
      <c r="AP720" s="589">
        <f t="shared" si="979"/>
        <v>0.214171974522293</v>
      </c>
      <c r="AQ720" s="589">
        <f t="shared" si="979"/>
        <v>0.23182552504038773</v>
      </c>
      <c r="AR720" s="589">
        <f t="shared" si="979"/>
        <v>0.25264643613267468</v>
      </c>
      <c r="AS720" s="589">
        <f t="shared" si="979"/>
        <v>0.23508771929824562</v>
      </c>
      <c r="AT720" s="590">
        <f t="shared" si="979"/>
        <v>0.2340704647676162</v>
      </c>
      <c r="AU720" s="810">
        <f t="shared" ref="AU720" si="980">AU385</f>
        <v>0.21048798252002912</v>
      </c>
      <c r="AV720" s="459">
        <f t="shared" si="979"/>
        <v>0.21</v>
      </c>
      <c r="AW720" s="459">
        <f t="shared" si="979"/>
        <v>0.21</v>
      </c>
      <c r="AX720" s="459">
        <f t="shared" si="979"/>
        <v>0.21</v>
      </c>
      <c r="AY720" s="591">
        <f t="shared" si="979"/>
        <v>0.21012721414317478</v>
      </c>
      <c r="AZ720" s="459">
        <f t="shared" si="979"/>
        <v>0.22048798252002913</v>
      </c>
      <c r="BA720" s="459">
        <f t="shared" si="979"/>
        <v>0.19999999999999998</v>
      </c>
      <c r="BB720" s="459">
        <f t="shared" si="979"/>
        <v>0.18</v>
      </c>
      <c r="BC720" s="459">
        <f t="shared" si="979"/>
        <v>0.19</v>
      </c>
      <c r="BD720" s="591">
        <f t="shared" si="979"/>
        <v>0.19793609293088094</v>
      </c>
      <c r="BE720" s="591">
        <f t="shared" si="979"/>
        <v>0.19993609293088094</v>
      </c>
      <c r="BF720" s="591">
        <f t="shared" si="979"/>
        <v>0.20193609293088094</v>
      </c>
      <c r="BG720" s="591">
        <f t="shared" si="979"/>
        <v>0.20393609293088094</v>
      </c>
      <c r="BH720" s="154"/>
    </row>
    <row r="721" spans="1:60" s="249" customFormat="1" x14ac:dyDescent="0.35">
      <c r="A721" s="227" t="s">
        <v>32</v>
      </c>
      <c r="B721" s="607"/>
      <c r="C721" s="521">
        <f t="shared" ref="C721:AH721" si="981">C803/C787</f>
        <v>0.20819097867923711</v>
      </c>
      <c r="D721" s="521">
        <f t="shared" si="981"/>
        <v>0.22196384367264271</v>
      </c>
      <c r="E721" s="521">
        <f t="shared" si="981"/>
        <v>0.20863868157103779</v>
      </c>
      <c r="F721" s="521">
        <f t="shared" si="981"/>
        <v>0.21679373996789728</v>
      </c>
      <c r="G721" s="235">
        <f t="shared" si="981"/>
        <v>0.21561435682473146</v>
      </c>
      <c r="H721" s="235">
        <f t="shared" si="981"/>
        <v>0.2195562435500516</v>
      </c>
      <c r="I721" s="235">
        <f t="shared" si="981"/>
        <v>0.21968165740272866</v>
      </c>
      <c r="J721" s="235">
        <f t="shared" si="981"/>
        <v>0.20861408376271634</v>
      </c>
      <c r="K721" s="521">
        <f t="shared" si="981"/>
        <v>0.21593080884972951</v>
      </c>
      <c r="L721" s="235">
        <f t="shared" si="981"/>
        <v>0.21912910228578725</v>
      </c>
      <c r="M721" s="235">
        <f t="shared" si="981"/>
        <v>0.2281780181952299</v>
      </c>
      <c r="N721" s="235">
        <f t="shared" si="981"/>
        <v>0.23362418581786901</v>
      </c>
      <c r="O721" s="235">
        <f t="shared" si="981"/>
        <v>0.21531286436066849</v>
      </c>
      <c r="P721" s="521">
        <f t="shared" si="981"/>
        <v>0.2242229973916596</v>
      </c>
      <c r="Q721" s="235">
        <f t="shared" si="981"/>
        <v>0.22829242544206915</v>
      </c>
      <c r="R721" s="235">
        <f t="shared" si="981"/>
        <v>0.23939630497007547</v>
      </c>
      <c r="S721" s="235">
        <f t="shared" si="981"/>
        <v>0.24325726141078838</v>
      </c>
      <c r="T721" s="235">
        <f t="shared" si="981"/>
        <v>0.20553576322280076</v>
      </c>
      <c r="U721" s="521">
        <f t="shared" si="981"/>
        <v>0.22943780141375439</v>
      </c>
      <c r="V721" s="235">
        <f>V78</f>
        <v>0.23471453637467946</v>
      </c>
      <c r="W721" s="235">
        <f>W78</f>
        <v>0.23714434873401199</v>
      </c>
      <c r="X721" s="235">
        <f>X78</f>
        <v>0.24062783759242443</v>
      </c>
      <c r="Y721" s="235">
        <f>Y78</f>
        <v>0.22049392823031791</v>
      </c>
      <c r="Z721" s="521">
        <f>Z78</f>
        <v>0.23338536650171046</v>
      </c>
      <c r="AA721" s="235">
        <f t="shared" si="981"/>
        <v>0.22667534157449576</v>
      </c>
      <c r="AB721" s="235">
        <f t="shared" si="981"/>
        <v>0.27567221510883483</v>
      </c>
      <c r="AC721" s="235">
        <f t="shared" si="981"/>
        <v>0.24571708272148801</v>
      </c>
      <c r="AD721" s="235">
        <f t="shared" si="981"/>
        <v>0.22390488110137671</v>
      </c>
      <c r="AE721" s="521">
        <f t="shared" si="981"/>
        <v>0.24297943582777901</v>
      </c>
      <c r="AF721" s="235">
        <f t="shared" si="981"/>
        <v>0.1216477410002416</v>
      </c>
      <c r="AG721" s="235">
        <f t="shared" si="981"/>
        <v>0.28617401668653158</v>
      </c>
      <c r="AH721" s="235">
        <f t="shared" si="981"/>
        <v>0.24730127576054955</v>
      </c>
      <c r="AI721" s="235">
        <f t="shared" ref="AI721:AY721" si="982">AI803/AI787</f>
        <v>0.22441787287602266</v>
      </c>
      <c r="AJ721" s="521">
        <f t="shared" si="982"/>
        <v>0.21996032351594688</v>
      </c>
      <c r="AK721" s="235">
        <f t="shared" si="982"/>
        <v>0.14447411929289075</v>
      </c>
      <c r="AL721" s="235">
        <f t="shared" si="982"/>
        <v>0.20829763798800635</v>
      </c>
      <c r="AM721" s="235">
        <f t="shared" si="982"/>
        <v>0.25165811537980226</v>
      </c>
      <c r="AN721" s="235">
        <f t="shared" si="982"/>
        <v>0.16335840216989272</v>
      </c>
      <c r="AO721" s="521">
        <f t="shared" si="982"/>
        <v>0.19212098581030621</v>
      </c>
      <c r="AP721" s="235">
        <f t="shared" si="982"/>
        <v>0.20594427244582042</v>
      </c>
      <c r="AQ721" s="235">
        <f t="shared" si="982"/>
        <v>0.24247491638795987</v>
      </c>
      <c r="AR721" s="235">
        <f>AR803/AR787</f>
        <v>0.22862275449101796</v>
      </c>
      <c r="AS721" s="235">
        <f>AS803/AS787</f>
        <v>0.21542584178026331</v>
      </c>
      <c r="AT721" s="521">
        <f>AT803/AT787</f>
        <v>0.22250186428038776</v>
      </c>
      <c r="AU721" s="811">
        <f t="shared" ref="AU721" si="983">AU803/AU787</f>
        <v>0.22528527849960456</v>
      </c>
      <c r="AV721" s="234">
        <f t="shared" si="982"/>
        <v>0.22116926245405194</v>
      </c>
      <c r="AW721" s="234">
        <f t="shared" si="982"/>
        <v>0.23299694611170085</v>
      </c>
      <c r="AX721" s="234">
        <f t="shared" si="982"/>
        <v>0.23825236624639573</v>
      </c>
      <c r="AY721" s="522">
        <f t="shared" si="982"/>
        <v>0.22973398091480912</v>
      </c>
      <c r="AZ721" s="234">
        <f t="shared" ref="AZ721:BG721" si="984">AZ803/AZ787</f>
        <v>0.23815930633214255</v>
      </c>
      <c r="BA721" s="234">
        <f t="shared" si="984"/>
        <v>0.24216241365399624</v>
      </c>
      <c r="BB721" s="234">
        <f t="shared" si="984"/>
        <v>0.22743330004761345</v>
      </c>
      <c r="BC721" s="234">
        <f t="shared" si="984"/>
        <v>0.24482045392669138</v>
      </c>
      <c r="BD721" s="522">
        <f t="shared" si="984"/>
        <v>0.23806340899030184</v>
      </c>
      <c r="BE721" s="522">
        <f t="shared" si="984"/>
        <v>0.24435185278655866</v>
      </c>
      <c r="BF721" s="522">
        <f t="shared" si="984"/>
        <v>0.25061997821256116</v>
      </c>
      <c r="BG721" s="522">
        <f t="shared" si="984"/>
        <v>0.25686762898812343</v>
      </c>
      <c r="BH721" s="235"/>
    </row>
    <row r="722" spans="1:60" s="225" customFormat="1" x14ac:dyDescent="0.35">
      <c r="A722" s="227" t="str">
        <f>CONCATENATE("Adjusted ",A721,IFERROR("  - "&amp;RIGHT(A810,FIND("(",A810)),""))</f>
        <v>Adjusted EBIT Margin, %</v>
      </c>
      <c r="B722" s="176"/>
      <c r="C722" s="223">
        <f t="shared" ref="C722:AH722" si="985">C804/C787</f>
        <v>0.20819097867923711</v>
      </c>
      <c r="D722" s="223">
        <f t="shared" si="985"/>
        <v>0.22196384367264271</v>
      </c>
      <c r="E722" s="223">
        <f t="shared" si="985"/>
        <v>0.20863868157103779</v>
      </c>
      <c r="F722" s="223">
        <f t="shared" si="985"/>
        <v>0.21679373996789728</v>
      </c>
      <c r="G722" s="226">
        <f t="shared" si="985"/>
        <v>0.21561435682473146</v>
      </c>
      <c r="H722" s="226">
        <f t="shared" si="985"/>
        <v>0.2195562435500516</v>
      </c>
      <c r="I722" s="226">
        <f t="shared" si="985"/>
        <v>0.21968165740272866</v>
      </c>
      <c r="J722" s="226">
        <f t="shared" si="985"/>
        <v>0.20861408376271634</v>
      </c>
      <c r="K722" s="223">
        <f t="shared" si="985"/>
        <v>0.21593080884972951</v>
      </c>
      <c r="L722" s="226">
        <f t="shared" si="985"/>
        <v>0.21912910228578725</v>
      </c>
      <c r="M722" s="226">
        <f t="shared" si="985"/>
        <v>0.2281780181952299</v>
      </c>
      <c r="N722" s="226">
        <f t="shared" si="985"/>
        <v>0.23362418581786901</v>
      </c>
      <c r="O722" s="226">
        <f t="shared" si="985"/>
        <v>0.21531286436066849</v>
      </c>
      <c r="P722" s="223">
        <f t="shared" si="985"/>
        <v>0.2242229973916596</v>
      </c>
      <c r="Q722" s="226">
        <f>Q804/Q787</f>
        <v>0.22829242544206915</v>
      </c>
      <c r="R722" s="226">
        <f t="shared" si="985"/>
        <v>0.23939630497007547</v>
      </c>
      <c r="S722" s="226">
        <f t="shared" si="985"/>
        <v>0.24325726141078838</v>
      </c>
      <c r="T722" s="226">
        <f t="shared" si="985"/>
        <v>0.20553576322280076</v>
      </c>
      <c r="U722" s="223">
        <f t="shared" si="985"/>
        <v>0.22943780141375439</v>
      </c>
      <c r="V722" s="226">
        <f>V721</f>
        <v>0.23471453637467946</v>
      </c>
      <c r="W722" s="226">
        <f t="shared" ref="W722:Z722" si="986">W721</f>
        <v>0.23714434873401199</v>
      </c>
      <c r="X722" s="226">
        <f t="shared" si="986"/>
        <v>0.24062783759242443</v>
      </c>
      <c r="Y722" s="226">
        <f t="shared" si="986"/>
        <v>0.22049392823031791</v>
      </c>
      <c r="Z722" s="223">
        <f t="shared" si="986"/>
        <v>0.23338536650171046</v>
      </c>
      <c r="AA722" s="226">
        <f t="shared" si="985"/>
        <v>0.22667534157449576</v>
      </c>
      <c r="AB722" s="226">
        <f t="shared" si="985"/>
        <v>0.27567221510883483</v>
      </c>
      <c r="AC722" s="226">
        <f t="shared" si="985"/>
        <v>0.24571708272148801</v>
      </c>
      <c r="AD722" s="226">
        <f t="shared" si="985"/>
        <v>0.22390488110137671</v>
      </c>
      <c r="AE722" s="223">
        <f t="shared" si="985"/>
        <v>0.24297943582777901</v>
      </c>
      <c r="AF722" s="226">
        <f t="shared" si="985"/>
        <v>0.23000724812756704</v>
      </c>
      <c r="AG722" s="226">
        <f t="shared" si="985"/>
        <v>0.28617401668653158</v>
      </c>
      <c r="AH722" s="226">
        <f t="shared" si="985"/>
        <v>0.24730127576054955</v>
      </c>
      <c r="AI722" s="226">
        <f t="shared" ref="AI722:AY722" si="987">AI804/AI787</f>
        <v>0.22441787287602266</v>
      </c>
      <c r="AJ722" s="223">
        <f t="shared" si="987"/>
        <v>0.24733709751258964</v>
      </c>
      <c r="AK722" s="226">
        <f t="shared" si="987"/>
        <v>0.21315019712577896</v>
      </c>
      <c r="AL722" s="226">
        <f t="shared" si="987"/>
        <v>0.20829763798800635</v>
      </c>
      <c r="AM722" s="226">
        <f t="shared" si="987"/>
        <v>0.23839319234138406</v>
      </c>
      <c r="AN722" s="226">
        <f t="shared" si="987"/>
        <v>0.189742325237332</v>
      </c>
      <c r="AO722" s="223">
        <f t="shared" si="987"/>
        <v>0.21228528752800596</v>
      </c>
      <c r="AP722" s="226">
        <f t="shared" si="987"/>
        <v>0.20780185758513933</v>
      </c>
      <c r="AQ722" s="226">
        <f t="shared" si="987"/>
        <v>0.19620958751393533</v>
      </c>
      <c r="AR722" s="226">
        <f>AR804/AR787</f>
        <v>0.22862275449101796</v>
      </c>
      <c r="AS722" s="226">
        <f>AS804/AS787</f>
        <v>0.21542584178026331</v>
      </c>
      <c r="AT722" s="223">
        <f>AT804/AT787</f>
        <v>0.21265224956500126</v>
      </c>
      <c r="AU722" s="773">
        <f t="shared" ref="AU722" si="988">AU804/AU787</f>
        <v>0.22528527849960456</v>
      </c>
      <c r="AV722" s="177">
        <f t="shared" si="987"/>
        <v>0.22116926245405194</v>
      </c>
      <c r="AW722" s="177">
        <f t="shared" si="987"/>
        <v>0.23299694611170085</v>
      </c>
      <c r="AX722" s="177">
        <f t="shared" si="987"/>
        <v>0.23825236624639573</v>
      </c>
      <c r="AY722" s="113">
        <f t="shared" si="987"/>
        <v>0.22973398091480912</v>
      </c>
      <c r="AZ722" s="177">
        <f t="shared" ref="AZ722:BG722" si="989">AZ804/AZ787</f>
        <v>0.23815930633214255</v>
      </c>
      <c r="BA722" s="177">
        <f t="shared" si="989"/>
        <v>0.24216241365399624</v>
      </c>
      <c r="BB722" s="177">
        <f t="shared" si="989"/>
        <v>0.22743330004761345</v>
      </c>
      <c r="BC722" s="177">
        <f t="shared" si="989"/>
        <v>0.24482045392669138</v>
      </c>
      <c r="BD722" s="113">
        <f t="shared" si="989"/>
        <v>0.23806340899030184</v>
      </c>
      <c r="BE722" s="113">
        <f t="shared" si="989"/>
        <v>0.24435185278655866</v>
      </c>
      <c r="BF722" s="113">
        <f t="shared" si="989"/>
        <v>0.25061997821256116</v>
      </c>
      <c r="BG722" s="113">
        <f t="shared" si="989"/>
        <v>0.25686762898812343</v>
      </c>
      <c r="BH722" s="94"/>
    </row>
    <row r="723" spans="1:60" s="175" customFormat="1" x14ac:dyDescent="0.35">
      <c r="A723" s="173" t="s">
        <v>33</v>
      </c>
      <c r="B723" s="699"/>
      <c r="C723" s="174"/>
      <c r="D723" s="174"/>
      <c r="E723" s="174"/>
      <c r="F723" s="174"/>
      <c r="G723" s="243"/>
      <c r="H723" s="243"/>
      <c r="I723" s="243"/>
      <c r="J723" s="243"/>
      <c r="K723" s="174"/>
      <c r="L723" s="243"/>
      <c r="M723" s="243"/>
      <c r="N723" s="243"/>
      <c r="O723" s="243"/>
      <c r="P723" s="174"/>
      <c r="Q723" s="243"/>
      <c r="R723" s="243"/>
      <c r="S723" s="243"/>
      <c r="T723" s="243"/>
      <c r="U723" s="174"/>
      <c r="V723" s="243"/>
      <c r="W723" s="243"/>
      <c r="X723" s="243"/>
      <c r="Y723" s="243"/>
      <c r="Z723" s="174"/>
      <c r="AA723" s="243"/>
      <c r="AB723" s="243"/>
      <c r="AC723" s="243"/>
      <c r="AD723" s="243"/>
      <c r="AE723" s="174"/>
      <c r="AF723" s="243"/>
      <c r="AG723" s="243"/>
      <c r="AH723" s="243"/>
      <c r="AI723" s="243"/>
      <c r="AJ723" s="174"/>
      <c r="AK723" s="243"/>
      <c r="AL723" s="243"/>
      <c r="AM723" s="243"/>
      <c r="AN723" s="243"/>
      <c r="AO723" s="174"/>
      <c r="AP723" s="243"/>
      <c r="AQ723" s="243"/>
      <c r="AR723" s="243"/>
      <c r="AS723" s="243"/>
      <c r="AT723" s="174"/>
      <c r="AU723" s="808"/>
      <c r="AV723" s="243">
        <f t="shared" ref="AV723:AY723" ca="1" si="990">IFERROR(AV$805/AV$788,0)</f>
        <v>0</v>
      </c>
      <c r="AW723" s="243">
        <f t="shared" ca="1" si="990"/>
        <v>0</v>
      </c>
      <c r="AX723" s="243">
        <f t="shared" ca="1" si="990"/>
        <v>0</v>
      </c>
      <c r="AY723" s="174">
        <f t="shared" ca="1" si="990"/>
        <v>0</v>
      </c>
      <c r="AZ723" s="243">
        <f ca="1">IFERROR(AZ$805/AZ$788,0)</f>
        <v>0</v>
      </c>
      <c r="BA723" s="243">
        <f ca="1">IFERROR(BA$805/BA$788,0)</f>
        <v>0</v>
      </c>
      <c r="BB723" s="243">
        <f ca="1">IFERROR(BB$805/BB$788,0)</f>
        <v>0</v>
      </c>
      <c r="BC723" s="243">
        <f ca="1">IFERROR(BC$805/BC$788,0)</f>
        <v>0</v>
      </c>
      <c r="BD723" s="174">
        <f ca="1">IFERROR(BD$805/BD$788,0)</f>
        <v>0</v>
      </c>
      <c r="BE723" s="174">
        <f ca="1">IFERROR(BE805/BE788,0)</f>
        <v>0</v>
      </c>
      <c r="BF723" s="174">
        <f ca="1">IFERROR(BF805/BF788,0)</f>
        <v>0</v>
      </c>
      <c r="BG723" s="174">
        <f ca="1">IFERROR(BG805/BG788,0)</f>
        <v>0</v>
      </c>
      <c r="BH723" s="173"/>
    </row>
    <row r="724" spans="1:60" s="175" customFormat="1" x14ac:dyDescent="0.35">
      <c r="A724" s="243"/>
      <c r="B724" s="699"/>
      <c r="C724" s="174"/>
      <c r="D724" s="174"/>
      <c r="E724" s="174"/>
      <c r="F724" s="174"/>
      <c r="G724" s="243"/>
      <c r="H724" s="243"/>
      <c r="I724" s="243"/>
      <c r="J724" s="243"/>
      <c r="K724" s="174"/>
      <c r="L724" s="243"/>
      <c r="M724" s="243"/>
      <c r="N724" s="243"/>
      <c r="O724" s="243"/>
      <c r="P724" s="174"/>
      <c r="Q724" s="243"/>
      <c r="R724" s="243"/>
      <c r="S724" s="243"/>
      <c r="T724" s="243"/>
      <c r="U724" s="174"/>
      <c r="V724" s="243"/>
      <c r="W724" s="243"/>
      <c r="X724" s="243"/>
      <c r="Y724" s="243"/>
      <c r="Z724" s="174"/>
      <c r="AA724" s="243"/>
      <c r="AB724" s="243"/>
      <c r="AC724" s="243"/>
      <c r="AD724" s="243"/>
      <c r="AE724" s="174"/>
      <c r="AF724" s="243"/>
      <c r="AG724" s="243"/>
      <c r="AH724" s="243"/>
      <c r="AI724" s="243"/>
      <c r="AJ724" s="174"/>
      <c r="AK724" s="243"/>
      <c r="AL724" s="243"/>
      <c r="AM724" s="243"/>
      <c r="AN724" s="243"/>
      <c r="AO724" s="174"/>
      <c r="AP724" s="243"/>
      <c r="AQ724" s="243"/>
      <c r="AR724" s="243"/>
      <c r="AS724" s="243"/>
      <c r="AT724" s="174"/>
      <c r="AU724" s="808"/>
      <c r="AV724" s="243"/>
      <c r="AW724" s="243"/>
      <c r="AX724" s="243"/>
      <c r="AY724" s="174"/>
      <c r="AZ724" s="243"/>
      <c r="BA724" s="243"/>
      <c r="BB724" s="243"/>
      <c r="BC724" s="243"/>
      <c r="BD724" s="174"/>
      <c r="BE724" s="174"/>
      <c r="BF724" s="174"/>
      <c r="BG724" s="174"/>
      <c r="BH724" s="173"/>
    </row>
    <row r="725" spans="1:60" s="21" customFormat="1" x14ac:dyDescent="0.35">
      <c r="A725" s="746" t="s">
        <v>34</v>
      </c>
      <c r="B725" s="746"/>
      <c r="C725" s="874"/>
      <c r="D725" s="874"/>
      <c r="E725" s="874"/>
      <c r="F725" s="874"/>
      <c r="G725" s="874"/>
      <c r="H725" s="874"/>
      <c r="I725" s="874"/>
      <c r="J725" s="874"/>
      <c r="K725" s="874"/>
      <c r="L725" s="874"/>
      <c r="M725" s="874"/>
      <c r="N725" s="874"/>
      <c r="O725" s="874"/>
      <c r="P725" s="874"/>
      <c r="Q725" s="874"/>
      <c r="R725" s="874"/>
      <c r="S725" s="874"/>
      <c r="T725" s="874"/>
      <c r="U725" s="874"/>
      <c r="V725" s="874"/>
      <c r="W725" s="874"/>
      <c r="X725" s="874"/>
      <c r="Y725" s="874"/>
      <c r="Z725" s="874"/>
      <c r="AA725" s="874"/>
      <c r="AB725" s="874"/>
      <c r="AC725" s="874"/>
      <c r="AD725" s="874"/>
      <c r="AE725" s="874"/>
      <c r="AF725" s="874"/>
      <c r="AG725" s="874"/>
      <c r="AH725" s="874"/>
      <c r="AI725" s="874"/>
      <c r="AJ725" s="874"/>
      <c r="AK725" s="874"/>
      <c r="AL725" s="874"/>
      <c r="AM725" s="874"/>
      <c r="AN725" s="874"/>
      <c r="AO725" s="874"/>
      <c r="AP725" s="874"/>
      <c r="AQ725" s="874"/>
      <c r="AR725" s="874"/>
      <c r="AS725" s="874"/>
      <c r="AT725" s="874"/>
      <c r="AU725" s="875"/>
      <c r="AV725" s="874"/>
      <c r="AW725" s="874"/>
      <c r="AX725" s="874"/>
      <c r="AY725" s="874"/>
      <c r="AZ725" s="874"/>
      <c r="BA725" s="874"/>
      <c r="BB725" s="874"/>
      <c r="BC725" s="874"/>
      <c r="BD725" s="874"/>
      <c r="BE725" s="874"/>
      <c r="BF725" s="874"/>
      <c r="BG725" s="874"/>
      <c r="BH725" s="651"/>
    </row>
    <row r="726" spans="1:60" s="69" customFormat="1" hidden="1" outlineLevel="1" x14ac:dyDescent="0.35">
      <c r="A726" s="90" t="s">
        <v>35</v>
      </c>
      <c r="B726" s="427"/>
      <c r="C726" s="70">
        <v>23123</v>
      </c>
      <c r="D726" s="70">
        <v>26662</v>
      </c>
      <c r="E726" s="70">
        <v>29611</v>
      </c>
      <c r="F726" s="70">
        <v>29904</v>
      </c>
      <c r="G726" s="79">
        <v>7634</v>
      </c>
      <c r="H726" s="79">
        <v>7752</v>
      </c>
      <c r="I726" s="79">
        <v>7916</v>
      </c>
      <c r="J726" s="79">
        <f>K726-SUM(G726,H726,I726)</f>
        <v>7569</v>
      </c>
      <c r="K726" s="70">
        <v>30871</v>
      </c>
      <c r="L726" s="79">
        <v>7831</v>
      </c>
      <c r="M726" s="79">
        <v>8134</v>
      </c>
      <c r="N726" s="79">
        <v>8137</v>
      </c>
      <c r="O726" s="79">
        <f>P726-SUM(L726,M726,N726)</f>
        <v>7719</v>
      </c>
      <c r="P726" s="70">
        <v>31821</v>
      </c>
      <c r="Q726" s="79">
        <v>7578</v>
      </c>
      <c r="R726" s="79">
        <v>7686</v>
      </c>
      <c r="S726" s="79">
        <v>7712</v>
      </c>
      <c r="T726" s="79">
        <f>U726-SUM(Q726,R726,S726)</f>
        <v>7298</v>
      </c>
      <c r="U726" s="70">
        <v>30274</v>
      </c>
      <c r="V726" s="79">
        <v>7409</v>
      </c>
      <c r="W726" s="79">
        <v>7662</v>
      </c>
      <c r="X726" s="79">
        <v>7709</v>
      </c>
      <c r="Y726" s="79">
        <f>Z726-SUM(V726,W726,X726)</f>
        <v>7329</v>
      </c>
      <c r="Z726" s="70">
        <v>30109</v>
      </c>
      <c r="AA726" s="79">
        <v>7685</v>
      </c>
      <c r="AB726" s="79">
        <v>7810</v>
      </c>
      <c r="AC726" s="79">
        <v>8172</v>
      </c>
      <c r="AD726" s="79">
        <f>AE726-SUM(AA726,AB726,AC726)</f>
        <v>7990</v>
      </c>
      <c r="AE726" s="70">
        <v>31657</v>
      </c>
      <c r="AF726" s="79">
        <v>8278</v>
      </c>
      <c r="AG726" s="79">
        <v>8390</v>
      </c>
      <c r="AH726" s="79">
        <v>8152</v>
      </c>
      <c r="AI726" s="79">
        <f>AJ726-SUM(AF726,AG726,AH726)</f>
        <v>7945</v>
      </c>
      <c r="AJ726" s="70">
        <v>32765</v>
      </c>
      <c r="AK726" s="79">
        <v>7863</v>
      </c>
      <c r="AL726" s="79">
        <v>8171</v>
      </c>
      <c r="AM726" s="79">
        <v>7991</v>
      </c>
      <c r="AN726" s="79">
        <f>AO726-SUM(AK726,AL726,AM726)</f>
        <v>8111</v>
      </c>
      <c r="AO726" s="70">
        <v>32136</v>
      </c>
      <c r="AP726" s="79">
        <v>8075</v>
      </c>
      <c r="AQ726" s="79">
        <v>7176</v>
      </c>
      <c r="AR726" s="79">
        <v>8350</v>
      </c>
      <c r="AS726" s="79">
        <f>AT726-SUM(AP726,AQ726,AR726)</f>
        <v>8583</v>
      </c>
      <c r="AT726" s="70">
        <v>32184</v>
      </c>
      <c r="AU726" s="803">
        <v>8851</v>
      </c>
      <c r="AV726" s="111"/>
      <c r="AW726" s="111"/>
      <c r="AX726" s="111"/>
      <c r="AY726" s="112"/>
      <c r="AZ726" s="111"/>
      <c r="BA726" s="111"/>
      <c r="BB726" s="111"/>
      <c r="BC726" s="111"/>
      <c r="BD726" s="112"/>
      <c r="BE726" s="112"/>
      <c r="BF726" s="112"/>
      <c r="BG726" s="112"/>
      <c r="BH726" s="79"/>
    </row>
    <row r="727" spans="1:60" s="60" customFormat="1" hidden="1" outlineLevel="1" x14ac:dyDescent="0.35">
      <c r="A727" s="350" t="s">
        <v>36</v>
      </c>
      <c r="B727" s="317"/>
      <c r="C727" s="46">
        <v>12109</v>
      </c>
      <c r="D727" s="46">
        <v>13831</v>
      </c>
      <c r="E727" s="46">
        <v>15693</v>
      </c>
      <c r="F727" s="46">
        <v>15685</v>
      </c>
      <c r="G727" s="351">
        <v>3969</v>
      </c>
      <c r="H727" s="351">
        <v>4013</v>
      </c>
      <c r="I727" s="351">
        <v>4148</v>
      </c>
      <c r="J727" s="351">
        <f>K727-SUM(G727,H727,I727)</f>
        <v>3976</v>
      </c>
      <c r="K727" s="46">
        <v>16106</v>
      </c>
      <c r="L727" s="351">
        <v>4031</v>
      </c>
      <c r="M727" s="351">
        <v>4184</v>
      </c>
      <c r="N727" s="351">
        <v>4205</v>
      </c>
      <c r="O727" s="351">
        <f>P727-SUM(L727,M727,N727)</f>
        <v>4027</v>
      </c>
      <c r="P727" s="46">
        <v>16447</v>
      </c>
      <c r="Q727" s="351">
        <v>3821</v>
      </c>
      <c r="R727" s="351">
        <v>3858</v>
      </c>
      <c r="S727" s="351">
        <v>3877</v>
      </c>
      <c r="T727" s="351">
        <f>U727-SUM(Q727,R727,S727)</f>
        <v>3827</v>
      </c>
      <c r="U727" s="46">
        <v>15383</v>
      </c>
      <c r="V727" s="351">
        <v>3678</v>
      </c>
      <c r="W727" s="351">
        <v>3799</v>
      </c>
      <c r="X727" s="351">
        <v>3847</v>
      </c>
      <c r="Y727" s="351">
        <f>Z727-SUM(V727,W727,X727)</f>
        <v>3716</v>
      </c>
      <c r="Z727" s="46">
        <v>15040</v>
      </c>
      <c r="AA727" s="351">
        <v>3882</v>
      </c>
      <c r="AB727" s="351">
        <v>4020</v>
      </c>
      <c r="AC727" s="351">
        <v>4059</v>
      </c>
      <c r="AD727" s="351">
        <f>AE727-SUM(AA727,AB727,AC727)</f>
        <v>4094</v>
      </c>
      <c r="AE727" s="46">
        <v>16055</v>
      </c>
      <c r="AF727" s="351">
        <v>4236</v>
      </c>
      <c r="AG727" s="351">
        <v>4227</v>
      </c>
      <c r="AH727" s="351">
        <v>4159</v>
      </c>
      <c r="AI727" s="351">
        <f>AJ727-SUM(AF727,AG727,AH727)</f>
        <v>4060</v>
      </c>
      <c r="AJ727" s="46">
        <v>16682</v>
      </c>
      <c r="AK727" s="351">
        <v>4310</v>
      </c>
      <c r="AL727" s="351">
        <v>4313</v>
      </c>
      <c r="AM727" s="351">
        <v>4188</v>
      </c>
      <c r="AN727" s="351">
        <f>AO727-SUM(AK727,AL727,AM727)</f>
        <v>4325</v>
      </c>
      <c r="AO727" s="46">
        <v>17136</v>
      </c>
      <c r="AP727" s="351">
        <v>4109</v>
      </c>
      <c r="AQ727" s="351">
        <v>3805</v>
      </c>
      <c r="AR727" s="351">
        <v>4303</v>
      </c>
      <c r="AS727" s="351">
        <f>AT727-SUM(AP727,AQ727,AR727)</f>
        <v>4388</v>
      </c>
      <c r="AT727" s="46">
        <v>16605</v>
      </c>
      <c r="AU727" s="805">
        <v>4525</v>
      </c>
      <c r="AV727" s="203"/>
      <c r="AW727" s="203"/>
      <c r="AX727" s="203"/>
      <c r="AY727" s="108"/>
      <c r="AZ727" s="203"/>
      <c r="BA727" s="203"/>
      <c r="BB727" s="203"/>
      <c r="BC727" s="203"/>
      <c r="BD727" s="108"/>
      <c r="BE727" s="108"/>
      <c r="BF727" s="108"/>
      <c r="BG727" s="108"/>
      <c r="BH727" s="351"/>
    </row>
    <row r="728" spans="1:60" s="60" customFormat="1" hidden="1" outlineLevel="1" x14ac:dyDescent="0.35">
      <c r="A728" s="350" t="s">
        <v>37</v>
      </c>
      <c r="B728" s="317"/>
      <c r="C728" s="46">
        <v>4907</v>
      </c>
      <c r="D728" s="46">
        <v>5479</v>
      </c>
      <c r="E728" s="46">
        <v>6170</v>
      </c>
      <c r="F728" s="46">
        <v>6102</v>
      </c>
      <c r="G728" s="351">
        <v>1589</v>
      </c>
      <c r="H728" s="351">
        <v>1610</v>
      </c>
      <c r="I728" s="351">
        <v>1609</v>
      </c>
      <c r="J728" s="351">
        <f>K728-SUM(G728,H728,I728)</f>
        <v>1576</v>
      </c>
      <c r="K728" s="46">
        <v>6384</v>
      </c>
      <c r="L728" s="351">
        <v>1632</v>
      </c>
      <c r="M728" s="351">
        <v>1646</v>
      </c>
      <c r="N728" s="351">
        <v>1597</v>
      </c>
      <c r="O728" s="351">
        <f>P728-SUM(L728,M728,N728)</f>
        <v>1594</v>
      </c>
      <c r="P728" s="46">
        <v>6469</v>
      </c>
      <c r="Q728" s="351">
        <v>1564</v>
      </c>
      <c r="R728" s="351">
        <v>1550</v>
      </c>
      <c r="S728" s="351">
        <v>1530</v>
      </c>
      <c r="T728" s="351">
        <f>U728-SUM(Q728,R728,S728)</f>
        <v>1538</v>
      </c>
      <c r="U728" s="46">
        <v>6182</v>
      </c>
      <c r="V728" s="351">
        <v>1493</v>
      </c>
      <c r="W728" s="351">
        <v>1560</v>
      </c>
      <c r="X728" s="351">
        <v>1531</v>
      </c>
      <c r="Y728" s="351">
        <f>Z728-SUM(V728,W728,X728)</f>
        <v>1527</v>
      </c>
      <c r="Z728" s="46">
        <v>6111</v>
      </c>
      <c r="AA728" s="351">
        <v>1614</v>
      </c>
      <c r="AB728" s="351">
        <v>1620</v>
      </c>
      <c r="AC728" s="351">
        <v>1637</v>
      </c>
      <c r="AD728" s="351">
        <f>AE728-SUM(AA728,AB728,AC728)</f>
        <v>1755</v>
      </c>
      <c r="AE728" s="46">
        <v>6626</v>
      </c>
      <c r="AF728" s="351">
        <v>2573</v>
      </c>
      <c r="AG728" s="351">
        <v>1800</v>
      </c>
      <c r="AH728" s="351">
        <v>1547</v>
      </c>
      <c r="AI728" s="351">
        <f>AJ728-SUM(AF728,AG728,AH728)</f>
        <v>1682</v>
      </c>
      <c r="AJ728" s="46">
        <v>7602</v>
      </c>
      <c r="AK728" s="351">
        <v>1948</v>
      </c>
      <c r="AL728" s="351">
        <v>1686</v>
      </c>
      <c r="AM728" s="351">
        <v>1455</v>
      </c>
      <c r="AN728" s="351">
        <f>AO728-SUM(AK728,AL728,AM728)</f>
        <v>1940</v>
      </c>
      <c r="AO728" s="46">
        <v>7029</v>
      </c>
      <c r="AP728" s="351">
        <v>1768</v>
      </c>
      <c r="AQ728" s="351">
        <v>1594</v>
      </c>
      <c r="AR728" s="351">
        <v>1677</v>
      </c>
      <c r="AS728" s="351">
        <f>AT728-SUM(AP728,AQ728,AR728)</f>
        <v>1890</v>
      </c>
      <c r="AT728" s="46">
        <v>6929</v>
      </c>
      <c r="AU728" s="805">
        <v>1808</v>
      </c>
      <c r="AV728" s="203"/>
      <c r="AW728" s="203"/>
      <c r="AX728" s="203"/>
      <c r="AY728" s="108"/>
      <c r="AZ728" s="203"/>
      <c r="BA728" s="203"/>
      <c r="BB728" s="203"/>
      <c r="BC728" s="203"/>
      <c r="BD728" s="108"/>
      <c r="BE728" s="108"/>
      <c r="BF728" s="108"/>
      <c r="BG728" s="108"/>
      <c r="BH728" s="351"/>
    </row>
    <row r="729" spans="1:60" s="60" customFormat="1" hidden="1" outlineLevel="1" x14ac:dyDescent="0.35">
      <c r="A729" s="350" t="s">
        <v>38</v>
      </c>
      <c r="B729" s="317"/>
      <c r="C729" s="46">
        <v>1293</v>
      </c>
      <c r="D729" s="46">
        <v>1434</v>
      </c>
      <c r="E729" s="46">
        <v>1570</v>
      </c>
      <c r="F729" s="46">
        <v>1634</v>
      </c>
      <c r="G729" s="351">
        <v>430</v>
      </c>
      <c r="H729" s="351">
        <v>427</v>
      </c>
      <c r="I729" s="351">
        <v>420</v>
      </c>
      <c r="J729" s="351">
        <f>K729-SUM(G729,H729,I729)</f>
        <v>438</v>
      </c>
      <c r="K729" s="46">
        <v>1715</v>
      </c>
      <c r="L729" s="351">
        <v>452</v>
      </c>
      <c r="M729" s="351">
        <v>448</v>
      </c>
      <c r="N729" s="351">
        <v>434</v>
      </c>
      <c r="O729" s="351">
        <f>P729-SUM(L729,M729,N729)</f>
        <v>436</v>
      </c>
      <c r="P729" s="46">
        <v>1770</v>
      </c>
      <c r="Q729" s="351">
        <v>463</v>
      </c>
      <c r="R729" s="351">
        <v>438</v>
      </c>
      <c r="S729" s="351">
        <v>429</v>
      </c>
      <c r="T729" s="351">
        <f>U729-SUM(Q729,R729,S729)</f>
        <v>433</v>
      </c>
      <c r="U729" s="46">
        <v>1763</v>
      </c>
      <c r="V729" s="351">
        <v>450</v>
      </c>
      <c r="W729" s="351">
        <v>437</v>
      </c>
      <c r="X729" s="351">
        <v>427</v>
      </c>
      <c r="Y729" s="351">
        <f>Z729-SUM(V729,W729,X729)</f>
        <v>421</v>
      </c>
      <c r="Z729" s="46">
        <v>1735</v>
      </c>
      <c r="AA729" s="351">
        <v>476</v>
      </c>
      <c r="AB729" s="351">
        <v>478</v>
      </c>
      <c r="AC729" s="351">
        <v>468</v>
      </c>
      <c r="AD729" s="351">
        <f>AE729-SUM(AA729,AB729,AC729)</f>
        <v>448</v>
      </c>
      <c r="AE729" s="46">
        <v>1870</v>
      </c>
      <c r="AF729" s="351">
        <v>486</v>
      </c>
      <c r="AG729" s="351">
        <v>468</v>
      </c>
      <c r="AH729" s="351">
        <v>430</v>
      </c>
      <c r="AI729" s="351">
        <f>AJ729-SUM(AF729,AG729,AH729)</f>
        <v>437</v>
      </c>
      <c r="AJ729" s="46">
        <v>1821</v>
      </c>
      <c r="AK729" s="351">
        <v>477</v>
      </c>
      <c r="AL729" s="351">
        <v>470</v>
      </c>
      <c r="AM729" s="351">
        <v>443</v>
      </c>
      <c r="AN729" s="351">
        <f>AO729-SUM(AK729,AL729,AM729)</f>
        <v>521</v>
      </c>
      <c r="AO729" s="46">
        <v>1911</v>
      </c>
      <c r="AP729" s="351">
        <v>537</v>
      </c>
      <c r="AQ729" s="351">
        <v>424</v>
      </c>
      <c r="AR729" s="351">
        <v>461</v>
      </c>
      <c r="AS729" s="351">
        <f>AT729-SUM(AP729,AQ729,AR729)</f>
        <v>456</v>
      </c>
      <c r="AT729" s="46">
        <v>1878</v>
      </c>
      <c r="AU729" s="805">
        <v>524</v>
      </c>
      <c r="AV729" s="203"/>
      <c r="AW729" s="203"/>
      <c r="AX729" s="203"/>
      <c r="AY729" s="108"/>
      <c r="AZ729" s="203"/>
      <c r="BA729" s="203"/>
      <c r="BB729" s="203"/>
      <c r="BC729" s="203"/>
      <c r="BD729" s="108"/>
      <c r="BE729" s="108"/>
      <c r="BF729" s="108"/>
      <c r="BG729" s="108"/>
      <c r="BH729" s="351"/>
    </row>
    <row r="730" spans="1:60" s="60" customFormat="1" hidden="1" outlineLevel="1" x14ac:dyDescent="0.35">
      <c r="A730" s="350" t="s">
        <v>39</v>
      </c>
      <c r="B730" s="317"/>
      <c r="C730" s="108"/>
      <c r="D730" s="108"/>
      <c r="E730" s="108"/>
      <c r="F730" s="108"/>
      <c r="G730" s="203"/>
      <c r="H730" s="203"/>
      <c r="I730" s="203"/>
      <c r="J730" s="351">
        <f>K730-SUM(G730,H730,I730)</f>
        <v>0</v>
      </c>
      <c r="K730" s="108"/>
      <c r="L730" s="203"/>
      <c r="M730" s="203"/>
      <c r="N730" s="203"/>
      <c r="O730" s="351">
        <f>P730-SUM(L730,M730,N730)</f>
        <v>0</v>
      </c>
      <c r="P730" s="108"/>
      <c r="Q730" s="203"/>
      <c r="R730" s="203"/>
      <c r="S730" s="203"/>
      <c r="T730" s="351">
        <f>U730-SUM(Q730,R730,S730)</f>
        <v>0</v>
      </c>
      <c r="U730" s="108"/>
      <c r="V730" s="203"/>
      <c r="W730" s="203"/>
      <c r="X730" s="203"/>
      <c r="Y730" s="351">
        <f>Z730-SUM(V730,W730,X730)</f>
        <v>0</v>
      </c>
      <c r="Z730" s="108"/>
      <c r="AA730" s="351">
        <f>-490-AB730</f>
        <v>-29</v>
      </c>
      <c r="AB730" s="351">
        <v>-461</v>
      </c>
      <c r="AC730" s="203"/>
      <c r="AD730" s="351">
        <f>AE730-SUM(AA730,AB730,AC730)</f>
        <v>-96</v>
      </c>
      <c r="AE730" s="46">
        <v>-586</v>
      </c>
      <c r="AF730" s="351">
        <v>-24</v>
      </c>
      <c r="AG730" s="351">
        <v>-506</v>
      </c>
      <c r="AH730" s="203"/>
      <c r="AI730" s="351">
        <f>AJ730-SUM(AF730,AG730,AH730)</f>
        <v>-17</v>
      </c>
      <c r="AJ730" s="46">
        <v>-547</v>
      </c>
      <c r="AK730" s="351">
        <v>-8</v>
      </c>
      <c r="AL730" s="203"/>
      <c r="AM730" s="351">
        <v>-106</v>
      </c>
      <c r="AN730" s="351">
        <f>AO730-SUM(AK730,AL730,AM730)</f>
        <v>0</v>
      </c>
      <c r="AO730" s="46">
        <v>-114</v>
      </c>
      <c r="AP730" s="351">
        <v>-2</v>
      </c>
      <c r="AQ730" s="351">
        <v>-387</v>
      </c>
      <c r="AR730" s="351">
        <v>0</v>
      </c>
      <c r="AS730" s="351">
        <f>AT730-SUM(AP730,AQ730,AR730)</f>
        <v>0</v>
      </c>
      <c r="AT730" s="46">
        <v>-389</v>
      </c>
      <c r="AU730" s="790"/>
      <c r="AV730" s="203"/>
      <c r="AW730" s="203"/>
      <c r="AX730" s="203"/>
      <c r="AY730" s="108"/>
      <c r="AZ730" s="203"/>
      <c r="BA730" s="203"/>
      <c r="BB730" s="203"/>
      <c r="BC730" s="203"/>
      <c r="BD730" s="108"/>
      <c r="BE730" s="108"/>
      <c r="BF730" s="108"/>
      <c r="BG730" s="108"/>
      <c r="BH730" s="351"/>
    </row>
    <row r="731" spans="1:60" s="69" customFormat="1" hidden="1" outlineLevel="1" x14ac:dyDescent="0.35">
      <c r="A731" s="89" t="s">
        <v>40</v>
      </c>
      <c r="B731" s="319"/>
      <c r="C731" s="68">
        <f t="shared" ref="C731:AH731" si="991">+SUM(C727:C730)</f>
        <v>18309</v>
      </c>
      <c r="D731" s="68">
        <f t="shared" si="991"/>
        <v>20744</v>
      </c>
      <c r="E731" s="68">
        <f t="shared" si="991"/>
        <v>23433</v>
      </c>
      <c r="F731" s="68">
        <f t="shared" si="991"/>
        <v>23421</v>
      </c>
      <c r="G731" s="76">
        <f t="shared" si="991"/>
        <v>5988</v>
      </c>
      <c r="H731" s="76">
        <f t="shared" si="991"/>
        <v>6050</v>
      </c>
      <c r="I731" s="76">
        <f t="shared" si="991"/>
        <v>6177</v>
      </c>
      <c r="J731" s="76">
        <f t="shared" si="991"/>
        <v>5990</v>
      </c>
      <c r="K731" s="68">
        <f t="shared" si="991"/>
        <v>24205</v>
      </c>
      <c r="L731" s="76">
        <f t="shared" si="991"/>
        <v>6115</v>
      </c>
      <c r="M731" s="76">
        <f t="shared" si="991"/>
        <v>6278</v>
      </c>
      <c r="N731" s="76">
        <f t="shared" si="991"/>
        <v>6236</v>
      </c>
      <c r="O731" s="76">
        <f t="shared" si="991"/>
        <v>6057</v>
      </c>
      <c r="P731" s="68">
        <f t="shared" si="991"/>
        <v>24686</v>
      </c>
      <c r="Q731" s="76">
        <f t="shared" si="991"/>
        <v>5848</v>
      </c>
      <c r="R731" s="76">
        <f t="shared" si="991"/>
        <v>5846</v>
      </c>
      <c r="S731" s="76">
        <f t="shared" si="991"/>
        <v>5836</v>
      </c>
      <c r="T731" s="76">
        <f t="shared" si="991"/>
        <v>5798</v>
      </c>
      <c r="U731" s="68">
        <f t="shared" si="991"/>
        <v>23328</v>
      </c>
      <c r="V731" s="76">
        <f t="shared" si="991"/>
        <v>5621</v>
      </c>
      <c r="W731" s="76">
        <f t="shared" si="991"/>
        <v>5796</v>
      </c>
      <c r="X731" s="76">
        <f t="shared" si="991"/>
        <v>5805</v>
      </c>
      <c r="Y731" s="76">
        <f t="shared" si="991"/>
        <v>5664</v>
      </c>
      <c r="Z731" s="68">
        <f t="shared" si="991"/>
        <v>22886</v>
      </c>
      <c r="AA731" s="76">
        <f t="shared" si="991"/>
        <v>5943</v>
      </c>
      <c r="AB731" s="76">
        <f t="shared" si="991"/>
        <v>5657</v>
      </c>
      <c r="AC731" s="76">
        <f t="shared" si="991"/>
        <v>6164</v>
      </c>
      <c r="AD731" s="76">
        <f t="shared" si="991"/>
        <v>6201</v>
      </c>
      <c r="AE731" s="68">
        <f t="shared" si="991"/>
        <v>23965</v>
      </c>
      <c r="AF731" s="76">
        <f t="shared" si="991"/>
        <v>7271</v>
      </c>
      <c r="AG731" s="76">
        <f t="shared" si="991"/>
        <v>5989</v>
      </c>
      <c r="AH731" s="76">
        <f t="shared" si="991"/>
        <v>6136</v>
      </c>
      <c r="AI731" s="76">
        <f t="shared" ref="AI731:AY731" si="992">+SUM(AI727:AI730)</f>
        <v>6162</v>
      </c>
      <c r="AJ731" s="68">
        <f t="shared" si="992"/>
        <v>25558</v>
      </c>
      <c r="AK731" s="76">
        <f t="shared" si="992"/>
        <v>6727</v>
      </c>
      <c r="AL731" s="76">
        <f t="shared" si="992"/>
        <v>6469</v>
      </c>
      <c r="AM731" s="76">
        <f t="shared" si="992"/>
        <v>5980</v>
      </c>
      <c r="AN731" s="76">
        <f t="shared" si="992"/>
        <v>6786</v>
      </c>
      <c r="AO731" s="68">
        <f t="shared" si="992"/>
        <v>25962</v>
      </c>
      <c r="AP731" s="76">
        <f t="shared" si="992"/>
        <v>6412</v>
      </c>
      <c r="AQ731" s="76">
        <f t="shared" si="992"/>
        <v>5436</v>
      </c>
      <c r="AR731" s="76">
        <f>+SUM(AR727:AR730)</f>
        <v>6441</v>
      </c>
      <c r="AS731" s="76">
        <f>+SUM(AS727:AS730)</f>
        <v>6734</v>
      </c>
      <c r="AT731" s="68">
        <f>+SUM(AT727:AT730)</f>
        <v>25023</v>
      </c>
      <c r="AU731" s="812">
        <f t="shared" ref="AU731" si="993">+SUM(AU727:AU730)</f>
        <v>6857</v>
      </c>
      <c r="AV731" s="109">
        <f t="shared" si="992"/>
        <v>0</v>
      </c>
      <c r="AW731" s="109">
        <f t="shared" si="992"/>
        <v>0</v>
      </c>
      <c r="AX731" s="109">
        <f t="shared" si="992"/>
        <v>0</v>
      </c>
      <c r="AY731" s="110">
        <f t="shared" si="992"/>
        <v>0</v>
      </c>
      <c r="AZ731" s="109">
        <f t="shared" ref="AZ731:BG731" si="994">+SUM(AZ727:AZ730)</f>
        <v>0</v>
      </c>
      <c r="BA731" s="109">
        <f t="shared" si="994"/>
        <v>0</v>
      </c>
      <c r="BB731" s="109">
        <f t="shared" si="994"/>
        <v>0</v>
      </c>
      <c r="BC731" s="109">
        <f t="shared" si="994"/>
        <v>0</v>
      </c>
      <c r="BD731" s="110">
        <f t="shared" si="994"/>
        <v>0</v>
      </c>
      <c r="BE731" s="110">
        <f t="shared" si="994"/>
        <v>0</v>
      </c>
      <c r="BF731" s="110">
        <f t="shared" si="994"/>
        <v>0</v>
      </c>
      <c r="BG731" s="110">
        <f t="shared" si="994"/>
        <v>0</v>
      </c>
      <c r="BH731" s="79"/>
    </row>
    <row r="732" spans="1:60" s="69" customFormat="1" hidden="1" outlineLevel="1" x14ac:dyDescent="0.35">
      <c r="A732" s="426" t="s">
        <v>41</v>
      </c>
      <c r="B732" s="427"/>
      <c r="C732" s="112">
        <f t="shared" ref="C732:AH732" si="995">+C726-C731</f>
        <v>4814</v>
      </c>
      <c r="D732" s="112">
        <f t="shared" si="995"/>
        <v>5918</v>
      </c>
      <c r="E732" s="112">
        <f t="shared" si="995"/>
        <v>6178</v>
      </c>
      <c r="F732" s="112">
        <f t="shared" si="995"/>
        <v>6483</v>
      </c>
      <c r="G732" s="111">
        <f t="shared" si="995"/>
        <v>1646</v>
      </c>
      <c r="H732" s="111">
        <f t="shared" si="995"/>
        <v>1702</v>
      </c>
      <c r="I732" s="111">
        <f t="shared" si="995"/>
        <v>1739</v>
      </c>
      <c r="J732" s="111">
        <f t="shared" si="995"/>
        <v>1579</v>
      </c>
      <c r="K732" s="112">
        <f t="shared" si="995"/>
        <v>6666</v>
      </c>
      <c r="L732" s="111">
        <f t="shared" si="995"/>
        <v>1716</v>
      </c>
      <c r="M732" s="111">
        <f t="shared" si="995"/>
        <v>1856</v>
      </c>
      <c r="N732" s="111">
        <f t="shared" si="995"/>
        <v>1901</v>
      </c>
      <c r="O732" s="111">
        <f t="shared" si="995"/>
        <v>1662</v>
      </c>
      <c r="P732" s="112">
        <f t="shared" si="995"/>
        <v>7135</v>
      </c>
      <c r="Q732" s="111">
        <f t="shared" si="995"/>
        <v>1730</v>
      </c>
      <c r="R732" s="111">
        <f t="shared" si="995"/>
        <v>1840</v>
      </c>
      <c r="S732" s="111">
        <f t="shared" si="995"/>
        <v>1876</v>
      </c>
      <c r="T732" s="111">
        <f t="shared" si="995"/>
        <v>1500</v>
      </c>
      <c r="U732" s="112">
        <f t="shared" si="995"/>
        <v>6946</v>
      </c>
      <c r="V732" s="111">
        <f t="shared" si="995"/>
        <v>1788</v>
      </c>
      <c r="W732" s="111">
        <f t="shared" si="995"/>
        <v>1866</v>
      </c>
      <c r="X732" s="111">
        <f t="shared" si="995"/>
        <v>1904</v>
      </c>
      <c r="Y732" s="111">
        <f t="shared" si="995"/>
        <v>1665</v>
      </c>
      <c r="Z732" s="112">
        <f t="shared" si="995"/>
        <v>7223</v>
      </c>
      <c r="AA732" s="111">
        <f t="shared" si="995"/>
        <v>1742</v>
      </c>
      <c r="AB732" s="111">
        <f t="shared" si="995"/>
        <v>2153</v>
      </c>
      <c r="AC732" s="111">
        <f t="shared" si="995"/>
        <v>2008</v>
      </c>
      <c r="AD732" s="111">
        <f t="shared" si="995"/>
        <v>1789</v>
      </c>
      <c r="AE732" s="112">
        <f t="shared" si="995"/>
        <v>7692</v>
      </c>
      <c r="AF732" s="111">
        <f t="shared" si="995"/>
        <v>1007</v>
      </c>
      <c r="AG732" s="111">
        <f t="shared" si="995"/>
        <v>2401</v>
      </c>
      <c r="AH732" s="111">
        <f t="shared" si="995"/>
        <v>2016</v>
      </c>
      <c r="AI732" s="111">
        <f t="shared" ref="AI732:AY732" si="996">+AI726-AI731</f>
        <v>1783</v>
      </c>
      <c r="AJ732" s="112">
        <f t="shared" si="996"/>
        <v>7207</v>
      </c>
      <c r="AK732" s="111">
        <f t="shared" si="996"/>
        <v>1136</v>
      </c>
      <c r="AL732" s="111">
        <f t="shared" si="996"/>
        <v>1702</v>
      </c>
      <c r="AM732" s="111">
        <f t="shared" si="996"/>
        <v>2011</v>
      </c>
      <c r="AN732" s="111">
        <f t="shared" si="996"/>
        <v>1325</v>
      </c>
      <c r="AO732" s="112">
        <f t="shared" si="996"/>
        <v>6174</v>
      </c>
      <c r="AP732" s="111">
        <f t="shared" si="996"/>
        <v>1663</v>
      </c>
      <c r="AQ732" s="111">
        <f t="shared" si="996"/>
        <v>1740</v>
      </c>
      <c r="AR732" s="111">
        <f>+AR726-AR731</f>
        <v>1909</v>
      </c>
      <c r="AS732" s="111">
        <f>+AS726-AS731</f>
        <v>1849</v>
      </c>
      <c r="AT732" s="112">
        <f>+AT726-AT731</f>
        <v>7161</v>
      </c>
      <c r="AU732" s="792">
        <f t="shared" ref="AU732" si="997">+AU726-AU731</f>
        <v>1994</v>
      </c>
      <c r="AV732" s="111">
        <f t="shared" si="996"/>
        <v>0</v>
      </c>
      <c r="AW732" s="111">
        <f t="shared" si="996"/>
        <v>0</v>
      </c>
      <c r="AX732" s="111">
        <f t="shared" si="996"/>
        <v>0</v>
      </c>
      <c r="AY732" s="112">
        <f t="shared" si="996"/>
        <v>0</v>
      </c>
      <c r="AZ732" s="111">
        <f t="shared" ref="AZ732:BG732" si="998">+AZ726-AZ731</f>
        <v>0</v>
      </c>
      <c r="BA732" s="111">
        <f t="shared" si="998"/>
        <v>0</v>
      </c>
      <c r="BB732" s="111">
        <f t="shared" si="998"/>
        <v>0</v>
      </c>
      <c r="BC732" s="111">
        <f t="shared" si="998"/>
        <v>0</v>
      </c>
      <c r="BD732" s="112">
        <f t="shared" si="998"/>
        <v>0</v>
      </c>
      <c r="BE732" s="112">
        <f t="shared" si="998"/>
        <v>0</v>
      </c>
      <c r="BF732" s="112">
        <f t="shared" si="998"/>
        <v>0</v>
      </c>
      <c r="BG732" s="112">
        <f t="shared" si="998"/>
        <v>0</v>
      </c>
      <c r="BH732" s="79"/>
    </row>
    <row r="733" spans="1:60" s="60" customFormat="1" hidden="1" outlineLevel="1" x14ac:dyDescent="0.35">
      <c r="A733" s="384" t="s">
        <v>42</v>
      </c>
      <c r="B733" s="317"/>
      <c r="C733" s="108">
        <v>219</v>
      </c>
      <c r="D733" s="108">
        <v>201</v>
      </c>
      <c r="E733" s="108">
        <v>186</v>
      </c>
      <c r="F733" s="108">
        <v>171</v>
      </c>
      <c r="G733" s="203">
        <v>39</v>
      </c>
      <c r="H733" s="203">
        <v>41</v>
      </c>
      <c r="I733" s="203">
        <v>33</v>
      </c>
      <c r="J733" s="203">
        <f>K733-SUM(G733,H733,I733)</f>
        <v>32</v>
      </c>
      <c r="K733" s="108">
        <v>145</v>
      </c>
      <c r="L733" s="203">
        <v>37</v>
      </c>
      <c r="M733" s="203">
        <v>45</v>
      </c>
      <c r="N733" s="203">
        <v>28</v>
      </c>
      <c r="O733" s="203">
        <f>P733-SUM(L733,M733,N733)</f>
        <v>32</v>
      </c>
      <c r="P733" s="108">
        <v>142</v>
      </c>
      <c r="Q733" s="203">
        <v>31</v>
      </c>
      <c r="R733" s="203">
        <v>35</v>
      </c>
      <c r="S733" s="203">
        <v>38</v>
      </c>
      <c r="T733" s="203">
        <f>U733-SUM(Q733,R733,S733)</f>
        <v>45</v>
      </c>
      <c r="U733" s="108">
        <v>149</v>
      </c>
      <c r="V733" s="203">
        <v>47</v>
      </c>
      <c r="W733" s="203">
        <v>38</v>
      </c>
      <c r="X733" s="203">
        <v>50</v>
      </c>
      <c r="Y733" s="203">
        <f>Z733-SUM(V733,W733,X733)</f>
        <v>64</v>
      </c>
      <c r="Z733" s="108">
        <v>199</v>
      </c>
      <c r="AA733" s="203">
        <v>45</v>
      </c>
      <c r="AB733" s="203">
        <v>54</v>
      </c>
      <c r="AC733" s="203">
        <v>57</v>
      </c>
      <c r="AD733" s="203">
        <f>AE733-SUM(AA733,AB733,AC733)</f>
        <v>166</v>
      </c>
      <c r="AE733" s="108">
        <v>322</v>
      </c>
      <c r="AF733" s="203">
        <v>82</v>
      </c>
      <c r="AG733" s="203">
        <v>88</v>
      </c>
      <c r="AH733" s="203">
        <v>85</v>
      </c>
      <c r="AI733" s="203">
        <f>AJ733-SUM(AF733,AG733,AH733)</f>
        <v>95</v>
      </c>
      <c r="AJ733" s="108">
        <v>350</v>
      </c>
      <c r="AK733" s="203">
        <v>104</v>
      </c>
      <c r="AL733" s="203">
        <v>111</v>
      </c>
      <c r="AM733" s="203">
        <v>109</v>
      </c>
      <c r="AN733" s="203">
        <f>AO733-SUM(AK733,AL733,AM733)</f>
        <v>124</v>
      </c>
      <c r="AO733" s="108">
        <v>448</v>
      </c>
      <c r="AP733" s="203">
        <v>123</v>
      </c>
      <c r="AQ733" s="203">
        <v>137</v>
      </c>
      <c r="AR733" s="203">
        <v>128</v>
      </c>
      <c r="AS733" s="203">
        <f>AT733-SUM(AP733,AQ733,AR733)</f>
        <v>141</v>
      </c>
      <c r="AT733" s="108">
        <v>529</v>
      </c>
      <c r="AU733" s="790">
        <v>132</v>
      </c>
      <c r="AV733" s="203"/>
      <c r="AW733" s="203"/>
      <c r="AX733" s="203"/>
      <c r="AY733" s="108"/>
      <c r="AZ733" s="203"/>
      <c r="BA733" s="203"/>
      <c r="BB733" s="203"/>
      <c r="BC733" s="203"/>
      <c r="BD733" s="108"/>
      <c r="BE733" s="108"/>
      <c r="BF733" s="108"/>
      <c r="BG733" s="108"/>
      <c r="BH733" s="351"/>
    </row>
    <row r="734" spans="1:60" s="60" customFormat="1" hidden="1" outlineLevel="1" x14ac:dyDescent="0.35">
      <c r="A734" s="384" t="s">
        <v>43</v>
      </c>
      <c r="B734" s="317"/>
      <c r="C734" s="108">
        <v>-37</v>
      </c>
      <c r="D734" s="108">
        <v>-38</v>
      </c>
      <c r="E734" s="108">
        <v>-39</v>
      </c>
      <c r="F734" s="108">
        <v>-39</v>
      </c>
      <c r="G734" s="203">
        <v>-10</v>
      </c>
      <c r="H734" s="203">
        <v>-10</v>
      </c>
      <c r="I734" s="203">
        <v>-10</v>
      </c>
      <c r="J734" s="203">
        <f>K734-SUM(G734,H734,I734)</f>
        <v>-11</v>
      </c>
      <c r="K734" s="108">
        <v>-41</v>
      </c>
      <c r="L734" s="203">
        <v>-9</v>
      </c>
      <c r="M734" s="203">
        <v>-9</v>
      </c>
      <c r="N734" s="203">
        <v>-7</v>
      </c>
      <c r="O734" s="203">
        <f>P734-SUM(L734,M734,N734)</f>
        <v>-8</v>
      </c>
      <c r="P734" s="108">
        <v>-33</v>
      </c>
      <c r="Q734" s="203">
        <v>-4</v>
      </c>
      <c r="R734" s="203">
        <v>-7</v>
      </c>
      <c r="S734" s="203">
        <v>-7</v>
      </c>
      <c r="T734" s="203">
        <f>U734-SUM(Q734,R734,S734)</f>
        <v>-8</v>
      </c>
      <c r="U734" s="108">
        <v>-26</v>
      </c>
      <c r="V734" s="203">
        <v>-5</v>
      </c>
      <c r="W734" s="203">
        <v>-7</v>
      </c>
      <c r="X734" s="203">
        <v>-8</v>
      </c>
      <c r="Y734" s="203">
        <f>Z734-SUM(V734,W734,X734)</f>
        <v>-9</v>
      </c>
      <c r="Z734" s="108">
        <v>-29</v>
      </c>
      <c r="AA734" s="203">
        <v>-8</v>
      </c>
      <c r="AB734" s="203">
        <v>-12</v>
      </c>
      <c r="AC734" s="203">
        <v>-13</v>
      </c>
      <c r="AD734" s="203">
        <f>AE734-SUM(AA734,AB734,AC734)</f>
        <v>-17</v>
      </c>
      <c r="AE734" s="108">
        <v>-50</v>
      </c>
      <c r="AF734" s="203">
        <v>-21</v>
      </c>
      <c r="AG734" s="203">
        <v>-16</v>
      </c>
      <c r="AH734" s="203">
        <v>-15</v>
      </c>
      <c r="AI734" s="203">
        <f>AJ734-SUM(AF734,AG734,AH734)</f>
        <v>-18</v>
      </c>
      <c r="AJ734" s="108">
        <v>-70</v>
      </c>
      <c r="AK734" s="203">
        <v>-20</v>
      </c>
      <c r="AL734" s="203">
        <v>-18</v>
      </c>
      <c r="AM734" s="203">
        <v>-26</v>
      </c>
      <c r="AN734" s="203">
        <f>AO734-SUM(AK734,AL734,AM734)</f>
        <v>-16</v>
      </c>
      <c r="AO734" s="108">
        <v>-80</v>
      </c>
      <c r="AP734" s="203">
        <v>-10</v>
      </c>
      <c r="AQ734" s="203">
        <v>-9</v>
      </c>
      <c r="AR734" s="203">
        <v>-5</v>
      </c>
      <c r="AS734" s="203">
        <f>AT734-SUM(AP734,AQ734,AR734)</f>
        <v>-5</v>
      </c>
      <c r="AT734" s="108">
        <v>-29</v>
      </c>
      <c r="AU734" s="790">
        <v>-4</v>
      </c>
      <c r="AV734" s="203"/>
      <c r="AW734" s="203"/>
      <c r="AX734" s="203"/>
      <c r="AY734" s="108"/>
      <c r="AZ734" s="203"/>
      <c r="BA734" s="203"/>
      <c r="BB734" s="203"/>
      <c r="BC734" s="203"/>
      <c r="BD734" s="108"/>
      <c r="BE734" s="108"/>
      <c r="BF734" s="108"/>
      <c r="BG734" s="108"/>
      <c r="BH734" s="351"/>
    </row>
    <row r="735" spans="1:60" s="60" customFormat="1" hidden="1" outlineLevel="1" x14ac:dyDescent="0.35">
      <c r="A735" s="424" t="s">
        <v>44</v>
      </c>
      <c r="B735" s="425"/>
      <c r="C735" s="269">
        <f t="shared" ref="C735:I735" si="999">+SUM(C733:C734)</f>
        <v>182</v>
      </c>
      <c r="D735" s="269">
        <f t="shared" si="999"/>
        <v>163</v>
      </c>
      <c r="E735" s="269">
        <f t="shared" si="999"/>
        <v>147</v>
      </c>
      <c r="F735" s="269">
        <f t="shared" si="999"/>
        <v>132</v>
      </c>
      <c r="G735" s="268">
        <f t="shared" si="999"/>
        <v>29</v>
      </c>
      <c r="H735" s="268">
        <f t="shared" si="999"/>
        <v>31</v>
      </c>
      <c r="I735" s="268">
        <f t="shared" si="999"/>
        <v>23</v>
      </c>
      <c r="J735" s="268">
        <f>K735-SUM(G735,H735,I735)</f>
        <v>21</v>
      </c>
      <c r="K735" s="269">
        <f>+SUM(K733:K734)</f>
        <v>104</v>
      </c>
      <c r="L735" s="268">
        <f>+SUM(L733:L734)</f>
        <v>28</v>
      </c>
      <c r="M735" s="268">
        <f>+SUM(M733:M734)</f>
        <v>36</v>
      </c>
      <c r="N735" s="268">
        <f>+SUM(N733:N734)</f>
        <v>21</v>
      </c>
      <c r="O735" s="268">
        <f>P735-SUM(L735,M735,N735)</f>
        <v>24</v>
      </c>
      <c r="P735" s="269">
        <f>+SUM(P733:P734)</f>
        <v>109</v>
      </c>
      <c r="Q735" s="268">
        <f>+SUM(Q733:Q734)</f>
        <v>27</v>
      </c>
      <c r="R735" s="268">
        <f>+SUM(R733:R734)</f>
        <v>28</v>
      </c>
      <c r="S735" s="268">
        <f>+SUM(S733:S734)</f>
        <v>31</v>
      </c>
      <c r="T735" s="268">
        <f>U735-SUM(Q735,R735,S735)</f>
        <v>37</v>
      </c>
      <c r="U735" s="269">
        <f>+SUM(U733:U734)</f>
        <v>123</v>
      </c>
      <c r="V735" s="268">
        <f>+SUM(V733:V734)</f>
        <v>42</v>
      </c>
      <c r="W735" s="268">
        <f>+SUM(W733:W734)</f>
        <v>31</v>
      </c>
      <c r="X735" s="268">
        <f>+SUM(X733:X734)</f>
        <v>42</v>
      </c>
      <c r="Y735" s="268">
        <f>Z735-SUM(V735,W735,X735)</f>
        <v>55</v>
      </c>
      <c r="Z735" s="269">
        <f>+SUM(Z733:Z734)</f>
        <v>170</v>
      </c>
      <c r="AA735" s="268">
        <f>+SUM(AA733:AA734)</f>
        <v>37</v>
      </c>
      <c r="AB735" s="268">
        <f>+SUM(AB733:AB734)</f>
        <v>42</v>
      </c>
      <c r="AC735" s="268">
        <f>+SUM(AC733:AC734)</f>
        <v>44</v>
      </c>
      <c r="AD735" s="268">
        <f>AE735-SUM(AA735,AB735,AC735)</f>
        <v>149</v>
      </c>
      <c r="AE735" s="269">
        <f>+SUM(AE733:AE734)</f>
        <v>272</v>
      </c>
      <c r="AF735" s="268">
        <f>+SUM(AF733:AF734)</f>
        <v>61</v>
      </c>
      <c r="AG735" s="268">
        <f>+SUM(AG733:AG734)</f>
        <v>72</v>
      </c>
      <c r="AH735" s="268">
        <f>+SUM(AH733:AH734)</f>
        <v>70</v>
      </c>
      <c r="AI735" s="268">
        <f>AJ735-SUM(AF735,AG735,AH735)</f>
        <v>77</v>
      </c>
      <c r="AJ735" s="269">
        <f>+SUM(AJ733:AJ734)</f>
        <v>280</v>
      </c>
      <c r="AK735" s="268">
        <f>+SUM(AK733:AK734)</f>
        <v>84</v>
      </c>
      <c r="AL735" s="268">
        <f>+SUM(AL733:AL734)</f>
        <v>93</v>
      </c>
      <c r="AM735" s="268">
        <f>+SUM(AM733:AM734)</f>
        <v>83</v>
      </c>
      <c r="AN735" s="268">
        <f>AO735-SUM(AK735,AL735,AM735)</f>
        <v>108</v>
      </c>
      <c r="AO735" s="269">
        <f t="shared" ref="AO735:AY735" si="1000">+SUM(AO733:AO734)</f>
        <v>368</v>
      </c>
      <c r="AP735" s="268">
        <f t="shared" si="1000"/>
        <v>113</v>
      </c>
      <c r="AQ735" s="268">
        <f t="shared" si="1000"/>
        <v>128</v>
      </c>
      <c r="AR735" s="268">
        <f>+SUM(AR733:AR734)</f>
        <v>123</v>
      </c>
      <c r="AS735" s="268">
        <f>AT735-SUM(AP735,AQ735,AR735)</f>
        <v>136</v>
      </c>
      <c r="AT735" s="269">
        <f>+SUM(AT733:AT734)</f>
        <v>500</v>
      </c>
      <c r="AU735" s="795">
        <f t="shared" ref="AU735" si="1001">+SUM(AU733:AU734)</f>
        <v>128</v>
      </c>
      <c r="AV735" s="268">
        <f t="shared" si="1000"/>
        <v>0</v>
      </c>
      <c r="AW735" s="268">
        <f t="shared" si="1000"/>
        <v>0</v>
      </c>
      <c r="AX735" s="268">
        <f t="shared" si="1000"/>
        <v>0</v>
      </c>
      <c r="AY735" s="269">
        <f t="shared" si="1000"/>
        <v>0</v>
      </c>
      <c r="AZ735" s="268">
        <f t="shared" ref="AZ735:BG735" si="1002">+SUM(AZ733:AZ734)</f>
        <v>0</v>
      </c>
      <c r="BA735" s="268">
        <f t="shared" si="1002"/>
        <v>0</v>
      </c>
      <c r="BB735" s="268">
        <f t="shared" si="1002"/>
        <v>0</v>
      </c>
      <c r="BC735" s="268">
        <f t="shared" si="1002"/>
        <v>0</v>
      </c>
      <c r="BD735" s="269">
        <f t="shared" si="1002"/>
        <v>0</v>
      </c>
      <c r="BE735" s="269">
        <f t="shared" si="1002"/>
        <v>0</v>
      </c>
      <c r="BF735" s="269">
        <f t="shared" si="1002"/>
        <v>0</v>
      </c>
      <c r="BG735" s="269">
        <f t="shared" si="1002"/>
        <v>0</v>
      </c>
      <c r="BH735" s="351"/>
    </row>
    <row r="736" spans="1:60" s="60" customFormat="1" hidden="1" outlineLevel="1" x14ac:dyDescent="0.35">
      <c r="A736" s="316" t="s">
        <v>45</v>
      </c>
      <c r="B736" s="317"/>
      <c r="C736" s="108"/>
      <c r="D736" s="108"/>
      <c r="E736" s="108"/>
      <c r="F736" s="108"/>
      <c r="G736" s="203"/>
      <c r="H736" s="203"/>
      <c r="I736" s="203"/>
      <c r="J736" s="203"/>
      <c r="K736" s="108"/>
      <c r="L736" s="203"/>
      <c r="M736" s="203"/>
      <c r="N736" s="203"/>
      <c r="O736" s="203"/>
      <c r="P736" s="108"/>
      <c r="Q736" s="203"/>
      <c r="R736" s="203"/>
      <c r="S736" s="203"/>
      <c r="T736" s="203"/>
      <c r="U736" s="108"/>
      <c r="V736" s="203"/>
      <c r="W736" s="203"/>
      <c r="X736" s="203"/>
      <c r="Y736" s="203"/>
      <c r="Z736" s="108"/>
      <c r="AA736" s="203">
        <v>-32</v>
      </c>
      <c r="AB736" s="203">
        <v>-31</v>
      </c>
      <c r="AC736" s="203">
        <v>-33</v>
      </c>
      <c r="AD736" s="203">
        <f>AE736-SUM(AA736,AB736,AC736)</f>
        <v>-32</v>
      </c>
      <c r="AE736" s="108">
        <v>-128</v>
      </c>
      <c r="AF736" s="203">
        <v>-19</v>
      </c>
      <c r="AG736" s="203">
        <v>-21</v>
      </c>
      <c r="AH736" s="203">
        <v>-19</v>
      </c>
      <c r="AI736" s="203">
        <f>AJ736-SUM(AF736,AG736,AH736)</f>
        <v>-14</v>
      </c>
      <c r="AJ736" s="108">
        <v>-73</v>
      </c>
      <c r="AK736" s="203">
        <v>-36</v>
      </c>
      <c r="AL736" s="203">
        <v>1</v>
      </c>
      <c r="AM736" s="203">
        <v>-38</v>
      </c>
      <c r="AN736" s="203">
        <f>AO736-SUM(AK736,AL736,AM736)</f>
        <v>5</v>
      </c>
      <c r="AO736" s="108">
        <v>-68</v>
      </c>
      <c r="AP736" s="203">
        <v>-17</v>
      </c>
      <c r="AQ736" s="203">
        <v>-17</v>
      </c>
      <c r="AR736" s="203">
        <v>-19</v>
      </c>
      <c r="AS736" s="203">
        <f>AT736-SUM(AP736,AQ736,AR736)</f>
        <v>3</v>
      </c>
      <c r="AT736" s="108">
        <v>-50</v>
      </c>
      <c r="AU736" s="790">
        <v>-79</v>
      </c>
      <c r="AV736" s="203"/>
      <c r="AW736" s="203"/>
      <c r="AX736" s="203"/>
      <c r="AY736" s="108"/>
      <c r="AZ736" s="203"/>
      <c r="BA736" s="203"/>
      <c r="BB736" s="203"/>
      <c r="BC736" s="203"/>
      <c r="BD736" s="108"/>
      <c r="BE736" s="108"/>
      <c r="BF736" s="108"/>
      <c r="BG736" s="108"/>
      <c r="BH736" s="351"/>
    </row>
    <row r="737" spans="1:60" s="60" customFormat="1" hidden="1" outlineLevel="1" x14ac:dyDescent="0.35">
      <c r="A737" s="316" t="s">
        <v>385</v>
      </c>
      <c r="B737" s="317"/>
      <c r="C737" s="108"/>
      <c r="D737" s="108"/>
      <c r="E737" s="108"/>
      <c r="F737" s="108"/>
      <c r="G737" s="203"/>
      <c r="H737" s="203"/>
      <c r="I737" s="203"/>
      <c r="J737" s="203"/>
      <c r="K737" s="108"/>
      <c r="L737" s="203"/>
      <c r="M737" s="203"/>
      <c r="N737" s="203"/>
      <c r="O737" s="203"/>
      <c r="P737" s="108"/>
      <c r="Q737" s="203"/>
      <c r="R737" s="203"/>
      <c r="S737" s="203"/>
      <c r="T737" s="203"/>
      <c r="U737" s="108"/>
      <c r="V737" s="203"/>
      <c r="W737" s="203"/>
      <c r="X737" s="203"/>
      <c r="Y737" s="203"/>
      <c r="Z737" s="108"/>
      <c r="AA737" s="203"/>
      <c r="AB737" s="203"/>
      <c r="AC737" s="203"/>
      <c r="AD737" s="203"/>
      <c r="AE737" s="108"/>
      <c r="AF737" s="203"/>
      <c r="AG737" s="203"/>
      <c r="AH737" s="203"/>
      <c r="AI737" s="203"/>
      <c r="AJ737" s="108"/>
      <c r="AK737" s="203"/>
      <c r="AL737" s="203">
        <v>162</v>
      </c>
      <c r="AM737" s="203"/>
      <c r="AN737" s="203">
        <f>AO737-SUM(AK737,AL737,AM737)</f>
        <v>0</v>
      </c>
      <c r="AO737" s="108">
        <v>162</v>
      </c>
      <c r="AP737" s="203"/>
      <c r="AQ737" s="203"/>
      <c r="AR737" s="203"/>
      <c r="AS737" s="203">
        <f>AT737-SUM(AP737,AQ737,AR737)</f>
        <v>0</v>
      </c>
      <c r="AT737" s="108"/>
      <c r="AU737" s="790"/>
      <c r="AV737" s="203"/>
      <c r="AW737" s="203"/>
      <c r="AX737" s="203"/>
      <c r="AY737" s="108"/>
      <c r="AZ737" s="203"/>
      <c r="BA737" s="203"/>
      <c r="BB737" s="203"/>
      <c r="BC737" s="203"/>
      <c r="BD737" s="108"/>
      <c r="BE737" s="108"/>
      <c r="BF737" s="108"/>
      <c r="BG737" s="108"/>
      <c r="BH737" s="351"/>
    </row>
    <row r="738" spans="1:60" s="69" customFormat="1" hidden="1" outlineLevel="1" x14ac:dyDescent="0.35">
      <c r="A738" s="89" t="s">
        <v>46</v>
      </c>
      <c r="B738" s="319"/>
      <c r="C738" s="68">
        <f t="shared" ref="C738:AH738" si="1003">+C732-C735-C736-C737</f>
        <v>4632</v>
      </c>
      <c r="D738" s="68">
        <f t="shared" si="1003"/>
        <v>5755</v>
      </c>
      <c r="E738" s="68">
        <f t="shared" si="1003"/>
        <v>6031</v>
      </c>
      <c r="F738" s="68">
        <f t="shared" si="1003"/>
        <v>6351</v>
      </c>
      <c r="G738" s="76">
        <f t="shared" si="1003"/>
        <v>1617</v>
      </c>
      <c r="H738" s="76">
        <f t="shared" si="1003"/>
        <v>1671</v>
      </c>
      <c r="I738" s="76">
        <f t="shared" si="1003"/>
        <v>1716</v>
      </c>
      <c r="J738" s="76">
        <f t="shared" si="1003"/>
        <v>1558</v>
      </c>
      <c r="K738" s="68">
        <f t="shared" si="1003"/>
        <v>6562</v>
      </c>
      <c r="L738" s="76">
        <f t="shared" si="1003"/>
        <v>1688</v>
      </c>
      <c r="M738" s="76">
        <f t="shared" si="1003"/>
        <v>1820</v>
      </c>
      <c r="N738" s="76">
        <f t="shared" si="1003"/>
        <v>1880</v>
      </c>
      <c r="O738" s="76">
        <f t="shared" si="1003"/>
        <v>1638</v>
      </c>
      <c r="P738" s="68">
        <f t="shared" si="1003"/>
        <v>7026</v>
      </c>
      <c r="Q738" s="76">
        <f t="shared" si="1003"/>
        <v>1703</v>
      </c>
      <c r="R738" s="76">
        <f t="shared" si="1003"/>
        <v>1812</v>
      </c>
      <c r="S738" s="76">
        <f t="shared" si="1003"/>
        <v>1845</v>
      </c>
      <c r="T738" s="76">
        <f t="shared" si="1003"/>
        <v>1463</v>
      </c>
      <c r="U738" s="68">
        <f t="shared" si="1003"/>
        <v>6823</v>
      </c>
      <c r="V738" s="76">
        <f t="shared" si="1003"/>
        <v>1746</v>
      </c>
      <c r="W738" s="76">
        <f t="shared" si="1003"/>
        <v>1835</v>
      </c>
      <c r="X738" s="76">
        <f t="shared" si="1003"/>
        <v>1862</v>
      </c>
      <c r="Y738" s="76">
        <f t="shared" si="1003"/>
        <v>1610</v>
      </c>
      <c r="Z738" s="68">
        <f t="shared" si="1003"/>
        <v>7053</v>
      </c>
      <c r="AA738" s="76">
        <f t="shared" si="1003"/>
        <v>1737</v>
      </c>
      <c r="AB738" s="76">
        <f t="shared" si="1003"/>
        <v>2142</v>
      </c>
      <c r="AC738" s="76">
        <f t="shared" si="1003"/>
        <v>1997</v>
      </c>
      <c r="AD738" s="76">
        <f t="shared" si="1003"/>
        <v>1672</v>
      </c>
      <c r="AE738" s="68">
        <f t="shared" si="1003"/>
        <v>7548</v>
      </c>
      <c r="AF738" s="76">
        <f t="shared" si="1003"/>
        <v>965</v>
      </c>
      <c r="AG738" s="76">
        <f t="shared" si="1003"/>
        <v>2350</v>
      </c>
      <c r="AH738" s="76">
        <f t="shared" si="1003"/>
        <v>1965</v>
      </c>
      <c r="AI738" s="76">
        <f t="shared" ref="AI738:AY738" si="1004">+AI732-AI735-AI736-AI737</f>
        <v>1720</v>
      </c>
      <c r="AJ738" s="68">
        <f t="shared" si="1004"/>
        <v>7000</v>
      </c>
      <c r="AK738" s="76">
        <f t="shared" si="1004"/>
        <v>1088</v>
      </c>
      <c r="AL738" s="76">
        <f t="shared" si="1004"/>
        <v>1446</v>
      </c>
      <c r="AM738" s="76">
        <f t="shared" si="1004"/>
        <v>1966</v>
      </c>
      <c r="AN738" s="76">
        <f t="shared" si="1004"/>
        <v>1212</v>
      </c>
      <c r="AO738" s="68">
        <f t="shared" si="1004"/>
        <v>5712</v>
      </c>
      <c r="AP738" s="76">
        <f t="shared" si="1004"/>
        <v>1567</v>
      </c>
      <c r="AQ738" s="76">
        <f t="shared" si="1004"/>
        <v>1629</v>
      </c>
      <c r="AR738" s="76">
        <f>+AR732-AR735-AR736-AR737</f>
        <v>1805</v>
      </c>
      <c r="AS738" s="76">
        <f>+AS732-AS735-AS736-AS737</f>
        <v>1710</v>
      </c>
      <c r="AT738" s="68">
        <f>+AT732-AT735-AT736-AT737</f>
        <v>6711</v>
      </c>
      <c r="AU738" s="812">
        <f t="shared" ref="AU738" si="1005">+AU732-AU735-AU736-AU737</f>
        <v>1945</v>
      </c>
      <c r="AV738" s="109">
        <f t="shared" si="1004"/>
        <v>0</v>
      </c>
      <c r="AW738" s="109">
        <f t="shared" si="1004"/>
        <v>0</v>
      </c>
      <c r="AX738" s="109">
        <f t="shared" si="1004"/>
        <v>0</v>
      </c>
      <c r="AY738" s="110">
        <f t="shared" si="1004"/>
        <v>0</v>
      </c>
      <c r="AZ738" s="109">
        <f t="shared" ref="AZ738:BG738" si="1006">+AZ732-AZ735-AZ736-AZ737</f>
        <v>0</v>
      </c>
      <c r="BA738" s="109">
        <f t="shared" si="1006"/>
        <v>0</v>
      </c>
      <c r="BB738" s="109">
        <f t="shared" si="1006"/>
        <v>0</v>
      </c>
      <c r="BC738" s="109">
        <f t="shared" si="1006"/>
        <v>0</v>
      </c>
      <c r="BD738" s="110">
        <f t="shared" si="1006"/>
        <v>0</v>
      </c>
      <c r="BE738" s="110">
        <f t="shared" si="1006"/>
        <v>0</v>
      </c>
      <c r="BF738" s="110">
        <f t="shared" si="1006"/>
        <v>0</v>
      </c>
      <c r="BG738" s="110">
        <f t="shared" si="1006"/>
        <v>0</v>
      </c>
      <c r="BH738" s="79"/>
    </row>
    <row r="739" spans="1:60" s="60" customFormat="1" hidden="1" outlineLevel="1" x14ac:dyDescent="0.35">
      <c r="A739" s="350" t="s">
        <v>47</v>
      </c>
      <c r="B739" s="317"/>
      <c r="C739" s="46">
        <v>1388</v>
      </c>
      <c r="D739" s="46">
        <v>1592</v>
      </c>
      <c r="E739" s="46">
        <v>1674</v>
      </c>
      <c r="F739" s="46">
        <v>1840</v>
      </c>
      <c r="G739" s="351">
        <v>470</v>
      </c>
      <c r="H739" s="351">
        <v>458</v>
      </c>
      <c r="I739" s="351">
        <v>471</v>
      </c>
      <c r="J739" s="351">
        <f>K739-SUM(G739,H739,I739)</f>
        <v>442</v>
      </c>
      <c r="K739" s="46">
        <v>1841</v>
      </c>
      <c r="L739" s="351">
        <v>463</v>
      </c>
      <c r="M739" s="351">
        <v>537</v>
      </c>
      <c r="N739" s="351">
        <v>569</v>
      </c>
      <c r="O739" s="351">
        <f>P739-SUM(L739,M739,N739)</f>
        <v>459</v>
      </c>
      <c r="P739" s="46">
        <v>2028</v>
      </c>
      <c r="Q739" s="351">
        <v>502</v>
      </c>
      <c r="R739" s="351">
        <v>509</v>
      </c>
      <c r="S739" s="351">
        <v>547</v>
      </c>
      <c r="T739" s="351">
        <f>U739-SUM(Q739,R739,S739)</f>
        <v>424</v>
      </c>
      <c r="U739" s="46">
        <v>1982</v>
      </c>
      <c r="V739" s="351">
        <v>468</v>
      </c>
      <c r="W739" s="351">
        <v>542</v>
      </c>
      <c r="X739" s="351">
        <v>531</v>
      </c>
      <c r="Y739" s="351">
        <f>Z739-SUM(V739,W739,X739)</f>
        <v>454</v>
      </c>
      <c r="Z739" s="46">
        <v>1995</v>
      </c>
      <c r="AA739" s="351">
        <v>411</v>
      </c>
      <c r="AB739" s="351">
        <v>557</v>
      </c>
      <c r="AC739" s="351">
        <v>564</v>
      </c>
      <c r="AD739" s="351">
        <f>AE739-SUM(AA739,AB739,AC739)</f>
        <v>1147</v>
      </c>
      <c r="AE739" s="46">
        <v>2679</v>
      </c>
      <c r="AF739" s="351">
        <v>359</v>
      </c>
      <c r="AG739" s="351">
        <v>488</v>
      </c>
      <c r="AH739" s="351">
        <v>419</v>
      </c>
      <c r="AI739" s="351">
        <f>AJ739-SUM(AF739,AG739,AH739)</f>
        <v>371</v>
      </c>
      <c r="AJ739" s="46">
        <v>1637</v>
      </c>
      <c r="AK739" s="351">
        <v>195</v>
      </c>
      <c r="AL739" s="351">
        <v>315</v>
      </c>
      <c r="AM739" s="351">
        <v>378</v>
      </c>
      <c r="AN739" s="351">
        <f>AO739-SUM(AK739,AL739,AM739)</f>
        <v>242</v>
      </c>
      <c r="AO739" s="46">
        <v>1130</v>
      </c>
      <c r="AP739" s="351">
        <v>273</v>
      </c>
      <c r="AQ739" s="351">
        <v>342</v>
      </c>
      <c r="AR739" s="351">
        <v>387</v>
      </c>
      <c r="AS739" s="351">
        <f>AT739-SUM(AP739,AQ739,AR739)</f>
        <v>316</v>
      </c>
      <c r="AT739" s="46">
        <v>1318</v>
      </c>
      <c r="AU739" s="805">
        <v>319</v>
      </c>
      <c r="AV739" s="203"/>
      <c r="AW739" s="203"/>
      <c r="AX739" s="203"/>
      <c r="AY739" s="108"/>
      <c r="AZ739" s="203"/>
      <c r="BA739" s="203"/>
      <c r="BB739" s="203"/>
      <c r="BC739" s="203"/>
      <c r="BD739" s="108"/>
      <c r="BE739" s="108"/>
      <c r="BF739" s="108"/>
      <c r="BG739" s="108"/>
      <c r="BH739" s="351"/>
    </row>
    <row r="740" spans="1:60" s="345" customFormat="1" hidden="1" outlineLevel="1" x14ac:dyDescent="0.35">
      <c r="A740" s="350" t="s">
        <v>780</v>
      </c>
      <c r="B740" s="317"/>
      <c r="C740" s="108"/>
      <c r="D740" s="108"/>
      <c r="E740" s="108"/>
      <c r="F740" s="108"/>
      <c r="G740" s="203"/>
      <c r="H740" s="203"/>
      <c r="I740" s="203"/>
      <c r="J740" s="203"/>
      <c r="K740" s="108"/>
      <c r="L740" s="203"/>
      <c r="M740" s="203"/>
      <c r="N740" s="203"/>
      <c r="O740" s="203"/>
      <c r="P740" s="108"/>
      <c r="Q740" s="203"/>
      <c r="R740" s="203"/>
      <c r="S740" s="203"/>
      <c r="T740" s="203"/>
      <c r="U740" s="108"/>
      <c r="V740" s="203"/>
      <c r="W740" s="203"/>
      <c r="X740" s="203"/>
      <c r="Y740" s="203"/>
      <c r="Z740" s="108"/>
      <c r="AA740" s="203"/>
      <c r="AB740" s="203"/>
      <c r="AC740" s="203"/>
      <c r="AD740" s="203"/>
      <c r="AE740" s="108"/>
      <c r="AF740" s="203"/>
      <c r="AG740" s="203"/>
      <c r="AH740" s="203"/>
      <c r="AI740" s="203"/>
      <c r="AJ740" s="108"/>
      <c r="AK740" s="203"/>
      <c r="AL740" s="203"/>
      <c r="AM740" s="203"/>
      <c r="AN740" s="203"/>
      <c r="AO740" s="108"/>
      <c r="AP740" s="203"/>
      <c r="AQ740" s="203"/>
      <c r="AR740" s="351">
        <v>-1</v>
      </c>
      <c r="AS740" s="351">
        <f>AT740-SUM(AP740,AQ740,AR740)</f>
        <v>-4</v>
      </c>
      <c r="AT740" s="46">
        <v>-5</v>
      </c>
      <c r="AU740" s="805">
        <v>1</v>
      </c>
      <c r="AV740" s="203"/>
      <c r="AW740" s="203"/>
      <c r="AX740" s="203"/>
      <c r="AY740" s="108"/>
      <c r="AZ740" s="203"/>
      <c r="BA740" s="203"/>
      <c r="BB740" s="203"/>
      <c r="BC740" s="203"/>
      <c r="BD740" s="108"/>
      <c r="BE740" s="108"/>
      <c r="BF740" s="108"/>
      <c r="BG740" s="108"/>
      <c r="BH740" s="351"/>
    </row>
    <row r="741" spans="1:60" s="69" customFormat="1" hidden="1" outlineLevel="1" x14ac:dyDescent="0.35">
      <c r="A741" s="92" t="s">
        <v>48</v>
      </c>
      <c r="B741" s="434"/>
      <c r="C741" s="71">
        <f t="shared" ref="C741:AQ741" si="1007">+C738-C739+C740</f>
        <v>3244</v>
      </c>
      <c r="D741" s="71">
        <f t="shared" si="1007"/>
        <v>4163</v>
      </c>
      <c r="E741" s="71">
        <f t="shared" si="1007"/>
        <v>4357</v>
      </c>
      <c r="F741" s="71">
        <f t="shared" si="1007"/>
        <v>4511</v>
      </c>
      <c r="G741" s="77">
        <f t="shared" si="1007"/>
        <v>1147</v>
      </c>
      <c r="H741" s="77">
        <f t="shared" si="1007"/>
        <v>1213</v>
      </c>
      <c r="I741" s="77">
        <f t="shared" si="1007"/>
        <v>1245</v>
      </c>
      <c r="J741" s="77">
        <f t="shared" si="1007"/>
        <v>1116</v>
      </c>
      <c r="K741" s="71">
        <f t="shared" si="1007"/>
        <v>4721</v>
      </c>
      <c r="L741" s="77">
        <f t="shared" si="1007"/>
        <v>1225</v>
      </c>
      <c r="M741" s="77">
        <f t="shared" si="1007"/>
        <v>1283</v>
      </c>
      <c r="N741" s="77">
        <f t="shared" si="1007"/>
        <v>1311</v>
      </c>
      <c r="O741" s="77">
        <f t="shared" si="1007"/>
        <v>1179</v>
      </c>
      <c r="P741" s="71">
        <f t="shared" si="1007"/>
        <v>4998</v>
      </c>
      <c r="Q741" s="77">
        <f t="shared" si="1007"/>
        <v>1201</v>
      </c>
      <c r="R741" s="77">
        <f t="shared" si="1007"/>
        <v>1303</v>
      </c>
      <c r="S741" s="77">
        <f t="shared" si="1007"/>
        <v>1298</v>
      </c>
      <c r="T741" s="77">
        <f t="shared" si="1007"/>
        <v>1039</v>
      </c>
      <c r="U741" s="71">
        <f t="shared" si="1007"/>
        <v>4841</v>
      </c>
      <c r="V741" s="77">
        <f t="shared" si="1007"/>
        <v>1278</v>
      </c>
      <c r="W741" s="77">
        <f t="shared" si="1007"/>
        <v>1293</v>
      </c>
      <c r="X741" s="77">
        <f t="shared" si="1007"/>
        <v>1331</v>
      </c>
      <c r="Y741" s="77">
        <f t="shared" si="1007"/>
        <v>1156</v>
      </c>
      <c r="Z741" s="71">
        <f t="shared" si="1007"/>
        <v>5058</v>
      </c>
      <c r="AA741" s="77">
        <f t="shared" si="1007"/>
        <v>1326</v>
      </c>
      <c r="AB741" s="77">
        <f t="shared" si="1007"/>
        <v>1585</v>
      </c>
      <c r="AC741" s="77">
        <f t="shared" si="1007"/>
        <v>1433</v>
      </c>
      <c r="AD741" s="77">
        <f t="shared" si="1007"/>
        <v>525</v>
      </c>
      <c r="AE741" s="71">
        <f t="shared" si="1007"/>
        <v>4869</v>
      </c>
      <c r="AF741" s="77">
        <f t="shared" si="1007"/>
        <v>606</v>
      </c>
      <c r="AG741" s="77">
        <f t="shared" si="1007"/>
        <v>1862</v>
      </c>
      <c r="AH741" s="77">
        <f t="shared" si="1007"/>
        <v>1546</v>
      </c>
      <c r="AI741" s="77">
        <f t="shared" si="1007"/>
        <v>1349</v>
      </c>
      <c r="AJ741" s="71">
        <f t="shared" si="1007"/>
        <v>5363</v>
      </c>
      <c r="AK741" s="77">
        <f t="shared" si="1007"/>
        <v>893</v>
      </c>
      <c r="AL741" s="77">
        <f t="shared" si="1007"/>
        <v>1131</v>
      </c>
      <c r="AM741" s="77">
        <f t="shared" si="1007"/>
        <v>1588</v>
      </c>
      <c r="AN741" s="77">
        <f t="shared" si="1007"/>
        <v>970</v>
      </c>
      <c r="AO741" s="71">
        <f t="shared" si="1007"/>
        <v>4582</v>
      </c>
      <c r="AP741" s="77">
        <f t="shared" si="1007"/>
        <v>1294</v>
      </c>
      <c r="AQ741" s="77">
        <f t="shared" si="1007"/>
        <v>1287</v>
      </c>
      <c r="AR741" s="77">
        <f>+AR738-AR739+AR740</f>
        <v>1417</v>
      </c>
      <c r="AS741" s="77">
        <f>+AS738-AS739+AS740</f>
        <v>1390</v>
      </c>
      <c r="AT741" s="71">
        <f>+AT738-AT739+AT740</f>
        <v>5388</v>
      </c>
      <c r="AU741" s="813">
        <f t="shared" ref="AU741" si="1008">+AU738-AU739+AU740</f>
        <v>1627</v>
      </c>
      <c r="AV741" s="114">
        <f t="shared" ref="AV741:AY741" si="1009">+AV738-AV739+AV740</f>
        <v>0</v>
      </c>
      <c r="AW741" s="114">
        <f t="shared" si="1009"/>
        <v>0</v>
      </c>
      <c r="AX741" s="114">
        <f t="shared" si="1009"/>
        <v>0</v>
      </c>
      <c r="AY741" s="115">
        <f t="shared" si="1009"/>
        <v>0</v>
      </c>
      <c r="AZ741" s="114">
        <f t="shared" ref="AZ741:BG741" si="1010">+AZ738-AZ739+AZ740</f>
        <v>0</v>
      </c>
      <c r="BA741" s="114">
        <f t="shared" si="1010"/>
        <v>0</v>
      </c>
      <c r="BB741" s="114">
        <f t="shared" si="1010"/>
        <v>0</v>
      </c>
      <c r="BC741" s="114">
        <f t="shared" si="1010"/>
        <v>0</v>
      </c>
      <c r="BD741" s="115">
        <f t="shared" si="1010"/>
        <v>0</v>
      </c>
      <c r="BE741" s="115">
        <f t="shared" si="1010"/>
        <v>0</v>
      </c>
      <c r="BF741" s="115">
        <f t="shared" si="1010"/>
        <v>0</v>
      </c>
      <c r="BG741" s="115">
        <f t="shared" si="1010"/>
        <v>0</v>
      </c>
      <c r="BH741" s="79"/>
    </row>
    <row r="742" spans="1:60" s="60" customFormat="1" hidden="1" outlineLevel="1" x14ac:dyDescent="0.35">
      <c r="A742" s="350" t="s">
        <v>49</v>
      </c>
      <c r="B742" s="317"/>
      <c r="C742" s="46">
        <v>51</v>
      </c>
      <c r="D742" s="46">
        <v>78</v>
      </c>
      <c r="E742" s="46">
        <v>74</v>
      </c>
      <c r="F742" s="46">
        <v>67</v>
      </c>
      <c r="G742" s="351">
        <v>18</v>
      </c>
      <c r="H742" s="351">
        <v>16</v>
      </c>
      <c r="I742" s="351">
        <v>15</v>
      </c>
      <c r="J742" s="351">
        <f>K742-SUM(G742,H742,I742)</f>
        <v>13</v>
      </c>
      <c r="K742" s="46">
        <v>62</v>
      </c>
      <c r="L742" s="351">
        <v>18</v>
      </c>
      <c r="M742" s="351">
        <v>16</v>
      </c>
      <c r="N742" s="351">
        <v>8</v>
      </c>
      <c r="O742" s="351">
        <f>P742-SUM(L742,M742,N742)</f>
        <v>0</v>
      </c>
      <c r="P742" s="46">
        <v>42</v>
      </c>
      <c r="Q742" s="351">
        <v>2</v>
      </c>
      <c r="R742" s="351">
        <v>3</v>
      </c>
      <c r="S742" s="351">
        <v>2</v>
      </c>
      <c r="T742" s="351">
        <f>U742-SUM(Q742,R742,S742)</f>
        <v>1</v>
      </c>
      <c r="U742" s="46">
        <v>8</v>
      </c>
      <c r="V742" s="351">
        <v>3</v>
      </c>
      <c r="W742" s="351">
        <v>2</v>
      </c>
      <c r="X742" s="351">
        <v>2</v>
      </c>
      <c r="Y742" s="351">
        <f>Z742-SUM(V742,W742,X742)</f>
        <v>1</v>
      </c>
      <c r="Z742" s="46">
        <v>8</v>
      </c>
      <c r="AA742" s="351">
        <v>3</v>
      </c>
      <c r="AB742" s="351">
        <v>2</v>
      </c>
      <c r="AC742" s="351">
        <v>4</v>
      </c>
      <c r="AD742" s="351">
        <f>AE742-SUM(AA742,AB742,AC742)</f>
        <v>2</v>
      </c>
      <c r="AE742" s="46">
        <v>11</v>
      </c>
      <c r="AF742" s="351">
        <v>4</v>
      </c>
      <c r="AG742" s="351">
        <v>5</v>
      </c>
      <c r="AH742" s="351">
        <v>3</v>
      </c>
      <c r="AI742" s="351">
        <f>AJ742-SUM(AF742,AG742,AH742)</f>
        <v>2</v>
      </c>
      <c r="AJ742" s="46">
        <v>14</v>
      </c>
      <c r="AK742" s="351">
        <v>2</v>
      </c>
      <c r="AL742" s="351">
        <v>4</v>
      </c>
      <c r="AM742" s="351">
        <v>5</v>
      </c>
      <c r="AN742" s="351">
        <f>AO742-SUM(AK742,AL742,AM742)</f>
        <v>1</v>
      </c>
      <c r="AO742" s="46">
        <v>12</v>
      </c>
      <c r="AP742" s="351">
        <v>2</v>
      </c>
      <c r="AQ742" s="351">
        <v>-3</v>
      </c>
      <c r="AR742" s="351">
        <v>4</v>
      </c>
      <c r="AS742" s="351">
        <f>AT742-SUM(AP742,AQ742,AR742)</f>
        <v>1</v>
      </c>
      <c r="AT742" s="46">
        <v>4</v>
      </c>
      <c r="AU742" s="805">
        <v>3</v>
      </c>
      <c r="AV742" s="203"/>
      <c r="AW742" s="203"/>
      <c r="AX742" s="203"/>
      <c r="AY742" s="108"/>
      <c r="AZ742" s="203"/>
      <c r="BA742" s="203"/>
      <c r="BB742" s="203"/>
      <c r="BC742" s="203"/>
      <c r="BD742" s="108"/>
      <c r="BE742" s="108"/>
      <c r="BF742" s="108"/>
      <c r="BG742" s="108"/>
      <c r="BH742" s="351"/>
    </row>
    <row r="743" spans="1:60" s="69" customFormat="1" hidden="1" outlineLevel="1" x14ac:dyDescent="0.35">
      <c r="A743" s="92" t="s">
        <v>50</v>
      </c>
      <c r="B743" s="434"/>
      <c r="C743" s="71">
        <f t="shared" ref="C743:AH743" si="1011">+C741-C742</f>
        <v>3193</v>
      </c>
      <c r="D743" s="71">
        <f t="shared" si="1011"/>
        <v>4085</v>
      </c>
      <c r="E743" s="71">
        <f t="shared" si="1011"/>
        <v>4283</v>
      </c>
      <c r="F743" s="71">
        <f t="shared" si="1011"/>
        <v>4444</v>
      </c>
      <c r="G743" s="77">
        <f t="shared" si="1011"/>
        <v>1129</v>
      </c>
      <c r="H743" s="77">
        <f t="shared" si="1011"/>
        <v>1197</v>
      </c>
      <c r="I743" s="77">
        <f t="shared" si="1011"/>
        <v>1230</v>
      </c>
      <c r="J743" s="77">
        <f t="shared" si="1011"/>
        <v>1103</v>
      </c>
      <c r="K743" s="71">
        <f t="shared" si="1011"/>
        <v>4659</v>
      </c>
      <c r="L743" s="77">
        <f t="shared" si="1011"/>
        <v>1207</v>
      </c>
      <c r="M743" s="77">
        <f t="shared" si="1011"/>
        <v>1267</v>
      </c>
      <c r="N743" s="77">
        <f t="shared" si="1011"/>
        <v>1303</v>
      </c>
      <c r="O743" s="77">
        <f t="shared" si="1011"/>
        <v>1179</v>
      </c>
      <c r="P743" s="71">
        <f t="shared" si="1011"/>
        <v>4956</v>
      </c>
      <c r="Q743" s="77">
        <f t="shared" si="1011"/>
        <v>1199</v>
      </c>
      <c r="R743" s="77">
        <f t="shared" si="1011"/>
        <v>1300</v>
      </c>
      <c r="S743" s="77">
        <f t="shared" si="1011"/>
        <v>1296</v>
      </c>
      <c r="T743" s="77">
        <f t="shared" si="1011"/>
        <v>1038</v>
      </c>
      <c r="U743" s="71">
        <f t="shared" si="1011"/>
        <v>4833</v>
      </c>
      <c r="V743" s="77">
        <f t="shared" si="1011"/>
        <v>1275</v>
      </c>
      <c r="W743" s="77">
        <f t="shared" si="1011"/>
        <v>1291</v>
      </c>
      <c r="X743" s="77">
        <f t="shared" si="1011"/>
        <v>1329</v>
      </c>
      <c r="Y743" s="77">
        <f t="shared" si="1011"/>
        <v>1155</v>
      </c>
      <c r="Z743" s="71">
        <f t="shared" si="1011"/>
        <v>5050</v>
      </c>
      <c r="AA743" s="77">
        <f t="shared" si="1011"/>
        <v>1323</v>
      </c>
      <c r="AB743" s="77">
        <f t="shared" si="1011"/>
        <v>1583</v>
      </c>
      <c r="AC743" s="77">
        <f t="shared" si="1011"/>
        <v>1429</v>
      </c>
      <c r="AD743" s="77">
        <f t="shared" si="1011"/>
        <v>523</v>
      </c>
      <c r="AE743" s="71">
        <f t="shared" si="1011"/>
        <v>4858</v>
      </c>
      <c r="AF743" s="77">
        <f t="shared" si="1011"/>
        <v>602</v>
      </c>
      <c r="AG743" s="77">
        <f t="shared" si="1011"/>
        <v>1857</v>
      </c>
      <c r="AH743" s="77">
        <f t="shared" si="1011"/>
        <v>1543</v>
      </c>
      <c r="AI743" s="77">
        <f t="shared" ref="AI743:AY743" si="1012">+AI741-AI742</f>
        <v>1347</v>
      </c>
      <c r="AJ743" s="71">
        <f t="shared" si="1012"/>
        <v>5349</v>
      </c>
      <c r="AK743" s="77">
        <f t="shared" si="1012"/>
        <v>891</v>
      </c>
      <c r="AL743" s="77">
        <f t="shared" si="1012"/>
        <v>1127</v>
      </c>
      <c r="AM743" s="77">
        <f t="shared" si="1012"/>
        <v>1583</v>
      </c>
      <c r="AN743" s="77">
        <f t="shared" si="1012"/>
        <v>969</v>
      </c>
      <c r="AO743" s="71">
        <f t="shared" si="1012"/>
        <v>4570</v>
      </c>
      <c r="AP743" s="77">
        <f t="shared" si="1012"/>
        <v>1292</v>
      </c>
      <c r="AQ743" s="77">
        <f t="shared" si="1012"/>
        <v>1290</v>
      </c>
      <c r="AR743" s="77">
        <f>+AR741-AR742</f>
        <v>1413</v>
      </c>
      <c r="AS743" s="77">
        <f>+AS741-AS742</f>
        <v>1389</v>
      </c>
      <c r="AT743" s="71">
        <f>+AT741-AT742</f>
        <v>5384</v>
      </c>
      <c r="AU743" s="813">
        <f t="shared" ref="AU743" si="1013">+AU741-AU742</f>
        <v>1624</v>
      </c>
      <c r="AV743" s="114">
        <f t="shared" si="1012"/>
        <v>0</v>
      </c>
      <c r="AW743" s="114">
        <f t="shared" si="1012"/>
        <v>0</v>
      </c>
      <c r="AX743" s="114">
        <f t="shared" si="1012"/>
        <v>0</v>
      </c>
      <c r="AY743" s="115">
        <f t="shared" si="1012"/>
        <v>0</v>
      </c>
      <c r="AZ743" s="114">
        <f t="shared" ref="AZ743:BG743" si="1014">+AZ741-AZ742</f>
        <v>0</v>
      </c>
      <c r="BA743" s="114">
        <f t="shared" si="1014"/>
        <v>0</v>
      </c>
      <c r="BB743" s="114">
        <f t="shared" si="1014"/>
        <v>0</v>
      </c>
      <c r="BC743" s="114">
        <f t="shared" si="1014"/>
        <v>0</v>
      </c>
      <c r="BD743" s="115">
        <f t="shared" si="1014"/>
        <v>0</v>
      </c>
      <c r="BE743" s="115">
        <f t="shared" si="1014"/>
        <v>0</v>
      </c>
      <c r="BF743" s="115">
        <f t="shared" si="1014"/>
        <v>0</v>
      </c>
      <c r="BG743" s="115">
        <f t="shared" si="1014"/>
        <v>0</v>
      </c>
      <c r="BH743" s="79"/>
    </row>
    <row r="744" spans="1:60" s="48" customFormat="1" hidden="1" outlineLevel="1" x14ac:dyDescent="0.35">
      <c r="A744" s="430"/>
      <c r="B744" s="253"/>
      <c r="C744" s="876"/>
      <c r="D744" s="876"/>
      <c r="E744" s="876"/>
      <c r="F744" s="876"/>
      <c r="G744" s="877"/>
      <c r="H744" s="877"/>
      <c r="I744" s="877"/>
      <c r="J744" s="877"/>
      <c r="K744" s="876"/>
      <c r="L744" s="877"/>
      <c r="M744" s="877"/>
      <c r="N744" s="877"/>
      <c r="O744" s="877"/>
      <c r="P744" s="876"/>
      <c r="Q744" s="877"/>
      <c r="R744" s="877"/>
      <c r="S744" s="877"/>
      <c r="T744" s="877"/>
      <c r="U744" s="876"/>
      <c r="V744" s="877"/>
      <c r="W744" s="877"/>
      <c r="X744" s="877"/>
      <c r="Y744" s="877"/>
      <c r="Z744" s="876"/>
      <c r="AA744" s="877"/>
      <c r="AB744" s="877"/>
      <c r="AC744" s="877"/>
      <c r="AD744" s="877"/>
      <c r="AE744" s="876"/>
      <c r="AF744" s="877"/>
      <c r="AG744" s="877"/>
      <c r="AH744" s="877"/>
      <c r="AI744" s="877"/>
      <c r="AJ744" s="876"/>
      <c r="AK744" s="877"/>
      <c r="AL744" s="877"/>
      <c r="AM744" s="877"/>
      <c r="AN744" s="877"/>
      <c r="AO744" s="876"/>
      <c r="AP744" s="877"/>
      <c r="AQ744" s="877"/>
      <c r="AR744" s="877"/>
      <c r="AS744" s="877"/>
      <c r="AT744" s="876"/>
      <c r="AU744" s="878"/>
      <c r="AV744" s="877"/>
      <c r="AW744" s="877"/>
      <c r="AX744" s="877"/>
      <c r="AY744" s="876"/>
      <c r="AZ744" s="877"/>
      <c r="BA744" s="877"/>
      <c r="BB744" s="877"/>
      <c r="BC744" s="877"/>
      <c r="BD744" s="876"/>
      <c r="BE744" s="876"/>
      <c r="BF744" s="876"/>
      <c r="BG744" s="876"/>
      <c r="BH744" s="749"/>
    </row>
    <row r="745" spans="1:60" s="48" customFormat="1" hidden="1" outlineLevel="1" x14ac:dyDescent="0.35">
      <c r="A745" s="125" t="s">
        <v>51</v>
      </c>
      <c r="B745" s="125"/>
      <c r="C745" s="893">
        <f t="shared" ref="C745:AR745" si="1015">IF(ISBLANK(INDEX(MO_IS_FirstRow,0,COLUMN())),0,ROUND(C741-C950,6))</f>
        <v>0</v>
      </c>
      <c r="D745" s="893">
        <f t="shared" si="1015"/>
        <v>0</v>
      </c>
      <c r="E745" s="893">
        <f t="shared" si="1015"/>
        <v>0</v>
      </c>
      <c r="F745" s="893">
        <f t="shared" si="1015"/>
        <v>0</v>
      </c>
      <c r="G745" s="893">
        <f t="shared" si="1015"/>
        <v>0</v>
      </c>
      <c r="H745" s="893">
        <f t="shared" si="1015"/>
        <v>0</v>
      </c>
      <c r="I745" s="893">
        <f t="shared" si="1015"/>
        <v>0</v>
      </c>
      <c r="J745" s="893">
        <f t="shared" si="1015"/>
        <v>0</v>
      </c>
      <c r="K745" s="893">
        <f t="shared" si="1015"/>
        <v>0</v>
      </c>
      <c r="L745" s="893">
        <f t="shared" si="1015"/>
        <v>0</v>
      </c>
      <c r="M745" s="893">
        <f t="shared" si="1015"/>
        <v>0</v>
      </c>
      <c r="N745" s="893">
        <f t="shared" si="1015"/>
        <v>0</v>
      </c>
      <c r="O745" s="893">
        <f t="shared" si="1015"/>
        <v>0</v>
      </c>
      <c r="P745" s="893">
        <f t="shared" si="1015"/>
        <v>0</v>
      </c>
      <c r="Q745" s="893">
        <f t="shared" si="1015"/>
        <v>0</v>
      </c>
      <c r="R745" s="893">
        <f t="shared" si="1015"/>
        <v>0</v>
      </c>
      <c r="S745" s="893">
        <f t="shared" si="1015"/>
        <v>0</v>
      </c>
      <c r="T745" s="893">
        <f t="shared" si="1015"/>
        <v>0</v>
      </c>
      <c r="U745" s="893">
        <f t="shared" si="1015"/>
        <v>0</v>
      </c>
      <c r="V745" s="893">
        <f t="shared" si="1015"/>
        <v>0</v>
      </c>
      <c r="W745" s="893">
        <f t="shared" si="1015"/>
        <v>0</v>
      </c>
      <c r="X745" s="893">
        <f t="shared" si="1015"/>
        <v>0</v>
      </c>
      <c r="Y745" s="893">
        <f t="shared" si="1015"/>
        <v>0</v>
      </c>
      <c r="Z745" s="893">
        <f t="shared" si="1015"/>
        <v>0</v>
      </c>
      <c r="AA745" s="893">
        <f t="shared" si="1015"/>
        <v>0</v>
      </c>
      <c r="AB745" s="893">
        <f t="shared" si="1015"/>
        <v>0</v>
      </c>
      <c r="AC745" s="893">
        <f t="shared" si="1015"/>
        <v>0</v>
      </c>
      <c r="AD745" s="893">
        <f t="shared" si="1015"/>
        <v>0</v>
      </c>
      <c r="AE745" s="893">
        <f t="shared" si="1015"/>
        <v>0</v>
      </c>
      <c r="AF745" s="893">
        <f t="shared" si="1015"/>
        <v>0</v>
      </c>
      <c r="AG745" s="893">
        <f t="shared" si="1015"/>
        <v>0</v>
      </c>
      <c r="AH745" s="893">
        <f t="shared" si="1015"/>
        <v>0</v>
      </c>
      <c r="AI745" s="893">
        <f t="shared" si="1015"/>
        <v>0</v>
      </c>
      <c r="AJ745" s="893">
        <f t="shared" si="1015"/>
        <v>0</v>
      </c>
      <c r="AK745" s="893">
        <f t="shared" si="1015"/>
        <v>0</v>
      </c>
      <c r="AL745" s="893">
        <f t="shared" si="1015"/>
        <v>0</v>
      </c>
      <c r="AM745" s="893">
        <f t="shared" si="1015"/>
        <v>0</v>
      </c>
      <c r="AN745" s="893">
        <f t="shared" si="1015"/>
        <v>0</v>
      </c>
      <c r="AO745" s="893">
        <f t="shared" si="1015"/>
        <v>0</v>
      </c>
      <c r="AP745" s="893">
        <f t="shared" si="1015"/>
        <v>0</v>
      </c>
      <c r="AQ745" s="893">
        <f t="shared" si="1015"/>
        <v>0</v>
      </c>
      <c r="AR745" s="893">
        <f t="shared" si="1015"/>
        <v>0</v>
      </c>
      <c r="AS745" s="893">
        <f>IF(ISBLANK(INDEX(MO_IS_FirstRow,0,COLUMN())),0,ROUND(AS741-AS950,6))</f>
        <v>0</v>
      </c>
      <c r="AT745" s="893">
        <f>IF(ISBLANK(INDEX(MO_IS_FirstRow,0,COLUMN())),0,ROUND(AT741-AT950,6))</f>
        <v>0</v>
      </c>
      <c r="AU745" s="894">
        <f t="shared" ref="AU745" si="1016">IF(ISBLANK(INDEX(MO_IS_FirstRow,0,COLUMN())),0,ROUND(AU741-AU950,6))</f>
        <v>0</v>
      </c>
      <c r="AV745" s="893">
        <f t="shared" ref="AV745:AY745" si="1017">IF(ISBLANK(INDEX(MO_IS_FirstRow,0,COLUMN())),0,ROUND(AV741-AV950-AV740,6))</f>
        <v>0</v>
      </c>
      <c r="AW745" s="893">
        <f t="shared" si="1017"/>
        <v>0</v>
      </c>
      <c r="AX745" s="893">
        <f t="shared" si="1017"/>
        <v>0</v>
      </c>
      <c r="AY745" s="893">
        <f t="shared" si="1017"/>
        <v>0</v>
      </c>
      <c r="AZ745" s="893">
        <f t="shared" ref="AZ745:BG745" si="1018">IF(ISBLANK(INDEX(MO_IS_FirstRow,0,COLUMN())),0,ROUND(AZ741-AZ950-AZ740,6))</f>
        <v>0</v>
      </c>
      <c r="BA745" s="893">
        <f t="shared" si="1018"/>
        <v>0</v>
      </c>
      <c r="BB745" s="893">
        <f t="shared" si="1018"/>
        <v>0</v>
      </c>
      <c r="BC745" s="893">
        <f t="shared" si="1018"/>
        <v>0</v>
      </c>
      <c r="BD745" s="893">
        <f t="shared" si="1018"/>
        <v>0</v>
      </c>
      <c r="BE745" s="893">
        <f t="shared" si="1018"/>
        <v>0</v>
      </c>
      <c r="BF745" s="893">
        <f t="shared" si="1018"/>
        <v>0</v>
      </c>
      <c r="BG745" s="893">
        <f t="shared" si="1018"/>
        <v>0</v>
      </c>
      <c r="BH745" s="749"/>
    </row>
    <row r="746" spans="1:60" s="48" customFormat="1" collapsed="1" x14ac:dyDescent="0.35">
      <c r="A746" s="430"/>
      <c r="B746" s="253"/>
      <c r="C746" s="876"/>
      <c r="D746" s="876"/>
      <c r="E746" s="876"/>
      <c r="F746" s="876"/>
      <c r="G746" s="877"/>
      <c r="H746" s="877"/>
      <c r="I746" s="877"/>
      <c r="J746" s="877"/>
      <c r="K746" s="876"/>
      <c r="L746" s="877"/>
      <c r="M746" s="877"/>
      <c r="N746" s="877"/>
      <c r="O746" s="877"/>
      <c r="P746" s="876"/>
      <c r="Q746" s="877"/>
      <c r="R746" s="877"/>
      <c r="S746" s="877"/>
      <c r="T746" s="877"/>
      <c r="U746" s="876"/>
      <c r="V746" s="877"/>
      <c r="W746" s="877"/>
      <c r="X746" s="877"/>
      <c r="Y746" s="877"/>
      <c r="Z746" s="876"/>
      <c r="AA746" s="877"/>
      <c r="AB746" s="877"/>
      <c r="AC746" s="877"/>
      <c r="AD746" s="877"/>
      <c r="AE746" s="876"/>
      <c r="AF746" s="877"/>
      <c r="AG746" s="877"/>
      <c r="AH746" s="877"/>
      <c r="AI746" s="877"/>
      <c r="AJ746" s="876"/>
      <c r="AK746" s="877"/>
      <c r="AL746" s="877"/>
      <c r="AM746" s="877"/>
      <c r="AN746" s="877"/>
      <c r="AO746" s="876"/>
      <c r="AP746" s="877"/>
      <c r="AQ746" s="877"/>
      <c r="AR746" s="877"/>
      <c r="AS746" s="877"/>
      <c r="AT746" s="876"/>
      <c r="AU746" s="878"/>
      <c r="AV746" s="877"/>
      <c r="AW746" s="877"/>
      <c r="AX746" s="877"/>
      <c r="AY746" s="876"/>
      <c r="AZ746" s="877"/>
      <c r="BA746" s="877"/>
      <c r="BB746" s="877"/>
      <c r="BC746" s="877"/>
      <c r="BD746" s="876"/>
      <c r="BE746" s="876"/>
      <c r="BF746" s="876"/>
      <c r="BG746" s="876"/>
      <c r="BH746" s="749"/>
    </row>
    <row r="747" spans="1:60" s="21" customFormat="1" x14ac:dyDescent="0.35">
      <c r="A747" s="746" t="s">
        <v>52</v>
      </c>
      <c r="B747" s="746"/>
      <c r="C747" s="874"/>
      <c r="D747" s="874"/>
      <c r="E747" s="874"/>
      <c r="F747" s="874"/>
      <c r="G747" s="874"/>
      <c r="H747" s="874"/>
      <c r="I747" s="874"/>
      <c r="J747" s="874"/>
      <c r="K747" s="874"/>
      <c r="L747" s="874"/>
      <c r="M747" s="874"/>
      <c r="N747" s="874"/>
      <c r="O747" s="874"/>
      <c r="P747" s="874"/>
      <c r="Q747" s="874"/>
      <c r="R747" s="874"/>
      <c r="S747" s="874"/>
      <c r="T747" s="874"/>
      <c r="U747" s="874"/>
      <c r="V747" s="874"/>
      <c r="W747" s="874"/>
      <c r="X747" s="874"/>
      <c r="Y747" s="874"/>
      <c r="Z747" s="874"/>
      <c r="AA747" s="874"/>
      <c r="AB747" s="874"/>
      <c r="AC747" s="874"/>
      <c r="AD747" s="874"/>
      <c r="AE747" s="874"/>
      <c r="AF747" s="874"/>
      <c r="AG747" s="874"/>
      <c r="AH747" s="874"/>
      <c r="AI747" s="874"/>
      <c r="AJ747" s="874"/>
      <c r="AK747" s="874"/>
      <c r="AL747" s="874"/>
      <c r="AM747" s="874"/>
      <c r="AN747" s="874"/>
      <c r="AO747" s="874"/>
      <c r="AP747" s="874"/>
      <c r="AQ747" s="874"/>
      <c r="AR747" s="874"/>
      <c r="AS747" s="874"/>
      <c r="AT747" s="874"/>
      <c r="AU747" s="875"/>
      <c r="AV747" s="874"/>
      <c r="AW747" s="874"/>
      <c r="AX747" s="874"/>
      <c r="AY747" s="874"/>
      <c r="AZ747" s="874"/>
      <c r="BA747" s="874"/>
      <c r="BB747" s="874"/>
      <c r="BC747" s="874"/>
      <c r="BD747" s="874"/>
      <c r="BE747" s="874"/>
      <c r="BF747" s="874"/>
      <c r="BG747" s="874"/>
      <c r="BH747" s="651"/>
    </row>
    <row r="748" spans="1:60" s="69" customFormat="1" hidden="1" outlineLevel="1" x14ac:dyDescent="0.35">
      <c r="A748" s="90" t="s">
        <v>53</v>
      </c>
      <c r="B748" s="427"/>
      <c r="C748" s="70">
        <f t="shared" ref="C748:U748" si="1019">C732</f>
        <v>4814</v>
      </c>
      <c r="D748" s="70">
        <f t="shared" si="1019"/>
        <v>5918</v>
      </c>
      <c r="E748" s="70">
        <f t="shared" si="1019"/>
        <v>6178</v>
      </c>
      <c r="F748" s="70">
        <f t="shared" si="1019"/>
        <v>6483</v>
      </c>
      <c r="G748" s="79">
        <f t="shared" si="1019"/>
        <v>1646</v>
      </c>
      <c r="H748" s="79">
        <f t="shared" si="1019"/>
        <v>1702</v>
      </c>
      <c r="I748" s="79">
        <f t="shared" si="1019"/>
        <v>1739</v>
      </c>
      <c r="J748" s="79">
        <f t="shared" si="1019"/>
        <v>1579</v>
      </c>
      <c r="K748" s="70">
        <f t="shared" si="1019"/>
        <v>6666</v>
      </c>
      <c r="L748" s="79">
        <f t="shared" si="1019"/>
        <v>1716</v>
      </c>
      <c r="M748" s="79">
        <f t="shared" si="1019"/>
        <v>1856</v>
      </c>
      <c r="N748" s="79">
        <f t="shared" si="1019"/>
        <v>1901</v>
      </c>
      <c r="O748" s="79">
        <f t="shared" si="1019"/>
        <v>1662</v>
      </c>
      <c r="P748" s="70">
        <f t="shared" si="1019"/>
        <v>7135</v>
      </c>
      <c r="Q748" s="79">
        <f t="shared" si="1019"/>
        <v>1730</v>
      </c>
      <c r="R748" s="79">
        <f t="shared" si="1019"/>
        <v>1840</v>
      </c>
      <c r="S748" s="79">
        <f t="shared" si="1019"/>
        <v>1876</v>
      </c>
      <c r="T748" s="79">
        <f t="shared" si="1019"/>
        <v>1500</v>
      </c>
      <c r="U748" s="70">
        <f t="shared" si="1019"/>
        <v>6946</v>
      </c>
      <c r="V748" s="79">
        <f t="shared" ref="V748:Z748" si="1020">V732</f>
        <v>1788</v>
      </c>
      <c r="W748" s="79">
        <f t="shared" si="1020"/>
        <v>1866</v>
      </c>
      <c r="X748" s="79">
        <f t="shared" si="1020"/>
        <v>1904</v>
      </c>
      <c r="Y748" s="79">
        <f t="shared" si="1020"/>
        <v>1665</v>
      </c>
      <c r="Z748" s="70">
        <f t="shared" si="1020"/>
        <v>7223</v>
      </c>
      <c r="AA748" s="79">
        <f t="shared" ref="AA748:AQ748" si="1021">AA732</f>
        <v>1742</v>
      </c>
      <c r="AB748" s="79">
        <f t="shared" si="1021"/>
        <v>2153</v>
      </c>
      <c r="AC748" s="79">
        <f t="shared" si="1021"/>
        <v>2008</v>
      </c>
      <c r="AD748" s="79">
        <f t="shared" si="1021"/>
        <v>1789</v>
      </c>
      <c r="AE748" s="70">
        <f t="shared" si="1021"/>
        <v>7692</v>
      </c>
      <c r="AF748" s="79">
        <f t="shared" si="1021"/>
        <v>1007</v>
      </c>
      <c r="AG748" s="79">
        <f t="shared" si="1021"/>
        <v>2401</v>
      </c>
      <c r="AH748" s="79">
        <f t="shared" si="1021"/>
        <v>2016</v>
      </c>
      <c r="AI748" s="79">
        <f t="shared" si="1021"/>
        <v>1783</v>
      </c>
      <c r="AJ748" s="70">
        <f t="shared" si="1021"/>
        <v>7207</v>
      </c>
      <c r="AK748" s="79">
        <f t="shared" si="1021"/>
        <v>1136</v>
      </c>
      <c r="AL748" s="79">
        <f t="shared" si="1021"/>
        <v>1702</v>
      </c>
      <c r="AM748" s="79">
        <f t="shared" si="1021"/>
        <v>2011</v>
      </c>
      <c r="AN748" s="79">
        <f t="shared" si="1021"/>
        <v>1325</v>
      </c>
      <c r="AO748" s="70">
        <f t="shared" si="1021"/>
        <v>6174</v>
      </c>
      <c r="AP748" s="79">
        <f t="shared" si="1021"/>
        <v>1663</v>
      </c>
      <c r="AQ748" s="79">
        <f t="shared" si="1021"/>
        <v>1740</v>
      </c>
      <c r="AR748" s="79">
        <f>AR732</f>
        <v>1909</v>
      </c>
      <c r="AS748" s="79">
        <f>AS732</f>
        <v>1849</v>
      </c>
      <c r="AT748" s="70">
        <f>AT732</f>
        <v>7161</v>
      </c>
      <c r="AU748" s="803">
        <f t="shared" ref="AU748" si="1022">AU732</f>
        <v>1994</v>
      </c>
      <c r="AV748" s="111"/>
      <c r="AW748" s="111"/>
      <c r="AX748" s="111"/>
      <c r="AY748" s="112"/>
      <c r="AZ748" s="111"/>
      <c r="BA748" s="111"/>
      <c r="BB748" s="111"/>
      <c r="BC748" s="111"/>
      <c r="BD748" s="112"/>
      <c r="BE748" s="112"/>
      <c r="BF748" s="112"/>
      <c r="BG748" s="112"/>
      <c r="BH748" s="79"/>
    </row>
    <row r="749" spans="1:60" s="60" customFormat="1" hidden="1" outlineLevel="1" x14ac:dyDescent="0.35">
      <c r="A749" s="350" t="s">
        <v>54</v>
      </c>
      <c r="B749" s="317"/>
      <c r="C749" s="108"/>
      <c r="D749" s="108"/>
      <c r="E749" s="108"/>
      <c r="F749" s="108"/>
      <c r="G749" s="203"/>
      <c r="H749" s="203"/>
      <c r="I749" s="203"/>
      <c r="J749" s="203"/>
      <c r="K749" s="108"/>
      <c r="L749" s="203"/>
      <c r="M749" s="203"/>
      <c r="N749" s="203"/>
      <c r="O749" s="203"/>
      <c r="P749" s="108"/>
      <c r="Q749" s="203"/>
      <c r="R749" s="203"/>
      <c r="S749" s="203"/>
      <c r="T749" s="203"/>
      <c r="U749" s="108"/>
      <c r="V749" s="203"/>
      <c r="W749" s="203"/>
      <c r="X749" s="203"/>
      <c r="Y749" s="203"/>
      <c r="Z749" s="108"/>
      <c r="AA749" s="203"/>
      <c r="AB749" s="203"/>
      <c r="AC749" s="203"/>
      <c r="AD749" s="203"/>
      <c r="AE749" s="108"/>
      <c r="AF749" s="203"/>
      <c r="AG749" s="203"/>
      <c r="AH749" s="203"/>
      <c r="AI749" s="203"/>
      <c r="AJ749" s="108"/>
      <c r="AK749" s="203"/>
      <c r="AL749" s="203"/>
      <c r="AM749" s="203"/>
      <c r="AN749" s="203"/>
      <c r="AO749" s="108"/>
      <c r="AP749" s="203"/>
      <c r="AQ749" s="203"/>
      <c r="AR749" s="203"/>
      <c r="AS749" s="203"/>
      <c r="AT749" s="108"/>
      <c r="AU749" s="790"/>
      <c r="AV749" s="203"/>
      <c r="AW749" s="203"/>
      <c r="AX749" s="203"/>
      <c r="AY749" s="108"/>
      <c r="AZ749" s="203"/>
      <c r="BA749" s="203"/>
      <c r="BB749" s="203"/>
      <c r="BC749" s="203"/>
      <c r="BD749" s="108"/>
      <c r="BE749" s="108"/>
      <c r="BF749" s="108"/>
      <c r="BG749" s="108"/>
      <c r="BH749" s="351"/>
    </row>
    <row r="750" spans="1:60" s="60" customFormat="1" hidden="1" outlineLevel="1" x14ac:dyDescent="0.35">
      <c r="A750" s="350" t="s">
        <v>55</v>
      </c>
      <c r="B750" s="317"/>
      <c r="C750" s="108"/>
      <c r="D750" s="108"/>
      <c r="E750" s="108"/>
      <c r="F750" s="108"/>
      <c r="G750" s="203"/>
      <c r="H750" s="203"/>
      <c r="I750" s="203"/>
      <c r="J750" s="203"/>
      <c r="K750" s="108"/>
      <c r="L750" s="203"/>
      <c r="M750" s="203"/>
      <c r="N750" s="203"/>
      <c r="O750" s="203"/>
      <c r="P750" s="108"/>
      <c r="Q750" s="203"/>
      <c r="R750" s="203"/>
      <c r="S750" s="203"/>
      <c r="T750" s="203"/>
      <c r="U750" s="108"/>
      <c r="V750" s="203"/>
      <c r="W750" s="203"/>
      <c r="X750" s="203"/>
      <c r="Y750" s="203"/>
      <c r="Z750" s="108"/>
      <c r="AA750" s="203"/>
      <c r="AB750" s="203"/>
      <c r="AC750" s="203"/>
      <c r="AD750" s="203"/>
      <c r="AE750" s="108"/>
      <c r="AF750" s="351">
        <v>-897</v>
      </c>
      <c r="AG750" s="203"/>
      <c r="AH750" s="203"/>
      <c r="AI750" s="203"/>
      <c r="AJ750" s="46">
        <v>-897</v>
      </c>
      <c r="AK750" s="203"/>
      <c r="AL750" s="203"/>
      <c r="AM750" s="203"/>
      <c r="AN750" s="203"/>
      <c r="AO750" s="108"/>
      <c r="AP750" s="203"/>
      <c r="AQ750" s="203"/>
      <c r="AR750" s="203"/>
      <c r="AS750" s="203"/>
      <c r="AT750" s="108"/>
      <c r="AU750" s="790"/>
      <c r="AV750" s="203"/>
      <c r="AW750" s="203"/>
      <c r="AX750" s="203"/>
      <c r="AY750" s="108"/>
      <c r="AZ750" s="203"/>
      <c r="BA750" s="203"/>
      <c r="BB750" s="203"/>
      <c r="BC750" s="203"/>
      <c r="BD750" s="108"/>
      <c r="BE750" s="108"/>
      <c r="BF750" s="108"/>
      <c r="BG750" s="108"/>
      <c r="BH750" s="351"/>
    </row>
    <row r="751" spans="1:60" s="60" customFormat="1" hidden="1" outlineLevel="1" x14ac:dyDescent="0.35">
      <c r="A751" s="350" t="s">
        <v>379</v>
      </c>
      <c r="B751" s="317"/>
      <c r="C751" s="108"/>
      <c r="D751" s="108"/>
      <c r="E751" s="108"/>
      <c r="F751" s="108"/>
      <c r="G751" s="203"/>
      <c r="H751" s="203"/>
      <c r="I751" s="203"/>
      <c r="J751" s="203"/>
      <c r="K751" s="108"/>
      <c r="L751" s="203"/>
      <c r="M751" s="203"/>
      <c r="N751" s="203"/>
      <c r="O751" s="203"/>
      <c r="P751" s="108"/>
      <c r="Q751" s="203"/>
      <c r="R751" s="203"/>
      <c r="S751" s="203"/>
      <c r="T751" s="203"/>
      <c r="U751" s="108"/>
      <c r="V751" s="203"/>
      <c r="W751" s="203"/>
      <c r="X751" s="203"/>
      <c r="Y751" s="203"/>
      <c r="Z751" s="108"/>
      <c r="AA751" s="203"/>
      <c r="AB751" s="203"/>
      <c r="AC751" s="203"/>
      <c r="AD751" s="203"/>
      <c r="AE751" s="108"/>
      <c r="AF751" s="203"/>
      <c r="AG751" s="203"/>
      <c r="AH751" s="203"/>
      <c r="AI751" s="203"/>
      <c r="AJ751" s="108"/>
      <c r="AK751" s="351">
        <v>-548</v>
      </c>
      <c r="AL751" s="203"/>
      <c r="AM751" s="203"/>
      <c r="AN751" s="351">
        <v>-214</v>
      </c>
      <c r="AO751" s="46">
        <v>-762</v>
      </c>
      <c r="AP751" s="351">
        <v>-17</v>
      </c>
      <c r="AQ751" s="203"/>
      <c r="AR751" s="203"/>
      <c r="AS751" s="203"/>
      <c r="AT751" s="46">
        <v>-17</v>
      </c>
      <c r="AU751" s="790"/>
      <c r="AV751" s="203"/>
      <c r="AW751" s="203"/>
      <c r="AX751" s="203"/>
      <c r="AY751" s="108"/>
      <c r="AZ751" s="203"/>
      <c r="BA751" s="203"/>
      <c r="BB751" s="203"/>
      <c r="BC751" s="203"/>
      <c r="BD751" s="108"/>
      <c r="BE751" s="108"/>
      <c r="BF751" s="108"/>
      <c r="BG751" s="108"/>
      <c r="BH751" s="351"/>
    </row>
    <row r="752" spans="1:60" s="345" customFormat="1" hidden="1" outlineLevel="1" x14ac:dyDescent="0.35">
      <c r="A752" s="350" t="s">
        <v>614</v>
      </c>
      <c r="B752" s="317"/>
      <c r="C752" s="108"/>
      <c r="D752" s="108"/>
      <c r="E752" s="108"/>
      <c r="F752" s="108"/>
      <c r="G752" s="203"/>
      <c r="H752" s="203"/>
      <c r="I752" s="203"/>
      <c r="J752" s="203"/>
      <c r="K752" s="108"/>
      <c r="L752" s="203"/>
      <c r="M752" s="203"/>
      <c r="N752" s="203"/>
      <c r="O752" s="203"/>
      <c r="P752" s="108"/>
      <c r="Q752" s="203"/>
      <c r="R752" s="203"/>
      <c r="S752" s="203"/>
      <c r="T752" s="203"/>
      <c r="U752" s="108"/>
      <c r="V752" s="203"/>
      <c r="W752" s="203"/>
      <c r="X752" s="203"/>
      <c r="Y752" s="203"/>
      <c r="Z752" s="108"/>
      <c r="AA752" s="203"/>
      <c r="AB752" s="203"/>
      <c r="AC752" s="203"/>
      <c r="AD752" s="203"/>
      <c r="AE752" s="108"/>
      <c r="AF752" s="203"/>
      <c r="AG752" s="203"/>
      <c r="AH752" s="203"/>
      <c r="AI752" s="203"/>
      <c r="AJ752" s="108"/>
      <c r="AK752" s="203"/>
      <c r="AL752" s="203"/>
      <c r="AM752" s="203"/>
      <c r="AN752" s="203"/>
      <c r="AO752" s="108"/>
      <c r="AP752" s="203"/>
      <c r="AQ752" s="203"/>
      <c r="AR752" s="203"/>
      <c r="AS752" s="203"/>
      <c r="AT752" s="108"/>
      <c r="AU752" s="790"/>
      <c r="AV752" s="203"/>
      <c r="AW752" s="203"/>
      <c r="AX752" s="203"/>
      <c r="AY752" s="108"/>
      <c r="AZ752" s="203"/>
      <c r="BA752" s="203"/>
      <c r="BB752" s="203"/>
      <c r="BC752" s="203"/>
      <c r="BD752" s="108"/>
      <c r="BE752" s="108"/>
      <c r="BF752" s="108"/>
      <c r="BG752" s="108"/>
      <c r="BH752" s="351"/>
    </row>
    <row r="753" spans="1:60" s="345" customFormat="1" hidden="1" outlineLevel="1" x14ac:dyDescent="0.35">
      <c r="A753" s="350" t="s">
        <v>727</v>
      </c>
      <c r="B753" s="317"/>
      <c r="C753" s="108"/>
      <c r="D753" s="108"/>
      <c r="E753" s="108"/>
      <c r="F753" s="108"/>
      <c r="G753" s="203"/>
      <c r="H753" s="203"/>
      <c r="I753" s="203"/>
      <c r="J753" s="203"/>
      <c r="K753" s="108"/>
      <c r="L753" s="203"/>
      <c r="M753" s="203"/>
      <c r="N753" s="203"/>
      <c r="O753" s="203"/>
      <c r="P753" s="108"/>
      <c r="Q753" s="203"/>
      <c r="R753" s="203"/>
      <c r="S753" s="203"/>
      <c r="T753" s="203"/>
      <c r="U753" s="108"/>
      <c r="V753" s="203"/>
      <c r="W753" s="203"/>
      <c r="X753" s="203"/>
      <c r="Y753" s="203"/>
      <c r="Z753" s="108"/>
      <c r="AA753" s="203"/>
      <c r="AB753" s="203"/>
      <c r="AC753" s="203"/>
      <c r="AD753" s="203"/>
      <c r="AE753" s="108"/>
      <c r="AF753" s="203"/>
      <c r="AG753" s="203"/>
      <c r="AH753" s="203"/>
      <c r="AI753" s="203"/>
      <c r="AJ753" s="108"/>
      <c r="AK753" s="351">
        <v>8</v>
      </c>
      <c r="AL753" s="203"/>
      <c r="AM753" s="351">
        <v>106</v>
      </c>
      <c r="AN753" s="203"/>
      <c r="AO753" s="46">
        <v>114</v>
      </c>
      <c r="AP753" s="351">
        <v>2</v>
      </c>
      <c r="AQ753" s="351">
        <v>387</v>
      </c>
      <c r="AR753" s="203"/>
      <c r="AS753" s="203"/>
      <c r="AT753" s="46">
        <v>389</v>
      </c>
      <c r="AU753" s="790"/>
      <c r="AV753" s="203"/>
      <c r="AW753" s="203"/>
      <c r="AX753" s="203"/>
      <c r="AY753" s="108"/>
      <c r="AZ753" s="203"/>
      <c r="BA753" s="203"/>
      <c r="BB753" s="203"/>
      <c r="BC753" s="203"/>
      <c r="BD753" s="108"/>
      <c r="BE753" s="108"/>
      <c r="BF753" s="108"/>
      <c r="BG753" s="108"/>
      <c r="BH753" s="351"/>
    </row>
    <row r="754" spans="1:60" s="60" customFormat="1" hidden="1" outlineLevel="1" x14ac:dyDescent="0.35">
      <c r="A754" s="91" t="s">
        <v>772</v>
      </c>
      <c r="B754" s="467"/>
      <c r="C754" s="124"/>
      <c r="D754" s="124"/>
      <c r="E754" s="124"/>
      <c r="F754" s="124"/>
      <c r="G754" s="123"/>
      <c r="H754" s="123"/>
      <c r="I754" s="123"/>
      <c r="J754" s="123"/>
      <c r="K754" s="124"/>
      <c r="L754" s="123"/>
      <c r="M754" s="123"/>
      <c r="N754" s="123"/>
      <c r="O754" s="123"/>
      <c r="P754" s="124"/>
      <c r="Q754" s="123"/>
      <c r="R754" s="123"/>
      <c r="S754" s="123"/>
      <c r="T754" s="123"/>
      <c r="U754" s="124"/>
      <c r="V754" s="123"/>
      <c r="W754" s="123"/>
      <c r="X754" s="123"/>
      <c r="Y754" s="123"/>
      <c r="Z754" s="124"/>
      <c r="AA754" s="123"/>
      <c r="AB754" s="123"/>
      <c r="AC754" s="123"/>
      <c r="AD754" s="123"/>
      <c r="AE754" s="124"/>
      <c r="AF754" s="123"/>
      <c r="AG754" s="123"/>
      <c r="AH754" s="123"/>
      <c r="AI754" s="123"/>
      <c r="AJ754" s="124"/>
      <c r="AK754" s="123"/>
      <c r="AL754" s="123"/>
      <c r="AM754" s="123"/>
      <c r="AN754" s="123"/>
      <c r="AO754" s="124"/>
      <c r="AP754" s="123"/>
      <c r="AQ754" s="80">
        <v>-55</v>
      </c>
      <c r="AR754" s="123"/>
      <c r="AS754" s="123"/>
      <c r="AT754" s="67">
        <v>-55</v>
      </c>
      <c r="AU754" s="791"/>
      <c r="AV754" s="123"/>
      <c r="AW754" s="123"/>
      <c r="AX754" s="123"/>
      <c r="AY754" s="124"/>
      <c r="AZ754" s="123"/>
      <c r="BA754" s="123"/>
      <c r="BB754" s="123"/>
      <c r="BC754" s="123"/>
      <c r="BD754" s="124"/>
      <c r="BE754" s="124"/>
      <c r="BF754" s="124"/>
      <c r="BG754" s="124"/>
      <c r="BH754" s="351"/>
    </row>
    <row r="755" spans="1:60" s="69" customFormat="1" hidden="1" outlineLevel="1" x14ac:dyDescent="0.35">
      <c r="A755" s="90" t="s">
        <v>56</v>
      </c>
      <c r="B755" s="427"/>
      <c r="C755" s="70">
        <f t="shared" ref="C755:Z755" si="1023">C748-SUM(C749:C754)</f>
        <v>4814</v>
      </c>
      <c r="D755" s="70">
        <f t="shared" si="1023"/>
        <v>5918</v>
      </c>
      <c r="E755" s="70">
        <f t="shared" si="1023"/>
        <v>6178</v>
      </c>
      <c r="F755" s="70">
        <f t="shared" si="1023"/>
        <v>6483</v>
      </c>
      <c r="G755" s="79">
        <f t="shared" si="1023"/>
        <v>1646</v>
      </c>
      <c r="H755" s="79">
        <f t="shared" si="1023"/>
        <v>1702</v>
      </c>
      <c r="I755" s="79">
        <f t="shared" si="1023"/>
        <v>1739</v>
      </c>
      <c r="J755" s="79">
        <f t="shared" si="1023"/>
        <v>1579</v>
      </c>
      <c r="K755" s="70">
        <f t="shared" si="1023"/>
        <v>6666</v>
      </c>
      <c r="L755" s="79">
        <f t="shared" si="1023"/>
        <v>1716</v>
      </c>
      <c r="M755" s="79">
        <f t="shared" si="1023"/>
        <v>1856</v>
      </c>
      <c r="N755" s="79">
        <f t="shared" si="1023"/>
        <v>1901</v>
      </c>
      <c r="O755" s="79">
        <f t="shared" si="1023"/>
        <v>1662</v>
      </c>
      <c r="P755" s="70">
        <f t="shared" si="1023"/>
        <v>7135</v>
      </c>
      <c r="Q755" s="79">
        <f t="shared" si="1023"/>
        <v>1730</v>
      </c>
      <c r="R755" s="79">
        <f t="shared" si="1023"/>
        <v>1840</v>
      </c>
      <c r="S755" s="79">
        <f t="shared" si="1023"/>
        <v>1876</v>
      </c>
      <c r="T755" s="79">
        <f t="shared" si="1023"/>
        <v>1500</v>
      </c>
      <c r="U755" s="70">
        <f t="shared" si="1023"/>
        <v>6946</v>
      </c>
      <c r="V755" s="79">
        <f t="shared" si="1023"/>
        <v>1788</v>
      </c>
      <c r="W755" s="79">
        <f t="shared" si="1023"/>
        <v>1866</v>
      </c>
      <c r="X755" s="79">
        <f t="shared" si="1023"/>
        <v>1904</v>
      </c>
      <c r="Y755" s="79">
        <f t="shared" si="1023"/>
        <v>1665</v>
      </c>
      <c r="Z755" s="70">
        <f t="shared" si="1023"/>
        <v>7223</v>
      </c>
      <c r="AA755" s="79">
        <f t="shared" ref="AA755:AQ755" si="1024">AA748-SUM(AA749:AA754)</f>
        <v>1742</v>
      </c>
      <c r="AB755" s="79">
        <f t="shared" si="1024"/>
        <v>2153</v>
      </c>
      <c r="AC755" s="79">
        <f t="shared" si="1024"/>
        <v>2008</v>
      </c>
      <c r="AD755" s="79">
        <f t="shared" si="1024"/>
        <v>1789</v>
      </c>
      <c r="AE755" s="70">
        <f t="shared" si="1024"/>
        <v>7692</v>
      </c>
      <c r="AF755" s="79">
        <f t="shared" si="1024"/>
        <v>1904</v>
      </c>
      <c r="AG755" s="79">
        <f t="shared" si="1024"/>
        <v>2401</v>
      </c>
      <c r="AH755" s="79">
        <f t="shared" si="1024"/>
        <v>2016</v>
      </c>
      <c r="AI755" s="79">
        <f t="shared" si="1024"/>
        <v>1783</v>
      </c>
      <c r="AJ755" s="70">
        <f t="shared" si="1024"/>
        <v>8104</v>
      </c>
      <c r="AK755" s="79">
        <f t="shared" si="1024"/>
        <v>1676</v>
      </c>
      <c r="AL755" s="79">
        <f t="shared" si="1024"/>
        <v>1702</v>
      </c>
      <c r="AM755" s="79">
        <f t="shared" si="1024"/>
        <v>1905</v>
      </c>
      <c r="AN755" s="79">
        <f t="shared" si="1024"/>
        <v>1539</v>
      </c>
      <c r="AO755" s="70">
        <f t="shared" si="1024"/>
        <v>6822</v>
      </c>
      <c r="AP755" s="79">
        <f t="shared" si="1024"/>
        <v>1678</v>
      </c>
      <c r="AQ755" s="79">
        <f t="shared" si="1024"/>
        <v>1408</v>
      </c>
      <c r="AR755" s="79">
        <f>AR748-SUM(AR749:AR754)</f>
        <v>1909</v>
      </c>
      <c r="AS755" s="79">
        <f>AS748-SUM(AS749:AS754)</f>
        <v>1849</v>
      </c>
      <c r="AT755" s="70">
        <f>AT748-SUM(AT749:AT754)</f>
        <v>6844</v>
      </c>
      <c r="AU755" s="803">
        <f t="shared" ref="AU755" si="1025">AU748-SUM(AU749:AU754)</f>
        <v>1994</v>
      </c>
      <c r="AV755" s="111"/>
      <c r="AW755" s="111"/>
      <c r="AX755" s="111"/>
      <c r="AY755" s="112"/>
      <c r="AZ755" s="111"/>
      <c r="BA755" s="111"/>
      <c r="BB755" s="111"/>
      <c r="BC755" s="111"/>
      <c r="BD755" s="112"/>
      <c r="BE755" s="112"/>
      <c r="BF755" s="112"/>
      <c r="BG755" s="112"/>
      <c r="BH755" s="79"/>
    </row>
    <row r="756" spans="1:60" s="69" customFormat="1" hidden="1" outlineLevel="1" x14ac:dyDescent="0.35">
      <c r="A756" s="426"/>
      <c r="B756" s="427"/>
      <c r="C756" s="112"/>
      <c r="D756" s="112"/>
      <c r="E756" s="112"/>
      <c r="F756" s="112"/>
      <c r="G756" s="111"/>
      <c r="H756" s="111"/>
      <c r="I756" s="111"/>
      <c r="J756" s="111"/>
      <c r="K756" s="112"/>
      <c r="L756" s="111"/>
      <c r="M756" s="111"/>
      <c r="N756" s="111"/>
      <c r="O756" s="111"/>
      <c r="P756" s="112"/>
      <c r="Q756" s="111"/>
      <c r="R756" s="111"/>
      <c r="S756" s="111"/>
      <c r="T756" s="111"/>
      <c r="U756" s="112"/>
      <c r="V756" s="111"/>
      <c r="W756" s="111"/>
      <c r="X756" s="111"/>
      <c r="Y756" s="111"/>
      <c r="Z756" s="112"/>
      <c r="AA756" s="111"/>
      <c r="AB756" s="111"/>
      <c r="AC756" s="111"/>
      <c r="AD756" s="111"/>
      <c r="AE756" s="112"/>
      <c r="AF756" s="111"/>
      <c r="AG756" s="111"/>
      <c r="AH756" s="111"/>
      <c r="AI756" s="111"/>
      <c r="AJ756" s="112"/>
      <c r="AK756" s="111"/>
      <c r="AL756" s="111"/>
      <c r="AM756" s="111"/>
      <c r="AN756" s="111"/>
      <c r="AO756" s="112"/>
      <c r="AP756" s="111"/>
      <c r="AQ756" s="111"/>
      <c r="AR756" s="111"/>
      <c r="AS756" s="111"/>
      <c r="AT756" s="112"/>
      <c r="AU756" s="792"/>
      <c r="AV756" s="111"/>
      <c r="AW756" s="111"/>
      <c r="AX756" s="111"/>
      <c r="AY756" s="112"/>
      <c r="AZ756" s="111"/>
      <c r="BA756" s="111"/>
      <c r="BB756" s="111"/>
      <c r="BC756" s="111"/>
      <c r="BD756" s="112"/>
      <c r="BE756" s="112"/>
      <c r="BF756" s="112"/>
      <c r="BG756" s="112"/>
      <c r="BH756" s="79"/>
    </row>
    <row r="757" spans="1:60" s="69" customFormat="1" hidden="1" outlineLevel="1" x14ac:dyDescent="0.35">
      <c r="A757" s="90" t="s">
        <v>57</v>
      </c>
      <c r="B757" s="427"/>
      <c r="C757" s="70">
        <f t="shared" ref="C757:AR757" si="1026">C743</f>
        <v>3193</v>
      </c>
      <c r="D757" s="70">
        <f t="shared" si="1026"/>
        <v>4085</v>
      </c>
      <c r="E757" s="70">
        <f t="shared" si="1026"/>
        <v>4283</v>
      </c>
      <c r="F757" s="70">
        <f t="shared" si="1026"/>
        <v>4444</v>
      </c>
      <c r="G757" s="79">
        <f t="shared" si="1026"/>
        <v>1129</v>
      </c>
      <c r="H757" s="79">
        <f t="shared" si="1026"/>
        <v>1197</v>
      </c>
      <c r="I757" s="79">
        <f t="shared" si="1026"/>
        <v>1230</v>
      </c>
      <c r="J757" s="79">
        <f t="shared" si="1026"/>
        <v>1103</v>
      </c>
      <c r="K757" s="70">
        <f t="shared" si="1026"/>
        <v>4659</v>
      </c>
      <c r="L757" s="79">
        <f t="shared" si="1026"/>
        <v>1207</v>
      </c>
      <c r="M757" s="79">
        <f t="shared" si="1026"/>
        <v>1267</v>
      </c>
      <c r="N757" s="79">
        <f t="shared" si="1026"/>
        <v>1303</v>
      </c>
      <c r="O757" s="79">
        <f t="shared" si="1026"/>
        <v>1179</v>
      </c>
      <c r="P757" s="70">
        <f t="shared" si="1026"/>
        <v>4956</v>
      </c>
      <c r="Q757" s="79">
        <f t="shared" si="1026"/>
        <v>1199</v>
      </c>
      <c r="R757" s="79">
        <f t="shared" si="1026"/>
        <v>1300</v>
      </c>
      <c r="S757" s="79">
        <f t="shared" si="1026"/>
        <v>1296</v>
      </c>
      <c r="T757" s="79">
        <f t="shared" si="1026"/>
        <v>1038</v>
      </c>
      <c r="U757" s="70">
        <f t="shared" si="1026"/>
        <v>4833</v>
      </c>
      <c r="V757" s="79">
        <f t="shared" si="1026"/>
        <v>1275</v>
      </c>
      <c r="W757" s="79">
        <f t="shared" si="1026"/>
        <v>1291</v>
      </c>
      <c r="X757" s="79">
        <f t="shared" si="1026"/>
        <v>1329</v>
      </c>
      <c r="Y757" s="79">
        <f t="shared" si="1026"/>
        <v>1155</v>
      </c>
      <c r="Z757" s="70">
        <f t="shared" si="1026"/>
        <v>5050</v>
      </c>
      <c r="AA757" s="79">
        <f t="shared" si="1026"/>
        <v>1323</v>
      </c>
      <c r="AB757" s="79">
        <f t="shared" si="1026"/>
        <v>1583</v>
      </c>
      <c r="AC757" s="79">
        <f t="shared" si="1026"/>
        <v>1429</v>
      </c>
      <c r="AD757" s="79">
        <f t="shared" si="1026"/>
        <v>523</v>
      </c>
      <c r="AE757" s="70">
        <f t="shared" si="1026"/>
        <v>4858</v>
      </c>
      <c r="AF757" s="79">
        <f t="shared" si="1026"/>
        <v>602</v>
      </c>
      <c r="AG757" s="79">
        <f t="shared" si="1026"/>
        <v>1857</v>
      </c>
      <c r="AH757" s="79">
        <f t="shared" si="1026"/>
        <v>1543</v>
      </c>
      <c r="AI757" s="79">
        <f t="shared" si="1026"/>
        <v>1347</v>
      </c>
      <c r="AJ757" s="70">
        <f t="shared" si="1026"/>
        <v>5349</v>
      </c>
      <c r="AK757" s="79">
        <f t="shared" si="1026"/>
        <v>891</v>
      </c>
      <c r="AL757" s="79">
        <f t="shared" si="1026"/>
        <v>1127</v>
      </c>
      <c r="AM757" s="79">
        <f t="shared" si="1026"/>
        <v>1583</v>
      </c>
      <c r="AN757" s="79">
        <f t="shared" si="1026"/>
        <v>969</v>
      </c>
      <c r="AO757" s="70">
        <f t="shared" si="1026"/>
        <v>4570</v>
      </c>
      <c r="AP757" s="79">
        <f t="shared" si="1026"/>
        <v>1292</v>
      </c>
      <c r="AQ757" s="79">
        <f t="shared" si="1026"/>
        <v>1290</v>
      </c>
      <c r="AR757" s="79">
        <f t="shared" si="1026"/>
        <v>1413</v>
      </c>
      <c r="AS757" s="79">
        <f>AS743</f>
        <v>1389</v>
      </c>
      <c r="AT757" s="70">
        <f>AT743</f>
        <v>5384</v>
      </c>
      <c r="AU757" s="803">
        <f t="shared" ref="AU757" si="1027">AU743</f>
        <v>1624</v>
      </c>
      <c r="AV757" s="111"/>
      <c r="AW757" s="111"/>
      <c r="AX757" s="111"/>
      <c r="AY757" s="112"/>
      <c r="AZ757" s="111"/>
      <c r="BA757" s="111"/>
      <c r="BB757" s="111"/>
      <c r="BC757" s="111"/>
      <c r="BD757" s="112"/>
      <c r="BE757" s="112"/>
      <c r="BF757" s="112"/>
      <c r="BG757" s="112"/>
      <c r="BH757" s="79"/>
    </row>
    <row r="758" spans="1:60" s="60" customFormat="1" hidden="1" outlineLevel="1" x14ac:dyDescent="0.35">
      <c r="A758" s="350" t="s">
        <v>58</v>
      </c>
      <c r="B758" s="317"/>
      <c r="C758" s="108"/>
      <c r="D758" s="108"/>
      <c r="E758" s="108"/>
      <c r="F758" s="108"/>
      <c r="G758" s="203"/>
      <c r="H758" s="203"/>
      <c r="I758" s="203"/>
      <c r="J758" s="203"/>
      <c r="K758" s="108"/>
      <c r="L758" s="203"/>
      <c r="M758" s="203"/>
      <c r="N758" s="203"/>
      <c r="O758" s="203"/>
      <c r="P758" s="108"/>
      <c r="Q758" s="203"/>
      <c r="R758" s="203"/>
      <c r="S758" s="203"/>
      <c r="T758" s="203"/>
      <c r="U758" s="108"/>
      <c r="V758" s="203"/>
      <c r="W758" s="203"/>
      <c r="X758" s="203"/>
      <c r="Y758" s="203"/>
      <c r="Z758" s="108"/>
      <c r="AA758" s="203"/>
      <c r="AB758" s="203"/>
      <c r="AC758" s="203"/>
      <c r="AD758" s="203"/>
      <c r="AE758" s="108"/>
      <c r="AF758" s="351">
        <v>-710</v>
      </c>
      <c r="AG758" s="203"/>
      <c r="AH758" s="203"/>
      <c r="AI758" s="351">
        <v>-60</v>
      </c>
      <c r="AJ758" s="46">
        <v>-770</v>
      </c>
      <c r="AK758" s="203"/>
      <c r="AL758" s="203"/>
      <c r="AM758" s="203"/>
      <c r="AN758" s="203"/>
      <c r="AO758" s="108"/>
      <c r="AP758" s="203"/>
      <c r="AQ758" s="203"/>
      <c r="AR758" s="203"/>
      <c r="AS758" s="203"/>
      <c r="AT758" s="108"/>
      <c r="AU758" s="790"/>
      <c r="AV758" s="203"/>
      <c r="AW758" s="203"/>
      <c r="AX758" s="203"/>
      <c r="AY758" s="108"/>
      <c r="AZ758" s="203"/>
      <c r="BA758" s="203"/>
      <c r="BB758" s="203"/>
      <c r="BC758" s="203"/>
      <c r="BD758" s="108"/>
      <c r="BE758" s="108"/>
      <c r="BF758" s="108"/>
      <c r="BG758" s="108"/>
      <c r="BH758" s="351"/>
    </row>
    <row r="759" spans="1:60" s="60" customFormat="1" hidden="1" outlineLevel="1" x14ac:dyDescent="0.35">
      <c r="A759" s="350" t="s">
        <v>379</v>
      </c>
      <c r="B759" s="317"/>
      <c r="C759" s="108"/>
      <c r="D759" s="108"/>
      <c r="E759" s="108"/>
      <c r="F759" s="108"/>
      <c r="G759" s="203"/>
      <c r="H759" s="203"/>
      <c r="I759" s="203"/>
      <c r="J759" s="203"/>
      <c r="K759" s="108"/>
      <c r="L759" s="203"/>
      <c r="M759" s="203"/>
      <c r="N759" s="203"/>
      <c r="O759" s="203"/>
      <c r="P759" s="108"/>
      <c r="Q759" s="203"/>
      <c r="R759" s="203"/>
      <c r="S759" s="203"/>
      <c r="T759" s="203"/>
      <c r="U759" s="108"/>
      <c r="V759" s="203"/>
      <c r="W759" s="203"/>
      <c r="X759" s="203"/>
      <c r="Y759" s="203"/>
      <c r="Z759" s="108"/>
      <c r="AA759" s="203"/>
      <c r="AB759" s="203"/>
      <c r="AC759" s="203"/>
      <c r="AD759" s="203"/>
      <c r="AE759" s="108"/>
      <c r="AF759" s="203"/>
      <c r="AG759" s="203"/>
      <c r="AH759" s="203"/>
      <c r="AI759" s="203"/>
      <c r="AJ759" s="108"/>
      <c r="AK759" s="351">
        <v>-424</v>
      </c>
      <c r="AL759" s="203"/>
      <c r="AM759" s="203"/>
      <c r="AN759" s="351">
        <v>-166</v>
      </c>
      <c r="AO759" s="46">
        <v>-590</v>
      </c>
      <c r="AP759" s="351">
        <v>39</v>
      </c>
      <c r="AQ759" s="203"/>
      <c r="AR759" s="203"/>
      <c r="AS759" s="203"/>
      <c r="AT759" s="46">
        <v>39</v>
      </c>
      <c r="AU759" s="790"/>
      <c r="AV759" s="203"/>
      <c r="AW759" s="203"/>
      <c r="AX759" s="203"/>
      <c r="AY759" s="108"/>
      <c r="AZ759" s="203"/>
      <c r="BA759" s="203"/>
      <c r="BB759" s="203"/>
      <c r="BC759" s="203"/>
      <c r="BD759" s="108"/>
      <c r="BE759" s="108"/>
      <c r="BF759" s="108"/>
      <c r="BG759" s="108"/>
      <c r="BH759" s="351"/>
    </row>
    <row r="760" spans="1:60" s="345" customFormat="1" hidden="1" outlineLevel="1" x14ac:dyDescent="0.35">
      <c r="A760" s="350" t="s">
        <v>614</v>
      </c>
      <c r="B760" s="317"/>
      <c r="C760" s="108"/>
      <c r="D760" s="108"/>
      <c r="E760" s="108"/>
      <c r="F760" s="108"/>
      <c r="G760" s="203"/>
      <c r="H760" s="203"/>
      <c r="I760" s="203"/>
      <c r="J760" s="203"/>
      <c r="K760" s="108"/>
      <c r="L760" s="203"/>
      <c r="M760" s="203"/>
      <c r="N760" s="203"/>
      <c r="O760" s="203"/>
      <c r="P760" s="108"/>
      <c r="Q760" s="203"/>
      <c r="R760" s="203"/>
      <c r="S760" s="203"/>
      <c r="T760" s="203"/>
      <c r="U760" s="108"/>
      <c r="V760" s="203"/>
      <c r="W760" s="203"/>
      <c r="X760" s="203"/>
      <c r="Y760" s="203"/>
      <c r="Z760" s="108"/>
      <c r="AA760" s="203"/>
      <c r="AB760" s="203"/>
      <c r="AC760" s="203"/>
      <c r="AD760" s="203"/>
      <c r="AE760" s="108"/>
      <c r="AF760" s="203"/>
      <c r="AG760" s="203"/>
      <c r="AH760" s="203"/>
      <c r="AI760" s="203"/>
      <c r="AJ760" s="108"/>
      <c r="AK760" s="203"/>
      <c r="AL760" s="351">
        <v>-162</v>
      </c>
      <c r="AM760" s="203"/>
      <c r="AN760" s="203"/>
      <c r="AO760" s="46">
        <v>-162</v>
      </c>
      <c r="AP760" s="203"/>
      <c r="AQ760" s="203"/>
      <c r="AR760" s="203"/>
      <c r="AS760" s="203"/>
      <c r="AT760" s="108"/>
      <c r="AU760" s="790"/>
      <c r="AV760" s="203"/>
      <c r="AW760" s="203"/>
      <c r="AX760" s="203"/>
      <c r="AY760" s="108"/>
      <c r="AZ760" s="203"/>
      <c r="BA760" s="203"/>
      <c r="BB760" s="203"/>
      <c r="BC760" s="203"/>
      <c r="BD760" s="108"/>
      <c r="BE760" s="108"/>
      <c r="BF760" s="108"/>
      <c r="BG760" s="108"/>
      <c r="BH760" s="351"/>
    </row>
    <row r="761" spans="1:60" s="345" customFormat="1" hidden="1" outlineLevel="1" x14ac:dyDescent="0.35">
      <c r="A761" s="350" t="s">
        <v>727</v>
      </c>
      <c r="B761" s="317"/>
      <c r="C761" s="108"/>
      <c r="D761" s="108"/>
      <c r="E761" s="108"/>
      <c r="F761" s="108"/>
      <c r="G761" s="203"/>
      <c r="H761" s="203"/>
      <c r="I761" s="203"/>
      <c r="J761" s="203"/>
      <c r="K761" s="108"/>
      <c r="L761" s="203"/>
      <c r="M761" s="203"/>
      <c r="N761" s="203"/>
      <c r="O761" s="203"/>
      <c r="P761" s="108"/>
      <c r="Q761" s="203"/>
      <c r="R761" s="203"/>
      <c r="S761" s="203"/>
      <c r="T761" s="203"/>
      <c r="U761" s="108"/>
      <c r="V761" s="203"/>
      <c r="W761" s="203"/>
      <c r="X761" s="203"/>
      <c r="Y761" s="203"/>
      <c r="Z761" s="108"/>
      <c r="AA761" s="203"/>
      <c r="AB761" s="203"/>
      <c r="AC761" s="203"/>
      <c r="AD761" s="203"/>
      <c r="AE761" s="108"/>
      <c r="AF761" s="203"/>
      <c r="AG761" s="203"/>
      <c r="AH761" s="203"/>
      <c r="AI761" s="203"/>
      <c r="AJ761" s="108"/>
      <c r="AK761" s="351">
        <v>7</v>
      </c>
      <c r="AL761" s="351">
        <v>43</v>
      </c>
      <c r="AM761" s="351">
        <v>79</v>
      </c>
      <c r="AN761" s="203"/>
      <c r="AO761" s="46">
        <v>129</v>
      </c>
      <c r="AP761" s="351">
        <v>-1</v>
      </c>
      <c r="AQ761" s="351">
        <v>304</v>
      </c>
      <c r="AR761" s="203"/>
      <c r="AS761" s="203"/>
      <c r="AT761" s="46">
        <v>303</v>
      </c>
      <c r="AU761" s="790"/>
      <c r="AV761" s="203"/>
      <c r="AW761" s="203"/>
      <c r="AX761" s="203"/>
      <c r="AY761" s="108"/>
      <c r="AZ761" s="203"/>
      <c r="BA761" s="203"/>
      <c r="BB761" s="203"/>
      <c r="BC761" s="203"/>
      <c r="BD761" s="108"/>
      <c r="BE761" s="108"/>
      <c r="BF761" s="108"/>
      <c r="BG761" s="108"/>
      <c r="BH761" s="351"/>
    </row>
    <row r="762" spans="1:60" s="345" customFormat="1" hidden="1" outlineLevel="1" x14ac:dyDescent="0.35">
      <c r="A762" s="350" t="s">
        <v>772</v>
      </c>
      <c r="B762" s="317"/>
      <c r="C762" s="108"/>
      <c r="D762" s="108"/>
      <c r="E762" s="108"/>
      <c r="F762" s="108"/>
      <c r="G762" s="203"/>
      <c r="H762" s="203"/>
      <c r="I762" s="203"/>
      <c r="J762" s="203"/>
      <c r="K762" s="108"/>
      <c r="L762" s="203"/>
      <c r="M762" s="203"/>
      <c r="N762" s="203"/>
      <c r="O762" s="203"/>
      <c r="P762" s="108"/>
      <c r="Q762" s="203"/>
      <c r="R762" s="203"/>
      <c r="S762" s="203"/>
      <c r="T762" s="203"/>
      <c r="U762" s="108"/>
      <c r="V762" s="203"/>
      <c r="W762" s="203"/>
      <c r="X762" s="203"/>
      <c r="Y762" s="203"/>
      <c r="Z762" s="108"/>
      <c r="AA762" s="203"/>
      <c r="AB762" s="203"/>
      <c r="AC762" s="203"/>
      <c r="AD762" s="203"/>
      <c r="AE762" s="108"/>
      <c r="AF762" s="203"/>
      <c r="AG762" s="203"/>
      <c r="AH762" s="203"/>
      <c r="AI762" s="203"/>
      <c r="AJ762" s="108"/>
      <c r="AK762" s="203"/>
      <c r="AL762" s="203"/>
      <c r="AM762" s="203"/>
      <c r="AN762" s="203"/>
      <c r="AO762" s="108"/>
      <c r="AP762" s="203"/>
      <c r="AQ762" s="351">
        <v>-46</v>
      </c>
      <c r="AR762" s="203"/>
      <c r="AS762" s="203"/>
      <c r="AT762" s="46">
        <v>-46</v>
      </c>
      <c r="AU762" s="790"/>
      <c r="AV762" s="203"/>
      <c r="AW762" s="203"/>
      <c r="AX762" s="203"/>
      <c r="AY762" s="108"/>
      <c r="AZ762" s="203"/>
      <c r="BA762" s="203"/>
      <c r="BB762" s="203"/>
      <c r="BC762" s="203"/>
      <c r="BD762" s="108"/>
      <c r="BE762" s="108"/>
      <c r="BF762" s="108"/>
      <c r="BG762" s="108"/>
      <c r="BH762" s="351"/>
    </row>
    <row r="763" spans="1:60" s="60" customFormat="1" hidden="1" outlineLevel="1" x14ac:dyDescent="0.35">
      <c r="A763" s="91" t="s">
        <v>59</v>
      </c>
      <c r="B763" s="467"/>
      <c r="C763" s="124"/>
      <c r="D763" s="124"/>
      <c r="E763" s="124"/>
      <c r="F763" s="124"/>
      <c r="G763" s="123"/>
      <c r="H763" s="123"/>
      <c r="I763" s="123"/>
      <c r="J763" s="123"/>
      <c r="K763" s="124"/>
      <c r="L763" s="123"/>
      <c r="M763" s="123"/>
      <c r="N763" s="123"/>
      <c r="O763" s="123"/>
      <c r="P763" s="124"/>
      <c r="Q763" s="123"/>
      <c r="R763" s="123"/>
      <c r="S763" s="123"/>
      <c r="T763" s="123"/>
      <c r="U763" s="124"/>
      <c r="V763" s="123"/>
      <c r="W763" s="123"/>
      <c r="X763" s="123"/>
      <c r="Y763" s="123"/>
      <c r="Z763" s="124"/>
      <c r="AA763" s="123"/>
      <c r="AB763" s="123"/>
      <c r="AC763" s="123"/>
      <c r="AD763" s="80">
        <v>-762</v>
      </c>
      <c r="AE763" s="67">
        <v>-762</v>
      </c>
      <c r="AF763" s="80">
        <v>-217</v>
      </c>
      <c r="AG763" s="123"/>
      <c r="AH763" s="123"/>
      <c r="AI763" s="80">
        <v>41</v>
      </c>
      <c r="AJ763" s="67">
        <v>-176</v>
      </c>
      <c r="AK763" s="123"/>
      <c r="AL763" s="123"/>
      <c r="AM763" s="123"/>
      <c r="AN763" s="123"/>
      <c r="AO763" s="124"/>
      <c r="AP763" s="123"/>
      <c r="AQ763" s="123"/>
      <c r="AR763" s="123"/>
      <c r="AS763" s="123"/>
      <c r="AT763" s="124"/>
      <c r="AU763" s="791"/>
      <c r="AV763" s="123"/>
      <c r="AW763" s="123"/>
      <c r="AX763" s="123"/>
      <c r="AY763" s="124"/>
      <c r="AZ763" s="123"/>
      <c r="BA763" s="123"/>
      <c r="BB763" s="123"/>
      <c r="BC763" s="123"/>
      <c r="BD763" s="124"/>
      <c r="BE763" s="124"/>
      <c r="BF763" s="124"/>
      <c r="BG763" s="124"/>
      <c r="BH763" s="351"/>
    </row>
    <row r="764" spans="1:60" s="69" customFormat="1" hidden="1" outlineLevel="1" x14ac:dyDescent="0.35">
      <c r="A764" s="90" t="s">
        <v>60</v>
      </c>
      <c r="B764" s="427"/>
      <c r="C764" s="70">
        <f t="shared" ref="C764:Z764" si="1028">C757-SUM(C758:C763)</f>
        <v>3193</v>
      </c>
      <c r="D764" s="70">
        <f t="shared" si="1028"/>
        <v>4085</v>
      </c>
      <c r="E764" s="70">
        <f t="shared" si="1028"/>
        <v>4283</v>
      </c>
      <c r="F764" s="70">
        <f t="shared" si="1028"/>
        <v>4444</v>
      </c>
      <c r="G764" s="79">
        <f t="shared" si="1028"/>
        <v>1129</v>
      </c>
      <c r="H764" s="79">
        <f t="shared" si="1028"/>
        <v>1197</v>
      </c>
      <c r="I764" s="79">
        <f t="shared" si="1028"/>
        <v>1230</v>
      </c>
      <c r="J764" s="79">
        <f t="shared" si="1028"/>
        <v>1103</v>
      </c>
      <c r="K764" s="70">
        <f t="shared" si="1028"/>
        <v>4659</v>
      </c>
      <c r="L764" s="79">
        <f t="shared" si="1028"/>
        <v>1207</v>
      </c>
      <c r="M764" s="79">
        <f t="shared" si="1028"/>
        <v>1267</v>
      </c>
      <c r="N764" s="79">
        <f t="shared" si="1028"/>
        <v>1303</v>
      </c>
      <c r="O764" s="79">
        <f t="shared" si="1028"/>
        <v>1179</v>
      </c>
      <c r="P764" s="70">
        <f t="shared" si="1028"/>
        <v>4956</v>
      </c>
      <c r="Q764" s="79">
        <f t="shared" si="1028"/>
        <v>1199</v>
      </c>
      <c r="R764" s="79">
        <f t="shared" si="1028"/>
        <v>1300</v>
      </c>
      <c r="S764" s="79">
        <f t="shared" si="1028"/>
        <v>1296</v>
      </c>
      <c r="T764" s="79">
        <f t="shared" si="1028"/>
        <v>1038</v>
      </c>
      <c r="U764" s="70">
        <f t="shared" si="1028"/>
        <v>4833</v>
      </c>
      <c r="V764" s="79">
        <f t="shared" si="1028"/>
        <v>1275</v>
      </c>
      <c r="W764" s="79">
        <f t="shared" si="1028"/>
        <v>1291</v>
      </c>
      <c r="X764" s="79">
        <f t="shared" si="1028"/>
        <v>1329</v>
      </c>
      <c r="Y764" s="79">
        <f t="shared" si="1028"/>
        <v>1155</v>
      </c>
      <c r="Z764" s="70">
        <f t="shared" si="1028"/>
        <v>5050</v>
      </c>
      <c r="AA764" s="79">
        <f t="shared" ref="AA764:AQ764" si="1029">AA757-SUM(AA758:AA763)</f>
        <v>1323</v>
      </c>
      <c r="AB764" s="79">
        <f t="shared" si="1029"/>
        <v>1583</v>
      </c>
      <c r="AC764" s="79">
        <f t="shared" si="1029"/>
        <v>1429</v>
      </c>
      <c r="AD764" s="79">
        <f t="shared" si="1029"/>
        <v>1285</v>
      </c>
      <c r="AE764" s="70">
        <f t="shared" si="1029"/>
        <v>5620</v>
      </c>
      <c r="AF764" s="79">
        <f t="shared" si="1029"/>
        <v>1529</v>
      </c>
      <c r="AG764" s="79">
        <f t="shared" si="1029"/>
        <v>1857</v>
      </c>
      <c r="AH764" s="79">
        <f t="shared" si="1029"/>
        <v>1543</v>
      </c>
      <c r="AI764" s="79">
        <f t="shared" si="1029"/>
        <v>1366</v>
      </c>
      <c r="AJ764" s="70">
        <f t="shared" si="1029"/>
        <v>6295</v>
      </c>
      <c r="AK764" s="79">
        <f t="shared" si="1029"/>
        <v>1308</v>
      </c>
      <c r="AL764" s="79">
        <f t="shared" si="1029"/>
        <v>1246</v>
      </c>
      <c r="AM764" s="79">
        <f t="shared" si="1029"/>
        <v>1504</v>
      </c>
      <c r="AN764" s="79">
        <f t="shared" si="1029"/>
        <v>1135</v>
      </c>
      <c r="AO764" s="70">
        <f t="shared" si="1029"/>
        <v>5193</v>
      </c>
      <c r="AP764" s="79">
        <f t="shared" si="1029"/>
        <v>1254</v>
      </c>
      <c r="AQ764" s="79">
        <f t="shared" si="1029"/>
        <v>1032</v>
      </c>
      <c r="AR764" s="79">
        <f>AR757-SUM(AR758:AR763)</f>
        <v>1413</v>
      </c>
      <c r="AS764" s="79">
        <f>AS757-SUM(AS758:AS763)</f>
        <v>1389</v>
      </c>
      <c r="AT764" s="70">
        <f>AT757-SUM(AT758:AT763)</f>
        <v>5088</v>
      </c>
      <c r="AU764" s="803">
        <f t="shared" ref="AU764" si="1030">AU757-SUM(AU758:AU763)</f>
        <v>1624</v>
      </c>
      <c r="AV764" s="111"/>
      <c r="AW764" s="111"/>
      <c r="AX764" s="111"/>
      <c r="AY764" s="112"/>
      <c r="AZ764" s="111"/>
      <c r="BA764" s="111"/>
      <c r="BB764" s="111"/>
      <c r="BC764" s="111"/>
      <c r="BD764" s="112"/>
      <c r="BE764" s="112"/>
      <c r="BF764" s="112"/>
      <c r="BG764" s="112"/>
      <c r="BH764" s="79"/>
    </row>
    <row r="765" spans="1:60" s="69" customFormat="1" hidden="1" outlineLevel="1" x14ac:dyDescent="0.35">
      <c r="A765" s="426"/>
      <c r="B765" s="427"/>
      <c r="C765" s="112"/>
      <c r="D765" s="112"/>
      <c r="E765" s="112"/>
      <c r="F765" s="112"/>
      <c r="G765" s="111"/>
      <c r="H765" s="111"/>
      <c r="I765" s="111"/>
      <c r="J765" s="111"/>
      <c r="K765" s="112"/>
      <c r="L765" s="111"/>
      <c r="M765" s="111"/>
      <c r="N765" s="111"/>
      <c r="O765" s="111"/>
      <c r="P765" s="112"/>
      <c r="Q765" s="111"/>
      <c r="R765" s="111"/>
      <c r="S765" s="111"/>
      <c r="T765" s="111"/>
      <c r="U765" s="112"/>
      <c r="V765" s="111"/>
      <c r="W765" s="111"/>
      <c r="X765" s="111"/>
      <c r="Y765" s="111"/>
      <c r="Z765" s="112"/>
      <c r="AA765" s="111"/>
      <c r="AB765" s="111"/>
      <c r="AC765" s="111"/>
      <c r="AD765" s="111"/>
      <c r="AE765" s="112"/>
      <c r="AF765" s="111"/>
      <c r="AG765" s="111"/>
      <c r="AH765" s="111"/>
      <c r="AI765" s="111"/>
      <c r="AJ765" s="112"/>
      <c r="AK765" s="111"/>
      <c r="AL765" s="111"/>
      <c r="AM765" s="111"/>
      <c r="AN765" s="111"/>
      <c r="AO765" s="112"/>
      <c r="AP765" s="111"/>
      <c r="AQ765" s="111"/>
      <c r="AR765" s="111"/>
      <c r="AS765" s="111"/>
      <c r="AT765" s="112"/>
      <c r="AU765" s="792"/>
      <c r="AV765" s="111"/>
      <c r="AW765" s="111"/>
      <c r="AX765" s="111"/>
      <c r="AY765" s="112"/>
      <c r="AZ765" s="111"/>
      <c r="BA765" s="111"/>
      <c r="BB765" s="111"/>
      <c r="BC765" s="111"/>
      <c r="BD765" s="112"/>
      <c r="BE765" s="112"/>
      <c r="BF765" s="112"/>
      <c r="BG765" s="112"/>
      <c r="BH765" s="79"/>
    </row>
    <row r="766" spans="1:60" s="69" customFormat="1" hidden="1" outlineLevel="1" x14ac:dyDescent="0.35">
      <c r="A766" s="90" t="s">
        <v>50</v>
      </c>
      <c r="B766" s="427"/>
      <c r="C766" s="112"/>
      <c r="D766" s="112"/>
      <c r="E766" s="112"/>
      <c r="F766" s="112"/>
      <c r="G766" s="111"/>
      <c r="H766" s="111"/>
      <c r="I766" s="111"/>
      <c r="J766" s="111"/>
      <c r="K766" s="112"/>
      <c r="L766" s="111"/>
      <c r="M766" s="111"/>
      <c r="N766" s="111"/>
      <c r="O766" s="111"/>
      <c r="P766" s="112"/>
      <c r="Q766" s="111"/>
      <c r="R766" s="111"/>
      <c r="S766" s="111"/>
      <c r="T766" s="111"/>
      <c r="U766" s="112"/>
      <c r="V766" s="111"/>
      <c r="W766" s="111"/>
      <c r="X766" s="111"/>
      <c r="Y766" s="111"/>
      <c r="Z766" s="112"/>
      <c r="AA766" s="111"/>
      <c r="AB766" s="111"/>
      <c r="AC766" s="111"/>
      <c r="AD766" s="111"/>
      <c r="AE766" s="112"/>
      <c r="AF766" s="111"/>
      <c r="AG766" s="111"/>
      <c r="AH766" s="111"/>
      <c r="AI766" s="111"/>
      <c r="AJ766" s="112"/>
      <c r="AK766" s="79">
        <f t="shared" ref="AK766:AO766" si="1031">AK743</f>
        <v>891</v>
      </c>
      <c r="AL766" s="79">
        <f t="shared" si="1031"/>
        <v>1127</v>
      </c>
      <c r="AM766" s="79">
        <f t="shared" si="1031"/>
        <v>1583</v>
      </c>
      <c r="AN766" s="79">
        <f t="shared" si="1031"/>
        <v>969</v>
      </c>
      <c r="AO766" s="70">
        <f t="shared" si="1031"/>
        <v>4570</v>
      </c>
      <c r="AP766" s="79">
        <f t="shared" ref="AP766:AT766" si="1032">AP743</f>
        <v>1292</v>
      </c>
      <c r="AQ766" s="79">
        <f t="shared" si="1032"/>
        <v>1290</v>
      </c>
      <c r="AR766" s="79">
        <f t="shared" si="1032"/>
        <v>1413</v>
      </c>
      <c r="AS766" s="79">
        <f t="shared" si="1032"/>
        <v>1389</v>
      </c>
      <c r="AT766" s="70">
        <f t="shared" si="1032"/>
        <v>5384</v>
      </c>
      <c r="AU766" s="803">
        <f t="shared" ref="AU766" si="1033">AU743</f>
        <v>1624</v>
      </c>
      <c r="AV766" s="111"/>
      <c r="AW766" s="111"/>
      <c r="AX766" s="111"/>
      <c r="AY766" s="112"/>
      <c r="AZ766" s="111"/>
      <c r="BA766" s="111"/>
      <c r="BB766" s="111"/>
      <c r="BC766" s="111"/>
      <c r="BD766" s="112"/>
      <c r="BE766" s="112"/>
      <c r="BF766" s="112"/>
      <c r="BG766" s="112"/>
      <c r="BH766" s="79"/>
    </row>
    <row r="767" spans="1:60" s="345" customFormat="1" hidden="1" outlineLevel="1" x14ac:dyDescent="0.35">
      <c r="A767" s="350" t="s">
        <v>937</v>
      </c>
      <c r="B767" s="317"/>
      <c r="C767" s="108"/>
      <c r="D767" s="108"/>
      <c r="E767" s="108"/>
      <c r="F767" s="108"/>
      <c r="G767" s="203"/>
      <c r="H767" s="203"/>
      <c r="I767" s="203"/>
      <c r="J767" s="203"/>
      <c r="K767" s="108"/>
      <c r="L767" s="203"/>
      <c r="M767" s="203"/>
      <c r="N767" s="203"/>
      <c r="O767" s="203"/>
      <c r="P767" s="108"/>
      <c r="Q767" s="203"/>
      <c r="R767" s="203"/>
      <c r="S767" s="203"/>
      <c r="T767" s="203"/>
      <c r="U767" s="108"/>
      <c r="V767" s="203"/>
      <c r="W767" s="203"/>
      <c r="X767" s="203"/>
      <c r="Y767" s="203"/>
      <c r="Z767" s="108"/>
      <c r="AA767" s="203"/>
      <c r="AB767" s="203"/>
      <c r="AC767" s="203"/>
      <c r="AD767" s="203"/>
      <c r="AE767" s="108"/>
      <c r="AF767" s="203"/>
      <c r="AG767" s="203"/>
      <c r="AH767" s="203"/>
      <c r="AI767" s="203"/>
      <c r="AJ767" s="108"/>
      <c r="AK767" s="351">
        <v>2</v>
      </c>
      <c r="AL767" s="351">
        <v>4</v>
      </c>
      <c r="AM767" s="351">
        <v>5</v>
      </c>
      <c r="AN767" s="351">
        <f t="shared" ref="AN767:AN776" si="1034">AO767-SUM(AK767,AL767,AM767)</f>
        <v>1</v>
      </c>
      <c r="AO767" s="46">
        <v>12</v>
      </c>
      <c r="AP767" s="351">
        <v>2</v>
      </c>
      <c r="AQ767" s="351">
        <v>-3</v>
      </c>
      <c r="AR767" s="351">
        <v>4</v>
      </c>
      <c r="AS767" s="351">
        <v>1</v>
      </c>
      <c r="AT767" s="46">
        <v>4</v>
      </c>
      <c r="AU767" s="805">
        <v>3</v>
      </c>
      <c r="AV767" s="203"/>
      <c r="AW767" s="203"/>
      <c r="AX767" s="203"/>
      <c r="AY767" s="108"/>
      <c r="AZ767" s="203"/>
      <c r="BA767" s="203"/>
      <c r="BB767" s="203"/>
      <c r="BC767" s="203"/>
      <c r="BD767" s="108"/>
      <c r="BE767" s="108"/>
      <c r="BF767" s="108"/>
      <c r="BG767" s="108"/>
      <c r="BH767" s="351"/>
    </row>
    <row r="768" spans="1:60" s="345" customFormat="1" hidden="1" outlineLevel="1" x14ac:dyDescent="0.35">
      <c r="A768" s="350" t="s">
        <v>938</v>
      </c>
      <c r="B768" s="317"/>
      <c r="C768" s="108"/>
      <c r="D768" s="108"/>
      <c r="E768" s="108"/>
      <c r="F768" s="108"/>
      <c r="G768" s="203"/>
      <c r="H768" s="203"/>
      <c r="I768" s="203"/>
      <c r="J768" s="203"/>
      <c r="K768" s="108"/>
      <c r="L768" s="203"/>
      <c r="M768" s="203"/>
      <c r="N768" s="203"/>
      <c r="O768" s="203"/>
      <c r="P768" s="108"/>
      <c r="Q768" s="203"/>
      <c r="R768" s="203"/>
      <c r="S768" s="203"/>
      <c r="T768" s="203"/>
      <c r="U768" s="108"/>
      <c r="V768" s="203"/>
      <c r="W768" s="203"/>
      <c r="X768" s="203"/>
      <c r="Y768" s="203"/>
      <c r="Z768" s="108"/>
      <c r="AA768" s="203"/>
      <c r="AB768" s="203"/>
      <c r="AC768" s="203"/>
      <c r="AD768" s="203"/>
      <c r="AE768" s="108"/>
      <c r="AF768" s="203"/>
      <c r="AG768" s="203"/>
      <c r="AH768" s="203"/>
      <c r="AI768" s="203"/>
      <c r="AJ768" s="108"/>
      <c r="AK768" s="203"/>
      <c r="AL768" s="203"/>
      <c r="AM768" s="203"/>
      <c r="AN768" s="351">
        <f t="shared" si="1034"/>
        <v>0</v>
      </c>
      <c r="AO768" s="108"/>
      <c r="AP768" s="203"/>
      <c r="AQ768" s="203"/>
      <c r="AR768" s="351">
        <v>1</v>
      </c>
      <c r="AS768" s="351">
        <v>4</v>
      </c>
      <c r="AT768" s="46">
        <v>5</v>
      </c>
      <c r="AU768" s="805">
        <v>-1</v>
      </c>
      <c r="AV768" s="203"/>
      <c r="AW768" s="203"/>
      <c r="AX768" s="203"/>
      <c r="AY768" s="108"/>
      <c r="AZ768" s="203"/>
      <c r="BA768" s="203"/>
      <c r="BB768" s="203"/>
      <c r="BC768" s="203"/>
      <c r="BD768" s="108"/>
      <c r="BE768" s="108"/>
      <c r="BF768" s="108"/>
      <c r="BG768" s="108"/>
      <c r="BH768" s="351"/>
    </row>
    <row r="769" spans="1:60" s="345" customFormat="1" hidden="1" outlineLevel="1" x14ac:dyDescent="0.35">
      <c r="A769" s="350" t="s">
        <v>47</v>
      </c>
      <c r="B769" s="317"/>
      <c r="C769" s="108"/>
      <c r="D769" s="108"/>
      <c r="E769" s="108"/>
      <c r="F769" s="108"/>
      <c r="G769" s="203"/>
      <c r="H769" s="203"/>
      <c r="I769" s="203"/>
      <c r="J769" s="203"/>
      <c r="K769" s="108"/>
      <c r="L769" s="203"/>
      <c r="M769" s="203"/>
      <c r="N769" s="203"/>
      <c r="O769" s="203"/>
      <c r="P769" s="108"/>
      <c r="Q769" s="203"/>
      <c r="R769" s="203"/>
      <c r="S769" s="203"/>
      <c r="T769" s="203"/>
      <c r="U769" s="108"/>
      <c r="V769" s="203"/>
      <c r="W769" s="203"/>
      <c r="X769" s="203"/>
      <c r="Y769" s="203"/>
      <c r="Z769" s="108"/>
      <c r="AA769" s="203"/>
      <c r="AB769" s="203"/>
      <c r="AC769" s="203"/>
      <c r="AD769" s="203"/>
      <c r="AE769" s="108"/>
      <c r="AF769" s="203"/>
      <c r="AG769" s="203"/>
      <c r="AH769" s="203"/>
      <c r="AI769" s="203"/>
      <c r="AJ769" s="108"/>
      <c r="AK769" s="351">
        <v>195</v>
      </c>
      <c r="AL769" s="351">
        <v>315</v>
      </c>
      <c r="AM769" s="351">
        <v>378</v>
      </c>
      <c r="AN769" s="351">
        <f t="shared" si="1034"/>
        <v>242</v>
      </c>
      <c r="AO769" s="46">
        <v>1130</v>
      </c>
      <c r="AP769" s="351">
        <v>273</v>
      </c>
      <c r="AQ769" s="351">
        <v>342</v>
      </c>
      <c r="AR769" s="351">
        <v>387</v>
      </c>
      <c r="AS769" s="351">
        <v>316</v>
      </c>
      <c r="AT769" s="46">
        <v>1318</v>
      </c>
      <c r="AU769" s="805">
        <v>319</v>
      </c>
      <c r="AV769" s="203"/>
      <c r="AW769" s="203"/>
      <c r="AX769" s="203"/>
      <c r="AY769" s="108"/>
      <c r="AZ769" s="203"/>
      <c r="BA769" s="203"/>
      <c r="BB769" s="203"/>
      <c r="BC769" s="203"/>
      <c r="BD769" s="108"/>
      <c r="BE769" s="108"/>
      <c r="BF769" s="108"/>
      <c r="BG769" s="108"/>
      <c r="BH769" s="351"/>
    </row>
    <row r="770" spans="1:60" s="345" customFormat="1" hidden="1" outlineLevel="1" x14ac:dyDescent="0.35">
      <c r="A770" s="350" t="s">
        <v>939</v>
      </c>
      <c r="B770" s="317"/>
      <c r="C770" s="108"/>
      <c r="D770" s="108"/>
      <c r="E770" s="108"/>
      <c r="F770" s="108"/>
      <c r="G770" s="203"/>
      <c r="H770" s="203"/>
      <c r="I770" s="203"/>
      <c r="J770" s="203"/>
      <c r="K770" s="108"/>
      <c r="L770" s="203"/>
      <c r="M770" s="203"/>
      <c r="N770" s="203"/>
      <c r="O770" s="203"/>
      <c r="P770" s="108"/>
      <c r="Q770" s="203"/>
      <c r="R770" s="203"/>
      <c r="S770" s="203"/>
      <c r="T770" s="203"/>
      <c r="U770" s="108"/>
      <c r="V770" s="203"/>
      <c r="W770" s="203"/>
      <c r="X770" s="203"/>
      <c r="Y770" s="203"/>
      <c r="Z770" s="108"/>
      <c r="AA770" s="203"/>
      <c r="AB770" s="203"/>
      <c r="AC770" s="203"/>
      <c r="AD770" s="203"/>
      <c r="AE770" s="108"/>
      <c r="AF770" s="203"/>
      <c r="AG770" s="203"/>
      <c r="AH770" s="203"/>
      <c r="AI770" s="203"/>
      <c r="AJ770" s="108"/>
      <c r="AK770" s="351">
        <v>84</v>
      </c>
      <c r="AL770" s="351">
        <v>93</v>
      </c>
      <c r="AM770" s="351">
        <v>83</v>
      </c>
      <c r="AN770" s="351">
        <f t="shared" si="1034"/>
        <v>108</v>
      </c>
      <c r="AO770" s="46">
        <v>368</v>
      </c>
      <c r="AP770" s="351">
        <v>113</v>
      </c>
      <c r="AQ770" s="351">
        <v>128</v>
      </c>
      <c r="AR770" s="351">
        <v>123</v>
      </c>
      <c r="AS770" s="351">
        <v>136</v>
      </c>
      <c r="AT770" s="46">
        <v>500</v>
      </c>
      <c r="AU770" s="805">
        <v>128</v>
      </c>
      <c r="AV770" s="203"/>
      <c r="AW770" s="203"/>
      <c r="AX770" s="203"/>
      <c r="AY770" s="108"/>
      <c r="AZ770" s="203"/>
      <c r="BA770" s="203"/>
      <c r="BB770" s="203"/>
      <c r="BC770" s="203"/>
      <c r="BD770" s="108"/>
      <c r="BE770" s="108"/>
      <c r="BF770" s="108"/>
      <c r="BG770" s="108"/>
      <c r="BH770" s="351"/>
    </row>
    <row r="771" spans="1:60" s="345" customFormat="1" hidden="1" outlineLevel="1" x14ac:dyDescent="0.35">
      <c r="A771" s="350" t="s">
        <v>940</v>
      </c>
      <c r="B771" s="317"/>
      <c r="C771" s="108"/>
      <c r="D771" s="108"/>
      <c r="E771" s="108"/>
      <c r="F771" s="108"/>
      <c r="G771" s="203"/>
      <c r="H771" s="203"/>
      <c r="I771" s="203"/>
      <c r="J771" s="203"/>
      <c r="K771" s="108"/>
      <c r="L771" s="203"/>
      <c r="M771" s="203"/>
      <c r="N771" s="203"/>
      <c r="O771" s="203"/>
      <c r="P771" s="108"/>
      <c r="Q771" s="203"/>
      <c r="R771" s="203"/>
      <c r="S771" s="203"/>
      <c r="T771" s="203"/>
      <c r="U771" s="108"/>
      <c r="V771" s="203"/>
      <c r="W771" s="203"/>
      <c r="X771" s="203"/>
      <c r="Y771" s="203"/>
      <c r="Z771" s="108"/>
      <c r="AA771" s="203"/>
      <c r="AB771" s="203"/>
      <c r="AC771" s="203"/>
      <c r="AD771" s="203"/>
      <c r="AE771" s="108"/>
      <c r="AF771" s="203"/>
      <c r="AG771" s="203"/>
      <c r="AH771" s="203"/>
      <c r="AI771" s="203"/>
      <c r="AJ771" s="108"/>
      <c r="AK771" s="351">
        <v>-36</v>
      </c>
      <c r="AL771" s="351">
        <v>1</v>
      </c>
      <c r="AM771" s="351">
        <v>-38</v>
      </c>
      <c r="AN771" s="351">
        <f t="shared" si="1034"/>
        <v>5</v>
      </c>
      <c r="AO771" s="46">
        <v>-68</v>
      </c>
      <c r="AP771" s="351">
        <v>-17</v>
      </c>
      <c r="AQ771" s="351">
        <v>-17</v>
      </c>
      <c r="AR771" s="351">
        <v>-19</v>
      </c>
      <c r="AS771" s="351">
        <v>3</v>
      </c>
      <c r="AT771" s="46">
        <v>-50</v>
      </c>
      <c r="AU771" s="805">
        <v>-79</v>
      </c>
      <c r="AV771" s="203"/>
      <c r="AW771" s="203"/>
      <c r="AX771" s="203"/>
      <c r="AY771" s="108"/>
      <c r="AZ771" s="203"/>
      <c r="BA771" s="203"/>
      <c r="BB771" s="203"/>
      <c r="BC771" s="203"/>
      <c r="BD771" s="108"/>
      <c r="BE771" s="108"/>
      <c r="BF771" s="108"/>
      <c r="BG771" s="108"/>
      <c r="BH771" s="351"/>
    </row>
    <row r="772" spans="1:60" s="345" customFormat="1" hidden="1" outlineLevel="1" x14ac:dyDescent="0.35">
      <c r="A772" s="350" t="s">
        <v>385</v>
      </c>
      <c r="B772" s="317"/>
      <c r="C772" s="108"/>
      <c r="D772" s="108"/>
      <c r="E772" s="108"/>
      <c r="F772" s="108"/>
      <c r="G772" s="203"/>
      <c r="H772" s="203"/>
      <c r="I772" s="203"/>
      <c r="J772" s="203"/>
      <c r="K772" s="108"/>
      <c r="L772" s="203"/>
      <c r="M772" s="203"/>
      <c r="N772" s="203"/>
      <c r="O772" s="203"/>
      <c r="P772" s="108"/>
      <c r="Q772" s="203"/>
      <c r="R772" s="203"/>
      <c r="S772" s="203"/>
      <c r="T772" s="203"/>
      <c r="U772" s="108"/>
      <c r="V772" s="203"/>
      <c r="W772" s="203"/>
      <c r="X772" s="203"/>
      <c r="Y772" s="203"/>
      <c r="Z772" s="108"/>
      <c r="AA772" s="203"/>
      <c r="AB772" s="203"/>
      <c r="AC772" s="203"/>
      <c r="AD772" s="203"/>
      <c r="AE772" s="108"/>
      <c r="AF772" s="203"/>
      <c r="AG772" s="203"/>
      <c r="AH772" s="203"/>
      <c r="AI772" s="203"/>
      <c r="AJ772" s="108"/>
      <c r="AK772" s="203"/>
      <c r="AL772" s="351">
        <v>162</v>
      </c>
      <c r="AM772" s="203"/>
      <c r="AN772" s="351">
        <f t="shared" si="1034"/>
        <v>0</v>
      </c>
      <c r="AO772" s="46">
        <v>162</v>
      </c>
      <c r="AP772" s="203"/>
      <c r="AQ772" s="203"/>
      <c r="AR772" s="203"/>
      <c r="AS772" s="203"/>
      <c r="AT772" s="108"/>
      <c r="AU772" s="790"/>
      <c r="AV772" s="203"/>
      <c r="AW772" s="203"/>
      <c r="AX772" s="203"/>
      <c r="AY772" s="108"/>
      <c r="AZ772" s="203"/>
      <c r="BA772" s="203"/>
      <c r="BB772" s="203"/>
      <c r="BC772" s="203"/>
      <c r="BD772" s="108"/>
      <c r="BE772" s="108"/>
      <c r="BF772" s="108"/>
      <c r="BG772" s="108"/>
      <c r="BH772" s="351"/>
    </row>
    <row r="773" spans="1:60" s="345" customFormat="1" hidden="1" outlineLevel="1" x14ac:dyDescent="0.35">
      <c r="A773" s="350" t="s">
        <v>941</v>
      </c>
      <c r="B773" s="317"/>
      <c r="C773" s="108"/>
      <c r="D773" s="108"/>
      <c r="E773" s="108"/>
      <c r="F773" s="108"/>
      <c r="G773" s="203"/>
      <c r="H773" s="203"/>
      <c r="I773" s="203"/>
      <c r="J773" s="203"/>
      <c r="K773" s="108"/>
      <c r="L773" s="203"/>
      <c r="M773" s="203"/>
      <c r="N773" s="203"/>
      <c r="O773" s="203"/>
      <c r="P773" s="108"/>
      <c r="Q773" s="203"/>
      <c r="R773" s="203"/>
      <c r="S773" s="203"/>
      <c r="T773" s="203"/>
      <c r="U773" s="108"/>
      <c r="V773" s="203"/>
      <c r="W773" s="203"/>
      <c r="X773" s="203"/>
      <c r="Y773" s="203"/>
      <c r="Z773" s="108"/>
      <c r="AA773" s="203"/>
      <c r="AB773" s="203"/>
      <c r="AC773" s="203"/>
      <c r="AD773" s="203"/>
      <c r="AE773" s="108"/>
      <c r="AF773" s="203"/>
      <c r="AG773" s="203"/>
      <c r="AH773" s="203"/>
      <c r="AI773" s="203"/>
      <c r="AJ773" s="108"/>
      <c r="AK773" s="351">
        <v>375</v>
      </c>
      <c r="AL773" s="351">
        <v>376</v>
      </c>
      <c r="AM773" s="351">
        <v>379</v>
      </c>
      <c r="AN773" s="351">
        <f t="shared" si="1034"/>
        <v>463</v>
      </c>
      <c r="AO773" s="46">
        <v>1593</v>
      </c>
      <c r="AP773" s="351">
        <v>440</v>
      </c>
      <c r="AQ773" s="351">
        <v>492</v>
      </c>
      <c r="AR773" s="351">
        <v>481</v>
      </c>
      <c r="AS773" s="351">
        <v>498</v>
      </c>
      <c r="AT773" s="46">
        <v>1911</v>
      </c>
      <c r="AU773" s="805">
        <v>460</v>
      </c>
      <c r="AV773" s="203"/>
      <c r="AW773" s="203"/>
      <c r="AX773" s="203"/>
      <c r="AY773" s="108"/>
      <c r="AZ773" s="203"/>
      <c r="BA773" s="203"/>
      <c r="BB773" s="203"/>
      <c r="BC773" s="203"/>
      <c r="BD773" s="108"/>
      <c r="BE773" s="108"/>
      <c r="BF773" s="108"/>
      <c r="BG773" s="108"/>
      <c r="BH773" s="351"/>
    </row>
    <row r="774" spans="1:60" s="345" customFormat="1" hidden="1" outlineLevel="1" x14ac:dyDescent="0.35">
      <c r="A774" s="350" t="s">
        <v>942</v>
      </c>
      <c r="B774" s="317"/>
      <c r="C774" s="108"/>
      <c r="D774" s="108"/>
      <c r="E774" s="108"/>
      <c r="F774" s="108"/>
      <c r="G774" s="203"/>
      <c r="H774" s="203"/>
      <c r="I774" s="203"/>
      <c r="J774" s="203"/>
      <c r="K774" s="108"/>
      <c r="L774" s="203"/>
      <c r="M774" s="203"/>
      <c r="N774" s="203"/>
      <c r="O774" s="203"/>
      <c r="P774" s="108"/>
      <c r="Q774" s="203"/>
      <c r="R774" s="203"/>
      <c r="S774" s="203"/>
      <c r="T774" s="203"/>
      <c r="U774" s="108"/>
      <c r="V774" s="203"/>
      <c r="W774" s="203"/>
      <c r="X774" s="203"/>
      <c r="Y774" s="203"/>
      <c r="Z774" s="108"/>
      <c r="AA774" s="203"/>
      <c r="AB774" s="203"/>
      <c r="AC774" s="203"/>
      <c r="AD774" s="203"/>
      <c r="AE774" s="108"/>
      <c r="AF774" s="203"/>
      <c r="AG774" s="203"/>
      <c r="AH774" s="203"/>
      <c r="AI774" s="203"/>
      <c r="AJ774" s="108"/>
      <c r="AK774" s="351">
        <v>548</v>
      </c>
      <c r="AL774" s="203"/>
      <c r="AM774" s="203"/>
      <c r="AN774" s="351">
        <f t="shared" si="1034"/>
        <v>214</v>
      </c>
      <c r="AO774" s="46">
        <v>762</v>
      </c>
      <c r="AP774" s="351">
        <v>17</v>
      </c>
      <c r="AQ774" s="203"/>
      <c r="AR774" s="203"/>
      <c r="AS774" s="203"/>
      <c r="AT774" s="46">
        <v>17</v>
      </c>
      <c r="AU774" s="790"/>
      <c r="AV774" s="203"/>
      <c r="AW774" s="203"/>
      <c r="AX774" s="203"/>
      <c r="AY774" s="108"/>
      <c r="AZ774" s="203"/>
      <c r="BA774" s="203"/>
      <c r="BB774" s="203"/>
      <c r="BC774" s="203"/>
      <c r="BD774" s="108"/>
      <c r="BE774" s="108"/>
      <c r="BF774" s="108"/>
      <c r="BG774" s="108"/>
      <c r="BH774" s="351"/>
    </row>
    <row r="775" spans="1:60" s="345" customFormat="1" hidden="1" outlineLevel="1" x14ac:dyDescent="0.35">
      <c r="A775" s="350" t="s">
        <v>943</v>
      </c>
      <c r="B775" s="317"/>
      <c r="C775" s="108"/>
      <c r="D775" s="108"/>
      <c r="E775" s="108"/>
      <c r="F775" s="108"/>
      <c r="G775" s="203"/>
      <c r="H775" s="203"/>
      <c r="I775" s="203"/>
      <c r="J775" s="203"/>
      <c r="K775" s="108"/>
      <c r="L775" s="203"/>
      <c r="M775" s="203"/>
      <c r="N775" s="203"/>
      <c r="O775" s="203"/>
      <c r="P775" s="108"/>
      <c r="Q775" s="203"/>
      <c r="R775" s="203"/>
      <c r="S775" s="203"/>
      <c r="T775" s="203"/>
      <c r="U775" s="108"/>
      <c r="V775" s="203"/>
      <c r="W775" s="203"/>
      <c r="X775" s="203"/>
      <c r="Y775" s="203"/>
      <c r="Z775" s="108"/>
      <c r="AA775" s="203"/>
      <c r="AB775" s="203"/>
      <c r="AC775" s="203"/>
      <c r="AD775" s="203"/>
      <c r="AE775" s="108"/>
      <c r="AF775" s="203"/>
      <c r="AG775" s="203"/>
      <c r="AH775" s="203"/>
      <c r="AI775" s="203"/>
      <c r="AJ775" s="108"/>
      <c r="AK775" s="351">
        <v>-8</v>
      </c>
      <c r="AL775" s="203"/>
      <c r="AM775" s="351">
        <v>-106</v>
      </c>
      <c r="AN775" s="351">
        <f t="shared" si="1034"/>
        <v>0</v>
      </c>
      <c r="AO775" s="46">
        <v>-114</v>
      </c>
      <c r="AP775" s="351">
        <v>-2</v>
      </c>
      <c r="AQ775" s="351">
        <v>-387</v>
      </c>
      <c r="AR775" s="203"/>
      <c r="AS775" s="203"/>
      <c r="AT775" s="46">
        <v>-389</v>
      </c>
      <c r="AU775" s="790"/>
      <c r="AV775" s="203"/>
      <c r="AW775" s="203"/>
      <c r="AX775" s="203"/>
      <c r="AY775" s="108"/>
      <c r="AZ775" s="203"/>
      <c r="BA775" s="203"/>
      <c r="BB775" s="203"/>
      <c r="BC775" s="203"/>
      <c r="BD775" s="108"/>
      <c r="BE775" s="108"/>
      <c r="BF775" s="108"/>
      <c r="BG775" s="108"/>
      <c r="BH775" s="351"/>
    </row>
    <row r="776" spans="1:60" s="345" customFormat="1" hidden="1" outlineLevel="1" x14ac:dyDescent="0.35">
      <c r="A776" s="91" t="s">
        <v>944</v>
      </c>
      <c r="B776" s="467"/>
      <c r="C776" s="124"/>
      <c r="D776" s="124"/>
      <c r="E776" s="124"/>
      <c r="F776" s="124"/>
      <c r="G776" s="123"/>
      <c r="H776" s="123"/>
      <c r="I776" s="123"/>
      <c r="J776" s="123"/>
      <c r="K776" s="124"/>
      <c r="L776" s="123"/>
      <c r="M776" s="123"/>
      <c r="N776" s="123"/>
      <c r="O776" s="123"/>
      <c r="P776" s="124"/>
      <c r="Q776" s="123"/>
      <c r="R776" s="123"/>
      <c r="S776" s="123"/>
      <c r="T776" s="123"/>
      <c r="U776" s="124"/>
      <c r="V776" s="123"/>
      <c r="W776" s="123"/>
      <c r="X776" s="123"/>
      <c r="Y776" s="123"/>
      <c r="Z776" s="124"/>
      <c r="AA776" s="123"/>
      <c r="AB776" s="123"/>
      <c r="AC776" s="123"/>
      <c r="AD776" s="123"/>
      <c r="AE776" s="124"/>
      <c r="AF776" s="123"/>
      <c r="AG776" s="123"/>
      <c r="AH776" s="123"/>
      <c r="AI776" s="123"/>
      <c r="AJ776" s="124"/>
      <c r="AK776" s="123"/>
      <c r="AL776" s="123"/>
      <c r="AM776" s="123"/>
      <c r="AN776" s="80">
        <f t="shared" si="1034"/>
        <v>0</v>
      </c>
      <c r="AO776" s="124"/>
      <c r="AP776" s="123"/>
      <c r="AQ776" s="80">
        <v>55</v>
      </c>
      <c r="AR776" s="123"/>
      <c r="AS776" s="123"/>
      <c r="AT776" s="67">
        <v>55</v>
      </c>
      <c r="AU776" s="791"/>
      <c r="AV776" s="123"/>
      <c r="AW776" s="123"/>
      <c r="AX776" s="123"/>
      <c r="AY776" s="124"/>
      <c r="AZ776" s="123"/>
      <c r="BA776" s="123"/>
      <c r="BB776" s="123"/>
      <c r="BC776" s="123"/>
      <c r="BD776" s="124"/>
      <c r="BE776" s="124"/>
      <c r="BF776" s="124"/>
      <c r="BG776" s="124"/>
      <c r="BH776" s="351"/>
    </row>
    <row r="777" spans="1:60" s="69" customFormat="1" hidden="1" outlineLevel="1" x14ac:dyDescent="0.35">
      <c r="A777" s="90" t="s">
        <v>338</v>
      </c>
      <c r="B777" s="427"/>
      <c r="C777" s="112"/>
      <c r="D777" s="112"/>
      <c r="E777" s="112"/>
      <c r="F777" s="112"/>
      <c r="G777" s="111"/>
      <c r="H777" s="111"/>
      <c r="I777" s="111"/>
      <c r="J777" s="111"/>
      <c r="K777" s="112"/>
      <c r="L777" s="111"/>
      <c r="M777" s="111"/>
      <c r="N777" s="111"/>
      <c r="O777" s="111"/>
      <c r="P777" s="112"/>
      <c r="Q777" s="111"/>
      <c r="R777" s="111"/>
      <c r="S777" s="111"/>
      <c r="T777" s="111"/>
      <c r="U777" s="112"/>
      <c r="V777" s="111"/>
      <c r="W777" s="111"/>
      <c r="X777" s="111"/>
      <c r="Y777" s="111"/>
      <c r="Z777" s="112"/>
      <c r="AA777" s="111"/>
      <c r="AB777" s="111"/>
      <c r="AC777" s="111"/>
      <c r="AD777" s="111"/>
      <c r="AE777" s="112"/>
      <c r="AF777" s="111"/>
      <c r="AG777" s="111"/>
      <c r="AH777" s="111"/>
      <c r="AI777" s="111"/>
      <c r="AJ777" s="112"/>
      <c r="AK777" s="79">
        <f t="shared" ref="AK777:AO777" si="1035">SUM(AK766:AK776)</f>
        <v>2051</v>
      </c>
      <c r="AL777" s="79">
        <f t="shared" si="1035"/>
        <v>2078</v>
      </c>
      <c r="AM777" s="79">
        <f t="shared" si="1035"/>
        <v>2284</v>
      </c>
      <c r="AN777" s="79">
        <f t="shared" si="1035"/>
        <v>2002</v>
      </c>
      <c r="AO777" s="70">
        <f t="shared" si="1035"/>
        <v>8415</v>
      </c>
      <c r="AP777" s="79">
        <f t="shared" ref="AP777:AQ777" si="1036">SUM(AP766:AP776)</f>
        <v>2118</v>
      </c>
      <c r="AQ777" s="79">
        <f t="shared" si="1036"/>
        <v>1900</v>
      </c>
      <c r="AR777" s="79">
        <f>SUM(AR766:AR776)</f>
        <v>2390</v>
      </c>
      <c r="AS777" s="79">
        <f t="shared" ref="AS777:AU777" si="1037">SUM(AS766:AS776)</f>
        <v>2347</v>
      </c>
      <c r="AT777" s="70">
        <f t="shared" si="1037"/>
        <v>8755</v>
      </c>
      <c r="AU777" s="803">
        <f t="shared" si="1037"/>
        <v>2454</v>
      </c>
      <c r="AV777" s="111"/>
      <c r="AW777" s="111"/>
      <c r="AX777" s="111"/>
      <c r="AY777" s="112"/>
      <c r="AZ777" s="111"/>
      <c r="BA777" s="111"/>
      <c r="BB777" s="111"/>
      <c r="BC777" s="111"/>
      <c r="BD777" s="112"/>
      <c r="BE777" s="112"/>
      <c r="BF777" s="112"/>
      <c r="BG777" s="112"/>
      <c r="BH777" s="79"/>
    </row>
    <row r="778" spans="1:60" s="69" customFormat="1" hidden="1" outlineLevel="1" x14ac:dyDescent="0.35">
      <c r="A778" s="426"/>
      <c r="B778" s="427"/>
      <c r="C778" s="112"/>
      <c r="D778" s="112"/>
      <c r="E778" s="112"/>
      <c r="F778" s="112"/>
      <c r="G778" s="111"/>
      <c r="H778" s="111"/>
      <c r="I778" s="111"/>
      <c r="J778" s="111"/>
      <c r="K778" s="112"/>
      <c r="L778" s="111"/>
      <c r="M778" s="111"/>
      <c r="N778" s="111"/>
      <c r="O778" s="111"/>
      <c r="P778" s="112"/>
      <c r="Q778" s="111"/>
      <c r="R778" s="111"/>
      <c r="S778" s="111"/>
      <c r="T778" s="111"/>
      <c r="U778" s="112"/>
      <c r="V778" s="111"/>
      <c r="W778" s="111"/>
      <c r="X778" s="111"/>
      <c r="Y778" s="111"/>
      <c r="Z778" s="112"/>
      <c r="AA778" s="111"/>
      <c r="AB778" s="111"/>
      <c r="AC778" s="111"/>
      <c r="AD778" s="111"/>
      <c r="AE778" s="112"/>
      <c r="AF778" s="111"/>
      <c r="AG778" s="111"/>
      <c r="AH778" s="111"/>
      <c r="AI778" s="111"/>
      <c r="AJ778" s="112"/>
      <c r="AK778" s="111"/>
      <c r="AL778" s="111"/>
      <c r="AM778" s="111"/>
      <c r="AN778" s="111"/>
      <c r="AO778" s="112"/>
      <c r="AP778" s="111"/>
      <c r="AQ778" s="111"/>
      <c r="AR778" s="111"/>
      <c r="AS778" s="111"/>
      <c r="AT778" s="112"/>
      <c r="AU778" s="792"/>
      <c r="AV778" s="111"/>
      <c r="AW778" s="111"/>
      <c r="AX778" s="111"/>
      <c r="AY778" s="112"/>
      <c r="AZ778" s="111"/>
      <c r="BA778" s="111"/>
      <c r="BB778" s="111"/>
      <c r="BC778" s="111"/>
      <c r="BD778" s="112"/>
      <c r="BE778" s="112"/>
      <c r="BF778" s="112"/>
      <c r="BG778" s="112"/>
      <c r="BH778" s="79"/>
    </row>
    <row r="779" spans="1:60" s="345" customFormat="1" hidden="1" outlineLevel="1" x14ac:dyDescent="0.35">
      <c r="A779" s="537" t="s">
        <v>571</v>
      </c>
      <c r="B779" s="317"/>
      <c r="C779" s="108">
        <v>181</v>
      </c>
      <c r="D779" s="108">
        <v>176</v>
      </c>
      <c r="E779" s="108">
        <v>235</v>
      </c>
      <c r="F779" s="108">
        <v>233</v>
      </c>
      <c r="G779" s="203">
        <v>60</v>
      </c>
      <c r="H779" s="203">
        <v>60</v>
      </c>
      <c r="I779" s="203">
        <v>59</v>
      </c>
      <c r="J779" s="203">
        <f>K779-SUM(G779,H779,I779)</f>
        <v>57</v>
      </c>
      <c r="K779" s="108">
        <v>236</v>
      </c>
      <c r="L779" s="203">
        <v>57</v>
      </c>
      <c r="M779" s="203">
        <v>57</v>
      </c>
      <c r="N779" s="203">
        <v>56</v>
      </c>
      <c r="O779" s="203">
        <f>P779-SUM(L779,M779,N779)</f>
        <v>58</v>
      </c>
      <c r="P779" s="108">
        <v>228</v>
      </c>
      <c r="Q779" s="203">
        <v>53</v>
      </c>
      <c r="R779" s="203">
        <v>50</v>
      </c>
      <c r="S779" s="203">
        <v>66</v>
      </c>
      <c r="T779" s="203">
        <f>U779-SUM(Q779,R779,S779)</f>
        <v>60</v>
      </c>
      <c r="U779" s="108">
        <v>229</v>
      </c>
      <c r="V779" s="203">
        <v>66</v>
      </c>
      <c r="W779" s="203">
        <v>66</v>
      </c>
      <c r="X779" s="203">
        <v>63</v>
      </c>
      <c r="Y779" s="203">
        <f>Z779-SUM(V779,W779,X779)</f>
        <v>67</v>
      </c>
      <c r="Z779" s="108">
        <v>262</v>
      </c>
      <c r="AA779" s="203">
        <v>64</v>
      </c>
      <c r="AB779" s="203">
        <v>47</v>
      </c>
      <c r="AC779" s="203">
        <v>51</v>
      </c>
      <c r="AD779" s="203">
        <f>AE779-SUM(AA779,AB779,AC779)</f>
        <v>76</v>
      </c>
      <c r="AE779" s="108">
        <v>238</v>
      </c>
      <c r="AF779" s="203">
        <v>64</v>
      </c>
      <c r="AG779" s="203">
        <v>63</v>
      </c>
      <c r="AH779" s="203">
        <v>61</v>
      </c>
      <c r="AI779" s="203">
        <f>AJ779-SUM(AF779,AG779,AH779)</f>
        <v>61</v>
      </c>
      <c r="AJ779" s="108">
        <v>249</v>
      </c>
      <c r="AK779" s="203">
        <v>69</v>
      </c>
      <c r="AL779" s="203">
        <v>70</v>
      </c>
      <c r="AM779" s="203">
        <v>69</v>
      </c>
      <c r="AN779" s="203">
        <f>AO779-SUM(AK779,AL779,AM779)</f>
        <v>133</v>
      </c>
      <c r="AO779" s="108">
        <v>341</v>
      </c>
      <c r="AP779" s="203">
        <v>134</v>
      </c>
      <c r="AQ779" s="203">
        <v>134</v>
      </c>
      <c r="AR779" s="203">
        <v>137</v>
      </c>
      <c r="AS779" s="203">
        <f>AT779-SUM(AP779,AQ779,AR779)</f>
        <v>132</v>
      </c>
      <c r="AT779" s="108">
        <v>537</v>
      </c>
      <c r="AU779" s="790">
        <v>133</v>
      </c>
      <c r="AV779" s="203"/>
      <c r="AW779" s="203"/>
      <c r="AX779" s="203"/>
      <c r="AY779" s="108"/>
      <c r="AZ779" s="203"/>
      <c r="BA779" s="203"/>
      <c r="BB779" s="203"/>
      <c r="BC779" s="203"/>
      <c r="BD779" s="108"/>
      <c r="BE779" s="108"/>
      <c r="BF779" s="108"/>
      <c r="BG779" s="108"/>
      <c r="BH779" s="351"/>
    </row>
    <row r="780" spans="1:60" s="69" customFormat="1" hidden="1" outlineLevel="1" x14ac:dyDescent="0.35">
      <c r="A780" s="426"/>
      <c r="B780" s="427"/>
      <c r="C780" s="112"/>
      <c r="D780" s="112"/>
      <c r="E780" s="112"/>
      <c r="F780" s="112"/>
      <c r="G780" s="111"/>
      <c r="H780" s="111"/>
      <c r="I780" s="111"/>
      <c r="J780" s="111"/>
      <c r="K780" s="112"/>
      <c r="L780" s="111"/>
      <c r="M780" s="111"/>
      <c r="N780" s="111"/>
      <c r="O780" s="111"/>
      <c r="P780" s="112"/>
      <c r="Q780" s="111"/>
      <c r="R780" s="111"/>
      <c r="S780" s="111"/>
      <c r="T780" s="111"/>
      <c r="U780" s="112"/>
      <c r="V780" s="111"/>
      <c r="W780" s="111"/>
      <c r="X780" s="111"/>
      <c r="Y780" s="111"/>
      <c r="Z780" s="112"/>
      <c r="AA780" s="111"/>
      <c r="AB780" s="111"/>
      <c r="AC780" s="111"/>
      <c r="AD780" s="111"/>
      <c r="AE780" s="112"/>
      <c r="AF780" s="111"/>
      <c r="AG780" s="111"/>
      <c r="AH780" s="111"/>
      <c r="AI780" s="111"/>
      <c r="AJ780" s="112"/>
      <c r="AK780" s="111"/>
      <c r="AL780" s="111"/>
      <c r="AM780" s="111"/>
      <c r="AN780" s="111"/>
      <c r="AO780" s="112"/>
      <c r="AP780" s="111"/>
      <c r="AQ780" s="111"/>
      <c r="AR780" s="111"/>
      <c r="AS780" s="111"/>
      <c r="AT780" s="112"/>
      <c r="AU780" s="792"/>
      <c r="AV780" s="111"/>
      <c r="AW780" s="111"/>
      <c r="AX780" s="111"/>
      <c r="AY780" s="112"/>
      <c r="AZ780" s="111"/>
      <c r="BA780" s="111"/>
      <c r="BB780" s="111"/>
      <c r="BC780" s="111"/>
      <c r="BD780" s="112"/>
      <c r="BE780" s="112"/>
      <c r="BF780" s="112"/>
      <c r="BG780" s="112"/>
      <c r="BH780" s="79"/>
    </row>
    <row r="781" spans="1:60" s="345" customFormat="1" hidden="1" outlineLevel="1" x14ac:dyDescent="0.35">
      <c r="A781" s="316" t="s">
        <v>567</v>
      </c>
      <c r="B781" s="317"/>
      <c r="C781" s="108">
        <v>38</v>
      </c>
      <c r="D781" s="108">
        <v>31</v>
      </c>
      <c r="E781" s="108">
        <v>29</v>
      </c>
      <c r="F781" s="108">
        <v>27</v>
      </c>
      <c r="G781" s="203">
        <v>12</v>
      </c>
      <c r="H781" s="203">
        <v>6</v>
      </c>
      <c r="I781" s="203">
        <v>5</v>
      </c>
      <c r="J781" s="203">
        <f>K781-SUM(G781,H781,I781)</f>
        <v>4</v>
      </c>
      <c r="K781" s="108">
        <v>27</v>
      </c>
      <c r="L781" s="203">
        <v>22</v>
      </c>
      <c r="M781" s="203">
        <v>11</v>
      </c>
      <c r="N781" s="203">
        <v>9</v>
      </c>
      <c r="O781" s="203">
        <f>P781-SUM(L781,M781,N781)</f>
        <v>5</v>
      </c>
      <c r="P781" s="108">
        <v>47</v>
      </c>
      <c r="Q781" s="203">
        <v>23</v>
      </c>
      <c r="R781" s="203">
        <v>8</v>
      </c>
      <c r="S781" s="203">
        <v>8</v>
      </c>
      <c r="T781" s="203">
        <f>U781-SUM(Q781,R781,S781)</f>
        <v>7</v>
      </c>
      <c r="U781" s="108">
        <v>46</v>
      </c>
      <c r="V781" s="203">
        <v>23</v>
      </c>
      <c r="W781" s="203">
        <v>8</v>
      </c>
      <c r="X781" s="203">
        <v>8</v>
      </c>
      <c r="Y781" s="203">
        <f>Z781-SUM(V781,W781,X781)</f>
        <v>8</v>
      </c>
      <c r="Z781" s="108">
        <v>47</v>
      </c>
      <c r="AA781" s="203">
        <v>23</v>
      </c>
      <c r="AB781" s="203">
        <v>9</v>
      </c>
      <c r="AC781" s="203">
        <v>9</v>
      </c>
      <c r="AD781" s="203">
        <f>AE781-SUM(AA781,AB781,AC781)</f>
        <v>8</v>
      </c>
      <c r="AE781" s="108">
        <v>49</v>
      </c>
      <c r="AF781" s="203">
        <v>23</v>
      </c>
      <c r="AG781" s="203">
        <v>9</v>
      </c>
      <c r="AH781" s="203">
        <v>8</v>
      </c>
      <c r="AI781" s="203">
        <f>AJ781-SUM(AF781,AG781,AH781)</f>
        <v>8</v>
      </c>
      <c r="AJ781" s="108">
        <v>48</v>
      </c>
      <c r="AK781" s="203">
        <v>22</v>
      </c>
      <c r="AL781" s="203">
        <v>9</v>
      </c>
      <c r="AM781" s="203">
        <v>8</v>
      </c>
      <c r="AN781" s="203">
        <f>AO781-SUM(AK781,AL781,AM781)</f>
        <v>8</v>
      </c>
      <c r="AO781" s="108">
        <v>47</v>
      </c>
      <c r="AP781" s="203">
        <v>22</v>
      </c>
      <c r="AQ781" s="203">
        <v>10</v>
      </c>
      <c r="AR781" s="203">
        <v>9</v>
      </c>
      <c r="AS781" s="203">
        <f>AT781-SUM(AP781,AQ781,AR781)</f>
        <v>9</v>
      </c>
      <c r="AT781" s="108">
        <v>50</v>
      </c>
      <c r="AU781" s="790">
        <v>22</v>
      </c>
      <c r="AV781" s="954">
        <f>Drivers!AV91</f>
        <v>8</v>
      </c>
      <c r="AW781" s="954">
        <f>Drivers!AW91</f>
        <v>8</v>
      </c>
      <c r="AX781" s="954">
        <f>Drivers!AX91</f>
        <v>8</v>
      </c>
      <c r="AY781" s="108">
        <f>SUM(AU781,AV781,AW781,AX781)</f>
        <v>46</v>
      </c>
      <c r="AZ781" s="954">
        <f>Drivers!AZ91</f>
        <v>25</v>
      </c>
      <c r="BA781" s="954">
        <f>Drivers!BA91</f>
        <v>8</v>
      </c>
      <c r="BB781" s="954">
        <f>Drivers!BB91</f>
        <v>8</v>
      </c>
      <c r="BC781" s="954">
        <f>Drivers!BC91</f>
        <v>8</v>
      </c>
      <c r="BD781" s="108">
        <f>SUM(AZ781,BA781,BB781,BC781)</f>
        <v>49</v>
      </c>
      <c r="BE781" s="954">
        <f>Drivers!BE91</f>
        <v>50</v>
      </c>
      <c r="BF781" s="954">
        <f>Drivers!BF91</f>
        <v>50</v>
      </c>
      <c r="BG781" s="954">
        <f>Drivers!BG91</f>
        <v>50</v>
      </c>
      <c r="BH781" s="351"/>
    </row>
    <row r="782" spans="1:60" s="345" customFormat="1" hidden="1" outlineLevel="1" x14ac:dyDescent="0.35">
      <c r="A782" s="316" t="s">
        <v>568</v>
      </c>
      <c r="B782" s="317"/>
      <c r="C782" s="108">
        <v>144</v>
      </c>
      <c r="D782" s="108">
        <v>209</v>
      </c>
      <c r="E782" s="108">
        <v>192</v>
      </c>
      <c r="F782" s="108">
        <v>167</v>
      </c>
      <c r="G782" s="203">
        <v>77</v>
      </c>
      <c r="H782" s="203">
        <v>36</v>
      </c>
      <c r="I782" s="203">
        <v>36</v>
      </c>
      <c r="J782" s="203">
        <f>K782-SUM(G782,H782,I782)</f>
        <v>34</v>
      </c>
      <c r="K782" s="108">
        <v>183</v>
      </c>
      <c r="L782" s="203">
        <v>77</v>
      </c>
      <c r="M782" s="203">
        <v>35</v>
      </c>
      <c r="N782" s="203">
        <v>31</v>
      </c>
      <c r="O782" s="203">
        <f>P782-SUM(L782,M782,N782)</f>
        <v>49</v>
      </c>
      <c r="P782" s="108">
        <v>192</v>
      </c>
      <c r="Q782" s="203">
        <v>88</v>
      </c>
      <c r="R782" s="203">
        <v>35</v>
      </c>
      <c r="S782" s="203">
        <v>31</v>
      </c>
      <c r="T782" s="203">
        <f>U782-SUM(Q782,R782,S782)</f>
        <v>31</v>
      </c>
      <c r="U782" s="108">
        <v>185</v>
      </c>
      <c r="V782" s="203">
        <v>96</v>
      </c>
      <c r="W782" s="203">
        <v>34</v>
      </c>
      <c r="X782" s="203">
        <v>36</v>
      </c>
      <c r="Y782" s="203">
        <f>Z782-SUM(V782,W782,X782)</f>
        <v>40</v>
      </c>
      <c r="Z782" s="108">
        <v>206</v>
      </c>
      <c r="AA782" s="203">
        <v>98</v>
      </c>
      <c r="AB782" s="203">
        <v>43</v>
      </c>
      <c r="AC782" s="203">
        <v>45</v>
      </c>
      <c r="AD782" s="203">
        <f>AE782-SUM(AA782,AB782,AC782)</f>
        <v>43</v>
      </c>
      <c r="AE782" s="108">
        <v>229</v>
      </c>
      <c r="AF782" s="203">
        <v>109</v>
      </c>
      <c r="AG782" s="203">
        <v>33</v>
      </c>
      <c r="AH782" s="203">
        <v>35</v>
      </c>
      <c r="AI782" s="203">
        <f>AJ782-SUM(AF782,AG782,AH782)</f>
        <v>30</v>
      </c>
      <c r="AJ782" s="108">
        <v>207</v>
      </c>
      <c r="AK782" s="203">
        <v>82</v>
      </c>
      <c r="AL782" s="203">
        <v>36</v>
      </c>
      <c r="AM782" s="203">
        <v>33</v>
      </c>
      <c r="AN782" s="203">
        <f>AO782-SUM(AK782,AL782,AM782)</f>
        <v>34</v>
      </c>
      <c r="AO782" s="108">
        <v>185</v>
      </c>
      <c r="AP782" s="203">
        <v>73</v>
      </c>
      <c r="AQ782" s="203">
        <v>35</v>
      </c>
      <c r="AR782" s="203">
        <v>30</v>
      </c>
      <c r="AS782" s="203">
        <f>AT782-SUM(AP782,AQ782,AR782)</f>
        <v>31</v>
      </c>
      <c r="AT782" s="108">
        <v>169</v>
      </c>
      <c r="AU782" s="790">
        <v>84</v>
      </c>
      <c r="AV782" s="954">
        <f>Drivers!AV92</f>
        <v>35</v>
      </c>
      <c r="AW782" s="954">
        <f>Drivers!AW92</f>
        <v>35</v>
      </c>
      <c r="AX782" s="954">
        <f>Drivers!AX92</f>
        <v>35</v>
      </c>
      <c r="AY782" s="108">
        <f>SUM(AU782,AV782,AW782,AX782)</f>
        <v>189</v>
      </c>
      <c r="AZ782" s="954">
        <f>Drivers!AZ92</f>
        <v>85</v>
      </c>
      <c r="BA782" s="954">
        <f>Drivers!BA92</f>
        <v>35</v>
      </c>
      <c r="BB782" s="954">
        <f>Drivers!BB92</f>
        <v>35</v>
      </c>
      <c r="BC782" s="954">
        <f>Drivers!BC92</f>
        <v>35</v>
      </c>
      <c r="BD782" s="108">
        <f>SUM(AZ782,BA782,BB782,BC782)</f>
        <v>190</v>
      </c>
      <c r="BE782" s="954">
        <f>Drivers!BE92</f>
        <v>190</v>
      </c>
      <c r="BF782" s="954">
        <f>Drivers!BF92</f>
        <v>190</v>
      </c>
      <c r="BG782" s="954">
        <f>Drivers!BG92</f>
        <v>190</v>
      </c>
      <c r="BH782" s="351"/>
    </row>
    <row r="783" spans="1:60" s="345" customFormat="1" hidden="1" outlineLevel="1" x14ac:dyDescent="0.35">
      <c r="A783" s="316" t="s">
        <v>569</v>
      </c>
      <c r="B783" s="317"/>
      <c r="C783" s="108">
        <v>35</v>
      </c>
      <c r="D783" s="108">
        <v>34</v>
      </c>
      <c r="E783" s="108">
        <v>32</v>
      </c>
      <c r="F783" s="108">
        <v>29</v>
      </c>
      <c r="G783" s="203">
        <v>14</v>
      </c>
      <c r="H783" s="203">
        <v>5</v>
      </c>
      <c r="I783" s="203">
        <v>6</v>
      </c>
      <c r="J783" s="203">
        <f>K783-SUM(G783,H783,I783)</f>
        <v>5</v>
      </c>
      <c r="K783" s="108">
        <v>30</v>
      </c>
      <c r="L783" s="203">
        <v>23</v>
      </c>
      <c r="M783" s="203">
        <v>6</v>
      </c>
      <c r="N783" s="203">
        <v>7</v>
      </c>
      <c r="O783" s="203">
        <f>P783-SUM(L783,M783,N783)</f>
        <v>5</v>
      </c>
      <c r="P783" s="108">
        <v>41</v>
      </c>
      <c r="Q783" s="203">
        <v>27</v>
      </c>
      <c r="R783" s="203">
        <v>6</v>
      </c>
      <c r="S783" s="203">
        <v>7</v>
      </c>
      <c r="T783" s="203">
        <f>U783-SUM(Q783,R783,S783)</f>
        <v>5</v>
      </c>
      <c r="U783" s="108">
        <v>45</v>
      </c>
      <c r="V783" s="203">
        <v>25</v>
      </c>
      <c r="W783" s="203">
        <v>7</v>
      </c>
      <c r="X783" s="203">
        <v>7</v>
      </c>
      <c r="Y783" s="203">
        <f>Z783-SUM(V783,W783,X783)</f>
        <v>6</v>
      </c>
      <c r="Z783" s="108">
        <v>45</v>
      </c>
      <c r="AA783" s="203">
        <v>26</v>
      </c>
      <c r="AB783" s="203">
        <v>7</v>
      </c>
      <c r="AC783" s="203">
        <v>6</v>
      </c>
      <c r="AD783" s="203">
        <f>AE783-SUM(AA783,AB783,AC783)</f>
        <v>7</v>
      </c>
      <c r="AE783" s="108">
        <v>46</v>
      </c>
      <c r="AF783" s="203">
        <v>27</v>
      </c>
      <c r="AG783" s="203">
        <v>7</v>
      </c>
      <c r="AH783" s="203">
        <v>7</v>
      </c>
      <c r="AI783" s="203">
        <f>AJ783-SUM(AF783,AG783,AH783)</f>
        <v>6</v>
      </c>
      <c r="AJ783" s="108">
        <v>47</v>
      </c>
      <c r="AK783" s="203">
        <v>26</v>
      </c>
      <c r="AL783" s="203">
        <v>7</v>
      </c>
      <c r="AM783" s="203">
        <v>7</v>
      </c>
      <c r="AN783" s="203">
        <f>AO783-SUM(AK783,AL783,AM783)</f>
        <v>6</v>
      </c>
      <c r="AO783" s="108">
        <v>46</v>
      </c>
      <c r="AP783" s="203">
        <v>25</v>
      </c>
      <c r="AQ783" s="203">
        <v>7</v>
      </c>
      <c r="AR783" s="203">
        <v>5</v>
      </c>
      <c r="AS783" s="203">
        <f>AT783-SUM(AP783,AQ783,AR783)</f>
        <v>6</v>
      </c>
      <c r="AT783" s="108">
        <v>43</v>
      </c>
      <c r="AU783" s="790">
        <v>25</v>
      </c>
      <c r="AV783" s="954">
        <f>Drivers!AV93</f>
        <v>7</v>
      </c>
      <c r="AW783" s="954">
        <f>Drivers!AW93</f>
        <v>7</v>
      </c>
      <c r="AX783" s="954">
        <f>Drivers!AX93</f>
        <v>7</v>
      </c>
      <c r="AY783" s="108">
        <f>SUM(AU783,AV783,AW783,AX783)</f>
        <v>46</v>
      </c>
      <c r="AZ783" s="954">
        <f>Drivers!AZ93</f>
        <v>25</v>
      </c>
      <c r="BA783" s="954">
        <f>Drivers!BA93</f>
        <v>7</v>
      </c>
      <c r="BB783" s="954">
        <f>Drivers!BB93</f>
        <v>7</v>
      </c>
      <c r="BC783" s="954">
        <f>Drivers!BC93</f>
        <v>7</v>
      </c>
      <c r="BD783" s="108">
        <f>SUM(AZ783,BA783,BB783,BC783)</f>
        <v>46</v>
      </c>
      <c r="BE783" s="954">
        <f>Drivers!BE93</f>
        <v>45</v>
      </c>
      <c r="BF783" s="954">
        <f>Drivers!BF93</f>
        <v>45</v>
      </c>
      <c r="BG783" s="954">
        <f>Drivers!BG93</f>
        <v>45</v>
      </c>
      <c r="BH783" s="351"/>
    </row>
    <row r="784" spans="1:60" s="69" customFormat="1" hidden="1" outlineLevel="1" x14ac:dyDescent="0.35">
      <c r="A784" s="318" t="s">
        <v>570</v>
      </c>
      <c r="B784" s="319"/>
      <c r="C784" s="110">
        <f t="shared" ref="C784:AH784" si="1038">SUM(C781:C783)</f>
        <v>217</v>
      </c>
      <c r="D784" s="110">
        <f t="shared" si="1038"/>
        <v>274</v>
      </c>
      <c r="E784" s="110">
        <f t="shared" si="1038"/>
        <v>253</v>
      </c>
      <c r="F784" s="110">
        <f t="shared" si="1038"/>
        <v>223</v>
      </c>
      <c r="G784" s="109">
        <f t="shared" si="1038"/>
        <v>103</v>
      </c>
      <c r="H784" s="109">
        <f t="shared" si="1038"/>
        <v>47</v>
      </c>
      <c r="I784" s="109">
        <f t="shared" si="1038"/>
        <v>47</v>
      </c>
      <c r="J784" s="109">
        <f t="shared" si="1038"/>
        <v>43</v>
      </c>
      <c r="K784" s="110">
        <f t="shared" si="1038"/>
        <v>240</v>
      </c>
      <c r="L784" s="109">
        <f t="shared" si="1038"/>
        <v>122</v>
      </c>
      <c r="M784" s="109">
        <f t="shared" si="1038"/>
        <v>52</v>
      </c>
      <c r="N784" s="109">
        <f t="shared" si="1038"/>
        <v>47</v>
      </c>
      <c r="O784" s="109">
        <f t="shared" si="1038"/>
        <v>59</v>
      </c>
      <c r="P784" s="110">
        <f t="shared" si="1038"/>
        <v>280</v>
      </c>
      <c r="Q784" s="109">
        <f t="shared" si="1038"/>
        <v>138</v>
      </c>
      <c r="R784" s="109">
        <f t="shared" si="1038"/>
        <v>49</v>
      </c>
      <c r="S784" s="109">
        <f t="shared" si="1038"/>
        <v>46</v>
      </c>
      <c r="T784" s="109">
        <f t="shared" si="1038"/>
        <v>43</v>
      </c>
      <c r="U784" s="110">
        <f t="shared" si="1038"/>
        <v>276</v>
      </c>
      <c r="V784" s="109">
        <f t="shared" si="1038"/>
        <v>144</v>
      </c>
      <c r="W784" s="109">
        <f t="shared" si="1038"/>
        <v>49</v>
      </c>
      <c r="X784" s="109">
        <f t="shared" si="1038"/>
        <v>51</v>
      </c>
      <c r="Y784" s="109">
        <f t="shared" si="1038"/>
        <v>54</v>
      </c>
      <c r="Z784" s="110">
        <f t="shared" si="1038"/>
        <v>298</v>
      </c>
      <c r="AA784" s="109">
        <f t="shared" si="1038"/>
        <v>147</v>
      </c>
      <c r="AB784" s="109">
        <f t="shared" si="1038"/>
        <v>59</v>
      </c>
      <c r="AC784" s="109">
        <f t="shared" si="1038"/>
        <v>60</v>
      </c>
      <c r="AD784" s="109">
        <f t="shared" si="1038"/>
        <v>58</v>
      </c>
      <c r="AE784" s="110">
        <f t="shared" si="1038"/>
        <v>324</v>
      </c>
      <c r="AF784" s="109">
        <f t="shared" si="1038"/>
        <v>159</v>
      </c>
      <c r="AG784" s="109">
        <f t="shared" si="1038"/>
        <v>49</v>
      </c>
      <c r="AH784" s="109">
        <f t="shared" si="1038"/>
        <v>50</v>
      </c>
      <c r="AI784" s="109">
        <f t="shared" ref="AI784:AY784" si="1039">SUM(AI781:AI783)</f>
        <v>44</v>
      </c>
      <c r="AJ784" s="110">
        <f t="shared" si="1039"/>
        <v>302</v>
      </c>
      <c r="AK784" s="109">
        <f t="shared" si="1039"/>
        <v>130</v>
      </c>
      <c r="AL784" s="109">
        <f t="shared" si="1039"/>
        <v>52</v>
      </c>
      <c r="AM784" s="109">
        <f t="shared" si="1039"/>
        <v>48</v>
      </c>
      <c r="AN784" s="109">
        <f t="shared" si="1039"/>
        <v>48</v>
      </c>
      <c r="AO784" s="110">
        <f t="shared" si="1039"/>
        <v>278</v>
      </c>
      <c r="AP784" s="109">
        <f t="shared" si="1039"/>
        <v>120</v>
      </c>
      <c r="AQ784" s="109">
        <f t="shared" si="1039"/>
        <v>52</v>
      </c>
      <c r="AR784" s="109">
        <f>SUM(AR781:AR783)</f>
        <v>44</v>
      </c>
      <c r="AS784" s="109">
        <f>SUM(AS781:AS783)</f>
        <v>46</v>
      </c>
      <c r="AT784" s="110">
        <f>SUM(AT781:AT783)</f>
        <v>262</v>
      </c>
      <c r="AU784" s="796">
        <f t="shared" ref="AU784" si="1040">SUM(AU781:AU783)</f>
        <v>131</v>
      </c>
      <c r="AV784" s="109">
        <f t="shared" si="1039"/>
        <v>50</v>
      </c>
      <c r="AW784" s="109">
        <f t="shared" si="1039"/>
        <v>50</v>
      </c>
      <c r="AX784" s="109">
        <f t="shared" si="1039"/>
        <v>50</v>
      </c>
      <c r="AY784" s="110">
        <f t="shared" si="1039"/>
        <v>281</v>
      </c>
      <c r="AZ784" s="109">
        <f t="shared" ref="AZ784:BG784" si="1041">SUM(AZ781:AZ783)</f>
        <v>135</v>
      </c>
      <c r="BA784" s="109">
        <f t="shared" si="1041"/>
        <v>50</v>
      </c>
      <c r="BB784" s="109">
        <f t="shared" si="1041"/>
        <v>50</v>
      </c>
      <c r="BC784" s="109">
        <f t="shared" si="1041"/>
        <v>50</v>
      </c>
      <c r="BD784" s="110">
        <f t="shared" si="1041"/>
        <v>285</v>
      </c>
      <c r="BE784" s="110">
        <f t="shared" si="1041"/>
        <v>285</v>
      </c>
      <c r="BF784" s="110">
        <f t="shared" si="1041"/>
        <v>285</v>
      </c>
      <c r="BG784" s="110">
        <f t="shared" si="1041"/>
        <v>285</v>
      </c>
      <c r="BH784" s="79"/>
    </row>
    <row r="785" spans="1:60" s="69" customFormat="1" collapsed="1" x14ac:dyDescent="0.35">
      <c r="A785" s="426"/>
      <c r="B785" s="427"/>
      <c r="C785" s="112"/>
      <c r="D785" s="112"/>
      <c r="E785" s="112"/>
      <c r="F785" s="112"/>
      <c r="G785" s="111"/>
      <c r="H785" s="111"/>
      <c r="I785" s="111"/>
      <c r="J785" s="111"/>
      <c r="K785" s="112"/>
      <c r="L785" s="111"/>
      <c r="M785" s="111"/>
      <c r="N785" s="111"/>
      <c r="O785" s="111"/>
      <c r="P785" s="112"/>
      <c r="Q785" s="111"/>
      <c r="R785" s="111"/>
      <c r="S785" s="111"/>
      <c r="T785" s="111"/>
      <c r="U785" s="112"/>
      <c r="V785" s="111"/>
      <c r="W785" s="111"/>
      <c r="X785" s="111"/>
      <c r="Y785" s="111"/>
      <c r="Z785" s="112"/>
      <c r="AA785" s="111"/>
      <c r="AB785" s="111"/>
      <c r="AC785" s="111"/>
      <c r="AD785" s="111"/>
      <c r="AE785" s="112"/>
      <c r="AF785" s="111"/>
      <c r="AG785" s="111"/>
      <c r="AH785" s="111"/>
      <c r="AI785" s="111"/>
      <c r="AJ785" s="112"/>
      <c r="AK785" s="111"/>
      <c r="AL785" s="111"/>
      <c r="AM785" s="111"/>
      <c r="AN785" s="111"/>
      <c r="AO785" s="112"/>
      <c r="AP785" s="111"/>
      <c r="AQ785" s="111"/>
      <c r="AR785" s="111"/>
      <c r="AS785" s="111"/>
      <c r="AT785" s="112"/>
      <c r="AU785" s="792"/>
      <c r="AV785" s="111"/>
      <c r="AW785" s="111"/>
      <c r="AX785" s="111"/>
      <c r="AY785" s="112"/>
      <c r="AZ785" s="111"/>
      <c r="BA785" s="111"/>
      <c r="BB785" s="111"/>
      <c r="BC785" s="111"/>
      <c r="BD785" s="112"/>
      <c r="BE785" s="112"/>
      <c r="BF785" s="112"/>
      <c r="BG785" s="112"/>
      <c r="BH785" s="79"/>
    </row>
    <row r="786" spans="1:60" s="21" customFormat="1" x14ac:dyDescent="0.35">
      <c r="A786" s="746" t="s">
        <v>61</v>
      </c>
      <c r="B786" s="746"/>
      <c r="C786" s="874"/>
      <c r="D786" s="874"/>
      <c r="E786" s="874"/>
      <c r="F786" s="874"/>
      <c r="G786" s="874"/>
      <c r="H786" s="874"/>
      <c r="I786" s="874"/>
      <c r="J786" s="874"/>
      <c r="K786" s="874"/>
      <c r="L786" s="874"/>
      <c r="M786" s="874"/>
      <c r="N786" s="874"/>
      <c r="O786" s="874"/>
      <c r="P786" s="874"/>
      <c r="Q786" s="874"/>
      <c r="R786" s="874"/>
      <c r="S786" s="874"/>
      <c r="T786" s="874"/>
      <c r="U786" s="874"/>
      <c r="V786" s="874"/>
      <c r="W786" s="874"/>
      <c r="X786" s="874"/>
      <c r="Y786" s="874"/>
      <c r="Z786" s="874"/>
      <c r="AA786" s="874"/>
      <c r="AB786" s="874"/>
      <c r="AC786" s="874"/>
      <c r="AD786" s="874"/>
      <c r="AE786" s="874"/>
      <c r="AF786" s="874"/>
      <c r="AG786" s="874"/>
      <c r="AH786" s="874"/>
      <c r="AI786" s="874"/>
      <c r="AJ786" s="874"/>
      <c r="AK786" s="874"/>
      <c r="AL786" s="874"/>
      <c r="AM786" s="874"/>
      <c r="AN786" s="874"/>
      <c r="AO786" s="874"/>
      <c r="AP786" s="874"/>
      <c r="AQ786" s="874"/>
      <c r="AR786" s="874"/>
      <c r="AS786" s="874"/>
      <c r="AT786" s="874"/>
      <c r="AU786" s="875"/>
      <c r="AV786" s="874"/>
      <c r="AW786" s="874"/>
      <c r="AX786" s="874"/>
      <c r="AY786" s="874"/>
      <c r="AZ786" s="874"/>
      <c r="BA786" s="874"/>
      <c r="BB786" s="874"/>
      <c r="BC786" s="874"/>
      <c r="BD786" s="874"/>
      <c r="BE786" s="874"/>
      <c r="BF786" s="874"/>
      <c r="BG786" s="874"/>
      <c r="BH786" s="651"/>
    </row>
    <row r="787" spans="1:60" s="69" customFormat="1" x14ac:dyDescent="0.35">
      <c r="A787" s="426" t="s">
        <v>62</v>
      </c>
      <c r="B787" s="427"/>
      <c r="C787" s="112">
        <f t="shared" ref="C787:AR787" si="1042">+C726</f>
        <v>23123</v>
      </c>
      <c r="D787" s="112">
        <f t="shared" si="1042"/>
        <v>26662</v>
      </c>
      <c r="E787" s="112">
        <f t="shared" si="1042"/>
        <v>29611</v>
      </c>
      <c r="F787" s="112">
        <f t="shared" si="1042"/>
        <v>29904</v>
      </c>
      <c r="G787" s="111">
        <f t="shared" si="1042"/>
        <v>7634</v>
      </c>
      <c r="H787" s="111">
        <f t="shared" si="1042"/>
        <v>7752</v>
      </c>
      <c r="I787" s="111">
        <f t="shared" si="1042"/>
        <v>7916</v>
      </c>
      <c r="J787" s="111">
        <f t="shared" si="1042"/>
        <v>7569</v>
      </c>
      <c r="K787" s="112">
        <f t="shared" si="1042"/>
        <v>30871</v>
      </c>
      <c r="L787" s="111">
        <f t="shared" si="1042"/>
        <v>7831</v>
      </c>
      <c r="M787" s="111">
        <f t="shared" si="1042"/>
        <v>8134</v>
      </c>
      <c r="N787" s="111">
        <f t="shared" si="1042"/>
        <v>8137</v>
      </c>
      <c r="O787" s="111">
        <f t="shared" si="1042"/>
        <v>7719</v>
      </c>
      <c r="P787" s="112">
        <f t="shared" si="1042"/>
        <v>31821</v>
      </c>
      <c r="Q787" s="111">
        <f t="shared" si="1042"/>
        <v>7578</v>
      </c>
      <c r="R787" s="111">
        <f t="shared" si="1042"/>
        <v>7686</v>
      </c>
      <c r="S787" s="111">
        <f t="shared" si="1042"/>
        <v>7712</v>
      </c>
      <c r="T787" s="111">
        <f t="shared" si="1042"/>
        <v>7298</v>
      </c>
      <c r="U787" s="112">
        <f t="shared" si="1042"/>
        <v>30274</v>
      </c>
      <c r="V787" s="111">
        <f t="shared" si="1042"/>
        <v>7409</v>
      </c>
      <c r="W787" s="111">
        <f t="shared" si="1042"/>
        <v>7662</v>
      </c>
      <c r="X787" s="111">
        <f t="shared" si="1042"/>
        <v>7709</v>
      </c>
      <c r="Y787" s="111">
        <f t="shared" si="1042"/>
        <v>7329</v>
      </c>
      <c r="Z787" s="112">
        <f t="shared" si="1042"/>
        <v>30109</v>
      </c>
      <c r="AA787" s="111">
        <f t="shared" si="1042"/>
        <v>7685</v>
      </c>
      <c r="AB787" s="111">
        <f t="shared" si="1042"/>
        <v>7810</v>
      </c>
      <c r="AC787" s="111">
        <f t="shared" si="1042"/>
        <v>8172</v>
      </c>
      <c r="AD787" s="111">
        <f t="shared" si="1042"/>
        <v>7990</v>
      </c>
      <c r="AE787" s="112">
        <f t="shared" si="1042"/>
        <v>31657</v>
      </c>
      <c r="AF787" s="111">
        <f t="shared" si="1042"/>
        <v>8278</v>
      </c>
      <c r="AG787" s="111">
        <f t="shared" si="1042"/>
        <v>8390</v>
      </c>
      <c r="AH787" s="111">
        <f t="shared" si="1042"/>
        <v>8152</v>
      </c>
      <c r="AI787" s="111">
        <f t="shared" si="1042"/>
        <v>7945</v>
      </c>
      <c r="AJ787" s="112">
        <f t="shared" si="1042"/>
        <v>32765</v>
      </c>
      <c r="AK787" s="111">
        <f t="shared" si="1042"/>
        <v>7863</v>
      </c>
      <c r="AL787" s="111">
        <f t="shared" si="1042"/>
        <v>8171</v>
      </c>
      <c r="AM787" s="111">
        <f t="shared" si="1042"/>
        <v>7991</v>
      </c>
      <c r="AN787" s="111">
        <f t="shared" si="1042"/>
        <v>8111</v>
      </c>
      <c r="AO787" s="112">
        <f t="shared" si="1042"/>
        <v>32136</v>
      </c>
      <c r="AP787" s="79">
        <f t="shared" si="1042"/>
        <v>8075</v>
      </c>
      <c r="AQ787" s="111">
        <f t="shared" si="1042"/>
        <v>7176</v>
      </c>
      <c r="AR787" s="111">
        <f t="shared" si="1042"/>
        <v>8350</v>
      </c>
      <c r="AS787" s="111">
        <f>+AS726</f>
        <v>8583</v>
      </c>
      <c r="AT787" s="112">
        <f>+AT726</f>
        <v>32184</v>
      </c>
      <c r="AU787" s="803">
        <f t="shared" ref="AU787" si="1043">+AU726</f>
        <v>8851</v>
      </c>
      <c r="AV787" s="111">
        <f>AV42</f>
        <v>7668.2192000000005</v>
      </c>
      <c r="AW787" s="111">
        <f>AW42</f>
        <v>8745.5720000000001</v>
      </c>
      <c r="AX787" s="111">
        <f>AX42</f>
        <v>8982.3486000000012</v>
      </c>
      <c r="AY787" s="112">
        <f>SUM(AU787,AV787,AW787,AX787)</f>
        <v>34247.139800000004</v>
      </c>
      <c r="AZ787" s="111">
        <f>AZ42</f>
        <v>9484.181700000001</v>
      </c>
      <c r="BA787" s="111">
        <f>BA42</f>
        <v>8158.1654830000007</v>
      </c>
      <c r="BB787" s="111">
        <f>BB42</f>
        <v>9307.9995679999993</v>
      </c>
      <c r="BC787" s="111">
        <f>BC42</f>
        <v>9559.6793980000002</v>
      </c>
      <c r="BD787" s="112">
        <f>SUM(AZ787,BA787,BB787,BC787)</f>
        <v>36510.026148999998</v>
      </c>
      <c r="BE787" s="112">
        <f>BE42</f>
        <v>38860.311656844999</v>
      </c>
      <c r="BF787" s="112">
        <f>BF42</f>
        <v>41368.44430713122</v>
      </c>
      <c r="BG787" s="112">
        <f>BG42</f>
        <v>44045.403908700471</v>
      </c>
      <c r="BH787" s="79"/>
    </row>
    <row r="788" spans="1:60" s="166" customFormat="1" x14ac:dyDescent="0.35">
      <c r="A788" s="162" t="str">
        <f>CONCATENATE("Consensus Estimates - ",IFERROR(LEFT(A787,FIND("(",A787)-1),A787))</f>
        <v>Consensus Estimates - Net Revenue</v>
      </c>
      <c r="B788" s="239"/>
      <c r="C788" s="163"/>
      <c r="D788" s="163"/>
      <c r="E788" s="163"/>
      <c r="F788" s="163"/>
      <c r="G788" s="164"/>
      <c r="H788" s="164"/>
      <c r="I788" s="164"/>
      <c r="J788" s="164"/>
      <c r="K788" s="163"/>
      <c r="L788" s="164"/>
      <c r="M788" s="164"/>
      <c r="N788" s="164"/>
      <c r="O788" s="164"/>
      <c r="P788" s="163"/>
      <c r="Q788" s="164"/>
      <c r="R788" s="164"/>
      <c r="S788" s="164"/>
      <c r="T788" s="164"/>
      <c r="U788" s="163"/>
      <c r="V788" s="164"/>
      <c r="W788" s="165"/>
      <c r="X788" s="165"/>
      <c r="Y788" s="164"/>
      <c r="Z788" s="163"/>
      <c r="AA788" s="164"/>
      <c r="AB788" s="165"/>
      <c r="AC788" s="165"/>
      <c r="AD788" s="164"/>
      <c r="AE788" s="163"/>
      <c r="AF788" s="164"/>
      <c r="AG788" s="165"/>
      <c r="AH788" s="165"/>
      <c r="AI788" s="164"/>
      <c r="AJ788" s="163"/>
      <c r="AK788" s="164"/>
      <c r="AL788" s="165"/>
      <c r="AM788" s="165"/>
      <c r="AN788" s="164"/>
      <c r="AO788" s="163"/>
      <c r="AP788" s="164"/>
      <c r="AQ788" s="165"/>
      <c r="AR788" s="165"/>
      <c r="AS788" s="164"/>
      <c r="AT788" s="163"/>
      <c r="AU788" s="782"/>
      <c r="AV788" s="164" t="str">
        <f t="shared" ref="AV788:AY788" ca="1" si="1044">IFERROR(VLOOKUP($A788,tb_ConsensusEstimate,MATCH(AV$5,OFFSET(tb_ConsensusEstimate,0,0,1,COLUMNS(tb_ConsensusEstimate)),0),FALSE),"-")</f>
        <v>N/A</v>
      </c>
      <c r="AW788" s="164" t="str">
        <f t="shared" ca="1" si="1044"/>
        <v>N/A</v>
      </c>
      <c r="AX788" s="164" t="str">
        <f t="shared" ca="1" si="1044"/>
        <v>N/A</v>
      </c>
      <c r="AY788" s="127" t="str">
        <f t="shared" ca="1" si="1044"/>
        <v>N/A</v>
      </c>
      <c r="AZ788" s="164" t="str">
        <f ca="1">IFERROR(VLOOKUP($A788,tb_ConsensusEstimate,MATCH(AZ$5,OFFSET(tb_ConsensusEstimate,0,0,1,COLUMNS(tb_ConsensusEstimate)),0),FALSE),"-")</f>
        <v>N/A</v>
      </c>
      <c r="BA788" s="164" t="str">
        <f ca="1">IFERROR(VLOOKUP($A788,tb_ConsensusEstimate,MATCH(BA$5,OFFSET(tb_ConsensusEstimate,0,0,1,COLUMNS(tb_ConsensusEstimate)),0),FALSE),"-")</f>
        <v>N/A</v>
      </c>
      <c r="BB788" s="164" t="str">
        <f ca="1">IFERROR(VLOOKUP($A788,tb_ConsensusEstimate,MATCH(BB$5,OFFSET(tb_ConsensusEstimate,0,0,1,COLUMNS(tb_ConsensusEstimate)),0),FALSE),"-")</f>
        <v>N/A</v>
      </c>
      <c r="BC788" s="164" t="str">
        <f ca="1">IFERROR(VLOOKUP($A788,tb_ConsensusEstimate,MATCH(BC$5,OFFSET(tb_ConsensusEstimate,0,0,1,COLUMNS(tb_ConsensusEstimate)),0),FALSE),"-")</f>
        <v>N/A</v>
      </c>
      <c r="BD788" s="127" t="str">
        <f ca="1">IFERROR(VLOOKUP($A788,tb_ConsensusEstimate,MATCH(BD$5,OFFSET(tb_ConsensusEstimate,0,0,1,COLUMNS(tb_ConsensusEstimate)),0),FALSE),"-")</f>
        <v>N/A</v>
      </c>
      <c r="BE788" s="127" t="str">
        <f ca="1">IFERROR(VLOOKUP(A788,tb_ConsensusEstimate,MATCH(BE5,OFFSET(tb_ConsensusEstimate,0,0,1,COLUMNS(tb_ConsensusEstimate)),0),FALSE),"-")</f>
        <v>N/A</v>
      </c>
      <c r="BF788" s="127" t="str">
        <f ca="1">IFERROR(VLOOKUP(A788,tb_ConsensusEstimate,MATCH(BF5,OFFSET(tb_ConsensusEstimate,0,0,1,COLUMNS(tb_ConsensusEstimate)),0),FALSE),"-")</f>
        <v>N/A</v>
      </c>
      <c r="BG788" s="127" t="str">
        <f ca="1">IFERROR(VLOOKUP(A788,tb_ConsensusEstimate,MATCH(BG5,OFFSET(tb_ConsensusEstimate,0,0,1,COLUMNS(tb_ConsensusEstimate)),0),FALSE),"-")</f>
        <v>N/A</v>
      </c>
      <c r="BH788" s="164"/>
    </row>
    <row r="789" spans="1:60" s="21" customFormat="1" x14ac:dyDescent="0.35">
      <c r="A789" s="428"/>
      <c r="B789" s="429"/>
      <c r="C789" s="879"/>
      <c r="D789" s="879"/>
      <c r="E789" s="879"/>
      <c r="F789" s="879"/>
      <c r="G789" s="880"/>
      <c r="H789" s="880"/>
      <c r="I789" s="880"/>
      <c r="J789" s="880"/>
      <c r="K789" s="879"/>
      <c r="L789" s="880"/>
      <c r="M789" s="880"/>
      <c r="N789" s="880"/>
      <c r="O789" s="880"/>
      <c r="P789" s="879"/>
      <c r="Q789" s="880"/>
      <c r="R789" s="880"/>
      <c r="S789" s="880"/>
      <c r="T789" s="880"/>
      <c r="U789" s="879"/>
      <c r="V789" s="880"/>
      <c r="W789" s="880"/>
      <c r="X789" s="880"/>
      <c r="Y789" s="880"/>
      <c r="Z789" s="879"/>
      <c r="AA789" s="880"/>
      <c r="AB789" s="880"/>
      <c r="AC789" s="880"/>
      <c r="AD789" s="880"/>
      <c r="AE789" s="879"/>
      <c r="AF789" s="880"/>
      <c r="AG789" s="880"/>
      <c r="AH789" s="880"/>
      <c r="AI789" s="880"/>
      <c r="AJ789" s="879"/>
      <c r="AK789" s="880"/>
      <c r="AL789" s="880"/>
      <c r="AM789" s="880"/>
      <c r="AN789" s="880"/>
      <c r="AO789" s="879"/>
      <c r="AP789" s="880"/>
      <c r="AQ789" s="880"/>
      <c r="AR789" s="880"/>
      <c r="AS789" s="880"/>
      <c r="AT789" s="879"/>
      <c r="AU789" s="881"/>
      <c r="AV789" s="880"/>
      <c r="AW789" s="880"/>
      <c r="AX789" s="880"/>
      <c r="AY789" s="879"/>
      <c r="AZ789" s="880"/>
      <c r="BA789" s="880"/>
      <c r="BB789" s="880"/>
      <c r="BC789" s="880"/>
      <c r="BD789" s="879"/>
      <c r="BE789" s="879"/>
      <c r="BF789" s="879"/>
      <c r="BG789" s="879"/>
      <c r="BH789" s="651"/>
    </row>
    <row r="790" spans="1:60" s="60" customFormat="1" x14ac:dyDescent="0.35">
      <c r="A790" s="466" t="s">
        <v>697</v>
      </c>
      <c r="B790" s="467"/>
      <c r="C790" s="124">
        <f t="shared" ref="C790:AR790" si="1045">+C727-C799-C781-C800</f>
        <v>10914</v>
      </c>
      <c r="D790" s="124">
        <f t="shared" si="1045"/>
        <v>12680</v>
      </c>
      <c r="E790" s="124">
        <f t="shared" si="1045"/>
        <v>14428</v>
      </c>
      <c r="F790" s="124">
        <f t="shared" si="1045"/>
        <v>14370</v>
      </c>
      <c r="G790" s="123">
        <f t="shared" si="1045"/>
        <v>3621</v>
      </c>
      <c r="H790" s="123">
        <f t="shared" si="1045"/>
        <v>3672</v>
      </c>
      <c r="I790" s="123">
        <f t="shared" si="1045"/>
        <v>3800</v>
      </c>
      <c r="J790" s="123">
        <f t="shared" si="1045"/>
        <v>3615</v>
      </c>
      <c r="K790" s="124">
        <f t="shared" si="1045"/>
        <v>14708</v>
      </c>
      <c r="L790" s="123">
        <f t="shared" si="1045"/>
        <v>3659</v>
      </c>
      <c r="M790" s="123">
        <f t="shared" si="1045"/>
        <v>3815</v>
      </c>
      <c r="N790" s="123">
        <f t="shared" si="1045"/>
        <v>3846</v>
      </c>
      <c r="O790" s="123">
        <f t="shared" si="1045"/>
        <v>3672</v>
      </c>
      <c r="P790" s="124">
        <f t="shared" si="1045"/>
        <v>14992</v>
      </c>
      <c r="Q790" s="123">
        <f t="shared" si="1045"/>
        <v>3459</v>
      </c>
      <c r="R790" s="123">
        <f t="shared" si="1045"/>
        <v>3506</v>
      </c>
      <c r="S790" s="123">
        <f t="shared" si="1045"/>
        <v>3514</v>
      </c>
      <c r="T790" s="123">
        <f t="shared" si="1045"/>
        <v>3423</v>
      </c>
      <c r="U790" s="124">
        <f t="shared" si="1045"/>
        <v>13902</v>
      </c>
      <c r="V790" s="123">
        <f t="shared" si="1045"/>
        <v>3299</v>
      </c>
      <c r="W790" s="123">
        <f t="shared" si="1045"/>
        <v>3425</v>
      </c>
      <c r="X790" s="123">
        <f t="shared" si="1045"/>
        <v>3471</v>
      </c>
      <c r="Y790" s="123">
        <f t="shared" si="1045"/>
        <v>3324</v>
      </c>
      <c r="Z790" s="124">
        <f t="shared" si="1045"/>
        <v>13519</v>
      </c>
      <c r="AA790" s="123">
        <f t="shared" si="1045"/>
        <v>3421</v>
      </c>
      <c r="AB790" s="123">
        <f t="shared" si="1045"/>
        <v>3631</v>
      </c>
      <c r="AC790" s="123">
        <f t="shared" si="1045"/>
        <v>3673</v>
      </c>
      <c r="AD790" s="123">
        <f t="shared" si="1045"/>
        <v>3737</v>
      </c>
      <c r="AE790" s="124">
        <f t="shared" si="1045"/>
        <v>14462</v>
      </c>
      <c r="AF790" s="123">
        <f t="shared" si="1045"/>
        <v>3831</v>
      </c>
      <c r="AG790" s="123">
        <f t="shared" si="1045"/>
        <v>3838</v>
      </c>
      <c r="AH790" s="123">
        <f t="shared" si="1045"/>
        <v>3796</v>
      </c>
      <c r="AI790" s="123">
        <f t="shared" si="1045"/>
        <v>3681</v>
      </c>
      <c r="AJ790" s="124">
        <f t="shared" si="1045"/>
        <v>15146</v>
      </c>
      <c r="AK790" s="123">
        <f t="shared" si="1045"/>
        <v>3913</v>
      </c>
      <c r="AL790" s="123">
        <f t="shared" si="1045"/>
        <v>3928</v>
      </c>
      <c r="AM790" s="123">
        <f t="shared" si="1045"/>
        <v>3801</v>
      </c>
      <c r="AN790" s="123">
        <f t="shared" si="1045"/>
        <v>3854</v>
      </c>
      <c r="AO790" s="124">
        <f t="shared" si="1045"/>
        <v>15496</v>
      </c>
      <c r="AP790" s="80">
        <f t="shared" si="1045"/>
        <v>3647</v>
      </c>
      <c r="AQ790" s="123">
        <f t="shared" si="1045"/>
        <v>3303</v>
      </c>
      <c r="AR790" s="123">
        <f t="shared" si="1045"/>
        <v>3813</v>
      </c>
      <c r="AS790" s="123">
        <f>+AS727-AS799-AS781-AS800</f>
        <v>3881</v>
      </c>
      <c r="AT790" s="124">
        <f>+AT727-AT799-AT781-AT800</f>
        <v>14644</v>
      </c>
      <c r="AU790" s="804">
        <f t="shared" ref="AU790" si="1046">+AU727-AU799-AU781-AU800</f>
        <v>4043</v>
      </c>
      <c r="AV790" s="123">
        <f>AV787-AV795-AV794-AV793</f>
        <v>3572.5217959999991</v>
      </c>
      <c r="AW790" s="123">
        <f>AW787-AW795-AW794-AW793</f>
        <v>4037.7418599999996</v>
      </c>
      <c r="AX790" s="123">
        <f>AX787-AX795-AX794-AX793</f>
        <v>4112.7132930000007</v>
      </c>
      <c r="AY790" s="124">
        <f>SUM(AU790,AV790,AW790,AX790)</f>
        <v>15765.976949</v>
      </c>
      <c r="AZ790" s="123">
        <f>AZ787-AZ795-AZ794-AZ793</f>
        <v>4284.9059584999995</v>
      </c>
      <c r="BA790" s="123">
        <f>BA787-BA795-BA794-BA793</f>
        <v>3659.864902415</v>
      </c>
      <c r="BB790" s="123">
        <f>BB787-BB795-BB794-BB793</f>
        <v>4379.7426178399992</v>
      </c>
      <c r="BC790" s="123">
        <f>BC787-BC795-BC794-BC793</f>
        <v>4344.79481949</v>
      </c>
      <c r="BD790" s="124">
        <f>SUM(AZ790,BA790,BB790,BC790)</f>
        <v>16669.308298245</v>
      </c>
      <c r="BE790" s="124">
        <f>BE787-BE795-BE794-BE793</f>
        <v>17625.784277763723</v>
      </c>
      <c r="BF790" s="124">
        <f>BF787-BF795-BF794-BF793</f>
        <v>18632.206175100506</v>
      </c>
      <c r="BG790" s="124">
        <f>BG787-BG795-BG794-BG793</f>
        <v>19691.169057764542</v>
      </c>
      <c r="BH790" s="351"/>
    </row>
    <row r="791" spans="1:60" s="69" customFormat="1" x14ac:dyDescent="0.35">
      <c r="A791" s="318" t="s">
        <v>709</v>
      </c>
      <c r="B791" s="319"/>
      <c r="C791" s="110">
        <f t="shared" ref="C791:AH791" si="1047">C787-SUM(C789:C790)</f>
        <v>12209</v>
      </c>
      <c r="D791" s="110">
        <f t="shared" si="1047"/>
        <v>13982</v>
      </c>
      <c r="E791" s="110">
        <f t="shared" si="1047"/>
        <v>15183</v>
      </c>
      <c r="F791" s="110">
        <f t="shared" si="1047"/>
        <v>15534</v>
      </c>
      <c r="G791" s="109">
        <f t="shared" si="1047"/>
        <v>4013</v>
      </c>
      <c r="H791" s="109">
        <f t="shared" si="1047"/>
        <v>4080</v>
      </c>
      <c r="I791" s="109">
        <f t="shared" si="1047"/>
        <v>4116</v>
      </c>
      <c r="J791" s="109">
        <f t="shared" si="1047"/>
        <v>3954</v>
      </c>
      <c r="K791" s="110">
        <f t="shared" si="1047"/>
        <v>16163</v>
      </c>
      <c r="L791" s="109">
        <f t="shared" si="1047"/>
        <v>4172</v>
      </c>
      <c r="M791" s="109">
        <f t="shared" si="1047"/>
        <v>4319</v>
      </c>
      <c r="N791" s="109">
        <f t="shared" si="1047"/>
        <v>4291</v>
      </c>
      <c r="O791" s="109">
        <f t="shared" si="1047"/>
        <v>4047</v>
      </c>
      <c r="P791" s="110">
        <f t="shared" si="1047"/>
        <v>16829</v>
      </c>
      <c r="Q791" s="109">
        <f t="shared" si="1047"/>
        <v>4119</v>
      </c>
      <c r="R791" s="109">
        <f t="shared" si="1047"/>
        <v>4180</v>
      </c>
      <c r="S791" s="109">
        <f t="shared" si="1047"/>
        <v>4198</v>
      </c>
      <c r="T791" s="109">
        <f t="shared" si="1047"/>
        <v>3875</v>
      </c>
      <c r="U791" s="110">
        <f t="shared" si="1047"/>
        <v>16372</v>
      </c>
      <c r="V791" s="109">
        <f t="shared" si="1047"/>
        <v>4110</v>
      </c>
      <c r="W791" s="109">
        <f t="shared" si="1047"/>
        <v>4237</v>
      </c>
      <c r="X791" s="109">
        <f t="shared" si="1047"/>
        <v>4238</v>
      </c>
      <c r="Y791" s="109">
        <f t="shared" si="1047"/>
        <v>4005</v>
      </c>
      <c r="Z791" s="110">
        <f t="shared" si="1047"/>
        <v>16590</v>
      </c>
      <c r="AA791" s="109">
        <f t="shared" si="1047"/>
        <v>4264</v>
      </c>
      <c r="AB791" s="109">
        <f t="shared" si="1047"/>
        <v>4179</v>
      </c>
      <c r="AC791" s="109">
        <f t="shared" si="1047"/>
        <v>4499</v>
      </c>
      <c r="AD791" s="109">
        <f t="shared" si="1047"/>
        <v>4253</v>
      </c>
      <c r="AE791" s="110">
        <f t="shared" si="1047"/>
        <v>17195</v>
      </c>
      <c r="AF791" s="109">
        <f t="shared" si="1047"/>
        <v>4447</v>
      </c>
      <c r="AG791" s="109">
        <f t="shared" si="1047"/>
        <v>4552</v>
      </c>
      <c r="AH791" s="109">
        <f t="shared" si="1047"/>
        <v>4356</v>
      </c>
      <c r="AI791" s="109">
        <f t="shared" ref="AI791:AY791" si="1048">AI787-SUM(AI789:AI790)</f>
        <v>4264</v>
      </c>
      <c r="AJ791" s="110">
        <f t="shared" si="1048"/>
        <v>17619</v>
      </c>
      <c r="AK791" s="109">
        <f t="shared" si="1048"/>
        <v>3950</v>
      </c>
      <c r="AL791" s="109">
        <f t="shared" si="1048"/>
        <v>4243</v>
      </c>
      <c r="AM791" s="109">
        <f t="shared" si="1048"/>
        <v>4190</v>
      </c>
      <c r="AN791" s="109">
        <f t="shared" si="1048"/>
        <v>4257</v>
      </c>
      <c r="AO791" s="110">
        <f t="shared" si="1048"/>
        <v>16640</v>
      </c>
      <c r="AP791" s="76">
        <f t="shared" si="1048"/>
        <v>4428</v>
      </c>
      <c r="AQ791" s="109">
        <f t="shared" si="1048"/>
        <v>3873</v>
      </c>
      <c r="AR791" s="109">
        <f>AR787-SUM(AR789:AR790)</f>
        <v>4537</v>
      </c>
      <c r="AS791" s="109">
        <f>AS787-SUM(AS789:AS790)</f>
        <v>4702</v>
      </c>
      <c r="AT791" s="110">
        <f>AT787-SUM(AT789:AT790)</f>
        <v>17540</v>
      </c>
      <c r="AU791" s="812">
        <f t="shared" ref="AU791" si="1049">AU787-SUM(AU789:AU790)</f>
        <v>4808</v>
      </c>
      <c r="AV791" s="109">
        <f t="shared" si="1048"/>
        <v>4095.6974040000014</v>
      </c>
      <c r="AW791" s="109">
        <f t="shared" si="1048"/>
        <v>4707.83014</v>
      </c>
      <c r="AX791" s="109">
        <f t="shared" si="1048"/>
        <v>4869.6353070000005</v>
      </c>
      <c r="AY791" s="110">
        <f t="shared" si="1048"/>
        <v>18481.162851000005</v>
      </c>
      <c r="AZ791" s="109">
        <f t="shared" ref="AZ791:BG791" si="1050">AZ787-SUM(AZ789:AZ790)</f>
        <v>5199.2757415000015</v>
      </c>
      <c r="BA791" s="109">
        <f t="shared" si="1050"/>
        <v>4498.3005805850007</v>
      </c>
      <c r="BB791" s="109">
        <f t="shared" si="1050"/>
        <v>4928.2569501600001</v>
      </c>
      <c r="BC791" s="109">
        <f t="shared" si="1050"/>
        <v>5214.8845785100002</v>
      </c>
      <c r="BD791" s="110">
        <f t="shared" si="1050"/>
        <v>19840.717850754998</v>
      </c>
      <c r="BE791" s="110">
        <f t="shared" si="1050"/>
        <v>21234.527379081275</v>
      </c>
      <c r="BF791" s="110">
        <f t="shared" si="1050"/>
        <v>22736.238132030714</v>
      </c>
      <c r="BG791" s="110">
        <f t="shared" si="1050"/>
        <v>24354.234850935929</v>
      </c>
      <c r="BH791" s="79"/>
    </row>
    <row r="792" spans="1:60" s="21" customFormat="1" x14ac:dyDescent="0.35">
      <c r="A792" s="428"/>
      <c r="B792" s="429"/>
      <c r="C792" s="879"/>
      <c r="D792" s="879"/>
      <c r="E792" s="879"/>
      <c r="F792" s="879"/>
      <c r="G792" s="880"/>
      <c r="H792" s="880"/>
      <c r="I792" s="880"/>
      <c r="J792" s="880"/>
      <c r="K792" s="879"/>
      <c r="L792" s="880"/>
      <c r="M792" s="880"/>
      <c r="N792" s="880"/>
      <c r="O792" s="880"/>
      <c r="P792" s="879"/>
      <c r="Q792" s="880"/>
      <c r="R792" s="880"/>
      <c r="S792" s="880"/>
      <c r="T792" s="880"/>
      <c r="U792" s="879"/>
      <c r="V792" s="880"/>
      <c r="W792" s="880"/>
      <c r="X792" s="880"/>
      <c r="Y792" s="880"/>
      <c r="Z792" s="879"/>
      <c r="AA792" s="880"/>
      <c r="AB792" s="880"/>
      <c r="AC792" s="880"/>
      <c r="AD792" s="880"/>
      <c r="AE792" s="879"/>
      <c r="AF792" s="880"/>
      <c r="AG792" s="880"/>
      <c r="AH792" s="880"/>
      <c r="AI792" s="880"/>
      <c r="AJ792" s="879"/>
      <c r="AK792" s="880"/>
      <c r="AL792" s="880"/>
      <c r="AM792" s="880"/>
      <c r="AN792" s="880"/>
      <c r="AO792" s="879"/>
      <c r="AP792" s="880"/>
      <c r="AQ792" s="880"/>
      <c r="AR792" s="880"/>
      <c r="AS792" s="880"/>
      <c r="AT792" s="879"/>
      <c r="AU792" s="881"/>
      <c r="AV792" s="880"/>
      <c r="AW792" s="880"/>
      <c r="AX792" s="880"/>
      <c r="AY792" s="879"/>
      <c r="AZ792" s="880"/>
      <c r="BA792" s="880"/>
      <c r="BB792" s="880"/>
      <c r="BC792" s="880"/>
      <c r="BD792" s="879"/>
      <c r="BE792" s="879"/>
      <c r="BF792" s="879"/>
      <c r="BG792" s="879"/>
      <c r="BH792" s="651"/>
    </row>
    <row r="793" spans="1:60" s="60" customFormat="1" x14ac:dyDescent="0.35">
      <c r="A793" s="316" t="s">
        <v>696</v>
      </c>
      <c r="B793" s="317"/>
      <c r="C793" s="108">
        <f t="shared" ref="C793:AR793" si="1051">+C729-C783</f>
        <v>1258</v>
      </c>
      <c r="D793" s="108">
        <f t="shared" si="1051"/>
        <v>1400</v>
      </c>
      <c r="E793" s="108">
        <f t="shared" si="1051"/>
        <v>1538</v>
      </c>
      <c r="F793" s="108">
        <f t="shared" si="1051"/>
        <v>1605</v>
      </c>
      <c r="G793" s="203">
        <f t="shared" si="1051"/>
        <v>416</v>
      </c>
      <c r="H793" s="203">
        <f t="shared" si="1051"/>
        <v>422</v>
      </c>
      <c r="I793" s="203">
        <f t="shared" si="1051"/>
        <v>414</v>
      </c>
      <c r="J793" s="203">
        <f t="shared" si="1051"/>
        <v>433</v>
      </c>
      <c r="K793" s="108">
        <f t="shared" si="1051"/>
        <v>1685</v>
      </c>
      <c r="L793" s="203">
        <f t="shared" si="1051"/>
        <v>429</v>
      </c>
      <c r="M793" s="203">
        <f t="shared" si="1051"/>
        <v>442</v>
      </c>
      <c r="N793" s="203">
        <f t="shared" si="1051"/>
        <v>427</v>
      </c>
      <c r="O793" s="203">
        <f t="shared" si="1051"/>
        <v>431</v>
      </c>
      <c r="P793" s="108">
        <f t="shared" si="1051"/>
        <v>1729</v>
      </c>
      <c r="Q793" s="203">
        <f t="shared" si="1051"/>
        <v>436</v>
      </c>
      <c r="R793" s="203">
        <f t="shared" si="1051"/>
        <v>432</v>
      </c>
      <c r="S793" s="203">
        <f t="shared" si="1051"/>
        <v>422</v>
      </c>
      <c r="T793" s="203">
        <f t="shared" si="1051"/>
        <v>428</v>
      </c>
      <c r="U793" s="108">
        <f t="shared" si="1051"/>
        <v>1718</v>
      </c>
      <c r="V793" s="203">
        <f t="shared" si="1051"/>
        <v>425</v>
      </c>
      <c r="W793" s="203">
        <f t="shared" si="1051"/>
        <v>430</v>
      </c>
      <c r="X793" s="203">
        <f t="shared" si="1051"/>
        <v>420</v>
      </c>
      <c r="Y793" s="203">
        <f t="shared" si="1051"/>
        <v>415</v>
      </c>
      <c r="Z793" s="108">
        <f t="shared" si="1051"/>
        <v>1690</v>
      </c>
      <c r="AA793" s="203">
        <f t="shared" si="1051"/>
        <v>450</v>
      </c>
      <c r="AB793" s="203">
        <f t="shared" si="1051"/>
        <v>471</v>
      </c>
      <c r="AC793" s="203">
        <f t="shared" si="1051"/>
        <v>462</v>
      </c>
      <c r="AD793" s="203">
        <f t="shared" si="1051"/>
        <v>441</v>
      </c>
      <c r="AE793" s="108">
        <f t="shared" si="1051"/>
        <v>1824</v>
      </c>
      <c r="AF793" s="203">
        <f t="shared" si="1051"/>
        <v>459</v>
      </c>
      <c r="AG793" s="203">
        <f t="shared" si="1051"/>
        <v>461</v>
      </c>
      <c r="AH793" s="203">
        <f t="shared" si="1051"/>
        <v>423</v>
      </c>
      <c r="AI793" s="203">
        <f t="shared" si="1051"/>
        <v>431</v>
      </c>
      <c r="AJ793" s="108">
        <f t="shared" si="1051"/>
        <v>1774</v>
      </c>
      <c r="AK793" s="203">
        <f t="shared" si="1051"/>
        <v>451</v>
      </c>
      <c r="AL793" s="203">
        <f t="shared" si="1051"/>
        <v>463</v>
      </c>
      <c r="AM793" s="203">
        <f t="shared" si="1051"/>
        <v>436</v>
      </c>
      <c r="AN793" s="203">
        <f t="shared" si="1051"/>
        <v>515</v>
      </c>
      <c r="AO793" s="108">
        <f t="shared" si="1051"/>
        <v>1865</v>
      </c>
      <c r="AP793" s="351">
        <f t="shared" si="1051"/>
        <v>512</v>
      </c>
      <c r="AQ793" s="203">
        <f t="shared" si="1051"/>
        <v>417</v>
      </c>
      <c r="AR793" s="203">
        <f t="shared" si="1051"/>
        <v>456</v>
      </c>
      <c r="AS793" s="203">
        <f>+AS729-AS783</f>
        <v>450</v>
      </c>
      <c r="AT793" s="108">
        <f>+AT729-AT783</f>
        <v>1835</v>
      </c>
      <c r="AU793" s="805">
        <f t="shared" ref="AU793" si="1052">+AU729-AU783</f>
        <v>499</v>
      </c>
      <c r="AV793" s="203">
        <f t="shared" ref="AV793:AX794" si="1053">AV$787*AV711</f>
        <v>467.76137120000004</v>
      </c>
      <c r="AW793" s="203">
        <f t="shared" si="1053"/>
        <v>533.47989199999995</v>
      </c>
      <c r="AX793" s="203">
        <f t="shared" si="1053"/>
        <v>547.92326460000004</v>
      </c>
      <c r="AY793" s="108">
        <f>SUM(AU793,AV793,AW793,AX793)</f>
        <v>2048.1645278000001</v>
      </c>
      <c r="AZ793" s="203">
        <f t="shared" ref="AZ793:BC794" si="1054">AZ$787*AZ711</f>
        <v>578.53508370000009</v>
      </c>
      <c r="BA793" s="203">
        <f t="shared" si="1054"/>
        <v>497.64809446300001</v>
      </c>
      <c r="BB793" s="203">
        <f t="shared" si="1054"/>
        <v>567.78797364799993</v>
      </c>
      <c r="BC793" s="203">
        <f t="shared" si="1054"/>
        <v>583.14044327800002</v>
      </c>
      <c r="BD793" s="108">
        <f>SUM(AZ793,BA793,BB793,BC793)</f>
        <v>2227.1115950889998</v>
      </c>
      <c r="BE793" s="108">
        <f>BE787*BE711</f>
        <v>2370.4790110675449</v>
      </c>
      <c r="BF793" s="108">
        <f>BF787*BF711</f>
        <v>2523.4751027350044</v>
      </c>
      <c r="BG793" s="108">
        <f>BG787*BG711</f>
        <v>2686.7696384307287</v>
      </c>
      <c r="BH793" s="351"/>
    </row>
    <row r="794" spans="1:60" s="60" customFormat="1" x14ac:dyDescent="0.35">
      <c r="A794" s="466" t="s">
        <v>64</v>
      </c>
      <c r="B794" s="467"/>
      <c r="C794" s="124">
        <f t="shared" ref="C794:AR794" si="1055">+C728-C782</f>
        <v>4763</v>
      </c>
      <c r="D794" s="124">
        <f t="shared" si="1055"/>
        <v>5270</v>
      </c>
      <c r="E794" s="124">
        <f t="shared" si="1055"/>
        <v>5978</v>
      </c>
      <c r="F794" s="124">
        <f t="shared" si="1055"/>
        <v>5935</v>
      </c>
      <c r="G794" s="123">
        <f t="shared" si="1055"/>
        <v>1512</v>
      </c>
      <c r="H794" s="123">
        <f t="shared" si="1055"/>
        <v>1574</v>
      </c>
      <c r="I794" s="123">
        <f t="shared" si="1055"/>
        <v>1573</v>
      </c>
      <c r="J794" s="123">
        <f t="shared" si="1055"/>
        <v>1542</v>
      </c>
      <c r="K794" s="124">
        <f t="shared" si="1055"/>
        <v>6201</v>
      </c>
      <c r="L794" s="123">
        <f t="shared" si="1055"/>
        <v>1555</v>
      </c>
      <c r="M794" s="123">
        <f t="shared" si="1055"/>
        <v>1611</v>
      </c>
      <c r="N794" s="123">
        <f t="shared" si="1055"/>
        <v>1566</v>
      </c>
      <c r="O794" s="123">
        <f t="shared" si="1055"/>
        <v>1545</v>
      </c>
      <c r="P794" s="124">
        <f t="shared" si="1055"/>
        <v>6277</v>
      </c>
      <c r="Q794" s="123">
        <f t="shared" si="1055"/>
        <v>1476</v>
      </c>
      <c r="R794" s="123">
        <f t="shared" si="1055"/>
        <v>1515</v>
      </c>
      <c r="S794" s="123">
        <f t="shared" si="1055"/>
        <v>1499</v>
      </c>
      <c r="T794" s="123">
        <f t="shared" si="1055"/>
        <v>1507</v>
      </c>
      <c r="U794" s="124">
        <f t="shared" si="1055"/>
        <v>5997</v>
      </c>
      <c r="V794" s="123">
        <f t="shared" si="1055"/>
        <v>1397</v>
      </c>
      <c r="W794" s="123">
        <f t="shared" si="1055"/>
        <v>1526</v>
      </c>
      <c r="X794" s="123">
        <f t="shared" si="1055"/>
        <v>1495</v>
      </c>
      <c r="Y794" s="123">
        <f t="shared" si="1055"/>
        <v>1487</v>
      </c>
      <c r="Z794" s="124">
        <f t="shared" si="1055"/>
        <v>5905</v>
      </c>
      <c r="AA794" s="123">
        <f t="shared" si="1055"/>
        <v>1516</v>
      </c>
      <c r="AB794" s="123">
        <f t="shared" si="1055"/>
        <v>1577</v>
      </c>
      <c r="AC794" s="123">
        <f t="shared" si="1055"/>
        <v>1592</v>
      </c>
      <c r="AD794" s="123">
        <f t="shared" si="1055"/>
        <v>1712</v>
      </c>
      <c r="AE794" s="124">
        <f t="shared" si="1055"/>
        <v>6397</v>
      </c>
      <c r="AF794" s="123">
        <f t="shared" si="1055"/>
        <v>2464</v>
      </c>
      <c r="AG794" s="123">
        <f t="shared" si="1055"/>
        <v>1767</v>
      </c>
      <c r="AH794" s="123">
        <f t="shared" si="1055"/>
        <v>1512</v>
      </c>
      <c r="AI794" s="123">
        <f t="shared" si="1055"/>
        <v>1652</v>
      </c>
      <c r="AJ794" s="124">
        <f t="shared" si="1055"/>
        <v>7395</v>
      </c>
      <c r="AK794" s="123">
        <f t="shared" si="1055"/>
        <v>1866</v>
      </c>
      <c r="AL794" s="123">
        <f t="shared" si="1055"/>
        <v>1650</v>
      </c>
      <c r="AM794" s="123">
        <f t="shared" si="1055"/>
        <v>1422</v>
      </c>
      <c r="AN794" s="123">
        <f t="shared" si="1055"/>
        <v>1906</v>
      </c>
      <c r="AO794" s="124">
        <f t="shared" si="1055"/>
        <v>6844</v>
      </c>
      <c r="AP794" s="80">
        <f t="shared" si="1055"/>
        <v>1695</v>
      </c>
      <c r="AQ794" s="123">
        <f t="shared" si="1055"/>
        <v>1559</v>
      </c>
      <c r="AR794" s="123">
        <f t="shared" si="1055"/>
        <v>1647</v>
      </c>
      <c r="AS794" s="123">
        <f>+AS728-AS782</f>
        <v>1859</v>
      </c>
      <c r="AT794" s="124">
        <f>+AT728-AT782</f>
        <v>6760</v>
      </c>
      <c r="AU794" s="804">
        <f t="shared" ref="AU794" si="1056">+AU728-AU782</f>
        <v>1724</v>
      </c>
      <c r="AV794" s="123">
        <f t="shared" si="1053"/>
        <v>1456.9616480000002</v>
      </c>
      <c r="AW794" s="123">
        <f t="shared" si="1053"/>
        <v>1661.65868</v>
      </c>
      <c r="AX794" s="123">
        <f t="shared" si="1053"/>
        <v>1706.6462340000003</v>
      </c>
      <c r="AY794" s="124">
        <f>SUM(AU794,AV794,AW794,AX794)</f>
        <v>6549.2665620000007</v>
      </c>
      <c r="AZ794" s="123">
        <f t="shared" si="1054"/>
        <v>1801.9945230000003</v>
      </c>
      <c r="BA794" s="123">
        <f t="shared" si="1054"/>
        <v>1550.0514417700001</v>
      </c>
      <c r="BB794" s="123">
        <f t="shared" si="1054"/>
        <v>1768.5199179199999</v>
      </c>
      <c r="BC794" s="123">
        <f t="shared" si="1054"/>
        <v>1816.3390856200001</v>
      </c>
      <c r="BD794" s="124">
        <f>SUM(AZ794,BA794,BB794,BC794)</f>
        <v>6936.9049683100002</v>
      </c>
      <c r="BE794" s="124">
        <f>BE787*BE712</f>
        <v>7383.4592148005495</v>
      </c>
      <c r="BF794" s="124">
        <f>BF787*BF712</f>
        <v>7860.0044183549317</v>
      </c>
      <c r="BG794" s="124">
        <f>BG787*BG712</f>
        <v>8368.6267426530903</v>
      </c>
      <c r="BH794" s="351"/>
    </row>
    <row r="795" spans="1:60" s="69" customFormat="1" x14ac:dyDescent="0.35">
      <c r="A795" s="318" t="s">
        <v>63</v>
      </c>
      <c r="B795" s="319"/>
      <c r="C795" s="110">
        <f t="shared" ref="C795:AQ795" si="1057">C791-SUM(C793:C794)</f>
        <v>6188</v>
      </c>
      <c r="D795" s="110">
        <f t="shared" si="1057"/>
        <v>7312</v>
      </c>
      <c r="E795" s="110">
        <f t="shared" si="1057"/>
        <v>7667</v>
      </c>
      <c r="F795" s="110">
        <f t="shared" si="1057"/>
        <v>7994</v>
      </c>
      <c r="G795" s="109">
        <f t="shared" si="1057"/>
        <v>2085</v>
      </c>
      <c r="H795" s="109">
        <f t="shared" si="1057"/>
        <v>2084</v>
      </c>
      <c r="I795" s="109">
        <f t="shared" si="1057"/>
        <v>2129</v>
      </c>
      <c r="J795" s="109">
        <f t="shared" si="1057"/>
        <v>1979</v>
      </c>
      <c r="K795" s="110">
        <f t="shared" si="1057"/>
        <v>8277</v>
      </c>
      <c r="L795" s="109">
        <f t="shared" si="1057"/>
        <v>2188</v>
      </c>
      <c r="M795" s="109">
        <f t="shared" si="1057"/>
        <v>2266</v>
      </c>
      <c r="N795" s="109">
        <f t="shared" si="1057"/>
        <v>2298</v>
      </c>
      <c r="O795" s="109">
        <f t="shared" si="1057"/>
        <v>2071</v>
      </c>
      <c r="P795" s="110">
        <f t="shared" si="1057"/>
        <v>8823</v>
      </c>
      <c r="Q795" s="109">
        <f t="shared" si="1057"/>
        <v>2207</v>
      </c>
      <c r="R795" s="109">
        <f t="shared" si="1057"/>
        <v>2233</v>
      </c>
      <c r="S795" s="109">
        <f t="shared" si="1057"/>
        <v>2277</v>
      </c>
      <c r="T795" s="109">
        <f t="shared" si="1057"/>
        <v>1940</v>
      </c>
      <c r="U795" s="110">
        <f t="shared" si="1057"/>
        <v>8657</v>
      </c>
      <c r="V795" s="109">
        <f t="shared" si="1057"/>
        <v>2288</v>
      </c>
      <c r="W795" s="109">
        <f t="shared" si="1057"/>
        <v>2281</v>
      </c>
      <c r="X795" s="109">
        <f t="shared" si="1057"/>
        <v>2323</v>
      </c>
      <c r="Y795" s="109">
        <f t="shared" si="1057"/>
        <v>2103</v>
      </c>
      <c r="Z795" s="110">
        <f t="shared" si="1057"/>
        <v>8995</v>
      </c>
      <c r="AA795" s="109">
        <f t="shared" si="1057"/>
        <v>2298</v>
      </c>
      <c r="AB795" s="109">
        <f t="shared" si="1057"/>
        <v>2131</v>
      </c>
      <c r="AC795" s="109">
        <f t="shared" si="1057"/>
        <v>2445</v>
      </c>
      <c r="AD795" s="109">
        <f t="shared" si="1057"/>
        <v>2100</v>
      </c>
      <c r="AE795" s="110">
        <f t="shared" si="1057"/>
        <v>8974</v>
      </c>
      <c r="AF795" s="109">
        <f t="shared" si="1057"/>
        <v>1524</v>
      </c>
      <c r="AG795" s="109">
        <f t="shared" si="1057"/>
        <v>2324</v>
      </c>
      <c r="AH795" s="109">
        <f t="shared" si="1057"/>
        <v>2421</v>
      </c>
      <c r="AI795" s="109">
        <f t="shared" si="1057"/>
        <v>2181</v>
      </c>
      <c r="AJ795" s="110">
        <f t="shared" si="1057"/>
        <v>8450</v>
      </c>
      <c r="AK795" s="109">
        <f t="shared" si="1057"/>
        <v>1633</v>
      </c>
      <c r="AL795" s="109">
        <f t="shared" si="1057"/>
        <v>2130</v>
      </c>
      <c r="AM795" s="109">
        <f t="shared" si="1057"/>
        <v>2332</v>
      </c>
      <c r="AN795" s="109">
        <f t="shared" si="1057"/>
        <v>1836</v>
      </c>
      <c r="AO795" s="110">
        <f t="shared" si="1057"/>
        <v>7931</v>
      </c>
      <c r="AP795" s="76">
        <f t="shared" si="1057"/>
        <v>2221</v>
      </c>
      <c r="AQ795" s="109">
        <f t="shared" si="1057"/>
        <v>1897</v>
      </c>
      <c r="AR795" s="109">
        <f>AR791-SUM(AR793:AR794)</f>
        <v>2434</v>
      </c>
      <c r="AS795" s="109">
        <f>AS791-SUM(AS793:AS794)</f>
        <v>2393</v>
      </c>
      <c r="AT795" s="110">
        <f>AT791-SUM(AT793:AT794)</f>
        <v>8945</v>
      </c>
      <c r="AU795" s="812">
        <f t="shared" ref="AU795" si="1058">AU791-SUM(AU793:AU794)</f>
        <v>2585</v>
      </c>
      <c r="AV795" s="109">
        <f>AV803+SUM(AV799:AV802)</f>
        <v>2170.9743848000003</v>
      </c>
      <c r="AW795" s="109">
        <f>AW803+SUM(AW799:AW802)</f>
        <v>2512.6915680000002</v>
      </c>
      <c r="AX795" s="109">
        <f>AX803+SUM(AX799:AX802)</f>
        <v>2615.0658084000002</v>
      </c>
      <c r="AY795" s="110">
        <f>SUM(AU795,AV795,AW795,AX795)</f>
        <v>9883.7317612000006</v>
      </c>
      <c r="AZ795" s="109">
        <f>AZ803+SUM(AZ799:AZ802)</f>
        <v>2818.7461348000006</v>
      </c>
      <c r="BA795" s="109">
        <f>BA803+SUM(BA799:BA802)</f>
        <v>2450.6010443519999</v>
      </c>
      <c r="BB795" s="109">
        <f>BB803+SUM(BB799:BB802)</f>
        <v>2591.9490585920003</v>
      </c>
      <c r="BC795" s="109">
        <f>BC803+SUM(BC799:BC802)</f>
        <v>2815.4050496119999</v>
      </c>
      <c r="BD795" s="110">
        <f>SUM(AZ795,BA795,BB795,BC795)</f>
        <v>10676.701287356002</v>
      </c>
      <c r="BE795" s="110">
        <f>BE803+SUM(BE799:BE802)</f>
        <v>11480.589153213179</v>
      </c>
      <c r="BF795" s="110">
        <f>BF803+SUM(BF799:BF802)</f>
        <v>12352.758610940777</v>
      </c>
      <c r="BG795" s="110">
        <f>BG803+SUM(BG799:BG802)</f>
        <v>13298.838469852113</v>
      </c>
      <c r="BH795" s="79"/>
    </row>
    <row r="796" spans="1:60" s="69" customFormat="1" x14ac:dyDescent="0.35">
      <c r="A796" s="426" t="str">
        <f>CONCATENATE("Adjusted ",A795,IF(AND(ROUND(SUM(C795:XFD795)-SUM(C796:XFD796),6)=0)," (No Adjustments)",""))</f>
        <v>Adjusted EBITDA</v>
      </c>
      <c r="B796" s="427"/>
      <c r="C796" s="112">
        <f t="shared" ref="C796:AJ796" si="1059">C804+C799+C800</f>
        <v>5971</v>
      </c>
      <c r="D796" s="112">
        <f t="shared" si="1059"/>
        <v>7038</v>
      </c>
      <c r="E796" s="112">
        <f t="shared" si="1059"/>
        <v>7414</v>
      </c>
      <c r="F796" s="112">
        <f t="shared" si="1059"/>
        <v>7771</v>
      </c>
      <c r="G796" s="111">
        <f t="shared" si="1059"/>
        <v>1982</v>
      </c>
      <c r="H796" s="111">
        <f t="shared" si="1059"/>
        <v>2037</v>
      </c>
      <c r="I796" s="111">
        <f t="shared" si="1059"/>
        <v>2082</v>
      </c>
      <c r="J796" s="111">
        <f t="shared" si="1059"/>
        <v>1936</v>
      </c>
      <c r="K796" s="112">
        <f t="shared" si="1059"/>
        <v>8037</v>
      </c>
      <c r="L796" s="111">
        <f t="shared" si="1059"/>
        <v>2066</v>
      </c>
      <c r="M796" s="111">
        <f t="shared" si="1059"/>
        <v>2214</v>
      </c>
      <c r="N796" s="111">
        <f t="shared" si="1059"/>
        <v>2251</v>
      </c>
      <c r="O796" s="111">
        <f t="shared" si="1059"/>
        <v>2012</v>
      </c>
      <c r="P796" s="112">
        <f t="shared" si="1059"/>
        <v>8543</v>
      </c>
      <c r="Q796" s="111">
        <f t="shared" si="1059"/>
        <v>2069</v>
      </c>
      <c r="R796" s="111">
        <f t="shared" si="1059"/>
        <v>2184</v>
      </c>
      <c r="S796" s="111">
        <f t="shared" si="1059"/>
        <v>2231</v>
      </c>
      <c r="T796" s="111">
        <f t="shared" si="1059"/>
        <v>1897</v>
      </c>
      <c r="U796" s="112">
        <f t="shared" si="1059"/>
        <v>8381</v>
      </c>
      <c r="V796" s="111">
        <f t="shared" si="1059"/>
        <v>2144</v>
      </c>
      <c r="W796" s="111">
        <f t="shared" si="1059"/>
        <v>2232</v>
      </c>
      <c r="X796" s="111">
        <f t="shared" si="1059"/>
        <v>2272</v>
      </c>
      <c r="Y796" s="111">
        <f t="shared" si="1059"/>
        <v>2049</v>
      </c>
      <c r="Z796" s="112">
        <f t="shared" si="1059"/>
        <v>8697</v>
      </c>
      <c r="AA796" s="111">
        <f t="shared" si="1059"/>
        <v>2180</v>
      </c>
      <c r="AB796" s="111">
        <f t="shared" si="1059"/>
        <v>2533</v>
      </c>
      <c r="AC796" s="111">
        <f t="shared" si="1059"/>
        <v>2385</v>
      </c>
      <c r="AD796" s="111">
        <f t="shared" si="1059"/>
        <v>2138</v>
      </c>
      <c r="AE796" s="112">
        <f t="shared" si="1059"/>
        <v>9236</v>
      </c>
      <c r="AF796" s="111">
        <f t="shared" si="1059"/>
        <v>2286</v>
      </c>
      <c r="AG796" s="111">
        <f t="shared" si="1059"/>
        <v>2781</v>
      </c>
      <c r="AH796" s="111">
        <f t="shared" si="1059"/>
        <v>2371</v>
      </c>
      <c r="AI796" s="111">
        <f t="shared" si="1059"/>
        <v>2154</v>
      </c>
      <c r="AJ796" s="112">
        <f t="shared" si="1059"/>
        <v>9592</v>
      </c>
      <c r="AK796" s="111">
        <f t="shared" ref="AK796:AO796" si="1060">AK804+AK799+AK800</f>
        <v>2051</v>
      </c>
      <c r="AL796" s="111">
        <f t="shared" si="1060"/>
        <v>2078</v>
      </c>
      <c r="AM796" s="111">
        <f t="shared" si="1060"/>
        <v>2284</v>
      </c>
      <c r="AN796" s="111">
        <f t="shared" si="1060"/>
        <v>2002</v>
      </c>
      <c r="AO796" s="112">
        <f t="shared" si="1060"/>
        <v>8415</v>
      </c>
      <c r="AP796" s="79">
        <f>AP777</f>
        <v>2118</v>
      </c>
      <c r="AQ796" s="111">
        <f t="shared" ref="AQ796:AT796" si="1061">AQ777</f>
        <v>1900</v>
      </c>
      <c r="AR796" s="111">
        <f t="shared" si="1061"/>
        <v>2390</v>
      </c>
      <c r="AS796" s="111">
        <f t="shared" si="1061"/>
        <v>2347</v>
      </c>
      <c r="AT796" s="112">
        <f t="shared" si="1061"/>
        <v>8755</v>
      </c>
      <c r="AU796" s="803">
        <f>AU777</f>
        <v>2454</v>
      </c>
      <c r="AV796" s="111">
        <f>AV93</f>
        <v>2120.9743847999998</v>
      </c>
      <c r="AW796" s="111">
        <f>AW93</f>
        <v>2462.6915680000002</v>
      </c>
      <c r="AX796" s="111">
        <f>AX93</f>
        <v>2565.0658084000002</v>
      </c>
      <c r="AY796" s="112">
        <f>SUM(AU796,AV796,AW796,AX796)</f>
        <v>9602.7317612000006</v>
      </c>
      <c r="AZ796" s="111">
        <f>AZ93</f>
        <v>2683.7461348000006</v>
      </c>
      <c r="BA796" s="111">
        <f>BA93</f>
        <v>2400.6010443519999</v>
      </c>
      <c r="BB796" s="111">
        <f>BB93</f>
        <v>2541.9490585920003</v>
      </c>
      <c r="BC796" s="111">
        <f>BC93</f>
        <v>2765.4050496119999</v>
      </c>
      <c r="BD796" s="112">
        <f>SUM(AZ796,BA796,BB796,BC796)</f>
        <v>10391.701287356002</v>
      </c>
      <c r="BE796" s="112">
        <f>BE93</f>
        <v>11195.589153213179</v>
      </c>
      <c r="BF796" s="112">
        <f>BF93</f>
        <v>12067.758610940777</v>
      </c>
      <c r="BG796" s="112">
        <f>BG93</f>
        <v>13013.838469852113</v>
      </c>
      <c r="BH796" s="79"/>
    </row>
    <row r="797" spans="1:60" s="166" customFormat="1" x14ac:dyDescent="0.35">
      <c r="A797" s="162" t="str">
        <f>CONCATENATE("Consensus Estimates - ",IFERROR(LEFT(A796,FIND("(",A796)-1),A796))</f>
        <v>Consensus Estimates - Adjusted EBITDA</v>
      </c>
      <c r="B797" s="239"/>
      <c r="C797" s="163"/>
      <c r="D797" s="163"/>
      <c r="E797" s="163"/>
      <c r="F797" s="163"/>
      <c r="G797" s="164"/>
      <c r="H797" s="164"/>
      <c r="I797" s="164"/>
      <c r="J797" s="164"/>
      <c r="K797" s="163"/>
      <c r="L797" s="164"/>
      <c r="M797" s="164"/>
      <c r="N797" s="164"/>
      <c r="O797" s="164"/>
      <c r="P797" s="163"/>
      <c r="Q797" s="164"/>
      <c r="R797" s="164"/>
      <c r="S797" s="164"/>
      <c r="T797" s="164"/>
      <c r="U797" s="163"/>
      <c r="V797" s="164"/>
      <c r="W797" s="165"/>
      <c r="X797" s="165"/>
      <c r="Y797" s="164"/>
      <c r="Z797" s="163"/>
      <c r="AA797" s="164"/>
      <c r="AB797" s="165"/>
      <c r="AC797" s="165"/>
      <c r="AD797" s="164"/>
      <c r="AE797" s="163"/>
      <c r="AF797" s="164"/>
      <c r="AG797" s="165"/>
      <c r="AH797" s="165"/>
      <c r="AI797" s="164"/>
      <c r="AJ797" s="163"/>
      <c r="AK797" s="164"/>
      <c r="AL797" s="165"/>
      <c r="AM797" s="165"/>
      <c r="AN797" s="164"/>
      <c r="AO797" s="163"/>
      <c r="AP797" s="164"/>
      <c r="AQ797" s="165"/>
      <c r="AR797" s="165"/>
      <c r="AS797" s="164"/>
      <c r="AT797" s="163"/>
      <c r="AU797" s="782"/>
      <c r="AV797" s="164" t="str">
        <f t="shared" ref="AV797:AY797" ca="1" si="1062">IFERROR(VLOOKUP($A797,tb_ConsensusEstimate,MATCH(AV$5,OFFSET(tb_ConsensusEstimate,0,0,1,COLUMNS(tb_ConsensusEstimate)),0),FALSE),"-")</f>
        <v>N/A</v>
      </c>
      <c r="AW797" s="164" t="str">
        <f t="shared" ca="1" si="1062"/>
        <v>N/A</v>
      </c>
      <c r="AX797" s="164" t="str">
        <f t="shared" ca="1" si="1062"/>
        <v>N/A</v>
      </c>
      <c r="AY797" s="126" t="str">
        <f t="shared" ca="1" si="1062"/>
        <v>N/A</v>
      </c>
      <c r="AZ797" s="164" t="str">
        <f ca="1">IFERROR(VLOOKUP($A797,tb_ConsensusEstimate,MATCH(AZ$5,OFFSET(tb_ConsensusEstimate,0,0,1,COLUMNS(tb_ConsensusEstimate)),0),FALSE),"-")</f>
        <v>N/A</v>
      </c>
      <c r="BA797" s="164" t="str">
        <f ca="1">IFERROR(VLOOKUP($A797,tb_ConsensusEstimate,MATCH(BA$5,OFFSET(tb_ConsensusEstimate,0,0,1,COLUMNS(tb_ConsensusEstimate)),0),FALSE),"-")</f>
        <v>N/A</v>
      </c>
      <c r="BB797" s="164" t="str">
        <f ca="1">IFERROR(VLOOKUP($A797,tb_ConsensusEstimate,MATCH(BB$5,OFFSET(tb_ConsensusEstimate,0,0,1,COLUMNS(tb_ConsensusEstimate)),0),FALSE),"-")</f>
        <v>N/A</v>
      </c>
      <c r="BC797" s="164" t="str">
        <f ca="1">IFERROR(VLOOKUP($A797,tb_ConsensusEstimate,MATCH(BC$5,OFFSET(tb_ConsensusEstimate,0,0,1,COLUMNS(tb_ConsensusEstimate)),0),FALSE),"-")</f>
        <v>N/A</v>
      </c>
      <c r="BD797" s="126" t="str">
        <f ca="1">IFERROR(VLOOKUP($A797,tb_ConsensusEstimate,MATCH(BD$5,OFFSET(tb_ConsensusEstimate,0,0,1,COLUMNS(tb_ConsensusEstimate)),0),FALSE),"-")</f>
        <v>N/A</v>
      </c>
      <c r="BE797" s="126" t="str">
        <f ca="1">IFERROR(VLOOKUP(A797,tb_ConsensusEstimate,MATCH(BE5,OFFSET(tb_ConsensusEstimate,0,0,1,COLUMNS(tb_ConsensusEstimate)),0),FALSE),"-")</f>
        <v>N/A</v>
      </c>
      <c r="BF797" s="126" t="str">
        <f ca="1">IFERROR(VLOOKUP(A797,tb_ConsensusEstimate,MATCH(BF5,OFFSET(tb_ConsensusEstimate,0,0,1,COLUMNS(tb_ConsensusEstimate)),0),FALSE),"-")</f>
        <v>N/A</v>
      </c>
      <c r="BG797" s="126" t="str">
        <f ca="1">IFERROR(VLOOKUP(A797,tb_ConsensusEstimate,MATCH(BG5,OFFSET(tb_ConsensusEstimate,0,0,1,COLUMNS(tb_ConsensusEstimate)),0),FALSE),"-")</f>
        <v>N/A</v>
      </c>
      <c r="BH797" s="164"/>
    </row>
    <row r="798" spans="1:60" s="56" customFormat="1" x14ac:dyDescent="0.35">
      <c r="A798" s="167"/>
      <c r="B798" s="240"/>
      <c r="C798" s="168"/>
      <c r="D798" s="168"/>
      <c r="E798" s="168"/>
      <c r="F798" s="168"/>
      <c r="G798" s="169"/>
      <c r="H798" s="169"/>
      <c r="I798" s="169"/>
      <c r="J798" s="169"/>
      <c r="K798" s="168"/>
      <c r="L798" s="169"/>
      <c r="M798" s="169"/>
      <c r="N798" s="169"/>
      <c r="O798" s="169"/>
      <c r="P798" s="168"/>
      <c r="Q798" s="169"/>
      <c r="R798" s="169"/>
      <c r="S798" s="169"/>
      <c r="T798" s="169"/>
      <c r="U798" s="168"/>
      <c r="V798" s="169"/>
      <c r="W798" s="170"/>
      <c r="X798" s="170"/>
      <c r="Y798" s="169"/>
      <c r="Z798" s="168"/>
      <c r="AA798" s="169"/>
      <c r="AB798" s="170"/>
      <c r="AC798" s="170"/>
      <c r="AD798" s="169"/>
      <c r="AE798" s="168"/>
      <c r="AF798" s="169"/>
      <c r="AG798" s="170"/>
      <c r="AH798" s="170"/>
      <c r="AI798" s="169"/>
      <c r="AJ798" s="168"/>
      <c r="AK798" s="169"/>
      <c r="AL798" s="170"/>
      <c r="AM798" s="170"/>
      <c r="AN798" s="169"/>
      <c r="AO798" s="168"/>
      <c r="AP798" s="169"/>
      <c r="AQ798" s="170"/>
      <c r="AR798" s="170"/>
      <c r="AS798" s="169"/>
      <c r="AT798" s="168"/>
      <c r="AU798" s="814"/>
      <c r="AV798" s="169"/>
      <c r="AW798" s="169"/>
      <c r="AX798" s="169"/>
      <c r="AY798" s="168"/>
      <c r="AZ798" s="169"/>
      <c r="BA798" s="169"/>
      <c r="BB798" s="169"/>
      <c r="BC798" s="169"/>
      <c r="BD798" s="168"/>
      <c r="BE798" s="745"/>
      <c r="BF798" s="745"/>
      <c r="BG798" s="745"/>
      <c r="BH798" s="129"/>
    </row>
    <row r="799" spans="1:60" s="60" customFormat="1" x14ac:dyDescent="0.35">
      <c r="A799" s="316" t="s">
        <v>65</v>
      </c>
      <c r="B799" s="317"/>
      <c r="C799" s="108">
        <f t="shared" ref="C799:AU799" si="1063">+C951-C800</f>
        <v>976</v>
      </c>
      <c r="D799" s="108">
        <f t="shared" si="1063"/>
        <v>944</v>
      </c>
      <c r="E799" s="108">
        <f t="shared" si="1063"/>
        <v>1001</v>
      </c>
      <c r="F799" s="108">
        <f t="shared" si="1063"/>
        <v>1055</v>
      </c>
      <c r="G799" s="203">
        <f t="shared" si="1063"/>
        <v>276</v>
      </c>
      <c r="H799" s="203">
        <f t="shared" si="1063"/>
        <v>275</v>
      </c>
      <c r="I799" s="203">
        <f t="shared" si="1063"/>
        <v>284</v>
      </c>
      <c r="J799" s="203">
        <f t="shared" si="1063"/>
        <v>300</v>
      </c>
      <c r="K799" s="108">
        <f t="shared" si="1063"/>
        <v>1135</v>
      </c>
      <c r="L799" s="203">
        <f t="shared" si="1063"/>
        <v>293</v>
      </c>
      <c r="M799" s="203">
        <f t="shared" si="1063"/>
        <v>301</v>
      </c>
      <c r="N799" s="203">
        <f t="shared" si="1063"/>
        <v>294</v>
      </c>
      <c r="O799" s="203">
        <f t="shared" si="1063"/>
        <v>292</v>
      </c>
      <c r="P799" s="108">
        <f t="shared" si="1063"/>
        <v>1180</v>
      </c>
      <c r="Q799" s="203">
        <f t="shared" si="1063"/>
        <v>286</v>
      </c>
      <c r="R799" s="203">
        <f t="shared" si="1063"/>
        <v>294</v>
      </c>
      <c r="S799" s="203">
        <f t="shared" si="1063"/>
        <v>289</v>
      </c>
      <c r="T799" s="203">
        <f t="shared" si="1063"/>
        <v>337</v>
      </c>
      <c r="U799" s="108">
        <f t="shared" si="1063"/>
        <v>1206</v>
      </c>
      <c r="V799" s="203">
        <f t="shared" si="1063"/>
        <v>290</v>
      </c>
      <c r="W799" s="203">
        <f t="shared" si="1063"/>
        <v>300</v>
      </c>
      <c r="X799" s="203">
        <f t="shared" si="1063"/>
        <v>305</v>
      </c>
      <c r="Y799" s="203">
        <f t="shared" si="1063"/>
        <v>317</v>
      </c>
      <c r="Z799" s="108">
        <f t="shared" si="1063"/>
        <v>1212</v>
      </c>
      <c r="AA799" s="203">
        <f t="shared" si="1063"/>
        <v>374</v>
      </c>
      <c r="AB799" s="203">
        <f t="shared" si="1063"/>
        <v>333</v>
      </c>
      <c r="AC799" s="203">
        <f t="shared" si="1063"/>
        <v>326</v>
      </c>
      <c r="AD799" s="203">
        <f t="shared" si="1063"/>
        <v>273</v>
      </c>
      <c r="AE799" s="108">
        <f t="shared" si="1063"/>
        <v>1306</v>
      </c>
      <c r="AF799" s="203">
        <f t="shared" si="1063"/>
        <v>318</v>
      </c>
      <c r="AG799" s="203">
        <f t="shared" si="1063"/>
        <v>317</v>
      </c>
      <c r="AH799" s="203">
        <f t="shared" si="1063"/>
        <v>294</v>
      </c>
      <c r="AI799" s="203">
        <f t="shared" si="1063"/>
        <v>310</v>
      </c>
      <c r="AJ799" s="108">
        <f t="shared" si="1063"/>
        <v>1239</v>
      </c>
      <c r="AK799" s="203">
        <f t="shared" si="1063"/>
        <v>306</v>
      </c>
      <c r="AL799" s="203">
        <f t="shared" si="1063"/>
        <v>306</v>
      </c>
      <c r="AM799" s="203">
        <f t="shared" si="1063"/>
        <v>310</v>
      </c>
      <c r="AN799" s="203">
        <f t="shared" si="1063"/>
        <v>330</v>
      </c>
      <c r="AO799" s="108">
        <f t="shared" si="1063"/>
        <v>1252</v>
      </c>
      <c r="AP799" s="203">
        <f t="shared" si="1063"/>
        <v>306</v>
      </c>
      <c r="AQ799" s="203">
        <f t="shared" si="1063"/>
        <v>358</v>
      </c>
      <c r="AR799" s="203">
        <f t="shared" si="1063"/>
        <v>344</v>
      </c>
      <c r="AS799" s="203">
        <f t="shared" si="1063"/>
        <v>366</v>
      </c>
      <c r="AT799" s="108">
        <f t="shared" si="1063"/>
        <v>1374</v>
      </c>
      <c r="AU799" s="790">
        <f t="shared" si="1063"/>
        <v>327</v>
      </c>
      <c r="AV799" s="203">
        <f>-AV1012</f>
        <v>334.03232876712332</v>
      </c>
      <c r="AW799" s="203">
        <f>-AW1012</f>
        <v>337.64701023081255</v>
      </c>
      <c r="AX799" s="203">
        <f>-AX1012</f>
        <v>337.45889758292475</v>
      </c>
      <c r="AY799" s="108">
        <f t="shared" ref="AY799:AY804" si="1064">SUM(AU799,AV799,AW799,AX799)</f>
        <v>1336.1382365808606</v>
      </c>
      <c r="AZ799" s="203">
        <f>-AZ1012</f>
        <v>329.94553702087609</v>
      </c>
      <c r="BA799" s="203">
        <f>-BA1012</f>
        <v>333.70394412965771</v>
      </c>
      <c r="BB799" s="203">
        <f>-BB1012</f>
        <v>337.32701875469365</v>
      </c>
      <c r="BC799" s="203">
        <f>-BC1012</f>
        <v>337.15060113774132</v>
      </c>
      <c r="BD799" s="108">
        <f t="shared" ref="BD799:BD804" si="1065">SUM(AZ799,BA799,BB799,BC799)</f>
        <v>1338.1271010429687</v>
      </c>
      <c r="BE799" s="108">
        <f>-BE1012</f>
        <v>1336.9340260445447</v>
      </c>
      <c r="BF799" s="108">
        <f>-BF1012</f>
        <v>1335.9285922680858</v>
      </c>
      <c r="BG799" s="108">
        <f>-BG1012</f>
        <v>1335.0689463892134</v>
      </c>
      <c r="BH799" s="351"/>
    </row>
    <row r="800" spans="1:60" s="345" customFormat="1" x14ac:dyDescent="0.35">
      <c r="A800" s="316" t="s">
        <v>751</v>
      </c>
      <c r="B800" s="317"/>
      <c r="C800" s="108">
        <f t="shared" ref="C800:AQ800" si="1066">C779</f>
        <v>181</v>
      </c>
      <c r="D800" s="108">
        <f t="shared" si="1066"/>
        <v>176</v>
      </c>
      <c r="E800" s="108">
        <f t="shared" si="1066"/>
        <v>235</v>
      </c>
      <c r="F800" s="108">
        <f t="shared" si="1066"/>
        <v>233</v>
      </c>
      <c r="G800" s="203">
        <f t="shared" si="1066"/>
        <v>60</v>
      </c>
      <c r="H800" s="203">
        <f t="shared" si="1066"/>
        <v>60</v>
      </c>
      <c r="I800" s="203">
        <f t="shared" si="1066"/>
        <v>59</v>
      </c>
      <c r="J800" s="203">
        <f t="shared" si="1066"/>
        <v>57</v>
      </c>
      <c r="K800" s="108">
        <f t="shared" si="1066"/>
        <v>236</v>
      </c>
      <c r="L800" s="203">
        <f t="shared" si="1066"/>
        <v>57</v>
      </c>
      <c r="M800" s="203">
        <f t="shared" si="1066"/>
        <v>57</v>
      </c>
      <c r="N800" s="203">
        <f t="shared" si="1066"/>
        <v>56</v>
      </c>
      <c r="O800" s="203">
        <f t="shared" si="1066"/>
        <v>58</v>
      </c>
      <c r="P800" s="108">
        <f t="shared" si="1066"/>
        <v>228</v>
      </c>
      <c r="Q800" s="203">
        <f t="shared" si="1066"/>
        <v>53</v>
      </c>
      <c r="R800" s="203">
        <f t="shared" si="1066"/>
        <v>50</v>
      </c>
      <c r="S800" s="203">
        <f t="shared" si="1066"/>
        <v>66</v>
      </c>
      <c r="T800" s="203">
        <f t="shared" si="1066"/>
        <v>60</v>
      </c>
      <c r="U800" s="108">
        <f t="shared" si="1066"/>
        <v>229</v>
      </c>
      <c r="V800" s="203">
        <f t="shared" si="1066"/>
        <v>66</v>
      </c>
      <c r="W800" s="203">
        <f t="shared" si="1066"/>
        <v>66</v>
      </c>
      <c r="X800" s="203">
        <f t="shared" si="1066"/>
        <v>63</v>
      </c>
      <c r="Y800" s="203">
        <f t="shared" si="1066"/>
        <v>67</v>
      </c>
      <c r="Z800" s="108">
        <f t="shared" si="1066"/>
        <v>262</v>
      </c>
      <c r="AA800" s="203">
        <f t="shared" si="1066"/>
        <v>64</v>
      </c>
      <c r="AB800" s="203">
        <f t="shared" si="1066"/>
        <v>47</v>
      </c>
      <c r="AC800" s="203">
        <f t="shared" si="1066"/>
        <v>51</v>
      </c>
      <c r="AD800" s="203">
        <f t="shared" si="1066"/>
        <v>76</v>
      </c>
      <c r="AE800" s="108">
        <f t="shared" si="1066"/>
        <v>238</v>
      </c>
      <c r="AF800" s="203">
        <f t="shared" si="1066"/>
        <v>64</v>
      </c>
      <c r="AG800" s="203">
        <f t="shared" si="1066"/>
        <v>63</v>
      </c>
      <c r="AH800" s="203">
        <f t="shared" si="1066"/>
        <v>61</v>
      </c>
      <c r="AI800" s="203">
        <f t="shared" si="1066"/>
        <v>61</v>
      </c>
      <c r="AJ800" s="108">
        <f t="shared" si="1066"/>
        <v>249</v>
      </c>
      <c r="AK800" s="203">
        <f t="shared" si="1066"/>
        <v>69</v>
      </c>
      <c r="AL800" s="203">
        <f t="shared" si="1066"/>
        <v>70</v>
      </c>
      <c r="AM800" s="203">
        <f t="shared" si="1066"/>
        <v>69</v>
      </c>
      <c r="AN800" s="203">
        <f t="shared" si="1066"/>
        <v>133</v>
      </c>
      <c r="AO800" s="108">
        <f t="shared" si="1066"/>
        <v>341</v>
      </c>
      <c r="AP800" s="203">
        <f t="shared" si="1066"/>
        <v>134</v>
      </c>
      <c r="AQ800" s="203">
        <f t="shared" si="1066"/>
        <v>134</v>
      </c>
      <c r="AR800" s="203">
        <f t="shared" ref="AR800:AU800" si="1067">AR779</f>
        <v>137</v>
      </c>
      <c r="AS800" s="203">
        <f t="shared" si="1067"/>
        <v>132</v>
      </c>
      <c r="AT800" s="108">
        <f t="shared" si="1067"/>
        <v>537</v>
      </c>
      <c r="AU800" s="790">
        <f t="shared" si="1067"/>
        <v>133</v>
      </c>
      <c r="AV800" s="203">
        <f>-AV1018</f>
        <v>90.967671232876683</v>
      </c>
      <c r="AW800" s="203">
        <f>-AW1018</f>
        <v>87.352989769187445</v>
      </c>
      <c r="AX800" s="203">
        <f>-AX1018</f>
        <v>87.541102417075251</v>
      </c>
      <c r="AY800" s="108">
        <f t="shared" si="1064"/>
        <v>398.86176341913938</v>
      </c>
      <c r="AZ800" s="203">
        <f>-AZ1018</f>
        <v>95.054462979123912</v>
      </c>
      <c r="BA800" s="203">
        <f>-BA1018</f>
        <v>91.296055870342286</v>
      </c>
      <c r="BB800" s="203">
        <f>-BB1018</f>
        <v>87.672981245306346</v>
      </c>
      <c r="BC800" s="203">
        <f>-BC1018</f>
        <v>87.849398862258681</v>
      </c>
      <c r="BD800" s="108">
        <f t="shared" si="1065"/>
        <v>361.87289895703123</v>
      </c>
      <c r="BE800" s="108">
        <f>-BE1018</f>
        <v>363.06597395545532</v>
      </c>
      <c r="BF800" s="108">
        <f>-BF1018</f>
        <v>364.07140773191418</v>
      </c>
      <c r="BG800" s="108">
        <f>-BG1018</f>
        <v>364.93105361078665</v>
      </c>
      <c r="BH800" s="351"/>
    </row>
    <row r="801" spans="1:60" s="60" customFormat="1" x14ac:dyDescent="0.35">
      <c r="A801" s="316" t="s">
        <v>66</v>
      </c>
      <c r="B801" s="317"/>
      <c r="C801" s="108">
        <f t="shared" ref="C801:AQ801" si="1068">+C954</f>
        <v>217</v>
      </c>
      <c r="D801" s="108">
        <f t="shared" si="1068"/>
        <v>274</v>
      </c>
      <c r="E801" s="108">
        <f t="shared" si="1068"/>
        <v>253</v>
      </c>
      <c r="F801" s="108">
        <f t="shared" si="1068"/>
        <v>223</v>
      </c>
      <c r="G801" s="203">
        <f t="shared" si="1068"/>
        <v>103</v>
      </c>
      <c r="H801" s="203">
        <f t="shared" si="1068"/>
        <v>47</v>
      </c>
      <c r="I801" s="203">
        <f t="shared" si="1068"/>
        <v>47</v>
      </c>
      <c r="J801" s="203">
        <f t="shared" si="1068"/>
        <v>43</v>
      </c>
      <c r="K801" s="108">
        <f t="shared" si="1068"/>
        <v>240</v>
      </c>
      <c r="L801" s="203">
        <f t="shared" si="1068"/>
        <v>122</v>
      </c>
      <c r="M801" s="203">
        <f t="shared" si="1068"/>
        <v>52</v>
      </c>
      <c r="N801" s="203">
        <f t="shared" si="1068"/>
        <v>47</v>
      </c>
      <c r="O801" s="203">
        <f t="shared" si="1068"/>
        <v>59</v>
      </c>
      <c r="P801" s="108">
        <f t="shared" si="1068"/>
        <v>280</v>
      </c>
      <c r="Q801" s="203">
        <f t="shared" si="1068"/>
        <v>138</v>
      </c>
      <c r="R801" s="203">
        <f t="shared" si="1068"/>
        <v>49</v>
      </c>
      <c r="S801" s="203">
        <f t="shared" si="1068"/>
        <v>46</v>
      </c>
      <c r="T801" s="203">
        <f t="shared" si="1068"/>
        <v>43</v>
      </c>
      <c r="U801" s="108">
        <f t="shared" si="1068"/>
        <v>276</v>
      </c>
      <c r="V801" s="203">
        <f t="shared" si="1068"/>
        <v>144</v>
      </c>
      <c r="W801" s="203">
        <f t="shared" si="1068"/>
        <v>49</v>
      </c>
      <c r="X801" s="203">
        <f t="shared" si="1068"/>
        <v>51</v>
      </c>
      <c r="Y801" s="203">
        <f t="shared" si="1068"/>
        <v>54</v>
      </c>
      <c r="Z801" s="108">
        <f t="shared" si="1068"/>
        <v>298</v>
      </c>
      <c r="AA801" s="203">
        <f t="shared" si="1068"/>
        <v>147</v>
      </c>
      <c r="AB801" s="203">
        <f t="shared" si="1068"/>
        <v>59</v>
      </c>
      <c r="AC801" s="203">
        <f t="shared" si="1068"/>
        <v>60</v>
      </c>
      <c r="AD801" s="203">
        <f t="shared" si="1068"/>
        <v>58</v>
      </c>
      <c r="AE801" s="108">
        <f t="shared" si="1068"/>
        <v>324</v>
      </c>
      <c r="AF801" s="203">
        <f t="shared" si="1068"/>
        <v>159</v>
      </c>
      <c r="AG801" s="203">
        <f t="shared" si="1068"/>
        <v>49</v>
      </c>
      <c r="AH801" s="203">
        <f t="shared" si="1068"/>
        <v>50</v>
      </c>
      <c r="AI801" s="203">
        <f t="shared" si="1068"/>
        <v>44</v>
      </c>
      <c r="AJ801" s="108">
        <f t="shared" si="1068"/>
        <v>302</v>
      </c>
      <c r="AK801" s="203">
        <f t="shared" si="1068"/>
        <v>130</v>
      </c>
      <c r="AL801" s="203">
        <f t="shared" si="1068"/>
        <v>52</v>
      </c>
      <c r="AM801" s="203">
        <f t="shared" si="1068"/>
        <v>48</v>
      </c>
      <c r="AN801" s="203">
        <f t="shared" si="1068"/>
        <v>48</v>
      </c>
      <c r="AO801" s="108">
        <f t="shared" si="1068"/>
        <v>278</v>
      </c>
      <c r="AP801" s="203">
        <f t="shared" si="1068"/>
        <v>120</v>
      </c>
      <c r="AQ801" s="203">
        <f t="shared" si="1068"/>
        <v>52</v>
      </c>
      <c r="AR801" s="203">
        <f t="shared" ref="AR801:AU801" si="1069">+AR954</f>
        <v>44</v>
      </c>
      <c r="AS801" s="203">
        <f t="shared" si="1069"/>
        <v>46</v>
      </c>
      <c r="AT801" s="108">
        <f t="shared" si="1069"/>
        <v>262</v>
      </c>
      <c r="AU801" s="790">
        <f t="shared" si="1069"/>
        <v>131</v>
      </c>
      <c r="AV801" s="203">
        <f>AV784</f>
        <v>50</v>
      </c>
      <c r="AW801" s="203">
        <f>AW784</f>
        <v>50</v>
      </c>
      <c r="AX801" s="203">
        <f>AX784</f>
        <v>50</v>
      </c>
      <c r="AY801" s="108">
        <f t="shared" si="1064"/>
        <v>281</v>
      </c>
      <c r="AZ801" s="203">
        <f>AZ784</f>
        <v>135</v>
      </c>
      <c r="BA801" s="203">
        <f>BA784</f>
        <v>50</v>
      </c>
      <c r="BB801" s="203">
        <f>BB784</f>
        <v>50</v>
      </c>
      <c r="BC801" s="203">
        <f>BC784</f>
        <v>50</v>
      </c>
      <c r="BD801" s="108">
        <f t="shared" si="1065"/>
        <v>285</v>
      </c>
      <c r="BE801" s="108">
        <f>BE784</f>
        <v>285</v>
      </c>
      <c r="BF801" s="108">
        <f>BF784</f>
        <v>285</v>
      </c>
      <c r="BG801" s="108">
        <f>BG784</f>
        <v>285</v>
      </c>
      <c r="BH801" s="351"/>
    </row>
    <row r="802" spans="1:60" s="60" customFormat="1" x14ac:dyDescent="0.35">
      <c r="A802" s="466" t="s">
        <v>67</v>
      </c>
      <c r="B802" s="467"/>
      <c r="C802" s="124">
        <f t="shared" ref="C802:AU802" si="1070">C730</f>
        <v>0</v>
      </c>
      <c r="D802" s="124">
        <f t="shared" si="1070"/>
        <v>0</v>
      </c>
      <c r="E802" s="124">
        <f t="shared" si="1070"/>
        <v>0</v>
      </c>
      <c r="F802" s="124">
        <f t="shared" si="1070"/>
        <v>0</v>
      </c>
      <c r="G802" s="123">
        <f t="shared" si="1070"/>
        <v>0</v>
      </c>
      <c r="H802" s="123">
        <f t="shared" si="1070"/>
        <v>0</v>
      </c>
      <c r="I802" s="123">
        <f t="shared" si="1070"/>
        <v>0</v>
      </c>
      <c r="J802" s="123">
        <f t="shared" si="1070"/>
        <v>0</v>
      </c>
      <c r="K802" s="124">
        <f t="shared" si="1070"/>
        <v>0</v>
      </c>
      <c r="L802" s="123">
        <f t="shared" si="1070"/>
        <v>0</v>
      </c>
      <c r="M802" s="123">
        <f t="shared" si="1070"/>
        <v>0</v>
      </c>
      <c r="N802" s="123">
        <f t="shared" si="1070"/>
        <v>0</v>
      </c>
      <c r="O802" s="123">
        <f t="shared" si="1070"/>
        <v>0</v>
      </c>
      <c r="P802" s="124">
        <f t="shared" si="1070"/>
        <v>0</v>
      </c>
      <c r="Q802" s="123">
        <f t="shared" si="1070"/>
        <v>0</v>
      </c>
      <c r="R802" s="123">
        <f t="shared" si="1070"/>
        <v>0</v>
      </c>
      <c r="S802" s="123">
        <f t="shared" si="1070"/>
        <v>0</v>
      </c>
      <c r="T802" s="123">
        <f t="shared" si="1070"/>
        <v>0</v>
      </c>
      <c r="U802" s="124">
        <f t="shared" si="1070"/>
        <v>0</v>
      </c>
      <c r="V802" s="123">
        <f t="shared" si="1070"/>
        <v>0</v>
      </c>
      <c r="W802" s="123">
        <f t="shared" si="1070"/>
        <v>0</v>
      </c>
      <c r="X802" s="123">
        <f t="shared" si="1070"/>
        <v>0</v>
      </c>
      <c r="Y802" s="123">
        <f t="shared" si="1070"/>
        <v>0</v>
      </c>
      <c r="Z802" s="124">
        <f t="shared" si="1070"/>
        <v>0</v>
      </c>
      <c r="AA802" s="123">
        <f t="shared" si="1070"/>
        <v>-29</v>
      </c>
      <c r="AB802" s="123">
        <f t="shared" si="1070"/>
        <v>-461</v>
      </c>
      <c r="AC802" s="123">
        <f t="shared" si="1070"/>
        <v>0</v>
      </c>
      <c r="AD802" s="123">
        <f t="shared" si="1070"/>
        <v>-96</v>
      </c>
      <c r="AE802" s="124">
        <f t="shared" si="1070"/>
        <v>-586</v>
      </c>
      <c r="AF802" s="123">
        <f t="shared" si="1070"/>
        <v>-24</v>
      </c>
      <c r="AG802" s="123">
        <f t="shared" si="1070"/>
        <v>-506</v>
      </c>
      <c r="AH802" s="123">
        <f t="shared" si="1070"/>
        <v>0</v>
      </c>
      <c r="AI802" s="123">
        <f t="shared" si="1070"/>
        <v>-17</v>
      </c>
      <c r="AJ802" s="124">
        <f t="shared" si="1070"/>
        <v>-547</v>
      </c>
      <c r="AK802" s="123">
        <f t="shared" si="1070"/>
        <v>-8</v>
      </c>
      <c r="AL802" s="123">
        <f t="shared" si="1070"/>
        <v>0</v>
      </c>
      <c r="AM802" s="123">
        <f t="shared" si="1070"/>
        <v>-106</v>
      </c>
      <c r="AN802" s="123">
        <f t="shared" si="1070"/>
        <v>0</v>
      </c>
      <c r="AO802" s="124">
        <f t="shared" si="1070"/>
        <v>-114</v>
      </c>
      <c r="AP802" s="123">
        <f t="shared" si="1070"/>
        <v>-2</v>
      </c>
      <c r="AQ802" s="123">
        <f t="shared" si="1070"/>
        <v>-387</v>
      </c>
      <c r="AR802" s="123">
        <f t="shared" si="1070"/>
        <v>0</v>
      </c>
      <c r="AS802" s="123">
        <f t="shared" si="1070"/>
        <v>0</v>
      </c>
      <c r="AT802" s="124">
        <f t="shared" si="1070"/>
        <v>-389</v>
      </c>
      <c r="AU802" s="791">
        <f t="shared" si="1070"/>
        <v>0</v>
      </c>
      <c r="AV802" s="955">
        <f>Drivers!AV96</f>
        <v>0</v>
      </c>
      <c r="AW802" s="955">
        <f>Drivers!AW96</f>
        <v>0</v>
      </c>
      <c r="AX802" s="955">
        <f>Drivers!AX96</f>
        <v>0</v>
      </c>
      <c r="AY802" s="124">
        <f t="shared" si="1064"/>
        <v>0</v>
      </c>
      <c r="AZ802" s="955">
        <f>Drivers!AZ96</f>
        <v>0</v>
      </c>
      <c r="BA802" s="955">
        <f>Drivers!BA96</f>
        <v>0</v>
      </c>
      <c r="BB802" s="955">
        <f>Drivers!BB96</f>
        <v>0</v>
      </c>
      <c r="BC802" s="955">
        <f>Drivers!BC96</f>
        <v>0</v>
      </c>
      <c r="BD802" s="124">
        <f t="shared" si="1065"/>
        <v>0</v>
      </c>
      <c r="BE802" s="955">
        <f>Drivers!BE96</f>
        <v>0</v>
      </c>
      <c r="BF802" s="955">
        <f>Drivers!BF96</f>
        <v>0</v>
      </c>
      <c r="BG802" s="955">
        <f>Drivers!BG96</f>
        <v>0</v>
      </c>
      <c r="BH802" s="351"/>
    </row>
    <row r="803" spans="1:60" s="69" customFormat="1" x14ac:dyDescent="0.35">
      <c r="A803" s="318" t="s">
        <v>68</v>
      </c>
      <c r="B803" s="319"/>
      <c r="C803" s="110">
        <f t="shared" ref="C803:AQ803" si="1071">C795-SUM(C799:C802)</f>
        <v>4814</v>
      </c>
      <c r="D803" s="110">
        <f t="shared" si="1071"/>
        <v>5918</v>
      </c>
      <c r="E803" s="110">
        <f t="shared" si="1071"/>
        <v>6178</v>
      </c>
      <c r="F803" s="110">
        <f t="shared" si="1071"/>
        <v>6483</v>
      </c>
      <c r="G803" s="109">
        <f t="shared" si="1071"/>
        <v>1646</v>
      </c>
      <c r="H803" s="109">
        <f t="shared" si="1071"/>
        <v>1702</v>
      </c>
      <c r="I803" s="109">
        <f t="shared" si="1071"/>
        <v>1739</v>
      </c>
      <c r="J803" s="109">
        <f t="shared" si="1071"/>
        <v>1579</v>
      </c>
      <c r="K803" s="110">
        <f t="shared" si="1071"/>
        <v>6666</v>
      </c>
      <c r="L803" s="109">
        <f t="shared" si="1071"/>
        <v>1716</v>
      </c>
      <c r="M803" s="109">
        <f t="shared" si="1071"/>
        <v>1856</v>
      </c>
      <c r="N803" s="109">
        <f t="shared" si="1071"/>
        <v>1901</v>
      </c>
      <c r="O803" s="109">
        <f t="shared" si="1071"/>
        <v>1662</v>
      </c>
      <c r="P803" s="110">
        <f t="shared" si="1071"/>
        <v>7135</v>
      </c>
      <c r="Q803" s="109">
        <f t="shared" si="1071"/>
        <v>1730</v>
      </c>
      <c r="R803" s="109">
        <f t="shared" si="1071"/>
        <v>1840</v>
      </c>
      <c r="S803" s="109">
        <f t="shared" si="1071"/>
        <v>1876</v>
      </c>
      <c r="T803" s="109">
        <f t="shared" si="1071"/>
        <v>1500</v>
      </c>
      <c r="U803" s="110">
        <f t="shared" si="1071"/>
        <v>6946</v>
      </c>
      <c r="V803" s="109">
        <f t="shared" si="1071"/>
        <v>1788</v>
      </c>
      <c r="W803" s="109">
        <f t="shared" si="1071"/>
        <v>1866</v>
      </c>
      <c r="X803" s="109">
        <f t="shared" si="1071"/>
        <v>1904</v>
      </c>
      <c r="Y803" s="109">
        <f t="shared" si="1071"/>
        <v>1665</v>
      </c>
      <c r="Z803" s="110">
        <f t="shared" si="1071"/>
        <v>7223</v>
      </c>
      <c r="AA803" s="109">
        <f t="shared" si="1071"/>
        <v>1742</v>
      </c>
      <c r="AB803" s="109">
        <f t="shared" si="1071"/>
        <v>2153</v>
      </c>
      <c r="AC803" s="109">
        <f t="shared" si="1071"/>
        <v>2008</v>
      </c>
      <c r="AD803" s="109">
        <f t="shared" si="1071"/>
        <v>1789</v>
      </c>
      <c r="AE803" s="110">
        <f t="shared" si="1071"/>
        <v>7692</v>
      </c>
      <c r="AF803" s="109">
        <f t="shared" si="1071"/>
        <v>1007</v>
      </c>
      <c r="AG803" s="109">
        <f t="shared" si="1071"/>
        <v>2401</v>
      </c>
      <c r="AH803" s="109">
        <f t="shared" si="1071"/>
        <v>2016</v>
      </c>
      <c r="AI803" s="109">
        <f t="shared" si="1071"/>
        <v>1783</v>
      </c>
      <c r="AJ803" s="110">
        <f t="shared" si="1071"/>
        <v>7207</v>
      </c>
      <c r="AK803" s="109">
        <f t="shared" si="1071"/>
        <v>1136</v>
      </c>
      <c r="AL803" s="109">
        <f t="shared" si="1071"/>
        <v>1702</v>
      </c>
      <c r="AM803" s="109">
        <f t="shared" si="1071"/>
        <v>2011</v>
      </c>
      <c r="AN803" s="109">
        <f t="shared" si="1071"/>
        <v>1325</v>
      </c>
      <c r="AO803" s="110">
        <f t="shared" si="1071"/>
        <v>6174</v>
      </c>
      <c r="AP803" s="76">
        <f t="shared" si="1071"/>
        <v>1663</v>
      </c>
      <c r="AQ803" s="109">
        <f t="shared" si="1071"/>
        <v>1740</v>
      </c>
      <c r="AR803" s="109">
        <f>AR795-SUM(AR799:AR802)</f>
        <v>1909</v>
      </c>
      <c r="AS803" s="109">
        <f>AS795-SUM(AS799:AS802)</f>
        <v>1849</v>
      </c>
      <c r="AT803" s="110">
        <f>AT795-SUM(AT799:AT802)</f>
        <v>7161</v>
      </c>
      <c r="AU803" s="812">
        <f t="shared" ref="AU803" si="1072">AU795-SUM(AU799:AU802)</f>
        <v>1994</v>
      </c>
      <c r="AV803" s="109">
        <f>AV64</f>
        <v>1695.9743848000003</v>
      </c>
      <c r="AW803" s="109">
        <f>AW64</f>
        <v>2037.691568</v>
      </c>
      <c r="AX803" s="109">
        <f>AX64</f>
        <v>2140.0658084000002</v>
      </c>
      <c r="AY803" s="110">
        <f t="shared" si="1064"/>
        <v>7867.7317612000006</v>
      </c>
      <c r="AZ803" s="109">
        <f>AZ64</f>
        <v>2258.7461348000006</v>
      </c>
      <c r="BA803" s="109">
        <f>BA64</f>
        <v>1975.6010443520001</v>
      </c>
      <c r="BB803" s="109">
        <f>BB64</f>
        <v>2116.9490585920003</v>
      </c>
      <c r="BC803" s="109">
        <f>BC64</f>
        <v>2340.4050496119999</v>
      </c>
      <c r="BD803" s="110">
        <f t="shared" si="1065"/>
        <v>8691.7012873560016</v>
      </c>
      <c r="BE803" s="110">
        <f>BE64</f>
        <v>9495.5891532131791</v>
      </c>
      <c r="BF803" s="110">
        <f>BF64</f>
        <v>10367.758610940777</v>
      </c>
      <c r="BG803" s="110">
        <f>BG64</f>
        <v>11313.838469852113</v>
      </c>
      <c r="BH803" s="79"/>
    </row>
    <row r="804" spans="1:60" s="69" customFormat="1" x14ac:dyDescent="0.35">
      <c r="A804" s="426" t="str">
        <f t="array" ref="A804">CONCATENATE("Adjusted ",A803,IF(AND(ROUND(C803:XFD803-C804:XFD804,6)=0)," (No Adjustments)",""))</f>
        <v>Adjusted EBIT</v>
      </c>
      <c r="B804" s="427"/>
      <c r="C804" s="112">
        <f t="shared" ref="C804:AU804" si="1073">IF(ISBLANK(C755),C803,C755)</f>
        <v>4814</v>
      </c>
      <c r="D804" s="112">
        <f t="shared" si="1073"/>
        <v>5918</v>
      </c>
      <c r="E804" s="112">
        <f t="shared" si="1073"/>
        <v>6178</v>
      </c>
      <c r="F804" s="112">
        <f t="shared" si="1073"/>
        <v>6483</v>
      </c>
      <c r="G804" s="111">
        <f t="shared" si="1073"/>
        <v>1646</v>
      </c>
      <c r="H804" s="111">
        <f t="shared" si="1073"/>
        <v>1702</v>
      </c>
      <c r="I804" s="111">
        <f t="shared" si="1073"/>
        <v>1739</v>
      </c>
      <c r="J804" s="111">
        <f t="shared" si="1073"/>
        <v>1579</v>
      </c>
      <c r="K804" s="112">
        <f t="shared" si="1073"/>
        <v>6666</v>
      </c>
      <c r="L804" s="111">
        <f t="shared" si="1073"/>
        <v>1716</v>
      </c>
      <c r="M804" s="111">
        <f t="shared" si="1073"/>
        <v>1856</v>
      </c>
      <c r="N804" s="111">
        <f t="shared" si="1073"/>
        <v>1901</v>
      </c>
      <c r="O804" s="111">
        <f t="shared" si="1073"/>
        <v>1662</v>
      </c>
      <c r="P804" s="112">
        <f t="shared" si="1073"/>
        <v>7135</v>
      </c>
      <c r="Q804" s="111">
        <f t="shared" si="1073"/>
        <v>1730</v>
      </c>
      <c r="R804" s="111">
        <f t="shared" si="1073"/>
        <v>1840</v>
      </c>
      <c r="S804" s="111">
        <f t="shared" si="1073"/>
        <v>1876</v>
      </c>
      <c r="T804" s="111">
        <f t="shared" si="1073"/>
        <v>1500</v>
      </c>
      <c r="U804" s="112">
        <f t="shared" si="1073"/>
        <v>6946</v>
      </c>
      <c r="V804" s="111">
        <f t="shared" si="1073"/>
        <v>1788</v>
      </c>
      <c r="W804" s="111">
        <f t="shared" si="1073"/>
        <v>1866</v>
      </c>
      <c r="X804" s="111">
        <f t="shared" si="1073"/>
        <v>1904</v>
      </c>
      <c r="Y804" s="111">
        <f t="shared" si="1073"/>
        <v>1665</v>
      </c>
      <c r="Z804" s="112">
        <f t="shared" si="1073"/>
        <v>7223</v>
      </c>
      <c r="AA804" s="111">
        <f t="shared" si="1073"/>
        <v>1742</v>
      </c>
      <c r="AB804" s="111">
        <f t="shared" si="1073"/>
        <v>2153</v>
      </c>
      <c r="AC804" s="111">
        <f t="shared" si="1073"/>
        <v>2008</v>
      </c>
      <c r="AD804" s="111">
        <f t="shared" si="1073"/>
        <v>1789</v>
      </c>
      <c r="AE804" s="112">
        <f t="shared" si="1073"/>
        <v>7692</v>
      </c>
      <c r="AF804" s="111">
        <f t="shared" si="1073"/>
        <v>1904</v>
      </c>
      <c r="AG804" s="111">
        <f t="shared" si="1073"/>
        <v>2401</v>
      </c>
      <c r="AH804" s="111">
        <f t="shared" si="1073"/>
        <v>2016</v>
      </c>
      <c r="AI804" s="111">
        <f t="shared" si="1073"/>
        <v>1783</v>
      </c>
      <c r="AJ804" s="112">
        <f t="shared" si="1073"/>
        <v>8104</v>
      </c>
      <c r="AK804" s="111">
        <f t="shared" si="1073"/>
        <v>1676</v>
      </c>
      <c r="AL804" s="111">
        <f t="shared" si="1073"/>
        <v>1702</v>
      </c>
      <c r="AM804" s="111">
        <f t="shared" si="1073"/>
        <v>1905</v>
      </c>
      <c r="AN804" s="111">
        <f t="shared" si="1073"/>
        <v>1539</v>
      </c>
      <c r="AO804" s="112">
        <f t="shared" si="1073"/>
        <v>6822</v>
      </c>
      <c r="AP804" s="79">
        <f t="shared" si="1073"/>
        <v>1678</v>
      </c>
      <c r="AQ804" s="111">
        <f t="shared" si="1073"/>
        <v>1408</v>
      </c>
      <c r="AR804" s="111">
        <f t="shared" si="1073"/>
        <v>1909</v>
      </c>
      <c r="AS804" s="111">
        <f t="shared" si="1073"/>
        <v>1849</v>
      </c>
      <c r="AT804" s="112">
        <f t="shared" si="1073"/>
        <v>6844</v>
      </c>
      <c r="AU804" s="803">
        <f t="shared" si="1073"/>
        <v>1994</v>
      </c>
      <c r="AV804" s="111">
        <f>AV66</f>
        <v>1695.9743848000003</v>
      </c>
      <c r="AW804" s="111">
        <f>AW66</f>
        <v>2037.691568</v>
      </c>
      <c r="AX804" s="111">
        <f>AX66</f>
        <v>2140.0658084000002</v>
      </c>
      <c r="AY804" s="112">
        <f t="shared" si="1064"/>
        <v>7867.7317612000006</v>
      </c>
      <c r="AZ804" s="111">
        <f>AZ66</f>
        <v>2258.7461348000006</v>
      </c>
      <c r="BA804" s="111">
        <f>BA66</f>
        <v>1975.6010443520001</v>
      </c>
      <c r="BB804" s="111">
        <f>BB66</f>
        <v>2116.9490585920003</v>
      </c>
      <c r="BC804" s="111">
        <f>BC66</f>
        <v>2340.4050496119999</v>
      </c>
      <c r="BD804" s="112">
        <f t="shared" si="1065"/>
        <v>8691.7012873560016</v>
      </c>
      <c r="BE804" s="112">
        <f>BE66</f>
        <v>9495.5891532131791</v>
      </c>
      <c r="BF804" s="112">
        <f>BF66</f>
        <v>10367.758610940777</v>
      </c>
      <c r="BG804" s="112">
        <f>BG66</f>
        <v>11313.838469852113</v>
      </c>
      <c r="BH804" s="79"/>
    </row>
    <row r="805" spans="1:60" s="166" customFormat="1" x14ac:dyDescent="0.35">
      <c r="A805" s="162" t="str">
        <f>CONCATENATE("Consensus Estimates - ",IFERROR(LEFT(A804,FIND("(",A804)-1),A804))</f>
        <v>Consensus Estimates - Adjusted EBIT</v>
      </c>
      <c r="B805" s="239"/>
      <c r="C805" s="163"/>
      <c r="D805" s="163"/>
      <c r="E805" s="163"/>
      <c r="F805" s="163"/>
      <c r="G805" s="164"/>
      <c r="H805" s="164"/>
      <c r="I805" s="164"/>
      <c r="J805" s="164"/>
      <c r="K805" s="163"/>
      <c r="L805" s="164"/>
      <c r="M805" s="164"/>
      <c r="N805" s="164"/>
      <c r="O805" s="164"/>
      <c r="P805" s="163"/>
      <c r="Q805" s="164"/>
      <c r="R805" s="164"/>
      <c r="S805" s="164"/>
      <c r="T805" s="164"/>
      <c r="U805" s="163"/>
      <c r="V805" s="164"/>
      <c r="W805" s="165"/>
      <c r="X805" s="165"/>
      <c r="Y805" s="164"/>
      <c r="Z805" s="163"/>
      <c r="AA805" s="164"/>
      <c r="AB805" s="165"/>
      <c r="AC805" s="165"/>
      <c r="AD805" s="164"/>
      <c r="AE805" s="163"/>
      <c r="AF805" s="164"/>
      <c r="AG805" s="165"/>
      <c r="AH805" s="165"/>
      <c r="AI805" s="164"/>
      <c r="AJ805" s="163"/>
      <c r="AK805" s="164"/>
      <c r="AL805" s="165"/>
      <c r="AM805" s="165"/>
      <c r="AN805" s="164"/>
      <c r="AO805" s="163"/>
      <c r="AP805" s="164"/>
      <c r="AQ805" s="165"/>
      <c r="AR805" s="165"/>
      <c r="AS805" s="164"/>
      <c r="AT805" s="163"/>
      <c r="AU805" s="782"/>
      <c r="AV805" s="164" t="str">
        <f t="shared" ref="AV805:AY805" ca="1" si="1074">IFERROR(VLOOKUP($A805,tb_ConsensusEstimate,MATCH(AV$5,OFFSET(tb_ConsensusEstimate,0,0,1,COLUMNS(tb_ConsensusEstimate)),0),FALSE),"-")</f>
        <v>N/A</v>
      </c>
      <c r="AW805" s="164" t="str">
        <f t="shared" ca="1" si="1074"/>
        <v>N/A</v>
      </c>
      <c r="AX805" s="164" t="str">
        <f t="shared" ca="1" si="1074"/>
        <v>N/A</v>
      </c>
      <c r="AY805" s="126" t="str">
        <f t="shared" ca="1" si="1074"/>
        <v>N/A</v>
      </c>
      <c r="AZ805" s="164" t="str">
        <f ca="1">IFERROR(VLOOKUP($A805,tb_ConsensusEstimate,MATCH(AZ$5,OFFSET(tb_ConsensusEstimate,0,0,1,COLUMNS(tb_ConsensusEstimate)),0),FALSE),"-")</f>
        <v>N/A</v>
      </c>
      <c r="BA805" s="164" t="str">
        <f ca="1">IFERROR(VLOOKUP($A805,tb_ConsensusEstimate,MATCH(BA$5,OFFSET(tb_ConsensusEstimate,0,0,1,COLUMNS(tb_ConsensusEstimate)),0),FALSE),"-")</f>
        <v>N/A</v>
      </c>
      <c r="BB805" s="164" t="str">
        <f ca="1">IFERROR(VLOOKUP($A805,tb_ConsensusEstimate,MATCH(BB$5,OFFSET(tb_ConsensusEstimate,0,0,1,COLUMNS(tb_ConsensusEstimate)),0),FALSE),"-")</f>
        <v>N/A</v>
      </c>
      <c r="BC805" s="164" t="str">
        <f ca="1">IFERROR(VLOOKUP($A805,tb_ConsensusEstimate,MATCH(BC$5,OFFSET(tb_ConsensusEstimate,0,0,1,COLUMNS(tb_ConsensusEstimate)),0),FALSE),"-")</f>
        <v>N/A</v>
      </c>
      <c r="BD805" s="126" t="str">
        <f ca="1">IFERROR(VLOOKUP($A805,tb_ConsensusEstimate,MATCH(BD$5,OFFSET(tb_ConsensusEstimate,0,0,1,COLUMNS(tb_ConsensusEstimate)),0),FALSE),"-")</f>
        <v>N/A</v>
      </c>
      <c r="BE805" s="126" t="str">
        <f ca="1">IFERROR(VLOOKUP(A805,tb_ConsensusEstimate,MATCH(BE5,OFFSET(tb_ConsensusEstimate,0,0,1,COLUMNS(tb_ConsensusEstimate)),0),FALSE),"-")</f>
        <v>N/A</v>
      </c>
      <c r="BF805" s="126" t="str">
        <f ca="1">IFERROR(VLOOKUP(A805,tb_ConsensusEstimate,MATCH(BF5,OFFSET(tb_ConsensusEstimate,0,0,1,COLUMNS(tb_ConsensusEstimate)),0),FALSE),"-")</f>
        <v>N/A</v>
      </c>
      <c r="BG805" s="126" t="str">
        <f ca="1">IFERROR(VLOOKUP(A805,tb_ConsensusEstimate,MATCH(BG5,OFFSET(tb_ConsensusEstimate,0,0,1,COLUMNS(tb_ConsensusEstimate)),0),FALSE),"-")</f>
        <v>N/A</v>
      </c>
      <c r="BH805" s="164"/>
    </row>
    <row r="806" spans="1:60" s="48" customFormat="1" x14ac:dyDescent="0.35">
      <c r="A806" s="430"/>
      <c r="B806" s="253"/>
      <c r="C806" s="876"/>
      <c r="D806" s="876"/>
      <c r="E806" s="876"/>
      <c r="F806" s="876"/>
      <c r="G806" s="877"/>
      <c r="H806" s="877"/>
      <c r="I806" s="877"/>
      <c r="J806" s="877"/>
      <c r="K806" s="876"/>
      <c r="L806" s="877"/>
      <c r="M806" s="877"/>
      <c r="N806" s="877"/>
      <c r="O806" s="877"/>
      <c r="P806" s="876"/>
      <c r="Q806" s="877"/>
      <c r="R806" s="877"/>
      <c r="S806" s="877"/>
      <c r="T806" s="877"/>
      <c r="U806" s="876"/>
      <c r="V806" s="877"/>
      <c r="W806" s="877"/>
      <c r="X806" s="877"/>
      <c r="Y806" s="877"/>
      <c r="Z806" s="876"/>
      <c r="AA806" s="877"/>
      <c r="AB806" s="877"/>
      <c r="AC806" s="877"/>
      <c r="AD806" s="877"/>
      <c r="AE806" s="876"/>
      <c r="AF806" s="877"/>
      <c r="AG806" s="877"/>
      <c r="AH806" s="877"/>
      <c r="AI806" s="877"/>
      <c r="AJ806" s="876"/>
      <c r="AK806" s="877"/>
      <c r="AL806" s="877"/>
      <c r="AM806" s="877"/>
      <c r="AN806" s="877"/>
      <c r="AO806" s="876"/>
      <c r="AP806" s="877"/>
      <c r="AQ806" s="877"/>
      <c r="AR806" s="877"/>
      <c r="AS806" s="877"/>
      <c r="AT806" s="876"/>
      <c r="AU806" s="878"/>
      <c r="AV806" s="877"/>
      <c r="AW806" s="877"/>
      <c r="AX806" s="877"/>
      <c r="AY806" s="876"/>
      <c r="AZ806" s="877"/>
      <c r="BA806" s="877"/>
      <c r="BB806" s="877"/>
      <c r="BC806" s="877"/>
      <c r="BD806" s="876"/>
      <c r="BE806" s="876"/>
      <c r="BF806" s="876"/>
      <c r="BG806" s="876"/>
      <c r="BH806" s="749"/>
    </row>
    <row r="807" spans="1:60" s="60" customFormat="1" x14ac:dyDescent="0.35">
      <c r="A807" s="316" t="s">
        <v>42</v>
      </c>
      <c r="B807" s="317"/>
      <c r="C807" s="108">
        <f t="shared" ref="C807:AR807" si="1075">+C733</f>
        <v>219</v>
      </c>
      <c r="D807" s="108">
        <f t="shared" si="1075"/>
        <v>201</v>
      </c>
      <c r="E807" s="108">
        <f t="shared" si="1075"/>
        <v>186</v>
      </c>
      <c r="F807" s="108">
        <f t="shared" si="1075"/>
        <v>171</v>
      </c>
      <c r="G807" s="203">
        <f t="shared" si="1075"/>
        <v>39</v>
      </c>
      <c r="H807" s="203">
        <f t="shared" si="1075"/>
        <v>41</v>
      </c>
      <c r="I807" s="203">
        <f t="shared" si="1075"/>
        <v>33</v>
      </c>
      <c r="J807" s="203">
        <f t="shared" si="1075"/>
        <v>32</v>
      </c>
      <c r="K807" s="108">
        <f t="shared" si="1075"/>
        <v>145</v>
      </c>
      <c r="L807" s="203">
        <f t="shared" si="1075"/>
        <v>37</v>
      </c>
      <c r="M807" s="203">
        <f t="shared" si="1075"/>
        <v>45</v>
      </c>
      <c r="N807" s="203">
        <f t="shared" si="1075"/>
        <v>28</v>
      </c>
      <c r="O807" s="203">
        <f t="shared" si="1075"/>
        <v>32</v>
      </c>
      <c r="P807" s="108">
        <f t="shared" si="1075"/>
        <v>142</v>
      </c>
      <c r="Q807" s="203">
        <f t="shared" si="1075"/>
        <v>31</v>
      </c>
      <c r="R807" s="203">
        <f t="shared" si="1075"/>
        <v>35</v>
      </c>
      <c r="S807" s="203">
        <f t="shared" si="1075"/>
        <v>38</v>
      </c>
      <c r="T807" s="203">
        <f t="shared" si="1075"/>
        <v>45</v>
      </c>
      <c r="U807" s="108">
        <f t="shared" si="1075"/>
        <v>149</v>
      </c>
      <c r="V807" s="203">
        <f t="shared" si="1075"/>
        <v>47</v>
      </c>
      <c r="W807" s="203">
        <f t="shared" si="1075"/>
        <v>38</v>
      </c>
      <c r="X807" s="203">
        <f t="shared" si="1075"/>
        <v>50</v>
      </c>
      <c r="Y807" s="203">
        <f t="shared" si="1075"/>
        <v>64</v>
      </c>
      <c r="Z807" s="108">
        <f t="shared" si="1075"/>
        <v>199</v>
      </c>
      <c r="AA807" s="203">
        <f t="shared" si="1075"/>
        <v>45</v>
      </c>
      <c r="AB807" s="203">
        <f t="shared" si="1075"/>
        <v>54</v>
      </c>
      <c r="AC807" s="203">
        <f t="shared" si="1075"/>
        <v>57</v>
      </c>
      <c r="AD807" s="203">
        <f t="shared" si="1075"/>
        <v>166</v>
      </c>
      <c r="AE807" s="108">
        <f t="shared" si="1075"/>
        <v>322</v>
      </c>
      <c r="AF807" s="203">
        <f t="shared" si="1075"/>
        <v>82</v>
      </c>
      <c r="AG807" s="203">
        <f t="shared" si="1075"/>
        <v>88</v>
      </c>
      <c r="AH807" s="203">
        <f t="shared" si="1075"/>
        <v>85</v>
      </c>
      <c r="AI807" s="203">
        <f t="shared" si="1075"/>
        <v>95</v>
      </c>
      <c r="AJ807" s="108">
        <f t="shared" si="1075"/>
        <v>350</v>
      </c>
      <c r="AK807" s="203">
        <f t="shared" si="1075"/>
        <v>104</v>
      </c>
      <c r="AL807" s="203">
        <f t="shared" si="1075"/>
        <v>111</v>
      </c>
      <c r="AM807" s="203">
        <f t="shared" si="1075"/>
        <v>109</v>
      </c>
      <c r="AN807" s="203">
        <f t="shared" si="1075"/>
        <v>124</v>
      </c>
      <c r="AO807" s="108">
        <f t="shared" si="1075"/>
        <v>448</v>
      </c>
      <c r="AP807" s="351">
        <f t="shared" si="1075"/>
        <v>123</v>
      </c>
      <c r="AQ807" s="203">
        <f t="shared" si="1075"/>
        <v>137</v>
      </c>
      <c r="AR807" s="203">
        <f t="shared" si="1075"/>
        <v>128</v>
      </c>
      <c r="AS807" s="203">
        <f>+AS733</f>
        <v>141</v>
      </c>
      <c r="AT807" s="108">
        <f>+AT733</f>
        <v>529</v>
      </c>
      <c r="AU807" s="805">
        <f t="shared" ref="AU807" si="1076">+AU733</f>
        <v>132</v>
      </c>
      <c r="AV807" s="203">
        <f>AV866</f>
        <v>131.49450136986303</v>
      </c>
      <c r="AW807" s="203">
        <f>AW866</f>
        <v>132.93949589041094</v>
      </c>
      <c r="AX807" s="203">
        <f>AX866</f>
        <v>132.93949589041094</v>
      </c>
      <c r="AY807" s="108">
        <f>SUM(AU807,AV807,AW807,AX807)</f>
        <v>529.37349315068491</v>
      </c>
      <c r="AZ807" s="203">
        <f>AZ866</f>
        <v>130.04950684931507</v>
      </c>
      <c r="BA807" s="203">
        <f>BA866</f>
        <v>131.49450136986303</v>
      </c>
      <c r="BB807" s="203">
        <f>BB866</f>
        <v>132.93949589041094</v>
      </c>
      <c r="BC807" s="203">
        <f>BC866</f>
        <v>132.93949589041094</v>
      </c>
      <c r="BD807" s="108">
        <f>SUM(AZ807,BA807,BB807,BC807)</f>
        <v>527.423</v>
      </c>
      <c r="BE807" s="108">
        <f>BE866</f>
        <v>527.423</v>
      </c>
      <c r="BF807" s="108">
        <f>BF866</f>
        <v>527.423</v>
      </c>
      <c r="BG807" s="108">
        <f>BG866</f>
        <v>527.423</v>
      </c>
      <c r="BH807" s="351"/>
    </row>
    <row r="808" spans="1:60" s="345" customFormat="1" x14ac:dyDescent="0.35">
      <c r="A808" s="316" t="s">
        <v>43</v>
      </c>
      <c r="B808" s="317"/>
      <c r="C808" s="108">
        <f t="shared" ref="C808:AR808" si="1077">C734</f>
        <v>-37</v>
      </c>
      <c r="D808" s="108">
        <f t="shared" si="1077"/>
        <v>-38</v>
      </c>
      <c r="E808" s="108">
        <f t="shared" si="1077"/>
        <v>-39</v>
      </c>
      <c r="F808" s="108">
        <f t="shared" si="1077"/>
        <v>-39</v>
      </c>
      <c r="G808" s="203">
        <f t="shared" si="1077"/>
        <v>-10</v>
      </c>
      <c r="H808" s="203">
        <f t="shared" si="1077"/>
        <v>-10</v>
      </c>
      <c r="I808" s="203">
        <f t="shared" si="1077"/>
        <v>-10</v>
      </c>
      <c r="J808" s="203">
        <f t="shared" si="1077"/>
        <v>-11</v>
      </c>
      <c r="K808" s="108">
        <f t="shared" si="1077"/>
        <v>-41</v>
      </c>
      <c r="L808" s="203">
        <f t="shared" si="1077"/>
        <v>-9</v>
      </c>
      <c r="M808" s="203">
        <f t="shared" si="1077"/>
        <v>-9</v>
      </c>
      <c r="N808" s="203">
        <f t="shared" si="1077"/>
        <v>-7</v>
      </c>
      <c r="O808" s="203">
        <f t="shared" si="1077"/>
        <v>-8</v>
      </c>
      <c r="P808" s="108">
        <f t="shared" si="1077"/>
        <v>-33</v>
      </c>
      <c r="Q808" s="203">
        <f t="shared" si="1077"/>
        <v>-4</v>
      </c>
      <c r="R808" s="203">
        <f t="shared" si="1077"/>
        <v>-7</v>
      </c>
      <c r="S808" s="203">
        <f t="shared" si="1077"/>
        <v>-7</v>
      </c>
      <c r="T808" s="203">
        <f t="shared" si="1077"/>
        <v>-8</v>
      </c>
      <c r="U808" s="108">
        <f t="shared" si="1077"/>
        <v>-26</v>
      </c>
      <c r="V808" s="203">
        <f t="shared" si="1077"/>
        <v>-5</v>
      </c>
      <c r="W808" s="203">
        <f t="shared" si="1077"/>
        <v>-7</v>
      </c>
      <c r="X808" s="203">
        <f t="shared" si="1077"/>
        <v>-8</v>
      </c>
      <c r="Y808" s="203">
        <f t="shared" si="1077"/>
        <v>-9</v>
      </c>
      <c r="Z808" s="108">
        <f t="shared" si="1077"/>
        <v>-29</v>
      </c>
      <c r="AA808" s="203">
        <f t="shared" si="1077"/>
        <v>-8</v>
      </c>
      <c r="AB808" s="203">
        <f t="shared" si="1077"/>
        <v>-12</v>
      </c>
      <c r="AC808" s="203">
        <f t="shared" si="1077"/>
        <v>-13</v>
      </c>
      <c r="AD808" s="203">
        <f t="shared" si="1077"/>
        <v>-17</v>
      </c>
      <c r="AE808" s="108">
        <f t="shared" si="1077"/>
        <v>-50</v>
      </c>
      <c r="AF808" s="203">
        <f t="shared" si="1077"/>
        <v>-21</v>
      </c>
      <c r="AG808" s="203">
        <f t="shared" si="1077"/>
        <v>-16</v>
      </c>
      <c r="AH808" s="203">
        <f t="shared" si="1077"/>
        <v>-15</v>
      </c>
      <c r="AI808" s="203">
        <f t="shared" si="1077"/>
        <v>-18</v>
      </c>
      <c r="AJ808" s="108">
        <f t="shared" si="1077"/>
        <v>-70</v>
      </c>
      <c r="AK808" s="203">
        <f t="shared" si="1077"/>
        <v>-20</v>
      </c>
      <c r="AL808" s="203">
        <f t="shared" si="1077"/>
        <v>-18</v>
      </c>
      <c r="AM808" s="203">
        <f t="shared" si="1077"/>
        <v>-26</v>
      </c>
      <c r="AN808" s="203">
        <f t="shared" si="1077"/>
        <v>-16</v>
      </c>
      <c r="AO808" s="108">
        <f t="shared" si="1077"/>
        <v>-80</v>
      </c>
      <c r="AP808" s="351">
        <f t="shared" si="1077"/>
        <v>-10</v>
      </c>
      <c r="AQ808" s="203">
        <f t="shared" si="1077"/>
        <v>-9</v>
      </c>
      <c r="AR808" s="203">
        <f t="shared" si="1077"/>
        <v>-5</v>
      </c>
      <c r="AS808" s="203">
        <f>AS734</f>
        <v>-5</v>
      </c>
      <c r="AT808" s="108">
        <f>AT734</f>
        <v>-29</v>
      </c>
      <c r="AU808" s="805">
        <f t="shared" ref="AU808" si="1078">AU734</f>
        <v>-4</v>
      </c>
      <c r="AV808" s="203">
        <f>-AV868</f>
        <v>-7.6843890410958906</v>
      </c>
      <c r="AW808" s="203">
        <f>-AW868</f>
        <v>-6.7945667362244251</v>
      </c>
      <c r="AX808" s="203">
        <f>-AX868</f>
        <v>-7.5786522468593098</v>
      </c>
      <c r="AY808" s="108">
        <f>SUM(AU808,AV808,AW808,AX808)</f>
        <v>-26.057608024179626</v>
      </c>
      <c r="AZ808" s="203">
        <f>-AZ868</f>
        <v>-7.8957904489405264</v>
      </c>
      <c r="BA808" s="203">
        <f ca="1">-BA868</f>
        <v>-8.3644340132919339</v>
      </c>
      <c r="BB808" s="203">
        <f ca="1">-BB868</f>
        <v>-7.8087306104075624</v>
      </c>
      <c r="BC808" s="203">
        <f ca="1">-BC868</f>
        <v>-8.6930223784940548</v>
      </c>
      <c r="BD808" s="108">
        <f ca="1">SUM(AZ808,BA808,BB808,BC808)</f>
        <v>-32.761977451134079</v>
      </c>
      <c r="BE808" s="108">
        <f ca="1">-BE868</f>
        <v>-36.866939727945322</v>
      </c>
      <c r="BF808" s="108">
        <f ca="1">-BF868</f>
        <v>-46.295009120298438</v>
      </c>
      <c r="BG808" s="108">
        <f ca="1">-BG868</f>
        <v>-60.027789256724667</v>
      </c>
      <c r="BH808" s="351"/>
    </row>
    <row r="809" spans="1:60" s="60" customFormat="1" x14ac:dyDescent="0.35">
      <c r="A809" s="316" t="s">
        <v>69</v>
      </c>
      <c r="B809" s="317"/>
      <c r="C809" s="108">
        <f t="shared" ref="C809:AU809" si="1079">C736</f>
        <v>0</v>
      </c>
      <c r="D809" s="108">
        <f t="shared" si="1079"/>
        <v>0</v>
      </c>
      <c r="E809" s="108">
        <f t="shared" si="1079"/>
        <v>0</v>
      </c>
      <c r="F809" s="108">
        <f t="shared" si="1079"/>
        <v>0</v>
      </c>
      <c r="G809" s="203">
        <f t="shared" si="1079"/>
        <v>0</v>
      </c>
      <c r="H809" s="203">
        <f t="shared" si="1079"/>
        <v>0</v>
      </c>
      <c r="I809" s="203">
        <f t="shared" si="1079"/>
        <v>0</v>
      </c>
      <c r="J809" s="203">
        <f t="shared" si="1079"/>
        <v>0</v>
      </c>
      <c r="K809" s="108">
        <f t="shared" si="1079"/>
        <v>0</v>
      </c>
      <c r="L809" s="203">
        <f t="shared" si="1079"/>
        <v>0</v>
      </c>
      <c r="M809" s="203">
        <f t="shared" si="1079"/>
        <v>0</v>
      </c>
      <c r="N809" s="203">
        <f t="shared" si="1079"/>
        <v>0</v>
      </c>
      <c r="O809" s="203">
        <f t="shared" si="1079"/>
        <v>0</v>
      </c>
      <c r="P809" s="108">
        <f t="shared" si="1079"/>
        <v>0</v>
      </c>
      <c r="Q809" s="203">
        <f t="shared" si="1079"/>
        <v>0</v>
      </c>
      <c r="R809" s="203">
        <f t="shared" si="1079"/>
        <v>0</v>
      </c>
      <c r="S809" s="203">
        <f t="shared" si="1079"/>
        <v>0</v>
      </c>
      <c r="T809" s="203">
        <f t="shared" si="1079"/>
        <v>0</v>
      </c>
      <c r="U809" s="108">
        <f t="shared" si="1079"/>
        <v>0</v>
      </c>
      <c r="V809" s="203">
        <f t="shared" si="1079"/>
        <v>0</v>
      </c>
      <c r="W809" s="203">
        <f t="shared" si="1079"/>
        <v>0</v>
      </c>
      <c r="X809" s="203">
        <f t="shared" si="1079"/>
        <v>0</v>
      </c>
      <c r="Y809" s="203">
        <f t="shared" si="1079"/>
        <v>0</v>
      </c>
      <c r="Z809" s="108">
        <f t="shared" si="1079"/>
        <v>0</v>
      </c>
      <c r="AA809" s="203">
        <f t="shared" si="1079"/>
        <v>-32</v>
      </c>
      <c r="AB809" s="203">
        <f t="shared" si="1079"/>
        <v>-31</v>
      </c>
      <c r="AC809" s="203">
        <f t="shared" si="1079"/>
        <v>-33</v>
      </c>
      <c r="AD809" s="203">
        <f t="shared" si="1079"/>
        <v>-32</v>
      </c>
      <c r="AE809" s="108">
        <f t="shared" si="1079"/>
        <v>-128</v>
      </c>
      <c r="AF809" s="203">
        <f t="shared" si="1079"/>
        <v>-19</v>
      </c>
      <c r="AG809" s="203">
        <f t="shared" si="1079"/>
        <v>-21</v>
      </c>
      <c r="AH809" s="203">
        <f t="shared" si="1079"/>
        <v>-19</v>
      </c>
      <c r="AI809" s="203">
        <f t="shared" si="1079"/>
        <v>-14</v>
      </c>
      <c r="AJ809" s="108">
        <f t="shared" si="1079"/>
        <v>-73</v>
      </c>
      <c r="AK809" s="203">
        <f t="shared" si="1079"/>
        <v>-36</v>
      </c>
      <c r="AL809" s="203">
        <f t="shared" si="1079"/>
        <v>1</v>
      </c>
      <c r="AM809" s="203">
        <f t="shared" si="1079"/>
        <v>-38</v>
      </c>
      <c r="AN809" s="203">
        <f t="shared" si="1079"/>
        <v>5</v>
      </c>
      <c r="AO809" s="108">
        <f t="shared" si="1079"/>
        <v>-68</v>
      </c>
      <c r="AP809" s="351">
        <f t="shared" si="1079"/>
        <v>-17</v>
      </c>
      <c r="AQ809" s="203">
        <f t="shared" si="1079"/>
        <v>-17</v>
      </c>
      <c r="AR809" s="203">
        <f t="shared" si="1079"/>
        <v>-19</v>
      </c>
      <c r="AS809" s="203">
        <f t="shared" si="1079"/>
        <v>3</v>
      </c>
      <c r="AT809" s="108">
        <f t="shared" si="1079"/>
        <v>-50</v>
      </c>
      <c r="AU809" s="805">
        <f t="shared" si="1079"/>
        <v>-79</v>
      </c>
      <c r="AV809" s="954">
        <f>Drivers!AV97</f>
        <v>0</v>
      </c>
      <c r="AW809" s="954">
        <f>Drivers!AW97</f>
        <v>0</v>
      </c>
      <c r="AX809" s="954">
        <f>Drivers!AX97</f>
        <v>0</v>
      </c>
      <c r="AY809" s="108">
        <f>SUM(AU809,AV809,AW809,AX809)</f>
        <v>-79</v>
      </c>
      <c r="AZ809" s="954">
        <f>Drivers!AZ97</f>
        <v>0</v>
      </c>
      <c r="BA809" s="954">
        <f>Drivers!BA97</f>
        <v>0</v>
      </c>
      <c r="BB809" s="954">
        <f>Drivers!BB97</f>
        <v>0</v>
      </c>
      <c r="BC809" s="954">
        <f>Drivers!BC97</f>
        <v>0</v>
      </c>
      <c r="BD809" s="108">
        <f>SUM(AZ809,BA809,BB809,BC809)</f>
        <v>0</v>
      </c>
      <c r="BE809" s="954">
        <f>Drivers!BE97</f>
        <v>0</v>
      </c>
      <c r="BF809" s="954">
        <f>Drivers!BF97</f>
        <v>0</v>
      </c>
      <c r="BG809" s="954">
        <f>Drivers!BG97</f>
        <v>0</v>
      </c>
      <c r="BH809" s="351"/>
    </row>
    <row r="810" spans="1:60" s="60" customFormat="1" x14ac:dyDescent="0.35">
      <c r="A810" s="466" t="s">
        <v>70</v>
      </c>
      <c r="B810" s="467"/>
      <c r="C810" s="124">
        <f t="shared" ref="C810:AU810" si="1080">+C737</f>
        <v>0</v>
      </c>
      <c r="D810" s="124">
        <f t="shared" si="1080"/>
        <v>0</v>
      </c>
      <c r="E810" s="124">
        <f t="shared" si="1080"/>
        <v>0</v>
      </c>
      <c r="F810" s="124">
        <f t="shared" si="1080"/>
        <v>0</v>
      </c>
      <c r="G810" s="123">
        <f t="shared" si="1080"/>
        <v>0</v>
      </c>
      <c r="H810" s="123">
        <f t="shared" si="1080"/>
        <v>0</v>
      </c>
      <c r="I810" s="123">
        <f t="shared" si="1080"/>
        <v>0</v>
      </c>
      <c r="J810" s="123">
        <f t="shared" si="1080"/>
        <v>0</v>
      </c>
      <c r="K810" s="124">
        <f t="shared" si="1080"/>
        <v>0</v>
      </c>
      <c r="L810" s="123">
        <f t="shared" si="1080"/>
        <v>0</v>
      </c>
      <c r="M810" s="123">
        <f t="shared" si="1080"/>
        <v>0</v>
      </c>
      <c r="N810" s="123">
        <f t="shared" si="1080"/>
        <v>0</v>
      </c>
      <c r="O810" s="123">
        <f t="shared" si="1080"/>
        <v>0</v>
      </c>
      <c r="P810" s="124">
        <f t="shared" si="1080"/>
        <v>0</v>
      </c>
      <c r="Q810" s="123">
        <f t="shared" si="1080"/>
        <v>0</v>
      </c>
      <c r="R810" s="123">
        <f t="shared" si="1080"/>
        <v>0</v>
      </c>
      <c r="S810" s="123">
        <f t="shared" si="1080"/>
        <v>0</v>
      </c>
      <c r="T810" s="123">
        <f t="shared" si="1080"/>
        <v>0</v>
      </c>
      <c r="U810" s="124">
        <f t="shared" si="1080"/>
        <v>0</v>
      </c>
      <c r="V810" s="123">
        <f t="shared" si="1080"/>
        <v>0</v>
      </c>
      <c r="W810" s="123">
        <f t="shared" si="1080"/>
        <v>0</v>
      </c>
      <c r="X810" s="123">
        <f t="shared" si="1080"/>
        <v>0</v>
      </c>
      <c r="Y810" s="123">
        <f t="shared" si="1080"/>
        <v>0</v>
      </c>
      <c r="Z810" s="124">
        <f t="shared" si="1080"/>
        <v>0</v>
      </c>
      <c r="AA810" s="123">
        <f t="shared" si="1080"/>
        <v>0</v>
      </c>
      <c r="AB810" s="123">
        <f t="shared" si="1080"/>
        <v>0</v>
      </c>
      <c r="AC810" s="123">
        <f t="shared" si="1080"/>
        <v>0</v>
      </c>
      <c r="AD810" s="123">
        <f t="shared" si="1080"/>
        <v>0</v>
      </c>
      <c r="AE810" s="124">
        <f t="shared" si="1080"/>
        <v>0</v>
      </c>
      <c r="AF810" s="123">
        <f t="shared" si="1080"/>
        <v>0</v>
      </c>
      <c r="AG810" s="123">
        <f t="shared" si="1080"/>
        <v>0</v>
      </c>
      <c r="AH810" s="123">
        <f t="shared" si="1080"/>
        <v>0</v>
      </c>
      <c r="AI810" s="123">
        <f t="shared" si="1080"/>
        <v>0</v>
      </c>
      <c r="AJ810" s="124">
        <f t="shared" si="1080"/>
        <v>0</v>
      </c>
      <c r="AK810" s="123">
        <f t="shared" si="1080"/>
        <v>0</v>
      </c>
      <c r="AL810" s="123">
        <f t="shared" si="1080"/>
        <v>162</v>
      </c>
      <c r="AM810" s="123">
        <f t="shared" si="1080"/>
        <v>0</v>
      </c>
      <c r="AN810" s="123">
        <f t="shared" si="1080"/>
        <v>0</v>
      </c>
      <c r="AO810" s="124">
        <f t="shared" si="1080"/>
        <v>162</v>
      </c>
      <c r="AP810" s="80">
        <f t="shared" si="1080"/>
        <v>0</v>
      </c>
      <c r="AQ810" s="123">
        <f t="shared" si="1080"/>
        <v>0</v>
      </c>
      <c r="AR810" s="123">
        <f t="shared" si="1080"/>
        <v>0</v>
      </c>
      <c r="AS810" s="123">
        <f t="shared" si="1080"/>
        <v>0</v>
      </c>
      <c r="AT810" s="124">
        <f t="shared" si="1080"/>
        <v>0</v>
      </c>
      <c r="AU810" s="804">
        <f t="shared" si="1080"/>
        <v>0</v>
      </c>
      <c r="AV810" s="955">
        <f>Drivers!AV98</f>
        <v>0</v>
      </c>
      <c r="AW810" s="955">
        <f>Drivers!AW98</f>
        <v>0</v>
      </c>
      <c r="AX810" s="955">
        <f>Drivers!AX98</f>
        <v>0</v>
      </c>
      <c r="AY810" s="124">
        <f>SUM(AU810,AV810,AW810,AX810)</f>
        <v>0</v>
      </c>
      <c r="AZ810" s="955">
        <f>Drivers!AZ98</f>
        <v>0</v>
      </c>
      <c r="BA810" s="955">
        <f>Drivers!BA98</f>
        <v>0</v>
      </c>
      <c r="BB810" s="955">
        <f>Drivers!BB98</f>
        <v>0</v>
      </c>
      <c r="BC810" s="955">
        <f>Drivers!BC98</f>
        <v>0</v>
      </c>
      <c r="BD810" s="124">
        <f>SUM(AZ810,BA810,BB810,BC810)</f>
        <v>0</v>
      </c>
      <c r="BE810" s="955">
        <f>Drivers!BE98</f>
        <v>0</v>
      </c>
      <c r="BF810" s="955">
        <f>Drivers!BF98</f>
        <v>0</v>
      </c>
      <c r="BG810" s="955">
        <f>Drivers!BG98</f>
        <v>0</v>
      </c>
      <c r="BH810" s="351"/>
    </row>
    <row r="811" spans="1:60" s="69" customFormat="1" x14ac:dyDescent="0.35">
      <c r="A811" s="318" t="s">
        <v>71</v>
      </c>
      <c r="B811" s="319"/>
      <c r="C811" s="110">
        <f t="shared" ref="C811:AH811" si="1081">C803-SUM(C807:C810)</f>
        <v>4632</v>
      </c>
      <c r="D811" s="110">
        <f t="shared" si="1081"/>
        <v>5755</v>
      </c>
      <c r="E811" s="110">
        <f t="shared" si="1081"/>
        <v>6031</v>
      </c>
      <c r="F811" s="110">
        <f t="shared" si="1081"/>
        <v>6351</v>
      </c>
      <c r="G811" s="109">
        <f t="shared" si="1081"/>
        <v>1617</v>
      </c>
      <c r="H811" s="109">
        <f t="shared" si="1081"/>
        <v>1671</v>
      </c>
      <c r="I811" s="109">
        <f t="shared" si="1081"/>
        <v>1716</v>
      </c>
      <c r="J811" s="109">
        <f t="shared" si="1081"/>
        <v>1558</v>
      </c>
      <c r="K811" s="110">
        <f t="shared" si="1081"/>
        <v>6562</v>
      </c>
      <c r="L811" s="109">
        <f t="shared" si="1081"/>
        <v>1688</v>
      </c>
      <c r="M811" s="109">
        <f t="shared" si="1081"/>
        <v>1820</v>
      </c>
      <c r="N811" s="109">
        <f t="shared" si="1081"/>
        <v>1880</v>
      </c>
      <c r="O811" s="109">
        <f t="shared" si="1081"/>
        <v>1638</v>
      </c>
      <c r="P811" s="110">
        <f t="shared" si="1081"/>
        <v>7026</v>
      </c>
      <c r="Q811" s="109">
        <f t="shared" si="1081"/>
        <v>1703</v>
      </c>
      <c r="R811" s="109">
        <f t="shared" si="1081"/>
        <v>1812</v>
      </c>
      <c r="S811" s="109">
        <f t="shared" si="1081"/>
        <v>1845</v>
      </c>
      <c r="T811" s="109">
        <f t="shared" si="1081"/>
        <v>1463</v>
      </c>
      <c r="U811" s="110">
        <f t="shared" si="1081"/>
        <v>6823</v>
      </c>
      <c r="V811" s="109">
        <f t="shared" si="1081"/>
        <v>1746</v>
      </c>
      <c r="W811" s="109">
        <f t="shared" si="1081"/>
        <v>1835</v>
      </c>
      <c r="X811" s="109">
        <f t="shared" si="1081"/>
        <v>1862</v>
      </c>
      <c r="Y811" s="109">
        <f t="shared" si="1081"/>
        <v>1610</v>
      </c>
      <c r="Z811" s="110">
        <f t="shared" si="1081"/>
        <v>7053</v>
      </c>
      <c r="AA811" s="109">
        <f t="shared" si="1081"/>
        <v>1737</v>
      </c>
      <c r="AB811" s="109">
        <f t="shared" si="1081"/>
        <v>2142</v>
      </c>
      <c r="AC811" s="109">
        <f t="shared" si="1081"/>
        <v>1997</v>
      </c>
      <c r="AD811" s="109">
        <f t="shared" si="1081"/>
        <v>1672</v>
      </c>
      <c r="AE811" s="110">
        <f t="shared" si="1081"/>
        <v>7548</v>
      </c>
      <c r="AF811" s="109">
        <f t="shared" si="1081"/>
        <v>965</v>
      </c>
      <c r="AG811" s="109">
        <f t="shared" si="1081"/>
        <v>2350</v>
      </c>
      <c r="AH811" s="109">
        <f t="shared" si="1081"/>
        <v>1965</v>
      </c>
      <c r="AI811" s="109">
        <f t="shared" ref="AI811:AY811" si="1082">AI803-SUM(AI807:AI810)</f>
        <v>1720</v>
      </c>
      <c r="AJ811" s="110">
        <f t="shared" si="1082"/>
        <v>7000</v>
      </c>
      <c r="AK811" s="109">
        <f t="shared" si="1082"/>
        <v>1088</v>
      </c>
      <c r="AL811" s="109">
        <f t="shared" si="1082"/>
        <v>1446</v>
      </c>
      <c r="AM811" s="109">
        <f t="shared" si="1082"/>
        <v>1966</v>
      </c>
      <c r="AN811" s="109">
        <f t="shared" si="1082"/>
        <v>1212</v>
      </c>
      <c r="AO811" s="110">
        <f t="shared" si="1082"/>
        <v>5712</v>
      </c>
      <c r="AP811" s="76">
        <f t="shared" si="1082"/>
        <v>1567</v>
      </c>
      <c r="AQ811" s="109">
        <f t="shared" si="1082"/>
        <v>1629</v>
      </c>
      <c r="AR811" s="109">
        <f>AR803-SUM(AR807:AR810)</f>
        <v>1805</v>
      </c>
      <c r="AS811" s="109">
        <f>AS803-SUM(AS807:AS810)</f>
        <v>1710</v>
      </c>
      <c r="AT811" s="110">
        <f>AT803-SUM(AT807:AT810)</f>
        <v>6711</v>
      </c>
      <c r="AU811" s="812">
        <f t="shared" ref="AU811" si="1083">AU803-SUM(AU807:AU810)</f>
        <v>1945</v>
      </c>
      <c r="AV811" s="109">
        <f t="shared" si="1082"/>
        <v>1572.1642724712331</v>
      </c>
      <c r="AW811" s="109">
        <f t="shared" si="1082"/>
        <v>1911.5466388458135</v>
      </c>
      <c r="AX811" s="109">
        <f t="shared" si="1082"/>
        <v>2014.7049647564486</v>
      </c>
      <c r="AY811" s="110">
        <f t="shared" si="1082"/>
        <v>7443.4158760734954</v>
      </c>
      <c r="AZ811" s="109">
        <f t="shared" ref="AZ811:BG811" si="1084">AZ803-SUM(AZ807:AZ810)</f>
        <v>2136.5924183996262</v>
      </c>
      <c r="BA811" s="109">
        <f t="shared" ca="1" si="1084"/>
        <v>1852.4709769954291</v>
      </c>
      <c r="BB811" s="109">
        <f t="shared" ca="1" si="1084"/>
        <v>1991.818293311997</v>
      </c>
      <c r="BC811" s="109">
        <f t="shared" ca="1" si="1084"/>
        <v>2216.1585761000829</v>
      </c>
      <c r="BD811" s="110">
        <f t="shared" ca="1" si="1084"/>
        <v>8197.0402648071358</v>
      </c>
      <c r="BE811" s="110">
        <f t="shared" ca="1" si="1084"/>
        <v>9005.0330929411248</v>
      </c>
      <c r="BF811" s="110">
        <f t="shared" ca="1" si="1084"/>
        <v>9886.6306200610743</v>
      </c>
      <c r="BG811" s="110">
        <f t="shared" ca="1" si="1084"/>
        <v>10846.443259108837</v>
      </c>
      <c r="BH811" s="79"/>
    </row>
    <row r="812" spans="1:60" s="54" customFormat="1" x14ac:dyDescent="0.35">
      <c r="A812" s="431"/>
      <c r="B812" s="432"/>
      <c r="C812" s="882"/>
      <c r="D812" s="882"/>
      <c r="E812" s="882"/>
      <c r="F812" s="882"/>
      <c r="G812" s="883"/>
      <c r="H812" s="883"/>
      <c r="I812" s="883"/>
      <c r="J812" s="883"/>
      <c r="K812" s="882"/>
      <c r="L812" s="883"/>
      <c r="M812" s="883"/>
      <c r="N812" s="883"/>
      <c r="O812" s="883"/>
      <c r="P812" s="882"/>
      <c r="Q812" s="883"/>
      <c r="R812" s="883"/>
      <c r="S812" s="883"/>
      <c r="T812" s="883"/>
      <c r="U812" s="882"/>
      <c r="V812" s="883"/>
      <c r="W812" s="883"/>
      <c r="X812" s="883"/>
      <c r="Y812" s="883"/>
      <c r="Z812" s="882"/>
      <c r="AA812" s="883"/>
      <c r="AB812" s="883"/>
      <c r="AC812" s="883"/>
      <c r="AD812" s="883"/>
      <c r="AE812" s="882"/>
      <c r="AF812" s="883"/>
      <c r="AG812" s="883"/>
      <c r="AH812" s="883"/>
      <c r="AI812" s="883"/>
      <c r="AJ812" s="882"/>
      <c r="AK812" s="883"/>
      <c r="AL812" s="883"/>
      <c r="AM812" s="883"/>
      <c r="AN812" s="883"/>
      <c r="AO812" s="882"/>
      <c r="AP812" s="883"/>
      <c r="AQ812" s="883"/>
      <c r="AR812" s="883"/>
      <c r="AS812" s="883"/>
      <c r="AT812" s="882"/>
      <c r="AU812" s="884"/>
      <c r="AV812" s="883"/>
      <c r="AW812" s="883"/>
      <c r="AX812" s="883"/>
      <c r="AY812" s="882"/>
      <c r="AZ812" s="883"/>
      <c r="BA812" s="883"/>
      <c r="BB812" s="883"/>
      <c r="BC812" s="883"/>
      <c r="BD812" s="882"/>
      <c r="BE812" s="882"/>
      <c r="BF812" s="882"/>
      <c r="BG812" s="882"/>
      <c r="BH812" s="652"/>
    </row>
    <row r="813" spans="1:60" s="60" customFormat="1" x14ac:dyDescent="0.35">
      <c r="A813" s="316" t="s">
        <v>72</v>
      </c>
      <c r="B813" s="317"/>
      <c r="C813" s="108">
        <f t="shared" ref="C813:AU813" si="1085">+C739-C956</f>
        <v>687</v>
      </c>
      <c r="D813" s="108">
        <f t="shared" si="1085"/>
        <v>1762</v>
      </c>
      <c r="E813" s="108">
        <f t="shared" si="1085"/>
        <v>1497</v>
      </c>
      <c r="F813" s="108">
        <f t="shared" si="1085"/>
        <v>1807</v>
      </c>
      <c r="G813" s="203">
        <f t="shared" si="1085"/>
        <v>409</v>
      </c>
      <c r="H813" s="203">
        <f t="shared" si="1085"/>
        <v>482</v>
      </c>
      <c r="I813" s="203">
        <f t="shared" si="1085"/>
        <v>562</v>
      </c>
      <c r="J813" s="203">
        <f t="shared" si="1085"/>
        <v>555</v>
      </c>
      <c r="K813" s="108">
        <f t="shared" si="1085"/>
        <v>2008</v>
      </c>
      <c r="L813" s="203">
        <f t="shared" si="1085"/>
        <v>546</v>
      </c>
      <c r="M813" s="203">
        <f t="shared" si="1085"/>
        <v>490</v>
      </c>
      <c r="N813" s="203">
        <f t="shared" si="1085"/>
        <v>594</v>
      </c>
      <c r="O813" s="203">
        <f t="shared" si="1085"/>
        <v>544</v>
      </c>
      <c r="P813" s="108">
        <f t="shared" si="1085"/>
        <v>2174</v>
      </c>
      <c r="Q813" s="203">
        <f t="shared" si="1085"/>
        <v>458</v>
      </c>
      <c r="R813" s="203">
        <f t="shared" si="1085"/>
        <v>258</v>
      </c>
      <c r="S813" s="203">
        <f t="shared" si="1085"/>
        <v>449</v>
      </c>
      <c r="T813" s="203">
        <f t="shared" si="1085"/>
        <v>422</v>
      </c>
      <c r="U813" s="108">
        <f t="shared" si="1085"/>
        <v>1587</v>
      </c>
      <c r="V813" s="203">
        <f t="shared" si="1085"/>
        <v>506</v>
      </c>
      <c r="W813" s="203">
        <f t="shared" si="1085"/>
        <v>638</v>
      </c>
      <c r="X813" s="203">
        <f t="shared" si="1085"/>
        <v>497</v>
      </c>
      <c r="Y813" s="203">
        <f t="shared" si="1085"/>
        <v>347</v>
      </c>
      <c r="Z813" s="108">
        <f t="shared" si="1085"/>
        <v>1988</v>
      </c>
      <c r="AA813" s="203">
        <f t="shared" si="1085"/>
        <v>495</v>
      </c>
      <c r="AB813" s="203">
        <f t="shared" si="1085"/>
        <v>593</v>
      </c>
      <c r="AC813" s="203">
        <f t="shared" si="1085"/>
        <v>549</v>
      </c>
      <c r="AD813" s="203">
        <f t="shared" si="1085"/>
        <v>935</v>
      </c>
      <c r="AE813" s="108">
        <f t="shared" si="1085"/>
        <v>2572</v>
      </c>
      <c r="AF813" s="203">
        <f t="shared" si="1085"/>
        <v>462</v>
      </c>
      <c r="AG813" s="203">
        <f t="shared" si="1085"/>
        <v>386</v>
      </c>
      <c r="AH813" s="203">
        <f t="shared" si="1085"/>
        <v>491</v>
      </c>
      <c r="AI813" s="203">
        <f t="shared" si="1085"/>
        <v>355</v>
      </c>
      <c r="AJ813" s="108">
        <f t="shared" si="1085"/>
        <v>1694</v>
      </c>
      <c r="AK813" s="203">
        <f t="shared" si="1085"/>
        <v>251</v>
      </c>
      <c r="AL813" s="203">
        <f t="shared" si="1085"/>
        <v>333</v>
      </c>
      <c r="AM813" s="203">
        <f t="shared" si="1085"/>
        <v>392</v>
      </c>
      <c r="AN813" s="203">
        <f t="shared" si="1085"/>
        <v>427</v>
      </c>
      <c r="AO813" s="108">
        <f t="shared" si="1085"/>
        <v>1403</v>
      </c>
      <c r="AP813" s="203">
        <f t="shared" si="1085"/>
        <v>244</v>
      </c>
      <c r="AQ813" s="203">
        <f t="shared" si="1085"/>
        <v>330</v>
      </c>
      <c r="AR813" s="203">
        <f t="shared" si="1085"/>
        <v>485</v>
      </c>
      <c r="AS813" s="203">
        <f t="shared" si="1085"/>
        <v>424</v>
      </c>
      <c r="AT813" s="108">
        <f t="shared" si="1085"/>
        <v>1483</v>
      </c>
      <c r="AU813" s="790">
        <f t="shared" si="1085"/>
        <v>303</v>
      </c>
      <c r="AV813" s="203">
        <f t="shared" ref="AV813:AX814" si="1086">AV826*AV$811</f>
        <v>298.71121176953426</v>
      </c>
      <c r="AW813" s="203">
        <f t="shared" si="1086"/>
        <v>363.19386138070456</v>
      </c>
      <c r="AX813" s="203">
        <f t="shared" si="1086"/>
        <v>382.79394330372526</v>
      </c>
      <c r="AY813" s="108">
        <f>SUM(AU813,AV813,AW813,AX813)</f>
        <v>1347.6990164539641</v>
      </c>
      <c r="AZ813" s="203">
        <f t="shared" ref="AZ813:BC814" si="1087">AZ826*AZ$811</f>
        <v>405.95255949592899</v>
      </c>
      <c r="BA813" s="203">
        <f t="shared" ca="1" si="1087"/>
        <v>351.9694856291315</v>
      </c>
      <c r="BB813" s="203">
        <f t="shared" ca="1" si="1087"/>
        <v>378.44547572927945</v>
      </c>
      <c r="BC813" s="203">
        <f t="shared" ca="1" si="1087"/>
        <v>421.07012945901573</v>
      </c>
      <c r="BD813" s="108">
        <f ca="1">SUM(AZ813,BA813,BB813,BC813)</f>
        <v>1557.4376503133558</v>
      </c>
      <c r="BE813" s="108">
        <f ca="1">BE826*BE811</f>
        <v>1710.9562876588138</v>
      </c>
      <c r="BF813" s="108">
        <f ca="1">BF826*BF811</f>
        <v>1878.4598178116041</v>
      </c>
      <c r="BG813" s="108">
        <f ca="1">BG826*BG811</f>
        <v>2060.8242192306789</v>
      </c>
      <c r="BH813" s="351"/>
    </row>
    <row r="814" spans="1:60" s="60" customFormat="1" x14ac:dyDescent="0.35">
      <c r="A814" s="466" t="s">
        <v>73</v>
      </c>
      <c r="B814" s="467"/>
      <c r="C814" s="124">
        <f t="shared" ref="C814:AQ814" si="1088">+C956</f>
        <v>701</v>
      </c>
      <c r="D814" s="124">
        <f t="shared" si="1088"/>
        <v>-170</v>
      </c>
      <c r="E814" s="124">
        <f t="shared" si="1088"/>
        <v>177</v>
      </c>
      <c r="F814" s="124">
        <f t="shared" si="1088"/>
        <v>33</v>
      </c>
      <c r="G814" s="123">
        <f t="shared" si="1088"/>
        <v>61</v>
      </c>
      <c r="H814" s="123">
        <f t="shared" si="1088"/>
        <v>-24</v>
      </c>
      <c r="I814" s="123">
        <f t="shared" si="1088"/>
        <v>-91</v>
      </c>
      <c r="J814" s="123">
        <f t="shared" si="1088"/>
        <v>-113</v>
      </c>
      <c r="K814" s="124">
        <f t="shared" si="1088"/>
        <v>-167</v>
      </c>
      <c r="L814" s="123">
        <f t="shared" si="1088"/>
        <v>-83</v>
      </c>
      <c r="M814" s="123">
        <f t="shared" si="1088"/>
        <v>47</v>
      </c>
      <c r="N814" s="123">
        <f t="shared" si="1088"/>
        <v>-25</v>
      </c>
      <c r="O814" s="123">
        <f t="shared" si="1088"/>
        <v>-85</v>
      </c>
      <c r="P814" s="124">
        <f t="shared" si="1088"/>
        <v>-146</v>
      </c>
      <c r="Q814" s="123">
        <f t="shared" si="1088"/>
        <v>44</v>
      </c>
      <c r="R814" s="123">
        <f t="shared" si="1088"/>
        <v>251</v>
      </c>
      <c r="S814" s="123">
        <f t="shared" si="1088"/>
        <v>98</v>
      </c>
      <c r="T814" s="123">
        <f t="shared" si="1088"/>
        <v>2</v>
      </c>
      <c r="U814" s="124">
        <f t="shared" si="1088"/>
        <v>395</v>
      </c>
      <c r="V814" s="123">
        <f t="shared" si="1088"/>
        <v>-38</v>
      </c>
      <c r="W814" s="123">
        <f t="shared" si="1088"/>
        <v>-96</v>
      </c>
      <c r="X814" s="123">
        <f t="shared" si="1088"/>
        <v>34</v>
      </c>
      <c r="Y814" s="123">
        <f t="shared" si="1088"/>
        <v>107</v>
      </c>
      <c r="Z814" s="124">
        <f t="shared" si="1088"/>
        <v>7</v>
      </c>
      <c r="AA814" s="123">
        <f t="shared" si="1088"/>
        <v>-84</v>
      </c>
      <c r="AB814" s="123">
        <f t="shared" si="1088"/>
        <v>-36</v>
      </c>
      <c r="AC814" s="123">
        <f t="shared" si="1088"/>
        <v>15</v>
      </c>
      <c r="AD814" s="123">
        <f t="shared" si="1088"/>
        <v>212</v>
      </c>
      <c r="AE814" s="124">
        <f t="shared" si="1088"/>
        <v>107</v>
      </c>
      <c r="AF814" s="123">
        <f t="shared" si="1088"/>
        <v>-103</v>
      </c>
      <c r="AG814" s="123">
        <f t="shared" si="1088"/>
        <v>102</v>
      </c>
      <c r="AH814" s="123">
        <f t="shared" si="1088"/>
        <v>-72</v>
      </c>
      <c r="AI814" s="123">
        <f t="shared" si="1088"/>
        <v>16</v>
      </c>
      <c r="AJ814" s="124">
        <f t="shared" si="1088"/>
        <v>-57</v>
      </c>
      <c r="AK814" s="123">
        <f t="shared" si="1088"/>
        <v>-56</v>
      </c>
      <c r="AL814" s="123">
        <f t="shared" si="1088"/>
        <v>-18</v>
      </c>
      <c r="AM814" s="123">
        <f t="shared" si="1088"/>
        <v>-14</v>
      </c>
      <c r="AN814" s="123">
        <f t="shared" si="1088"/>
        <v>-185</v>
      </c>
      <c r="AO814" s="124">
        <f t="shared" si="1088"/>
        <v>-273</v>
      </c>
      <c r="AP814" s="123">
        <f t="shared" si="1088"/>
        <v>29</v>
      </c>
      <c r="AQ814" s="123">
        <f t="shared" si="1088"/>
        <v>12</v>
      </c>
      <c r="AR814" s="123">
        <f>+AR956</f>
        <v>-98</v>
      </c>
      <c r="AS814" s="123">
        <f t="shared" ref="AS814:AU814" si="1089">+AS956</f>
        <v>-108</v>
      </c>
      <c r="AT814" s="124">
        <f t="shared" si="1089"/>
        <v>-165</v>
      </c>
      <c r="AU814" s="791">
        <f t="shared" si="1089"/>
        <v>16</v>
      </c>
      <c r="AV814" s="123">
        <f t="shared" si="1086"/>
        <v>31.443285449424661</v>
      </c>
      <c r="AW814" s="123">
        <f t="shared" si="1086"/>
        <v>38.230932776916269</v>
      </c>
      <c r="AX814" s="123">
        <f t="shared" si="1086"/>
        <v>40.294099295128973</v>
      </c>
      <c r="AY814" s="124">
        <f>SUM(AU814,AV814,AW814,AX814)</f>
        <v>125.96831752146991</v>
      </c>
      <c r="AZ814" s="123">
        <f t="shared" si="1087"/>
        <v>42.731848367992527</v>
      </c>
      <c r="BA814" s="123">
        <f t="shared" ca="1" si="1087"/>
        <v>37.049419539908584</v>
      </c>
      <c r="BB814" s="123">
        <f t="shared" ca="1" si="1087"/>
        <v>39.836365866239937</v>
      </c>
      <c r="BC814" s="123">
        <f t="shared" ca="1" si="1087"/>
        <v>44.323171522001658</v>
      </c>
      <c r="BD814" s="124">
        <f ca="1">SUM(AZ814,BA814,BB814,BC814)</f>
        <v>163.94080529614268</v>
      </c>
      <c r="BE814" s="124">
        <f ca="1">BE827*BE811</f>
        <v>180.10066185882246</v>
      </c>
      <c r="BF814" s="124">
        <f ca="1">BF827*BF811</f>
        <v>197.73261240122144</v>
      </c>
      <c r="BG814" s="124">
        <f ca="1">BG827*BG811</f>
        <v>216.92886518217671</v>
      </c>
      <c r="BH814" s="351"/>
    </row>
    <row r="815" spans="1:60" s="69" customFormat="1" x14ac:dyDescent="0.35">
      <c r="A815" s="318" t="s">
        <v>74</v>
      </c>
      <c r="B815" s="319"/>
      <c r="C815" s="110">
        <f t="shared" ref="C815:AH815" si="1090">C811-SUM(C813:C814)</f>
        <v>3244</v>
      </c>
      <c r="D815" s="110">
        <f t="shared" si="1090"/>
        <v>4163</v>
      </c>
      <c r="E815" s="110">
        <f t="shared" si="1090"/>
        <v>4357</v>
      </c>
      <c r="F815" s="110">
        <f t="shared" si="1090"/>
        <v>4511</v>
      </c>
      <c r="G815" s="109">
        <f t="shared" si="1090"/>
        <v>1147</v>
      </c>
      <c r="H815" s="109">
        <f t="shared" si="1090"/>
        <v>1213</v>
      </c>
      <c r="I815" s="109">
        <f t="shared" si="1090"/>
        <v>1245</v>
      </c>
      <c r="J815" s="109">
        <f t="shared" si="1090"/>
        <v>1116</v>
      </c>
      <c r="K815" s="110">
        <f t="shared" si="1090"/>
        <v>4721</v>
      </c>
      <c r="L815" s="109">
        <f t="shared" si="1090"/>
        <v>1225</v>
      </c>
      <c r="M815" s="109">
        <f t="shared" si="1090"/>
        <v>1283</v>
      </c>
      <c r="N815" s="109">
        <f t="shared" si="1090"/>
        <v>1311</v>
      </c>
      <c r="O815" s="109">
        <f t="shared" si="1090"/>
        <v>1179</v>
      </c>
      <c r="P815" s="110">
        <f t="shared" si="1090"/>
        <v>4998</v>
      </c>
      <c r="Q815" s="109">
        <f t="shared" si="1090"/>
        <v>1201</v>
      </c>
      <c r="R815" s="109">
        <f t="shared" si="1090"/>
        <v>1303</v>
      </c>
      <c r="S815" s="109">
        <f t="shared" si="1090"/>
        <v>1298</v>
      </c>
      <c r="T815" s="109">
        <f t="shared" si="1090"/>
        <v>1039</v>
      </c>
      <c r="U815" s="110">
        <f t="shared" si="1090"/>
        <v>4841</v>
      </c>
      <c r="V815" s="109">
        <f t="shared" si="1090"/>
        <v>1278</v>
      </c>
      <c r="W815" s="109">
        <f t="shared" si="1090"/>
        <v>1293</v>
      </c>
      <c r="X815" s="109">
        <f t="shared" si="1090"/>
        <v>1331</v>
      </c>
      <c r="Y815" s="109">
        <f t="shared" si="1090"/>
        <v>1156</v>
      </c>
      <c r="Z815" s="110">
        <f t="shared" si="1090"/>
        <v>5058</v>
      </c>
      <c r="AA815" s="109">
        <f t="shared" si="1090"/>
        <v>1326</v>
      </c>
      <c r="AB815" s="109">
        <f t="shared" si="1090"/>
        <v>1585</v>
      </c>
      <c r="AC815" s="109">
        <f t="shared" si="1090"/>
        <v>1433</v>
      </c>
      <c r="AD815" s="109">
        <f t="shared" si="1090"/>
        <v>525</v>
      </c>
      <c r="AE815" s="110">
        <f t="shared" si="1090"/>
        <v>4869</v>
      </c>
      <c r="AF815" s="109">
        <f t="shared" si="1090"/>
        <v>606</v>
      </c>
      <c r="AG815" s="109">
        <f t="shared" si="1090"/>
        <v>1862</v>
      </c>
      <c r="AH815" s="109">
        <f t="shared" si="1090"/>
        <v>1546</v>
      </c>
      <c r="AI815" s="109">
        <f t="shared" ref="AI815:AY815" si="1091">AI811-SUM(AI813:AI814)</f>
        <v>1349</v>
      </c>
      <c r="AJ815" s="110">
        <f t="shared" si="1091"/>
        <v>5363</v>
      </c>
      <c r="AK815" s="109">
        <f t="shared" si="1091"/>
        <v>893</v>
      </c>
      <c r="AL815" s="109">
        <f t="shared" si="1091"/>
        <v>1131</v>
      </c>
      <c r="AM815" s="109">
        <f t="shared" si="1091"/>
        <v>1588</v>
      </c>
      <c r="AN815" s="109">
        <f t="shared" si="1091"/>
        <v>970</v>
      </c>
      <c r="AO815" s="110">
        <f t="shared" si="1091"/>
        <v>4582</v>
      </c>
      <c r="AP815" s="76">
        <f t="shared" si="1091"/>
        <v>1294</v>
      </c>
      <c r="AQ815" s="109">
        <f t="shared" si="1091"/>
        <v>1287</v>
      </c>
      <c r="AR815" s="109">
        <f>AR811-SUM(AR813:AR814)</f>
        <v>1418</v>
      </c>
      <c r="AS815" s="109">
        <f>AS811-SUM(AS813:AS814)</f>
        <v>1394</v>
      </c>
      <c r="AT815" s="110">
        <f>AT811-SUM(AT813:AT814)</f>
        <v>5393</v>
      </c>
      <c r="AU815" s="812">
        <f t="shared" ref="AU815" si="1092">AU811-SUM(AU813:AU814)</f>
        <v>1626</v>
      </c>
      <c r="AV815" s="109">
        <f t="shared" si="1091"/>
        <v>1242.0097752522743</v>
      </c>
      <c r="AW815" s="109">
        <f t="shared" si="1091"/>
        <v>1510.1218446881926</v>
      </c>
      <c r="AX815" s="109">
        <f t="shared" si="1091"/>
        <v>1591.6169221575942</v>
      </c>
      <c r="AY815" s="110">
        <f t="shared" si="1091"/>
        <v>5969.7485420980611</v>
      </c>
      <c r="AZ815" s="109">
        <f t="shared" ref="AZ815:BG815" si="1093">AZ811-SUM(AZ813:AZ814)</f>
        <v>1687.9080105357048</v>
      </c>
      <c r="BA815" s="109">
        <f t="shared" ca="1" si="1093"/>
        <v>1463.4520718263889</v>
      </c>
      <c r="BB815" s="109">
        <f t="shared" ca="1" si="1093"/>
        <v>1573.5364517164776</v>
      </c>
      <c r="BC815" s="109">
        <f t="shared" ca="1" si="1093"/>
        <v>1750.7652751190656</v>
      </c>
      <c r="BD815" s="110">
        <f t="shared" ca="1" si="1093"/>
        <v>6475.6618091976379</v>
      </c>
      <c r="BE815" s="110">
        <f t="shared" ca="1" si="1093"/>
        <v>7113.9761434234888</v>
      </c>
      <c r="BF815" s="110">
        <f t="shared" ca="1" si="1093"/>
        <v>7810.4381898482488</v>
      </c>
      <c r="BG815" s="110">
        <f t="shared" ca="1" si="1093"/>
        <v>8568.6901746959811</v>
      </c>
      <c r="BH815" s="79"/>
    </row>
    <row r="816" spans="1:60" s="60" customFormat="1" x14ac:dyDescent="0.35">
      <c r="A816" s="316" t="s">
        <v>781</v>
      </c>
      <c r="B816" s="317"/>
      <c r="C816" s="108">
        <f t="shared" ref="C816:AU816" si="1094">-C740</f>
        <v>0</v>
      </c>
      <c r="D816" s="108">
        <f t="shared" si="1094"/>
        <v>0</v>
      </c>
      <c r="E816" s="108">
        <f t="shared" si="1094"/>
        <v>0</v>
      </c>
      <c r="F816" s="108">
        <f t="shared" si="1094"/>
        <v>0</v>
      </c>
      <c r="G816" s="203">
        <f t="shared" si="1094"/>
        <v>0</v>
      </c>
      <c r="H816" s="203">
        <f t="shared" si="1094"/>
        <v>0</v>
      </c>
      <c r="I816" s="203">
        <f t="shared" si="1094"/>
        <v>0</v>
      </c>
      <c r="J816" s="203">
        <f t="shared" si="1094"/>
        <v>0</v>
      </c>
      <c r="K816" s="108">
        <f t="shared" si="1094"/>
        <v>0</v>
      </c>
      <c r="L816" s="203">
        <f t="shared" si="1094"/>
        <v>0</v>
      </c>
      <c r="M816" s="203">
        <f t="shared" si="1094"/>
        <v>0</v>
      </c>
      <c r="N816" s="203">
        <f t="shared" si="1094"/>
        <v>0</v>
      </c>
      <c r="O816" s="203">
        <f t="shared" si="1094"/>
        <v>0</v>
      </c>
      <c r="P816" s="108">
        <f t="shared" si="1094"/>
        <v>0</v>
      </c>
      <c r="Q816" s="203">
        <f t="shared" si="1094"/>
        <v>0</v>
      </c>
      <c r="R816" s="203">
        <f t="shared" si="1094"/>
        <v>0</v>
      </c>
      <c r="S816" s="203">
        <f t="shared" si="1094"/>
        <v>0</v>
      </c>
      <c r="T816" s="203">
        <f t="shared" si="1094"/>
        <v>0</v>
      </c>
      <c r="U816" s="108">
        <f t="shared" si="1094"/>
        <v>0</v>
      </c>
      <c r="V816" s="203">
        <f t="shared" si="1094"/>
        <v>0</v>
      </c>
      <c r="W816" s="203">
        <f t="shared" si="1094"/>
        <v>0</v>
      </c>
      <c r="X816" s="203">
        <f t="shared" si="1094"/>
        <v>0</v>
      </c>
      <c r="Y816" s="203">
        <f t="shared" si="1094"/>
        <v>0</v>
      </c>
      <c r="Z816" s="108">
        <f t="shared" si="1094"/>
        <v>0</v>
      </c>
      <c r="AA816" s="203">
        <f t="shared" si="1094"/>
        <v>0</v>
      </c>
      <c r="AB816" s="203">
        <f t="shared" si="1094"/>
        <v>0</v>
      </c>
      <c r="AC816" s="203">
        <f t="shared" si="1094"/>
        <v>0</v>
      </c>
      <c r="AD816" s="203">
        <f t="shared" si="1094"/>
        <v>0</v>
      </c>
      <c r="AE816" s="108">
        <f t="shared" si="1094"/>
        <v>0</v>
      </c>
      <c r="AF816" s="203">
        <f t="shared" si="1094"/>
        <v>0</v>
      </c>
      <c r="AG816" s="203">
        <f t="shared" si="1094"/>
        <v>0</v>
      </c>
      <c r="AH816" s="203">
        <f t="shared" si="1094"/>
        <v>0</v>
      </c>
      <c r="AI816" s="203">
        <f t="shared" si="1094"/>
        <v>0</v>
      </c>
      <c r="AJ816" s="108">
        <f t="shared" si="1094"/>
        <v>0</v>
      </c>
      <c r="AK816" s="203">
        <f t="shared" si="1094"/>
        <v>0</v>
      </c>
      <c r="AL816" s="203">
        <f t="shared" si="1094"/>
        <v>0</v>
      </c>
      <c r="AM816" s="203">
        <f t="shared" si="1094"/>
        <v>0</v>
      </c>
      <c r="AN816" s="203">
        <f t="shared" si="1094"/>
        <v>0</v>
      </c>
      <c r="AO816" s="108">
        <f t="shared" si="1094"/>
        <v>0</v>
      </c>
      <c r="AP816" s="351">
        <f t="shared" si="1094"/>
        <v>0</v>
      </c>
      <c r="AQ816" s="203">
        <f t="shared" si="1094"/>
        <v>0</v>
      </c>
      <c r="AR816" s="203">
        <f t="shared" si="1094"/>
        <v>1</v>
      </c>
      <c r="AS816" s="203">
        <f t="shared" si="1094"/>
        <v>4</v>
      </c>
      <c r="AT816" s="108">
        <f t="shared" si="1094"/>
        <v>5</v>
      </c>
      <c r="AU816" s="805">
        <f t="shared" si="1094"/>
        <v>-1</v>
      </c>
      <c r="AV816" s="954">
        <f>Drivers!AV99</f>
        <v>0</v>
      </c>
      <c r="AW816" s="954">
        <f>Drivers!AW99</f>
        <v>0</v>
      </c>
      <c r="AX816" s="954">
        <f>Drivers!AX99</f>
        <v>0</v>
      </c>
      <c r="AY816" s="108">
        <f>SUM(AU816,AV816,AW816,AX816)</f>
        <v>-1</v>
      </c>
      <c r="AZ816" s="954">
        <f>Drivers!AZ99</f>
        <v>0</v>
      </c>
      <c r="BA816" s="954">
        <f>Drivers!BA99</f>
        <v>0</v>
      </c>
      <c r="BB816" s="954">
        <f>Drivers!BB99</f>
        <v>0</v>
      </c>
      <c r="BC816" s="954">
        <f>Drivers!BC99</f>
        <v>0</v>
      </c>
      <c r="BD816" s="108">
        <f>SUM(AZ816,BA816,BB816,BC816)</f>
        <v>0</v>
      </c>
      <c r="BE816" s="954">
        <f>Drivers!BE99</f>
        <v>0</v>
      </c>
      <c r="BF816" s="954">
        <f>Drivers!BF99</f>
        <v>0</v>
      </c>
      <c r="BG816" s="954">
        <f>Drivers!BG99</f>
        <v>0</v>
      </c>
      <c r="BH816" s="351"/>
    </row>
    <row r="817" spans="1:60" s="60" customFormat="1" x14ac:dyDescent="0.35">
      <c r="A817" s="316" t="s">
        <v>75</v>
      </c>
      <c r="B817" s="317"/>
      <c r="C817" s="108">
        <f t="shared" ref="C817:AU817" si="1095">+C742</f>
        <v>51</v>
      </c>
      <c r="D817" s="108">
        <f t="shared" si="1095"/>
        <v>78</v>
      </c>
      <c r="E817" s="108">
        <f t="shared" si="1095"/>
        <v>74</v>
      </c>
      <c r="F817" s="108">
        <f t="shared" si="1095"/>
        <v>67</v>
      </c>
      <c r="G817" s="203">
        <f t="shared" si="1095"/>
        <v>18</v>
      </c>
      <c r="H817" s="203">
        <f t="shared" si="1095"/>
        <v>16</v>
      </c>
      <c r="I817" s="203">
        <f t="shared" si="1095"/>
        <v>15</v>
      </c>
      <c r="J817" s="203">
        <f t="shared" si="1095"/>
        <v>13</v>
      </c>
      <c r="K817" s="108">
        <f t="shared" si="1095"/>
        <v>62</v>
      </c>
      <c r="L817" s="203">
        <f t="shared" si="1095"/>
        <v>18</v>
      </c>
      <c r="M817" s="203">
        <f t="shared" si="1095"/>
        <v>16</v>
      </c>
      <c r="N817" s="203">
        <f t="shared" si="1095"/>
        <v>8</v>
      </c>
      <c r="O817" s="203">
        <f t="shared" si="1095"/>
        <v>0</v>
      </c>
      <c r="P817" s="108">
        <f t="shared" si="1095"/>
        <v>42</v>
      </c>
      <c r="Q817" s="203">
        <f t="shared" si="1095"/>
        <v>2</v>
      </c>
      <c r="R817" s="203">
        <f t="shared" si="1095"/>
        <v>3</v>
      </c>
      <c r="S817" s="203">
        <f t="shared" si="1095"/>
        <v>2</v>
      </c>
      <c r="T817" s="203">
        <f t="shared" si="1095"/>
        <v>1</v>
      </c>
      <c r="U817" s="108">
        <f t="shared" si="1095"/>
        <v>8</v>
      </c>
      <c r="V817" s="203">
        <f t="shared" si="1095"/>
        <v>3</v>
      </c>
      <c r="W817" s="203">
        <f t="shared" si="1095"/>
        <v>2</v>
      </c>
      <c r="X817" s="203">
        <f t="shared" si="1095"/>
        <v>2</v>
      </c>
      <c r="Y817" s="203">
        <f t="shared" si="1095"/>
        <v>1</v>
      </c>
      <c r="Z817" s="108">
        <f t="shared" si="1095"/>
        <v>8</v>
      </c>
      <c r="AA817" s="203">
        <f t="shared" si="1095"/>
        <v>3</v>
      </c>
      <c r="AB817" s="203">
        <f t="shared" si="1095"/>
        <v>2</v>
      </c>
      <c r="AC817" s="203">
        <f t="shared" si="1095"/>
        <v>4</v>
      </c>
      <c r="AD817" s="203">
        <f t="shared" si="1095"/>
        <v>2</v>
      </c>
      <c r="AE817" s="108">
        <f t="shared" si="1095"/>
        <v>11</v>
      </c>
      <c r="AF817" s="203">
        <f t="shared" si="1095"/>
        <v>4</v>
      </c>
      <c r="AG817" s="203">
        <f t="shared" si="1095"/>
        <v>5</v>
      </c>
      <c r="AH817" s="203">
        <f t="shared" si="1095"/>
        <v>3</v>
      </c>
      <c r="AI817" s="203">
        <f t="shared" si="1095"/>
        <v>2</v>
      </c>
      <c r="AJ817" s="108">
        <f t="shared" si="1095"/>
        <v>14</v>
      </c>
      <c r="AK817" s="203">
        <f t="shared" si="1095"/>
        <v>2</v>
      </c>
      <c r="AL817" s="203">
        <f t="shared" si="1095"/>
        <v>4</v>
      </c>
      <c r="AM817" s="203">
        <f t="shared" si="1095"/>
        <v>5</v>
      </c>
      <c r="AN817" s="203">
        <f t="shared" si="1095"/>
        <v>1</v>
      </c>
      <c r="AO817" s="108">
        <f t="shared" si="1095"/>
        <v>12</v>
      </c>
      <c r="AP817" s="351">
        <f t="shared" si="1095"/>
        <v>2</v>
      </c>
      <c r="AQ817" s="203">
        <f t="shared" si="1095"/>
        <v>-3</v>
      </c>
      <c r="AR817" s="203">
        <f t="shared" si="1095"/>
        <v>4</v>
      </c>
      <c r="AS817" s="203">
        <f t="shared" si="1095"/>
        <v>1</v>
      </c>
      <c r="AT817" s="108">
        <f t="shared" si="1095"/>
        <v>4</v>
      </c>
      <c r="AU817" s="805">
        <f t="shared" si="1095"/>
        <v>3</v>
      </c>
      <c r="AV817" s="954">
        <f>Drivers!AV100</f>
        <v>0</v>
      </c>
      <c r="AW817" s="954">
        <f>Drivers!AW100</f>
        <v>0</v>
      </c>
      <c r="AX817" s="954">
        <f>Drivers!AX100</f>
        <v>0</v>
      </c>
      <c r="AY817" s="108">
        <f>SUM(AU817,AV817,AW817,AX817)</f>
        <v>3</v>
      </c>
      <c r="AZ817" s="954">
        <f>Drivers!AZ100</f>
        <v>0</v>
      </c>
      <c r="BA817" s="954">
        <f>Drivers!BA100</f>
        <v>0</v>
      </c>
      <c r="BB817" s="954">
        <f>Drivers!BB100</f>
        <v>0</v>
      </c>
      <c r="BC817" s="954">
        <f>Drivers!BC100</f>
        <v>0</v>
      </c>
      <c r="BD817" s="108">
        <f>SUM(AZ817,BA817,BB817,BC817)</f>
        <v>0</v>
      </c>
      <c r="BE817" s="954">
        <f>Drivers!BE100</f>
        <v>0</v>
      </c>
      <c r="BF817" s="954">
        <f>Drivers!BF100</f>
        <v>0</v>
      </c>
      <c r="BG817" s="954">
        <f>Drivers!BG100</f>
        <v>0</v>
      </c>
      <c r="BH817" s="351"/>
    </row>
    <row r="818" spans="1:60" s="60" customFormat="1" x14ac:dyDescent="0.35">
      <c r="A818" s="466" t="s">
        <v>76</v>
      </c>
      <c r="B818" s="467"/>
      <c r="C818" s="124"/>
      <c r="D818" s="124"/>
      <c r="E818" s="124"/>
      <c r="F818" s="124"/>
      <c r="G818" s="123"/>
      <c r="H818" s="123"/>
      <c r="I818" s="123"/>
      <c r="J818" s="123"/>
      <c r="K818" s="124"/>
      <c r="L818" s="123"/>
      <c r="M818" s="123"/>
      <c r="N818" s="123"/>
      <c r="O818" s="123"/>
      <c r="P818" s="124"/>
      <c r="Q818" s="123"/>
      <c r="R818" s="123"/>
      <c r="S818" s="123"/>
      <c r="T818" s="123"/>
      <c r="U818" s="124"/>
      <c r="V818" s="123"/>
      <c r="W818" s="123"/>
      <c r="X818" s="123"/>
      <c r="Y818" s="123"/>
      <c r="Z818" s="124"/>
      <c r="AA818" s="123"/>
      <c r="AB818" s="123"/>
      <c r="AC818" s="123"/>
      <c r="AD818" s="123"/>
      <c r="AE818" s="124"/>
      <c r="AF818" s="123"/>
      <c r="AG818" s="123"/>
      <c r="AH818" s="123"/>
      <c r="AI818" s="123"/>
      <c r="AJ818" s="124"/>
      <c r="AK818" s="123"/>
      <c r="AL818" s="123"/>
      <c r="AM818" s="123"/>
      <c r="AN818" s="123"/>
      <c r="AO818" s="124"/>
      <c r="AP818" s="123"/>
      <c r="AQ818" s="123"/>
      <c r="AR818" s="123"/>
      <c r="AS818" s="123"/>
      <c r="AT818" s="124"/>
      <c r="AU818" s="791"/>
      <c r="AV818" s="955">
        <f>Drivers!AV101</f>
        <v>0</v>
      </c>
      <c r="AW818" s="955">
        <f>Drivers!AW101</f>
        <v>0</v>
      </c>
      <c r="AX818" s="955">
        <f>Drivers!AX101</f>
        <v>0</v>
      </c>
      <c r="AY818" s="124">
        <f>SUM(AU818,AV818,AW818,AX818)</f>
        <v>0</v>
      </c>
      <c r="AZ818" s="955">
        <f>Drivers!AZ101</f>
        <v>0</v>
      </c>
      <c r="BA818" s="955">
        <f>Drivers!BA101</f>
        <v>0</v>
      </c>
      <c r="BB818" s="955">
        <f>Drivers!BB101</f>
        <v>0</v>
      </c>
      <c r="BC818" s="955">
        <f>Drivers!BC101</f>
        <v>0</v>
      </c>
      <c r="BD818" s="124">
        <f>SUM(AZ818,BA818,BB818,BC818)</f>
        <v>0</v>
      </c>
      <c r="BE818" s="955">
        <f>Drivers!BE101</f>
        <v>0</v>
      </c>
      <c r="BF818" s="955">
        <f>Drivers!BF101</f>
        <v>0</v>
      </c>
      <c r="BG818" s="955">
        <f>Drivers!BG101</f>
        <v>0</v>
      </c>
      <c r="BH818" s="351"/>
    </row>
    <row r="819" spans="1:60" s="69" customFormat="1" x14ac:dyDescent="0.35">
      <c r="A819" s="433" t="s">
        <v>77</v>
      </c>
      <c r="B819" s="434"/>
      <c r="C819" s="115">
        <f t="shared" ref="C819:AH819" si="1096">C815-SUM(C816:C818)</f>
        <v>3193</v>
      </c>
      <c r="D819" s="115">
        <f t="shared" si="1096"/>
        <v>4085</v>
      </c>
      <c r="E819" s="115">
        <f t="shared" si="1096"/>
        <v>4283</v>
      </c>
      <c r="F819" s="115">
        <f t="shared" si="1096"/>
        <v>4444</v>
      </c>
      <c r="G819" s="114">
        <f t="shared" si="1096"/>
        <v>1129</v>
      </c>
      <c r="H819" s="114">
        <f t="shared" si="1096"/>
        <v>1197</v>
      </c>
      <c r="I819" s="114">
        <f t="shared" si="1096"/>
        <v>1230</v>
      </c>
      <c r="J819" s="114">
        <f t="shared" si="1096"/>
        <v>1103</v>
      </c>
      <c r="K819" s="115">
        <f t="shared" si="1096"/>
        <v>4659</v>
      </c>
      <c r="L819" s="114">
        <f t="shared" si="1096"/>
        <v>1207</v>
      </c>
      <c r="M819" s="114">
        <f t="shared" si="1096"/>
        <v>1267</v>
      </c>
      <c r="N819" s="114">
        <f t="shared" si="1096"/>
        <v>1303</v>
      </c>
      <c r="O819" s="114">
        <f t="shared" si="1096"/>
        <v>1179</v>
      </c>
      <c r="P819" s="115">
        <f t="shared" si="1096"/>
        <v>4956</v>
      </c>
      <c r="Q819" s="114">
        <f t="shared" si="1096"/>
        <v>1199</v>
      </c>
      <c r="R819" s="114">
        <f t="shared" si="1096"/>
        <v>1300</v>
      </c>
      <c r="S819" s="114">
        <f t="shared" si="1096"/>
        <v>1296</v>
      </c>
      <c r="T819" s="114">
        <f t="shared" si="1096"/>
        <v>1038</v>
      </c>
      <c r="U819" s="115">
        <f t="shared" si="1096"/>
        <v>4833</v>
      </c>
      <c r="V819" s="114">
        <f t="shared" si="1096"/>
        <v>1275</v>
      </c>
      <c r="W819" s="114">
        <f t="shared" si="1096"/>
        <v>1291</v>
      </c>
      <c r="X819" s="114">
        <f t="shared" si="1096"/>
        <v>1329</v>
      </c>
      <c r="Y819" s="114">
        <f t="shared" si="1096"/>
        <v>1155</v>
      </c>
      <c r="Z819" s="115">
        <f t="shared" si="1096"/>
        <v>5050</v>
      </c>
      <c r="AA819" s="114">
        <f t="shared" si="1096"/>
        <v>1323</v>
      </c>
      <c r="AB819" s="114">
        <f t="shared" si="1096"/>
        <v>1583</v>
      </c>
      <c r="AC819" s="114">
        <f t="shared" si="1096"/>
        <v>1429</v>
      </c>
      <c r="AD819" s="114">
        <f t="shared" si="1096"/>
        <v>523</v>
      </c>
      <c r="AE819" s="115">
        <f t="shared" si="1096"/>
        <v>4858</v>
      </c>
      <c r="AF819" s="114">
        <f t="shared" si="1096"/>
        <v>602</v>
      </c>
      <c r="AG819" s="114">
        <f t="shared" si="1096"/>
        <v>1857</v>
      </c>
      <c r="AH819" s="114">
        <f t="shared" si="1096"/>
        <v>1543</v>
      </c>
      <c r="AI819" s="114">
        <f t="shared" ref="AI819:AY819" si="1097">AI815-SUM(AI816:AI818)</f>
        <v>1347</v>
      </c>
      <c r="AJ819" s="115">
        <f t="shared" si="1097"/>
        <v>5349</v>
      </c>
      <c r="AK819" s="114">
        <f t="shared" si="1097"/>
        <v>891</v>
      </c>
      <c r="AL819" s="114">
        <f t="shared" si="1097"/>
        <v>1127</v>
      </c>
      <c r="AM819" s="114">
        <f t="shared" si="1097"/>
        <v>1583</v>
      </c>
      <c r="AN819" s="114">
        <f t="shared" si="1097"/>
        <v>969</v>
      </c>
      <c r="AO819" s="115">
        <f t="shared" si="1097"/>
        <v>4570</v>
      </c>
      <c r="AP819" s="77">
        <f t="shared" si="1097"/>
        <v>1292</v>
      </c>
      <c r="AQ819" s="114">
        <f t="shared" si="1097"/>
        <v>1290</v>
      </c>
      <c r="AR819" s="114">
        <f t="shared" si="1097"/>
        <v>1413</v>
      </c>
      <c r="AS819" s="114">
        <f>AS815-SUM(AS816:AS818)</f>
        <v>1389</v>
      </c>
      <c r="AT819" s="115">
        <f>AT815-SUM(AT816:AT818)</f>
        <v>5384</v>
      </c>
      <c r="AU819" s="813">
        <f t="shared" ref="AU819" si="1098">AU815-SUM(AU816:AU818)</f>
        <v>1624</v>
      </c>
      <c r="AV819" s="114">
        <f t="shared" si="1097"/>
        <v>1242.0097752522743</v>
      </c>
      <c r="AW819" s="114">
        <f t="shared" si="1097"/>
        <v>1510.1218446881926</v>
      </c>
      <c r="AX819" s="114">
        <f t="shared" si="1097"/>
        <v>1591.6169221575942</v>
      </c>
      <c r="AY819" s="115">
        <f t="shared" si="1097"/>
        <v>5967.7485420980611</v>
      </c>
      <c r="AZ819" s="114">
        <f t="shared" ref="AZ819:BG819" si="1099">AZ815-SUM(AZ816:AZ818)</f>
        <v>1687.9080105357048</v>
      </c>
      <c r="BA819" s="114">
        <f t="shared" ca="1" si="1099"/>
        <v>1463.4520718263889</v>
      </c>
      <c r="BB819" s="114">
        <f t="shared" ca="1" si="1099"/>
        <v>1573.5364517164776</v>
      </c>
      <c r="BC819" s="114">
        <f t="shared" ca="1" si="1099"/>
        <v>1750.7652751190656</v>
      </c>
      <c r="BD819" s="115">
        <f t="shared" ca="1" si="1099"/>
        <v>6475.6618091976379</v>
      </c>
      <c r="BE819" s="115">
        <f t="shared" ca="1" si="1099"/>
        <v>7113.9761434234888</v>
      </c>
      <c r="BF819" s="115">
        <f t="shared" ca="1" si="1099"/>
        <v>7810.4381898482488</v>
      </c>
      <c r="BG819" s="115">
        <f t="shared" ca="1" si="1099"/>
        <v>8568.6901746959811</v>
      </c>
      <c r="BH819" s="79"/>
    </row>
    <row r="820" spans="1:60" s="60" customFormat="1" x14ac:dyDescent="0.35">
      <c r="A820" s="468" t="s">
        <v>78</v>
      </c>
      <c r="B820" s="469"/>
      <c r="C820" s="481"/>
      <c r="D820" s="481"/>
      <c r="E820" s="481"/>
      <c r="F820" s="481"/>
      <c r="G820" s="460"/>
      <c r="H820" s="460"/>
      <c r="I820" s="460"/>
      <c r="J820" s="460"/>
      <c r="K820" s="481"/>
      <c r="L820" s="460"/>
      <c r="M820" s="460"/>
      <c r="N820" s="460"/>
      <c r="O820" s="460"/>
      <c r="P820" s="481"/>
      <c r="Q820" s="460"/>
      <c r="R820" s="460"/>
      <c r="S820" s="460"/>
      <c r="T820" s="460"/>
      <c r="U820" s="481"/>
      <c r="V820" s="460"/>
      <c r="W820" s="460"/>
      <c r="X820" s="460"/>
      <c r="Y820" s="460"/>
      <c r="Z820" s="481"/>
      <c r="AA820" s="460"/>
      <c r="AB820" s="460"/>
      <c r="AC820" s="460"/>
      <c r="AD820" s="460"/>
      <c r="AE820" s="481"/>
      <c r="AF820" s="460"/>
      <c r="AG820" s="460"/>
      <c r="AH820" s="460"/>
      <c r="AI820" s="460"/>
      <c r="AJ820" s="481"/>
      <c r="AK820" s="460"/>
      <c r="AL820" s="460"/>
      <c r="AM820" s="460"/>
      <c r="AN820" s="460"/>
      <c r="AO820" s="481"/>
      <c r="AP820" s="460"/>
      <c r="AQ820" s="460"/>
      <c r="AR820" s="460"/>
      <c r="AS820" s="460"/>
      <c r="AT820" s="481"/>
      <c r="AU820" s="815"/>
      <c r="AV820" s="956">
        <f>Drivers!AV102</f>
        <v>0</v>
      </c>
      <c r="AW820" s="956">
        <f>Drivers!AW102</f>
        <v>0</v>
      </c>
      <c r="AX820" s="956">
        <f>Drivers!AX102</f>
        <v>0</v>
      </c>
      <c r="AY820" s="481">
        <f>SUM(AU820,AV820,AW820,AX820)</f>
        <v>0</v>
      </c>
      <c r="AZ820" s="956">
        <f>Drivers!AZ102</f>
        <v>0</v>
      </c>
      <c r="BA820" s="956">
        <f>Drivers!BA102</f>
        <v>0</v>
      </c>
      <c r="BB820" s="956">
        <f>Drivers!BB102</f>
        <v>0</v>
      </c>
      <c r="BC820" s="956">
        <f>Drivers!BC102</f>
        <v>0</v>
      </c>
      <c r="BD820" s="481">
        <f>SUM(AZ820,BA820,BB820,BC820)</f>
        <v>0</v>
      </c>
      <c r="BE820" s="956">
        <f>Drivers!BE102</f>
        <v>0</v>
      </c>
      <c r="BF820" s="956">
        <f>Drivers!BF102</f>
        <v>0</v>
      </c>
      <c r="BG820" s="956">
        <f>Drivers!BG102</f>
        <v>0</v>
      </c>
      <c r="BH820" s="351"/>
    </row>
    <row r="821" spans="1:60" s="69" customFormat="1" x14ac:dyDescent="0.35">
      <c r="A821" s="433" t="s">
        <v>79</v>
      </c>
      <c r="B821" s="434"/>
      <c r="C821" s="115">
        <f t="shared" ref="C821:AH821" si="1100">C819-C820</f>
        <v>3193</v>
      </c>
      <c r="D821" s="115">
        <f t="shared" si="1100"/>
        <v>4085</v>
      </c>
      <c r="E821" s="115">
        <f t="shared" si="1100"/>
        <v>4283</v>
      </c>
      <c r="F821" s="115">
        <f t="shared" si="1100"/>
        <v>4444</v>
      </c>
      <c r="G821" s="114">
        <f t="shared" si="1100"/>
        <v>1129</v>
      </c>
      <c r="H821" s="114">
        <f t="shared" si="1100"/>
        <v>1197</v>
      </c>
      <c r="I821" s="114">
        <f t="shared" si="1100"/>
        <v>1230</v>
      </c>
      <c r="J821" s="114">
        <f t="shared" si="1100"/>
        <v>1103</v>
      </c>
      <c r="K821" s="115">
        <f t="shared" si="1100"/>
        <v>4659</v>
      </c>
      <c r="L821" s="114">
        <f t="shared" si="1100"/>
        <v>1207</v>
      </c>
      <c r="M821" s="114">
        <f t="shared" si="1100"/>
        <v>1267</v>
      </c>
      <c r="N821" s="114">
        <f t="shared" si="1100"/>
        <v>1303</v>
      </c>
      <c r="O821" s="114">
        <f t="shared" si="1100"/>
        <v>1179</v>
      </c>
      <c r="P821" s="115">
        <f t="shared" si="1100"/>
        <v>4956</v>
      </c>
      <c r="Q821" s="114">
        <f t="shared" si="1100"/>
        <v>1199</v>
      </c>
      <c r="R821" s="114">
        <f t="shared" si="1100"/>
        <v>1300</v>
      </c>
      <c r="S821" s="114">
        <f t="shared" si="1100"/>
        <v>1296</v>
      </c>
      <c r="T821" s="114">
        <f t="shared" si="1100"/>
        <v>1038</v>
      </c>
      <c r="U821" s="115">
        <f t="shared" si="1100"/>
        <v>4833</v>
      </c>
      <c r="V821" s="114">
        <f t="shared" si="1100"/>
        <v>1275</v>
      </c>
      <c r="W821" s="114">
        <f t="shared" si="1100"/>
        <v>1291</v>
      </c>
      <c r="X821" s="114">
        <f t="shared" si="1100"/>
        <v>1329</v>
      </c>
      <c r="Y821" s="114">
        <f t="shared" si="1100"/>
        <v>1155</v>
      </c>
      <c r="Z821" s="115">
        <f t="shared" si="1100"/>
        <v>5050</v>
      </c>
      <c r="AA821" s="114">
        <f t="shared" si="1100"/>
        <v>1323</v>
      </c>
      <c r="AB821" s="114">
        <f t="shared" si="1100"/>
        <v>1583</v>
      </c>
      <c r="AC821" s="114">
        <f t="shared" si="1100"/>
        <v>1429</v>
      </c>
      <c r="AD821" s="114">
        <f t="shared" si="1100"/>
        <v>523</v>
      </c>
      <c r="AE821" s="115">
        <f t="shared" si="1100"/>
        <v>4858</v>
      </c>
      <c r="AF821" s="114">
        <f t="shared" si="1100"/>
        <v>602</v>
      </c>
      <c r="AG821" s="114">
        <f t="shared" si="1100"/>
        <v>1857</v>
      </c>
      <c r="AH821" s="114">
        <f t="shared" si="1100"/>
        <v>1543</v>
      </c>
      <c r="AI821" s="114">
        <f t="shared" ref="AI821:AY821" si="1101">AI819-AI820</f>
        <v>1347</v>
      </c>
      <c r="AJ821" s="115">
        <f t="shared" si="1101"/>
        <v>5349</v>
      </c>
      <c r="AK821" s="114">
        <f t="shared" si="1101"/>
        <v>891</v>
      </c>
      <c r="AL821" s="114">
        <f t="shared" si="1101"/>
        <v>1127</v>
      </c>
      <c r="AM821" s="114">
        <f t="shared" si="1101"/>
        <v>1583</v>
      </c>
      <c r="AN821" s="114">
        <f t="shared" si="1101"/>
        <v>969</v>
      </c>
      <c r="AO821" s="115">
        <f t="shared" si="1101"/>
        <v>4570</v>
      </c>
      <c r="AP821" s="77">
        <f t="shared" si="1101"/>
        <v>1292</v>
      </c>
      <c r="AQ821" s="114">
        <f t="shared" si="1101"/>
        <v>1290</v>
      </c>
      <c r="AR821" s="114">
        <f>AR819-AR820</f>
        <v>1413</v>
      </c>
      <c r="AS821" s="114">
        <f>AS819-AS820</f>
        <v>1389</v>
      </c>
      <c r="AT821" s="115">
        <f>AT819-AT820</f>
        <v>5384</v>
      </c>
      <c r="AU821" s="813">
        <f t="shared" ref="AU821" si="1102">AU819-AU820</f>
        <v>1624</v>
      </c>
      <c r="AV821" s="114">
        <f t="shared" si="1101"/>
        <v>1242.0097752522743</v>
      </c>
      <c r="AW821" s="114">
        <f t="shared" si="1101"/>
        <v>1510.1218446881926</v>
      </c>
      <c r="AX821" s="114">
        <f t="shared" si="1101"/>
        <v>1591.6169221575942</v>
      </c>
      <c r="AY821" s="115">
        <f t="shared" si="1101"/>
        <v>5967.7485420980611</v>
      </c>
      <c r="AZ821" s="114">
        <f t="shared" ref="AZ821:BG821" si="1103">AZ819-AZ820</f>
        <v>1687.9080105357048</v>
      </c>
      <c r="BA821" s="114">
        <f t="shared" ca="1" si="1103"/>
        <v>1463.4520718263889</v>
      </c>
      <c r="BB821" s="114">
        <f t="shared" ca="1" si="1103"/>
        <v>1573.5364517164776</v>
      </c>
      <c r="BC821" s="114">
        <f t="shared" ca="1" si="1103"/>
        <v>1750.7652751190656</v>
      </c>
      <c r="BD821" s="115">
        <f t="shared" ca="1" si="1103"/>
        <v>6475.6618091976379</v>
      </c>
      <c r="BE821" s="115">
        <f t="shared" ca="1" si="1103"/>
        <v>7113.9761434234888</v>
      </c>
      <c r="BF821" s="115">
        <f t="shared" ca="1" si="1103"/>
        <v>7810.4381898482488</v>
      </c>
      <c r="BG821" s="115">
        <f t="shared" ca="1" si="1103"/>
        <v>8568.6901746959811</v>
      </c>
      <c r="BH821" s="79"/>
    </row>
    <row r="822" spans="1:60" s="60" customFormat="1" x14ac:dyDescent="0.35">
      <c r="A822" s="424" t="s">
        <v>80</v>
      </c>
      <c r="B822" s="425"/>
      <c r="C822" s="269">
        <f t="shared" ref="C822:AU822" si="1104">SUM(C758:C763)</f>
        <v>0</v>
      </c>
      <c r="D822" s="269">
        <f t="shared" si="1104"/>
        <v>0</v>
      </c>
      <c r="E822" s="269">
        <f t="shared" si="1104"/>
        <v>0</v>
      </c>
      <c r="F822" s="269">
        <f t="shared" si="1104"/>
        <v>0</v>
      </c>
      <c r="G822" s="268">
        <f t="shared" si="1104"/>
        <v>0</v>
      </c>
      <c r="H822" s="268">
        <f t="shared" si="1104"/>
        <v>0</v>
      </c>
      <c r="I822" s="268">
        <f t="shared" si="1104"/>
        <v>0</v>
      </c>
      <c r="J822" s="268">
        <f t="shared" si="1104"/>
        <v>0</v>
      </c>
      <c r="K822" s="269">
        <f t="shared" si="1104"/>
        <v>0</v>
      </c>
      <c r="L822" s="268">
        <f t="shared" si="1104"/>
        <v>0</v>
      </c>
      <c r="M822" s="268">
        <f t="shared" si="1104"/>
        <v>0</v>
      </c>
      <c r="N822" s="268">
        <f t="shared" si="1104"/>
        <v>0</v>
      </c>
      <c r="O822" s="268">
        <f t="shared" si="1104"/>
        <v>0</v>
      </c>
      <c r="P822" s="269">
        <f t="shared" si="1104"/>
        <v>0</v>
      </c>
      <c r="Q822" s="268">
        <f t="shared" si="1104"/>
        <v>0</v>
      </c>
      <c r="R822" s="268">
        <f t="shared" si="1104"/>
        <v>0</v>
      </c>
      <c r="S822" s="268">
        <f t="shared" si="1104"/>
        <v>0</v>
      </c>
      <c r="T822" s="268">
        <f t="shared" si="1104"/>
        <v>0</v>
      </c>
      <c r="U822" s="269">
        <f t="shared" si="1104"/>
        <v>0</v>
      </c>
      <c r="V822" s="268">
        <f t="shared" si="1104"/>
        <v>0</v>
      </c>
      <c r="W822" s="268">
        <f t="shared" si="1104"/>
        <v>0</v>
      </c>
      <c r="X822" s="268">
        <f t="shared" si="1104"/>
        <v>0</v>
      </c>
      <c r="Y822" s="268">
        <f t="shared" si="1104"/>
        <v>0</v>
      </c>
      <c r="Z822" s="269">
        <f t="shared" si="1104"/>
        <v>0</v>
      </c>
      <c r="AA822" s="268">
        <f t="shared" si="1104"/>
        <v>0</v>
      </c>
      <c r="AB822" s="268">
        <f t="shared" si="1104"/>
        <v>0</v>
      </c>
      <c r="AC822" s="268">
        <f t="shared" si="1104"/>
        <v>0</v>
      </c>
      <c r="AD822" s="268">
        <f t="shared" si="1104"/>
        <v>-762</v>
      </c>
      <c r="AE822" s="269">
        <f t="shared" si="1104"/>
        <v>-762</v>
      </c>
      <c r="AF822" s="268">
        <f t="shared" si="1104"/>
        <v>-927</v>
      </c>
      <c r="AG822" s="268">
        <f t="shared" si="1104"/>
        <v>0</v>
      </c>
      <c r="AH822" s="268">
        <f t="shared" si="1104"/>
        <v>0</v>
      </c>
      <c r="AI822" s="268">
        <f t="shared" si="1104"/>
        <v>-19</v>
      </c>
      <c r="AJ822" s="269">
        <f t="shared" si="1104"/>
        <v>-946</v>
      </c>
      <c r="AK822" s="268">
        <f t="shared" si="1104"/>
        <v>-417</v>
      </c>
      <c r="AL822" s="268">
        <f t="shared" si="1104"/>
        <v>-119</v>
      </c>
      <c r="AM822" s="268">
        <f t="shared" si="1104"/>
        <v>79</v>
      </c>
      <c r="AN822" s="268">
        <f t="shared" si="1104"/>
        <v>-166</v>
      </c>
      <c r="AO822" s="269">
        <f t="shared" si="1104"/>
        <v>-623</v>
      </c>
      <c r="AP822" s="574">
        <f t="shared" si="1104"/>
        <v>38</v>
      </c>
      <c r="AQ822" s="268">
        <f t="shared" si="1104"/>
        <v>258</v>
      </c>
      <c r="AR822" s="268">
        <f t="shared" si="1104"/>
        <v>0</v>
      </c>
      <c r="AS822" s="268">
        <f t="shared" si="1104"/>
        <v>0</v>
      </c>
      <c r="AT822" s="269">
        <f t="shared" si="1104"/>
        <v>296</v>
      </c>
      <c r="AU822" s="816">
        <f t="shared" si="1104"/>
        <v>0</v>
      </c>
      <c r="AV822" s="957">
        <f>Drivers!AV103</f>
        <v>0</v>
      </c>
      <c r="AW822" s="957">
        <f>Drivers!AW103</f>
        <v>0</v>
      </c>
      <c r="AX822" s="957">
        <f>Drivers!AX103</f>
        <v>0</v>
      </c>
      <c r="AY822" s="269">
        <f>SUM(AU822,AV822,AW822,AX822)</f>
        <v>0</v>
      </c>
      <c r="AZ822" s="957">
        <f>Drivers!AZ103</f>
        <v>0</v>
      </c>
      <c r="BA822" s="957">
        <f>Drivers!BA103</f>
        <v>0</v>
      </c>
      <c r="BB822" s="957">
        <f>Drivers!BB103</f>
        <v>0</v>
      </c>
      <c r="BC822" s="957">
        <f>Drivers!BC103</f>
        <v>0</v>
      </c>
      <c r="BD822" s="269">
        <f>SUM(AZ822,BA822,BB822,BC822)</f>
        <v>0</v>
      </c>
      <c r="BE822" s="957">
        <f>Drivers!BE103</f>
        <v>0</v>
      </c>
      <c r="BF822" s="957">
        <f>Drivers!BF103</f>
        <v>0</v>
      </c>
      <c r="BG822" s="957">
        <f>Drivers!BG103</f>
        <v>0</v>
      </c>
      <c r="BH822" s="351"/>
    </row>
    <row r="823" spans="1:60" s="60" customFormat="1" x14ac:dyDescent="0.35">
      <c r="A823" s="466" t="s">
        <v>81</v>
      </c>
      <c r="B823" s="467"/>
      <c r="C823" s="124"/>
      <c r="D823" s="124"/>
      <c r="E823" s="124"/>
      <c r="F823" s="124"/>
      <c r="G823" s="123"/>
      <c r="H823" s="123"/>
      <c r="I823" s="123"/>
      <c r="J823" s="123"/>
      <c r="K823" s="124"/>
      <c r="L823" s="123"/>
      <c r="M823" s="123"/>
      <c r="N823" s="123"/>
      <c r="O823" s="123"/>
      <c r="P823" s="124"/>
      <c r="Q823" s="123"/>
      <c r="R823" s="123"/>
      <c r="S823" s="123"/>
      <c r="T823" s="123"/>
      <c r="U823" s="124"/>
      <c r="V823" s="123"/>
      <c r="W823" s="123"/>
      <c r="X823" s="123"/>
      <c r="Y823" s="123"/>
      <c r="Z823" s="124"/>
      <c r="AA823" s="123"/>
      <c r="AB823" s="123"/>
      <c r="AC823" s="123"/>
      <c r="AD823" s="123"/>
      <c r="AE823" s="124"/>
      <c r="AF823" s="123"/>
      <c r="AG823" s="123"/>
      <c r="AH823" s="123"/>
      <c r="AI823" s="123"/>
      <c r="AJ823" s="124"/>
      <c r="AK823" s="123"/>
      <c r="AL823" s="123"/>
      <c r="AM823" s="123"/>
      <c r="AN823" s="123"/>
      <c r="AO823" s="124"/>
      <c r="AP823" s="123"/>
      <c r="AQ823" s="123"/>
      <c r="AR823" s="123"/>
      <c r="AS823" s="123"/>
      <c r="AT823" s="124"/>
      <c r="AU823" s="791"/>
      <c r="AV823" s="955">
        <f>Drivers!AV104</f>
        <v>0</v>
      </c>
      <c r="AW823" s="955">
        <f>Drivers!AW104</f>
        <v>0</v>
      </c>
      <c r="AX823" s="955">
        <f>Drivers!AX104</f>
        <v>0</v>
      </c>
      <c r="AY823" s="124">
        <f>SUM(AU823,AV823,AW823,AX823)</f>
        <v>0</v>
      </c>
      <c r="AZ823" s="955">
        <f>Drivers!AZ104</f>
        <v>0</v>
      </c>
      <c r="BA823" s="955">
        <f>Drivers!BA104</f>
        <v>0</v>
      </c>
      <c r="BB823" s="955">
        <f>Drivers!BB104</f>
        <v>0</v>
      </c>
      <c r="BC823" s="955">
        <f>Drivers!BC104</f>
        <v>0</v>
      </c>
      <c r="BD823" s="124">
        <f>SUM(AZ823,BA823,BB823,BC823)</f>
        <v>0</v>
      </c>
      <c r="BE823" s="955">
        <f>Drivers!BE104</f>
        <v>0</v>
      </c>
      <c r="BF823" s="955">
        <f>Drivers!BF104</f>
        <v>0</v>
      </c>
      <c r="BG823" s="955">
        <f>Drivers!BG104</f>
        <v>0</v>
      </c>
      <c r="BH823" s="351"/>
    </row>
    <row r="824" spans="1:60" s="69" customFormat="1" x14ac:dyDescent="0.35">
      <c r="A824" s="433" t="s">
        <v>82</v>
      </c>
      <c r="B824" s="434"/>
      <c r="C824" s="115">
        <f t="shared" ref="C824:AH824" si="1105">C821-SUM(C822:C823)</f>
        <v>3193</v>
      </c>
      <c r="D824" s="115">
        <f t="shared" si="1105"/>
        <v>4085</v>
      </c>
      <c r="E824" s="115">
        <f t="shared" si="1105"/>
        <v>4283</v>
      </c>
      <c r="F824" s="115">
        <f t="shared" si="1105"/>
        <v>4444</v>
      </c>
      <c r="G824" s="114">
        <f t="shared" si="1105"/>
        <v>1129</v>
      </c>
      <c r="H824" s="114">
        <f t="shared" si="1105"/>
        <v>1197</v>
      </c>
      <c r="I824" s="114">
        <f t="shared" si="1105"/>
        <v>1230</v>
      </c>
      <c r="J824" s="114">
        <f t="shared" si="1105"/>
        <v>1103</v>
      </c>
      <c r="K824" s="115">
        <f t="shared" si="1105"/>
        <v>4659</v>
      </c>
      <c r="L824" s="114">
        <f t="shared" si="1105"/>
        <v>1207</v>
      </c>
      <c r="M824" s="114">
        <f t="shared" si="1105"/>
        <v>1267</v>
      </c>
      <c r="N824" s="114">
        <f t="shared" si="1105"/>
        <v>1303</v>
      </c>
      <c r="O824" s="114">
        <f t="shared" si="1105"/>
        <v>1179</v>
      </c>
      <c r="P824" s="115">
        <f t="shared" si="1105"/>
        <v>4956</v>
      </c>
      <c r="Q824" s="114">
        <f t="shared" si="1105"/>
        <v>1199</v>
      </c>
      <c r="R824" s="114">
        <f t="shared" si="1105"/>
        <v>1300</v>
      </c>
      <c r="S824" s="114">
        <f t="shared" si="1105"/>
        <v>1296</v>
      </c>
      <c r="T824" s="114">
        <f t="shared" si="1105"/>
        <v>1038</v>
      </c>
      <c r="U824" s="115">
        <f t="shared" si="1105"/>
        <v>4833</v>
      </c>
      <c r="V824" s="114">
        <f t="shared" si="1105"/>
        <v>1275</v>
      </c>
      <c r="W824" s="114">
        <f t="shared" si="1105"/>
        <v>1291</v>
      </c>
      <c r="X824" s="114">
        <f t="shared" si="1105"/>
        <v>1329</v>
      </c>
      <c r="Y824" s="114">
        <f t="shared" si="1105"/>
        <v>1155</v>
      </c>
      <c r="Z824" s="115">
        <f t="shared" si="1105"/>
        <v>5050</v>
      </c>
      <c r="AA824" s="114">
        <f t="shared" si="1105"/>
        <v>1323</v>
      </c>
      <c r="AB824" s="114">
        <f t="shared" si="1105"/>
        <v>1583</v>
      </c>
      <c r="AC824" s="114">
        <f t="shared" si="1105"/>
        <v>1429</v>
      </c>
      <c r="AD824" s="114">
        <f t="shared" si="1105"/>
        <v>1285</v>
      </c>
      <c r="AE824" s="115">
        <f t="shared" si="1105"/>
        <v>5620</v>
      </c>
      <c r="AF824" s="114">
        <f t="shared" si="1105"/>
        <v>1529</v>
      </c>
      <c r="AG824" s="114">
        <f t="shared" si="1105"/>
        <v>1857</v>
      </c>
      <c r="AH824" s="114">
        <f t="shared" si="1105"/>
        <v>1543</v>
      </c>
      <c r="AI824" s="114">
        <f t="shared" ref="AI824:AY824" si="1106">AI821-SUM(AI822:AI823)</f>
        <v>1366</v>
      </c>
      <c r="AJ824" s="115">
        <f t="shared" si="1106"/>
        <v>6295</v>
      </c>
      <c r="AK824" s="114">
        <f t="shared" si="1106"/>
        <v>1308</v>
      </c>
      <c r="AL824" s="114">
        <f t="shared" si="1106"/>
        <v>1246</v>
      </c>
      <c r="AM824" s="114">
        <f t="shared" si="1106"/>
        <v>1504</v>
      </c>
      <c r="AN824" s="114">
        <f t="shared" si="1106"/>
        <v>1135</v>
      </c>
      <c r="AO824" s="115">
        <f t="shared" si="1106"/>
        <v>5193</v>
      </c>
      <c r="AP824" s="77">
        <f t="shared" si="1106"/>
        <v>1254</v>
      </c>
      <c r="AQ824" s="114">
        <f t="shared" si="1106"/>
        <v>1032</v>
      </c>
      <c r="AR824" s="114">
        <f>AR821-SUM(AR822:AR823)</f>
        <v>1413</v>
      </c>
      <c r="AS824" s="114">
        <f>AS821-SUM(AS822:AS823)</f>
        <v>1389</v>
      </c>
      <c r="AT824" s="115">
        <f>AT821-SUM(AT822:AT823)</f>
        <v>5088</v>
      </c>
      <c r="AU824" s="813">
        <f t="shared" ref="AU824" si="1107">AU821-SUM(AU822:AU823)</f>
        <v>1624</v>
      </c>
      <c r="AV824" s="114">
        <f t="shared" si="1106"/>
        <v>1242.0097752522743</v>
      </c>
      <c r="AW824" s="114">
        <f t="shared" si="1106"/>
        <v>1510.1218446881926</v>
      </c>
      <c r="AX824" s="114">
        <f t="shared" si="1106"/>
        <v>1591.6169221575942</v>
      </c>
      <c r="AY824" s="115">
        <f t="shared" si="1106"/>
        <v>5967.7485420980611</v>
      </c>
      <c r="AZ824" s="114">
        <f t="shared" ref="AZ824:BG824" si="1108">AZ821-SUM(AZ822:AZ823)</f>
        <v>1687.9080105357048</v>
      </c>
      <c r="BA824" s="114">
        <f t="shared" ca="1" si="1108"/>
        <v>1463.4520718263889</v>
      </c>
      <c r="BB824" s="114">
        <f t="shared" ca="1" si="1108"/>
        <v>1573.5364517164776</v>
      </c>
      <c r="BC824" s="114">
        <f t="shared" ca="1" si="1108"/>
        <v>1750.7652751190656</v>
      </c>
      <c r="BD824" s="115">
        <f t="shared" ca="1" si="1108"/>
        <v>6475.6618091976379</v>
      </c>
      <c r="BE824" s="115">
        <f t="shared" ca="1" si="1108"/>
        <v>7113.9761434234888</v>
      </c>
      <c r="BF824" s="115">
        <f t="shared" ca="1" si="1108"/>
        <v>7810.4381898482488</v>
      </c>
      <c r="BG824" s="115">
        <f t="shared" ca="1" si="1108"/>
        <v>8568.6901746959811</v>
      </c>
      <c r="BH824" s="79"/>
    </row>
    <row r="825" spans="1:60" s="54" customFormat="1" x14ac:dyDescent="0.35">
      <c r="A825" s="470"/>
      <c r="B825" s="471"/>
      <c r="C825" s="885"/>
      <c r="D825" s="885"/>
      <c r="E825" s="885"/>
      <c r="F825" s="885"/>
      <c r="G825" s="886"/>
      <c r="H825" s="886"/>
      <c r="I825" s="886"/>
      <c r="J825" s="886"/>
      <c r="K825" s="885"/>
      <c r="L825" s="886"/>
      <c r="M825" s="886"/>
      <c r="N825" s="886"/>
      <c r="O825" s="886"/>
      <c r="P825" s="885"/>
      <c r="Q825" s="886"/>
      <c r="R825" s="886"/>
      <c r="S825" s="886"/>
      <c r="T825" s="886"/>
      <c r="U825" s="885"/>
      <c r="V825" s="886"/>
      <c r="W825" s="886"/>
      <c r="X825" s="886"/>
      <c r="Y825" s="886"/>
      <c r="Z825" s="885"/>
      <c r="AA825" s="886"/>
      <c r="AB825" s="886"/>
      <c r="AC825" s="886"/>
      <c r="AD825" s="886"/>
      <c r="AE825" s="885"/>
      <c r="AF825" s="886"/>
      <c r="AG825" s="886"/>
      <c r="AH825" s="886"/>
      <c r="AI825" s="886"/>
      <c r="AJ825" s="885"/>
      <c r="AK825" s="886"/>
      <c r="AL825" s="886"/>
      <c r="AM825" s="886"/>
      <c r="AN825" s="886"/>
      <c r="AO825" s="885"/>
      <c r="AP825" s="886"/>
      <c r="AQ825" s="886"/>
      <c r="AR825" s="886"/>
      <c r="AS825" s="886"/>
      <c r="AT825" s="885"/>
      <c r="AU825" s="887"/>
      <c r="AV825" s="886"/>
      <c r="AW825" s="886"/>
      <c r="AX825" s="886"/>
      <c r="AY825" s="885"/>
      <c r="AZ825" s="886"/>
      <c r="BA825" s="886"/>
      <c r="BB825" s="886"/>
      <c r="BC825" s="886"/>
      <c r="BD825" s="885"/>
      <c r="BE825" s="885"/>
      <c r="BF825" s="885"/>
      <c r="BG825" s="885"/>
      <c r="BH825" s="652"/>
    </row>
    <row r="826" spans="1:60" s="225" customFormat="1" x14ac:dyDescent="0.35">
      <c r="A826" s="299" t="s">
        <v>83</v>
      </c>
      <c r="B826" s="435"/>
      <c r="C826" s="116">
        <f t="shared" ref="C826:AU826" si="1109">C813/C811</f>
        <v>0.1483160621761658</v>
      </c>
      <c r="D826" s="116">
        <f t="shared" si="1109"/>
        <v>0.30616854908774976</v>
      </c>
      <c r="E826" s="116">
        <f t="shared" si="1109"/>
        <v>0.2482175426960703</v>
      </c>
      <c r="F826" s="116">
        <f t="shared" si="1109"/>
        <v>0.28452212250039366</v>
      </c>
      <c r="G826" s="299">
        <f t="shared" si="1109"/>
        <v>0.25293753865182439</v>
      </c>
      <c r="H826" s="299">
        <f t="shared" si="1109"/>
        <v>0.28845002992220226</v>
      </c>
      <c r="I826" s="299">
        <f t="shared" si="1109"/>
        <v>0.32750582750582752</v>
      </c>
      <c r="J826" s="299">
        <f t="shared" si="1109"/>
        <v>0.35622593068035946</v>
      </c>
      <c r="K826" s="116">
        <f t="shared" si="1109"/>
        <v>0.3060042669917708</v>
      </c>
      <c r="L826" s="299">
        <f t="shared" si="1109"/>
        <v>0.32345971563981041</v>
      </c>
      <c r="M826" s="299">
        <f t="shared" si="1109"/>
        <v>0.26923076923076922</v>
      </c>
      <c r="N826" s="299">
        <f t="shared" si="1109"/>
        <v>0.31595744680851062</v>
      </c>
      <c r="O826" s="299">
        <f t="shared" si="1109"/>
        <v>0.3321123321123321</v>
      </c>
      <c r="P826" s="116">
        <f t="shared" si="1109"/>
        <v>0.30942214631369203</v>
      </c>
      <c r="Q826" s="299">
        <f t="shared" si="1109"/>
        <v>0.2689371697005285</v>
      </c>
      <c r="R826" s="299">
        <f t="shared" si="1109"/>
        <v>0.14238410596026491</v>
      </c>
      <c r="S826" s="299">
        <f t="shared" si="1109"/>
        <v>0.24336043360433604</v>
      </c>
      <c r="T826" s="299">
        <f t="shared" si="1109"/>
        <v>0.28844839371155162</v>
      </c>
      <c r="U826" s="116">
        <f t="shared" si="1109"/>
        <v>0.2325956324197567</v>
      </c>
      <c r="V826" s="299">
        <f t="shared" si="1109"/>
        <v>0.28980526918671251</v>
      </c>
      <c r="W826" s="299">
        <f t="shared" si="1109"/>
        <v>0.3476839237057221</v>
      </c>
      <c r="X826" s="299">
        <f t="shared" si="1109"/>
        <v>0.26691729323308272</v>
      </c>
      <c r="Y826" s="299">
        <f t="shared" si="1109"/>
        <v>0.21552795031055902</v>
      </c>
      <c r="Z826" s="116">
        <f t="shared" si="1109"/>
        <v>0.28186587267829294</v>
      </c>
      <c r="AA826" s="299">
        <f t="shared" si="1109"/>
        <v>0.28497409326424872</v>
      </c>
      <c r="AB826" s="299">
        <f t="shared" si="1109"/>
        <v>0.27684407096171804</v>
      </c>
      <c r="AC826" s="299">
        <f t="shared" si="1109"/>
        <v>0.27491236855282924</v>
      </c>
      <c r="AD826" s="299">
        <f t="shared" si="1109"/>
        <v>0.55921052631578949</v>
      </c>
      <c r="AE826" s="116">
        <f t="shared" si="1109"/>
        <v>0.34075251722310546</v>
      </c>
      <c r="AF826" s="299">
        <f t="shared" si="1109"/>
        <v>0.47875647668393784</v>
      </c>
      <c r="AG826" s="299">
        <f t="shared" si="1109"/>
        <v>0.16425531914893618</v>
      </c>
      <c r="AH826" s="299">
        <f t="shared" si="1109"/>
        <v>0.24987277353689569</v>
      </c>
      <c r="AI826" s="299">
        <f t="shared" si="1109"/>
        <v>0.20639534883720931</v>
      </c>
      <c r="AJ826" s="116">
        <f t="shared" si="1109"/>
        <v>0.24199999999999999</v>
      </c>
      <c r="AK826" s="299">
        <f t="shared" si="1109"/>
        <v>0.23069852941176472</v>
      </c>
      <c r="AL826" s="299">
        <f t="shared" si="1109"/>
        <v>0.23029045643153526</v>
      </c>
      <c r="AM826" s="299">
        <f t="shared" si="1109"/>
        <v>0.19938962360122076</v>
      </c>
      <c r="AN826" s="299">
        <f t="shared" si="1109"/>
        <v>0.35231023102310233</v>
      </c>
      <c r="AO826" s="116">
        <f t="shared" si="1109"/>
        <v>0.24562324929971988</v>
      </c>
      <c r="AP826" s="299">
        <f t="shared" si="1109"/>
        <v>0.1557115507338864</v>
      </c>
      <c r="AQ826" s="299">
        <f t="shared" si="1109"/>
        <v>0.20257826887661143</v>
      </c>
      <c r="AR826" s="299">
        <f t="shared" si="1109"/>
        <v>0.26869806094182824</v>
      </c>
      <c r="AS826" s="299">
        <f t="shared" si="1109"/>
        <v>0.24795321637426901</v>
      </c>
      <c r="AT826" s="116">
        <f t="shared" si="1109"/>
        <v>0.22098047980926835</v>
      </c>
      <c r="AU826" s="794">
        <f t="shared" si="1109"/>
        <v>0.15578406169665809</v>
      </c>
      <c r="AV826" s="958">
        <f>Drivers!AV105</f>
        <v>0.19</v>
      </c>
      <c r="AW826" s="958">
        <f>Drivers!AW105</f>
        <v>0.19</v>
      </c>
      <c r="AX826" s="958">
        <f>Drivers!AX105</f>
        <v>0.19</v>
      </c>
      <c r="AY826" s="116">
        <f>AY813/AY811</f>
        <v>0.18105921244923023</v>
      </c>
      <c r="AZ826" s="958">
        <f>Drivers!AZ105</f>
        <v>0.19</v>
      </c>
      <c r="BA826" s="958">
        <f>Drivers!BA105</f>
        <v>0.19</v>
      </c>
      <c r="BB826" s="958">
        <f>Drivers!BB105</f>
        <v>0.19</v>
      </c>
      <c r="BC826" s="958">
        <f>Drivers!BC105</f>
        <v>0.19</v>
      </c>
      <c r="BD826" s="116">
        <f ca="1">BD813/BD811</f>
        <v>0.19</v>
      </c>
      <c r="BE826" s="958">
        <f>Drivers!BE105</f>
        <v>0.19</v>
      </c>
      <c r="BF826" s="958">
        <f>Drivers!BF105</f>
        <v>0.19</v>
      </c>
      <c r="BG826" s="958">
        <f>Drivers!BG105</f>
        <v>0.19</v>
      </c>
      <c r="BH826" s="94"/>
    </row>
    <row r="827" spans="1:60" s="225" customFormat="1" x14ac:dyDescent="0.35">
      <c r="A827" s="299" t="s">
        <v>84</v>
      </c>
      <c r="B827" s="435"/>
      <c r="C827" s="116">
        <f t="shared" ref="C827:AU827" si="1110">C814/C811</f>
        <v>0.15133851468048359</v>
      </c>
      <c r="D827" s="116">
        <f t="shared" si="1110"/>
        <v>-2.9539530842745437E-2</v>
      </c>
      <c r="E827" s="116">
        <f t="shared" si="1110"/>
        <v>2.9348366771679655E-2</v>
      </c>
      <c r="F827" s="116">
        <f t="shared" si="1110"/>
        <v>5.1960321209258385E-3</v>
      </c>
      <c r="G827" s="299">
        <f t="shared" si="1110"/>
        <v>3.7724180581323437E-2</v>
      </c>
      <c r="H827" s="299">
        <f t="shared" si="1110"/>
        <v>-1.4362657091561939E-2</v>
      </c>
      <c r="I827" s="299">
        <f t="shared" si="1110"/>
        <v>-5.3030303030303032E-2</v>
      </c>
      <c r="J827" s="299">
        <f t="shared" si="1110"/>
        <v>-7.2528883183568676E-2</v>
      </c>
      <c r="K827" s="116">
        <f t="shared" si="1110"/>
        <v>-2.5449558061566596E-2</v>
      </c>
      <c r="L827" s="299">
        <f t="shared" si="1110"/>
        <v>-4.9170616113744077E-2</v>
      </c>
      <c r="M827" s="299">
        <f t="shared" si="1110"/>
        <v>2.5824175824175823E-2</v>
      </c>
      <c r="N827" s="299">
        <f t="shared" si="1110"/>
        <v>-1.3297872340425532E-2</v>
      </c>
      <c r="O827" s="299">
        <f t="shared" si="1110"/>
        <v>-5.1892551892551896E-2</v>
      </c>
      <c r="P827" s="116">
        <f t="shared" si="1110"/>
        <v>-2.0779960148021633E-2</v>
      </c>
      <c r="Q827" s="299">
        <f t="shared" si="1110"/>
        <v>2.5836758661186142E-2</v>
      </c>
      <c r="R827" s="299">
        <f t="shared" si="1110"/>
        <v>0.13852097130242827</v>
      </c>
      <c r="S827" s="299">
        <f t="shared" si="1110"/>
        <v>5.3116531165311655E-2</v>
      </c>
      <c r="T827" s="299">
        <f t="shared" si="1110"/>
        <v>1.3670539986329461E-3</v>
      </c>
      <c r="U827" s="116">
        <f t="shared" si="1110"/>
        <v>5.7892422687967168E-2</v>
      </c>
      <c r="V827" s="299">
        <f t="shared" si="1110"/>
        <v>-2.1764032073310423E-2</v>
      </c>
      <c r="W827" s="299">
        <f t="shared" si="1110"/>
        <v>-5.2316076294277931E-2</v>
      </c>
      <c r="X827" s="299">
        <f t="shared" si="1110"/>
        <v>1.8259935553168637E-2</v>
      </c>
      <c r="Y827" s="299">
        <f t="shared" si="1110"/>
        <v>6.6459627329192542E-2</v>
      </c>
      <c r="Z827" s="116">
        <f t="shared" si="1110"/>
        <v>9.924854671770878E-4</v>
      </c>
      <c r="AA827" s="299">
        <f t="shared" si="1110"/>
        <v>-4.8359240069084632E-2</v>
      </c>
      <c r="AB827" s="299">
        <f t="shared" si="1110"/>
        <v>-1.680672268907563E-2</v>
      </c>
      <c r="AC827" s="299">
        <f t="shared" si="1110"/>
        <v>7.5112669003505259E-3</v>
      </c>
      <c r="AD827" s="299">
        <f t="shared" si="1110"/>
        <v>0.12679425837320574</v>
      </c>
      <c r="AE827" s="116">
        <f t="shared" si="1110"/>
        <v>1.4175940646528882E-2</v>
      </c>
      <c r="AF827" s="299">
        <f t="shared" si="1110"/>
        <v>-0.10673575129533679</v>
      </c>
      <c r="AG827" s="299">
        <f t="shared" si="1110"/>
        <v>4.3404255319148939E-2</v>
      </c>
      <c r="AH827" s="299">
        <f t="shared" si="1110"/>
        <v>-3.6641221374045803E-2</v>
      </c>
      <c r="AI827" s="299">
        <f t="shared" si="1110"/>
        <v>9.3023255813953487E-3</v>
      </c>
      <c r="AJ827" s="116">
        <f t="shared" si="1110"/>
        <v>-8.1428571428571427E-3</v>
      </c>
      <c r="AK827" s="299">
        <f t="shared" si="1110"/>
        <v>-5.1470588235294115E-2</v>
      </c>
      <c r="AL827" s="299">
        <f t="shared" si="1110"/>
        <v>-1.2448132780082987E-2</v>
      </c>
      <c r="AM827" s="299">
        <f t="shared" si="1110"/>
        <v>-7.1210579857578843E-3</v>
      </c>
      <c r="AN827" s="299">
        <f t="shared" si="1110"/>
        <v>-0.15264026402640263</v>
      </c>
      <c r="AO827" s="116">
        <f t="shared" si="1110"/>
        <v>-4.779411764705882E-2</v>
      </c>
      <c r="AP827" s="299">
        <f t="shared" si="1110"/>
        <v>1.8506700701978303E-2</v>
      </c>
      <c r="AQ827" s="299">
        <f t="shared" si="1110"/>
        <v>7.3664825046040518E-3</v>
      </c>
      <c r="AR827" s="299">
        <f t="shared" si="1110"/>
        <v>-5.4293628808864264E-2</v>
      </c>
      <c r="AS827" s="299">
        <f t="shared" si="1110"/>
        <v>-6.3157894736842107E-2</v>
      </c>
      <c r="AT827" s="116">
        <f t="shared" si="1110"/>
        <v>-2.4586499776486366E-2</v>
      </c>
      <c r="AU827" s="794">
        <f t="shared" si="1110"/>
        <v>8.2262210796915161E-3</v>
      </c>
      <c r="AV827" s="958">
        <f>Drivers!AV106</f>
        <v>0.02</v>
      </c>
      <c r="AW827" s="958">
        <f>Drivers!AW106</f>
        <v>0.02</v>
      </c>
      <c r="AX827" s="958">
        <f>Drivers!AX106</f>
        <v>0.02</v>
      </c>
      <c r="AY827" s="116">
        <f>AY814/AY811</f>
        <v>1.6923455523476669E-2</v>
      </c>
      <c r="AZ827" s="958">
        <f>Drivers!AZ106</f>
        <v>0.02</v>
      </c>
      <c r="BA827" s="958">
        <f>Drivers!BA106</f>
        <v>0.02</v>
      </c>
      <c r="BB827" s="958">
        <f>Drivers!BB106</f>
        <v>0.02</v>
      </c>
      <c r="BC827" s="958">
        <f>Drivers!BC106</f>
        <v>0.02</v>
      </c>
      <c r="BD827" s="116">
        <f ca="1">BD814/BD811</f>
        <v>1.9999999999999997E-2</v>
      </c>
      <c r="BE827" s="958">
        <f>Drivers!BE106</f>
        <v>1.9999999999999997E-2</v>
      </c>
      <c r="BF827" s="958">
        <f>Drivers!BF106</f>
        <v>1.9999999999999997E-2</v>
      </c>
      <c r="BG827" s="958">
        <f>Drivers!BG106</f>
        <v>1.9999999999999997E-2</v>
      </c>
      <c r="BH827" s="94"/>
    </row>
    <row r="828" spans="1:60" s="48" customFormat="1" x14ac:dyDescent="0.35">
      <c r="A828" s="747"/>
      <c r="B828" s="253"/>
      <c r="C828" s="876"/>
      <c r="D828" s="876"/>
      <c r="E828" s="876"/>
      <c r="F828" s="876"/>
      <c r="G828" s="877"/>
      <c r="H828" s="877"/>
      <c r="I828" s="877"/>
      <c r="J828" s="877"/>
      <c r="K828" s="876"/>
      <c r="L828" s="877"/>
      <c r="M828" s="877"/>
      <c r="N828" s="877"/>
      <c r="O828" s="877"/>
      <c r="P828" s="876"/>
      <c r="Q828" s="877"/>
      <c r="R828" s="877"/>
      <c r="S828" s="877"/>
      <c r="T828" s="877"/>
      <c r="U828" s="876"/>
      <c r="V828" s="877"/>
      <c r="W828" s="877"/>
      <c r="X828" s="877"/>
      <c r="Y828" s="877"/>
      <c r="Z828" s="876"/>
      <c r="AA828" s="877"/>
      <c r="AB828" s="877"/>
      <c r="AC828" s="877"/>
      <c r="AD828" s="877"/>
      <c r="AE828" s="876"/>
      <c r="AF828" s="877"/>
      <c r="AG828" s="877"/>
      <c r="AH828" s="877"/>
      <c r="AI828" s="877"/>
      <c r="AJ828" s="876"/>
      <c r="AK828" s="877"/>
      <c r="AL828" s="877"/>
      <c r="AM828" s="877"/>
      <c r="AN828" s="877"/>
      <c r="AO828" s="876"/>
      <c r="AP828" s="877"/>
      <c r="AQ828" s="877"/>
      <c r="AR828" s="877"/>
      <c r="AS828" s="877"/>
      <c r="AT828" s="876"/>
      <c r="AU828" s="878"/>
      <c r="AV828" s="877"/>
      <c r="AW828" s="877"/>
      <c r="AX828" s="877"/>
      <c r="AY828" s="876"/>
      <c r="AZ828" s="877"/>
      <c r="BA828" s="877"/>
      <c r="BB828" s="877"/>
      <c r="BC828" s="877"/>
      <c r="BD828" s="876"/>
      <c r="BE828" s="876"/>
      <c r="BF828" s="876"/>
      <c r="BG828" s="876"/>
      <c r="BH828" s="749"/>
    </row>
    <row r="829" spans="1:60" s="55" customFormat="1" x14ac:dyDescent="0.35">
      <c r="A829" s="95" t="s">
        <v>85</v>
      </c>
      <c r="B829" s="690"/>
      <c r="C829" s="17">
        <f t="shared" ref="C829:AQ829" si="1111">C$819/C834</f>
        <v>4.5581727337615989</v>
      </c>
      <c r="D829" s="17">
        <f t="shared" si="1111"/>
        <v>5.7236934286114609</v>
      </c>
      <c r="E829" s="17">
        <f t="shared" si="1111"/>
        <v>6.0451658433309809</v>
      </c>
      <c r="F829" s="17">
        <f t="shared" si="1111"/>
        <v>6.4043810347312293</v>
      </c>
      <c r="G829" s="130">
        <f t="shared" si="1111"/>
        <v>1.6336275502821589</v>
      </c>
      <c r="H829" s="130">
        <f t="shared" si="1111"/>
        <v>1.7393199651264166</v>
      </c>
      <c r="I829" s="130">
        <f t="shared" si="1111"/>
        <v>1.8093556928508385</v>
      </c>
      <c r="J829" s="130">
        <f t="shared" si="1111"/>
        <v>1.6499626028421841</v>
      </c>
      <c r="K829" s="17">
        <f t="shared" si="1111"/>
        <v>6.8323801143862735</v>
      </c>
      <c r="L829" s="130">
        <f t="shared" si="1111"/>
        <v>1.8246409674981103</v>
      </c>
      <c r="M829" s="130">
        <f t="shared" si="1111"/>
        <v>1.9432515337423313</v>
      </c>
      <c r="N829" s="130">
        <f t="shared" si="1111"/>
        <v>2.0192158685882537</v>
      </c>
      <c r="O829" s="130">
        <f t="shared" si="1111"/>
        <v>1.8482520771280766</v>
      </c>
      <c r="P829" s="17">
        <f t="shared" si="1111"/>
        <v>7.6340110905730123</v>
      </c>
      <c r="Q829" s="130">
        <f t="shared" si="1111"/>
        <v>1.8846274756365922</v>
      </c>
      <c r="R829" s="130">
        <f t="shared" si="1111"/>
        <v>2.0592428322509111</v>
      </c>
      <c r="S829" s="130">
        <f t="shared" si="1111"/>
        <v>2.088301643570738</v>
      </c>
      <c r="T829" s="130">
        <f t="shared" si="1111"/>
        <v>1.6891781936533767</v>
      </c>
      <c r="U829" s="17">
        <f t="shared" si="1111"/>
        <v>7.7253836317135551</v>
      </c>
      <c r="V829" s="130">
        <f t="shared" si="1111"/>
        <v>2.099110964767863</v>
      </c>
      <c r="W829" s="130">
        <f t="shared" si="1111"/>
        <v>2.1272038227055527</v>
      </c>
      <c r="X829" s="130">
        <f t="shared" si="1111"/>
        <v>2.1988749172733288</v>
      </c>
      <c r="Y829" s="130">
        <f t="shared" si="1111"/>
        <v>1.9243585471509494</v>
      </c>
      <c r="Z829" s="17">
        <f t="shared" si="1111"/>
        <v>8.3512485530014882</v>
      </c>
      <c r="AA829" s="130">
        <f t="shared" si="1111"/>
        <v>2.2120046814913894</v>
      </c>
      <c r="AB829" s="130">
        <f t="shared" si="1111"/>
        <v>2.6467145962213676</v>
      </c>
      <c r="AC829" s="130">
        <f t="shared" si="1111"/>
        <v>2.3912315930388219</v>
      </c>
      <c r="AD829" s="130">
        <f t="shared" si="1111"/>
        <v>0.87678122380553225</v>
      </c>
      <c r="AE829" s="17">
        <f t="shared" si="1111"/>
        <v>8.130543933054394</v>
      </c>
      <c r="AF829" s="130">
        <f t="shared" si="1111"/>
        <v>1.0097282791009727</v>
      </c>
      <c r="AG829" s="130">
        <f t="shared" si="1111"/>
        <v>3.140006763611769</v>
      </c>
      <c r="AH829" s="130">
        <f t="shared" si="1111"/>
        <v>2.6349043715846991</v>
      </c>
      <c r="AI829" s="130">
        <f t="shared" si="1111"/>
        <v>2.319614258653349</v>
      </c>
      <c r="AJ829" s="17">
        <f t="shared" si="1111"/>
        <v>9.0892098555649952</v>
      </c>
      <c r="AK829" s="130">
        <f t="shared" si="1111"/>
        <v>1.5428571428571429</v>
      </c>
      <c r="AL829" s="130">
        <f t="shared" si="1111"/>
        <v>1.9508395360913968</v>
      </c>
      <c r="AM829" s="130">
        <f t="shared" si="1111"/>
        <v>2.7458803122289681</v>
      </c>
      <c r="AN829" s="130">
        <f t="shared" si="1111"/>
        <v>1.68141592920354</v>
      </c>
      <c r="AO829" s="17">
        <f t="shared" si="1111"/>
        <v>7.9202772963604851</v>
      </c>
      <c r="AP829" s="130">
        <f t="shared" si="1111"/>
        <v>2.2399445214979199</v>
      </c>
      <c r="AQ829" s="130">
        <f t="shared" si="1111"/>
        <v>2.2357019064124781</v>
      </c>
      <c r="AR829" s="130">
        <f>AR$819/AR834</f>
        <v>2.4454828660436139</v>
      </c>
      <c r="AS829" s="130">
        <f>AS$819/AS834</f>
        <v>2.4002073613271122</v>
      </c>
      <c r="AT829" s="17">
        <f>AT$819/AT834</f>
        <v>9.3213296398891963</v>
      </c>
      <c r="AU829" s="871">
        <f t="shared" ref="AU829" si="1112">AU$819/AU834</f>
        <v>2.7975882859603791</v>
      </c>
      <c r="AV829" s="245">
        <f t="shared" ref="AV829:AY829" ca="1" si="1113">AV819/AV834</f>
        <v>2.1490933257127929</v>
      </c>
      <c r="AW829" s="245">
        <f t="shared" ca="1" si="1113"/>
        <v>2.6247223798302168</v>
      </c>
      <c r="AX829" s="245">
        <f t="shared" ca="1" si="1113"/>
        <v>2.7788158688461104</v>
      </c>
      <c r="AY829" s="117">
        <f t="shared" ca="1" si="1113"/>
        <v>10.349282783725529</v>
      </c>
      <c r="AZ829" s="245">
        <f t="shared" ref="AZ829:BG829" ca="1" si="1114">AZ819/AZ834</f>
        <v>2.9590585285724038</v>
      </c>
      <c r="BA829" s="245">
        <f t="shared" ca="1" si="1114"/>
        <v>2.576168102125334</v>
      </c>
      <c r="BB829" s="245">
        <f t="shared" ca="1" si="1114"/>
        <v>2.7814472769030734</v>
      </c>
      <c r="BC829" s="245">
        <f t="shared" ca="1" si="1114"/>
        <v>3.1076189089503354</v>
      </c>
      <c r="BD829" s="117">
        <f t="shared" ca="1" si="1114"/>
        <v>11.422945068080727</v>
      </c>
      <c r="BE829" s="117">
        <f t="shared" ca="1" si="1114"/>
        <v>12.821871003088788</v>
      </c>
      <c r="BF829" s="117">
        <f t="shared" ca="1" si="1114"/>
        <v>14.277394667429919</v>
      </c>
      <c r="BG829" s="117">
        <f t="shared" ca="1" si="1114"/>
        <v>15.86847012151393</v>
      </c>
      <c r="BH829" s="130"/>
    </row>
    <row r="830" spans="1:60" s="55" customFormat="1" x14ac:dyDescent="0.35">
      <c r="A830" s="95" t="s">
        <v>86</v>
      </c>
      <c r="B830" s="690"/>
      <c r="C830" s="17">
        <f t="shared" ref="C830:AH830" si="1115">C821/C835</f>
        <v>4.5181831045705385</v>
      </c>
      <c r="D830" s="17">
        <f t="shared" si="1115"/>
        <v>5.6305995864920746</v>
      </c>
      <c r="E830" s="17">
        <f t="shared" si="1115"/>
        <v>5.9568845618915161</v>
      </c>
      <c r="F830" s="17">
        <f t="shared" si="1115"/>
        <v>6.3187828807052471</v>
      </c>
      <c r="G830" s="130">
        <f t="shared" si="1115"/>
        <v>1.6080330437259649</v>
      </c>
      <c r="H830" s="130">
        <f t="shared" si="1115"/>
        <v>1.7122014018023173</v>
      </c>
      <c r="I830" s="130">
        <f t="shared" si="1115"/>
        <v>1.7779705117085864</v>
      </c>
      <c r="J830" s="130">
        <f t="shared" si="1115"/>
        <v>1.6189637457801263</v>
      </c>
      <c r="K830" s="17">
        <f t="shared" si="1115"/>
        <v>6.7171280276816603</v>
      </c>
      <c r="L830" s="130">
        <f t="shared" si="1115"/>
        <v>1.7894736842105263</v>
      </c>
      <c r="M830" s="130">
        <f t="shared" si="1115"/>
        <v>1.9064098705988564</v>
      </c>
      <c r="N830" s="130">
        <f t="shared" si="1115"/>
        <v>1.9805441556467549</v>
      </c>
      <c r="O830" s="130">
        <f t="shared" si="1115"/>
        <v>1.8113381471808265</v>
      </c>
      <c r="P830" s="17">
        <f t="shared" si="1115"/>
        <v>7.4864048338368576</v>
      </c>
      <c r="Q830" s="130">
        <f t="shared" si="1115"/>
        <v>1.8468884781269252</v>
      </c>
      <c r="R830" s="130">
        <f t="shared" si="1115"/>
        <v>2.0217729393468118</v>
      </c>
      <c r="S830" s="130">
        <f t="shared" si="1115"/>
        <v>2.0532319391634979</v>
      </c>
      <c r="T830" s="130">
        <f t="shared" si="1115"/>
        <v>1.6597377678285898</v>
      </c>
      <c r="U830" s="17">
        <f t="shared" si="1115"/>
        <v>7.5847457627118642</v>
      </c>
      <c r="V830" s="130">
        <f t="shared" si="1115"/>
        <v>2.0521487204249156</v>
      </c>
      <c r="W830" s="130">
        <f t="shared" si="1115"/>
        <v>2.0792398131744241</v>
      </c>
      <c r="X830" s="130">
        <f t="shared" si="1115"/>
        <v>2.1477052359405304</v>
      </c>
      <c r="Y830" s="130">
        <f t="shared" si="1115"/>
        <v>1.881720430107527</v>
      </c>
      <c r="Z830" s="17">
        <f t="shared" si="1115"/>
        <v>8.1622757394536922</v>
      </c>
      <c r="AA830" s="130">
        <f t="shared" si="1115"/>
        <v>2.1617647058823528</v>
      </c>
      <c r="AB830" s="130">
        <f t="shared" si="1115"/>
        <v>2.5832245430809402</v>
      </c>
      <c r="AC830" s="130">
        <f t="shared" si="1115"/>
        <v>2.3322996572547736</v>
      </c>
      <c r="AD830" s="130">
        <f t="shared" si="1115"/>
        <v>0.8526247147049234</v>
      </c>
      <c r="AE830" s="17">
        <f t="shared" si="1115"/>
        <v>7.928839562591806</v>
      </c>
      <c r="AF830" s="130">
        <f t="shared" si="1115"/>
        <v>0.98253631467275981</v>
      </c>
      <c r="AG830" s="130">
        <f t="shared" si="1115"/>
        <v>3.0734856007944389</v>
      </c>
      <c r="AH830" s="130">
        <f t="shared" si="1115"/>
        <v>2.5785427807486632</v>
      </c>
      <c r="AI830" s="130">
        <f t="shared" ref="AI830:AY830" si="1116">AI821/AI835</f>
        <v>2.2730340870739116</v>
      </c>
      <c r="AJ830" s="17">
        <f t="shared" si="1116"/>
        <v>8.8853820598006639</v>
      </c>
      <c r="AK830" s="130">
        <f t="shared" si="1116"/>
        <v>1.514018691588785</v>
      </c>
      <c r="AL830" s="130">
        <f t="shared" si="1116"/>
        <v>1.9228800545981914</v>
      </c>
      <c r="AM830" s="130">
        <f t="shared" si="1116"/>
        <v>2.7152658662092626</v>
      </c>
      <c r="AN830" s="130">
        <f t="shared" si="1116"/>
        <v>1.6629483439162518</v>
      </c>
      <c r="AO830" s="17">
        <f t="shared" si="1116"/>
        <v>7.8106306614253969</v>
      </c>
      <c r="AP830" s="130">
        <f t="shared" si="1116"/>
        <v>2.2218400687876181</v>
      </c>
      <c r="AQ830" s="130">
        <f t="shared" si="1116"/>
        <v>2.2210743801652892</v>
      </c>
      <c r="AR830" s="130">
        <f>AR821/AR835</f>
        <v>2.4261675824175826</v>
      </c>
      <c r="AS830" s="130">
        <f>AS821/AS835</f>
        <v>2.3784246575342465</v>
      </c>
      <c r="AT830" s="17">
        <f>AT821/AT835</f>
        <v>9.2476812092064584</v>
      </c>
      <c r="AU830" s="871">
        <f t="shared" ref="AU830" si="1117">AU821/AU835</f>
        <v>2.7699130138154531</v>
      </c>
      <c r="AV830" s="245">
        <f t="shared" si="1116"/>
        <v>2.1277394504781895</v>
      </c>
      <c r="AW830" s="245">
        <f t="shared" si="1116"/>
        <v>2.5985268858467312</v>
      </c>
      <c r="AX830" s="245">
        <f t="shared" si="1116"/>
        <v>2.7509589343274921</v>
      </c>
      <c r="AY830" s="117">
        <f t="shared" si="1116"/>
        <v>10.246222457541528</v>
      </c>
      <c r="AZ830" s="245">
        <f t="shared" ref="AZ830:BG830" ca="1" si="1118">AZ821/AZ835</f>
        <v>2.9292738614347562</v>
      </c>
      <c r="BA830" s="245">
        <f t="shared" ca="1" si="1118"/>
        <v>2.5501313838264879</v>
      </c>
      <c r="BB830" s="245">
        <f t="shared" ca="1" si="1118"/>
        <v>2.7532203892406488</v>
      </c>
      <c r="BC830" s="245">
        <f t="shared" ca="1" si="1118"/>
        <v>3.0759518769163336</v>
      </c>
      <c r="BD830" s="117">
        <f t="shared" ca="1" si="1118"/>
        <v>11.307259474180238</v>
      </c>
      <c r="BE830" s="117">
        <f t="shared" ca="1" si="1118"/>
        <v>12.689222605322245</v>
      </c>
      <c r="BF830" s="117">
        <f t="shared" ca="1" si="1118"/>
        <v>14.127609011486499</v>
      </c>
      <c r="BG830" s="117">
        <f t="shared" ca="1" si="1118"/>
        <v>15.699836663334432</v>
      </c>
      <c r="BH830" s="130"/>
    </row>
    <row r="831" spans="1:60" s="55" customFormat="1" x14ac:dyDescent="0.35">
      <c r="A831" s="95" t="s">
        <v>87</v>
      </c>
      <c r="B831" s="690"/>
      <c r="C831" s="17">
        <f t="shared" ref="C831:AG831" si="1119">C824/C836</f>
        <v>4.5181831045705385</v>
      </c>
      <c r="D831" s="17">
        <f t="shared" si="1119"/>
        <v>5.6305995864920746</v>
      </c>
      <c r="E831" s="17">
        <f t="shared" si="1119"/>
        <v>5.9568845618915161</v>
      </c>
      <c r="F831" s="17">
        <f t="shared" si="1119"/>
        <v>6.3187828807052471</v>
      </c>
      <c r="G831" s="130">
        <f t="shared" si="1119"/>
        <v>1.6080330437259649</v>
      </c>
      <c r="H831" s="130">
        <f t="shared" si="1119"/>
        <v>1.7122014018023173</v>
      </c>
      <c r="I831" s="130">
        <f t="shared" si="1119"/>
        <v>1.7779705117085864</v>
      </c>
      <c r="J831" s="130">
        <f t="shared" si="1119"/>
        <v>1.6189637457801263</v>
      </c>
      <c r="K831" s="17">
        <f t="shared" si="1119"/>
        <v>6.7171280276816603</v>
      </c>
      <c r="L831" s="130">
        <f t="shared" si="1119"/>
        <v>1.7894736842105263</v>
      </c>
      <c r="M831" s="130">
        <f t="shared" si="1119"/>
        <v>1.9064098705988564</v>
      </c>
      <c r="N831" s="130">
        <f t="shared" si="1119"/>
        <v>1.9805441556467549</v>
      </c>
      <c r="O831" s="130">
        <f t="shared" si="1119"/>
        <v>1.8113381471808265</v>
      </c>
      <c r="P831" s="17">
        <f t="shared" si="1119"/>
        <v>7.4864048338368576</v>
      </c>
      <c r="Q831" s="130">
        <f t="shared" si="1119"/>
        <v>1.8468884781269252</v>
      </c>
      <c r="R831" s="130">
        <f t="shared" si="1119"/>
        <v>2.0217729393468118</v>
      </c>
      <c r="S831" s="130">
        <f t="shared" si="1119"/>
        <v>2.0532319391634979</v>
      </c>
      <c r="T831" s="130">
        <f t="shared" si="1119"/>
        <v>1.6597377678285898</v>
      </c>
      <c r="U831" s="17">
        <f t="shared" si="1119"/>
        <v>7.5847457627118642</v>
      </c>
      <c r="V831" s="130">
        <f t="shared" si="1119"/>
        <v>2.0521487204249156</v>
      </c>
      <c r="W831" s="130">
        <f t="shared" si="1119"/>
        <v>2.0792398131744241</v>
      </c>
      <c r="X831" s="130">
        <f t="shared" si="1119"/>
        <v>2.1477052359405304</v>
      </c>
      <c r="Y831" s="130">
        <f t="shared" si="1119"/>
        <v>1.881720430107527</v>
      </c>
      <c r="Z831" s="17">
        <f t="shared" si="1119"/>
        <v>8.1622757394536922</v>
      </c>
      <c r="AA831" s="130">
        <f t="shared" si="1119"/>
        <v>2.1617647058823528</v>
      </c>
      <c r="AB831" s="130">
        <f t="shared" si="1119"/>
        <v>2.5832245430809402</v>
      </c>
      <c r="AC831" s="130">
        <f t="shared" si="1119"/>
        <v>2.3322996572547736</v>
      </c>
      <c r="AD831" s="130">
        <f t="shared" si="1119"/>
        <v>2.0948809911966091</v>
      </c>
      <c r="AE831" s="17">
        <f t="shared" si="1119"/>
        <v>9.1725150971111464</v>
      </c>
      <c r="AF831" s="130">
        <f t="shared" si="1119"/>
        <v>2.4955116696588866</v>
      </c>
      <c r="AG831" s="130">
        <f t="shared" si="1119"/>
        <v>3.0734856007944389</v>
      </c>
      <c r="AH831" s="130">
        <f>AH824/AH836</f>
        <v>2.5785427807486632</v>
      </c>
      <c r="AI831" s="130">
        <f t="shared" ref="AI831:AY831" si="1120">AI824/AI836</f>
        <v>2.3050961862976713</v>
      </c>
      <c r="AJ831" s="17">
        <f t="shared" si="1120"/>
        <v>10.456810631229235</v>
      </c>
      <c r="AK831" s="130">
        <f t="shared" si="1120"/>
        <v>2.2225998300764656</v>
      </c>
      <c r="AL831" s="130">
        <f t="shared" si="1120"/>
        <v>2.1259170789967583</v>
      </c>
      <c r="AM831" s="130">
        <f t="shared" si="1120"/>
        <v>2.5797598627787308</v>
      </c>
      <c r="AN831" s="130">
        <f t="shared" si="1120"/>
        <v>1.9478290715634115</v>
      </c>
      <c r="AO831" s="17">
        <f t="shared" si="1120"/>
        <v>8.8754059135190566</v>
      </c>
      <c r="AP831" s="130">
        <f t="shared" si="1120"/>
        <v>2.1564918314703352</v>
      </c>
      <c r="AQ831" s="130">
        <f t="shared" si="1120"/>
        <v>1.7768595041322315</v>
      </c>
      <c r="AR831" s="130">
        <f>AR824/AR836</f>
        <v>2.4261675824175826</v>
      </c>
      <c r="AS831" s="130">
        <f>AS824/AS836</f>
        <v>2.3784246575342465</v>
      </c>
      <c r="AT831" s="17">
        <f>AT824/AT836</f>
        <v>8.7392648574373055</v>
      </c>
      <c r="AU831" s="871">
        <f t="shared" ref="AU831" si="1121">AU824/AU836</f>
        <v>2.7699130138154531</v>
      </c>
      <c r="AV831" s="245">
        <f t="shared" si="1120"/>
        <v>2.1277394504781895</v>
      </c>
      <c r="AW831" s="245">
        <f t="shared" si="1120"/>
        <v>2.5985268858467312</v>
      </c>
      <c r="AX831" s="245">
        <f t="shared" si="1120"/>
        <v>2.7509589343274921</v>
      </c>
      <c r="AY831" s="117">
        <f t="shared" si="1120"/>
        <v>10.246222457541528</v>
      </c>
      <c r="AZ831" s="245">
        <f t="shared" ref="AZ831:BG831" ca="1" si="1122">AZ824/AZ836</f>
        <v>2.9292738614347562</v>
      </c>
      <c r="BA831" s="245">
        <f t="shared" ca="1" si="1122"/>
        <v>2.5501313838264879</v>
      </c>
      <c r="BB831" s="245">
        <f t="shared" ca="1" si="1122"/>
        <v>2.7532203892406488</v>
      </c>
      <c r="BC831" s="245">
        <f t="shared" ca="1" si="1122"/>
        <v>3.0759518769163336</v>
      </c>
      <c r="BD831" s="117">
        <f t="shared" ca="1" si="1122"/>
        <v>11.307259474180238</v>
      </c>
      <c r="BE831" s="117">
        <f t="shared" ca="1" si="1122"/>
        <v>12.689222605322245</v>
      </c>
      <c r="BF831" s="117">
        <f t="shared" ca="1" si="1122"/>
        <v>14.127609011486499</v>
      </c>
      <c r="BG831" s="117">
        <f t="shared" ca="1" si="1122"/>
        <v>15.699836663334432</v>
      </c>
      <c r="BH831" s="130"/>
    </row>
    <row r="832" spans="1:60" s="171" customFormat="1" x14ac:dyDescent="0.35">
      <c r="A832" s="167" t="str">
        <f>"Consensus Estimates - "&amp;$A$831</f>
        <v>Consensus Estimates - Adjusted Earnings Per Share - WAD</v>
      </c>
      <c r="B832" s="240"/>
      <c r="C832" s="168"/>
      <c r="D832" s="168"/>
      <c r="E832" s="168"/>
      <c r="F832" s="168"/>
      <c r="G832" s="169"/>
      <c r="H832" s="169"/>
      <c r="I832" s="169"/>
      <c r="J832" s="169"/>
      <c r="K832" s="168"/>
      <c r="L832" s="169"/>
      <c r="M832" s="169"/>
      <c r="N832" s="169"/>
      <c r="O832" s="169"/>
      <c r="P832" s="168"/>
      <c r="Q832" s="169"/>
      <c r="R832" s="169"/>
      <c r="S832" s="169"/>
      <c r="T832" s="169"/>
      <c r="U832" s="168"/>
      <c r="V832" s="169"/>
      <c r="W832" s="170"/>
      <c r="X832" s="170"/>
      <c r="Y832" s="169"/>
      <c r="Z832" s="168"/>
      <c r="AA832" s="169"/>
      <c r="AB832" s="170"/>
      <c r="AC832" s="170"/>
      <c r="AD832" s="169"/>
      <c r="AE832" s="168"/>
      <c r="AF832" s="169"/>
      <c r="AG832" s="170"/>
      <c r="AH832" s="169"/>
      <c r="AI832" s="169"/>
      <c r="AJ832" s="168"/>
      <c r="AK832" s="169"/>
      <c r="AL832" s="170"/>
      <c r="AM832" s="169"/>
      <c r="AN832" s="169"/>
      <c r="AO832" s="168"/>
      <c r="AP832" s="169"/>
      <c r="AQ832" s="170"/>
      <c r="AR832" s="169"/>
      <c r="AS832" s="169"/>
      <c r="AT832" s="168"/>
      <c r="AU832" s="814"/>
      <c r="AV832" s="169" t="str">
        <f t="shared" ref="AV832:AY832" ca="1" si="1123">IFERROR(VLOOKUP($A832,tb_ConsensusEstimate,MATCH(AV$5,OFFSET(tb_ConsensusEstimate,0,0,1,COLUMNS(tb_ConsensusEstimate)),0),FALSE),"-")</f>
        <v>N/A</v>
      </c>
      <c r="AW832" s="169" t="str">
        <f t="shared" ca="1" si="1123"/>
        <v>N/A</v>
      </c>
      <c r="AX832" s="169" t="str">
        <f t="shared" ca="1" si="1123"/>
        <v>N/A</v>
      </c>
      <c r="AY832" s="118" t="str">
        <f t="shared" ca="1" si="1123"/>
        <v>N/A</v>
      </c>
      <c r="AZ832" s="169" t="str">
        <f ca="1">IFERROR(VLOOKUP($A832,tb_ConsensusEstimate,MATCH(AZ$5,OFFSET(tb_ConsensusEstimate,0,0,1,COLUMNS(tb_ConsensusEstimate)),0),FALSE),"-")</f>
        <v>N/A</v>
      </c>
      <c r="BA832" s="169" t="str">
        <f ca="1">IFERROR(VLOOKUP($A832,tb_ConsensusEstimate,MATCH(BA$5,OFFSET(tb_ConsensusEstimate,0,0,1,COLUMNS(tb_ConsensusEstimate)),0),FALSE),"-")</f>
        <v>N/A</v>
      </c>
      <c r="BB832" s="169" t="str">
        <f ca="1">IFERROR(VLOOKUP($A832,tb_ConsensusEstimate,MATCH(BB$5,OFFSET(tb_ConsensusEstimate,0,0,1,COLUMNS(tb_ConsensusEstimate)),0),FALSE),"-")</f>
        <v>N/A</v>
      </c>
      <c r="BC832" s="169" t="str">
        <f ca="1">IFERROR(VLOOKUP($A832,tb_ConsensusEstimate,MATCH(BC$5,OFFSET(tb_ConsensusEstimate,0,0,1,COLUMNS(tb_ConsensusEstimate)),0),FALSE),"-")</f>
        <v>N/A</v>
      </c>
      <c r="BD832" s="118" t="str">
        <f ca="1">IFERROR(VLOOKUP($A832,tb_ConsensusEstimate,MATCH(BD$5,OFFSET(tb_ConsensusEstimate,0,0,1,COLUMNS(tb_ConsensusEstimate)),0),FALSE),"-")</f>
        <v>N/A</v>
      </c>
      <c r="BE832" s="118" t="str">
        <f ca="1">IFERROR(VLOOKUP(A832,tb_ConsensusEstimate,MATCH(BE5,OFFSET(tb_ConsensusEstimate,0,0,1,COLUMNS(tb_ConsensusEstimate)),0),FALSE),"-")</f>
        <v>N/A</v>
      </c>
      <c r="BF832" s="118" t="str">
        <f ca="1">IFERROR(VLOOKUP(A832,tb_ConsensusEstimate,MATCH(BF5,OFFSET(tb_ConsensusEstimate,0,0,1,COLUMNS(tb_ConsensusEstimate)),0),FALSE),"-")</f>
        <v>N/A</v>
      </c>
      <c r="BG832" s="118" t="str">
        <f ca="1">IFERROR(VLOOKUP(A832,tb_ConsensusEstimate,MATCH(BG5,OFFSET(tb_ConsensusEstimate,0,0,1,COLUMNS(tb_ConsensusEstimate)),0),FALSE),"-")</f>
        <v>N/A</v>
      </c>
      <c r="BH832" s="169"/>
    </row>
    <row r="833" spans="1:60" s="48" customFormat="1" x14ac:dyDescent="0.35">
      <c r="A833" s="747"/>
      <c r="B833" s="253"/>
      <c r="C833" s="876"/>
      <c r="D833" s="876"/>
      <c r="E833" s="876"/>
      <c r="F833" s="876"/>
      <c r="G833" s="877"/>
      <c r="H833" s="877"/>
      <c r="I833" s="877"/>
      <c r="J833" s="877"/>
      <c r="K833" s="876"/>
      <c r="L833" s="877"/>
      <c r="M833" s="877"/>
      <c r="N833" s="877"/>
      <c r="O833" s="877"/>
      <c r="P833" s="876"/>
      <c r="Q833" s="877"/>
      <c r="R833" s="877"/>
      <c r="S833" s="877"/>
      <c r="T833" s="877"/>
      <c r="U833" s="876"/>
      <c r="V833" s="877"/>
      <c r="W833" s="877"/>
      <c r="X833" s="877"/>
      <c r="Y833" s="877"/>
      <c r="Z833" s="876"/>
      <c r="AA833" s="877"/>
      <c r="AB833" s="877"/>
      <c r="AC833" s="877"/>
      <c r="AD833" s="877"/>
      <c r="AE833" s="876"/>
      <c r="AF833" s="877"/>
      <c r="AG833" s="877"/>
      <c r="AH833" s="877"/>
      <c r="AI833" s="877"/>
      <c r="AJ833" s="876"/>
      <c r="AK833" s="877"/>
      <c r="AL833" s="877"/>
      <c r="AM833" s="877"/>
      <c r="AN833" s="877"/>
      <c r="AO833" s="876"/>
      <c r="AP833" s="877"/>
      <c r="AQ833" s="877"/>
      <c r="AR833" s="877"/>
      <c r="AS833" s="877"/>
      <c r="AT833" s="876"/>
      <c r="AU833" s="878"/>
      <c r="AV833" s="877"/>
      <c r="AW833" s="877"/>
      <c r="AX833" s="877"/>
      <c r="AY833" s="876"/>
      <c r="AZ833" s="877"/>
      <c r="BA833" s="877"/>
      <c r="BB833" s="877"/>
      <c r="BC833" s="877"/>
      <c r="BD833" s="876"/>
      <c r="BE833" s="876"/>
      <c r="BF833" s="876"/>
      <c r="BG833" s="876"/>
      <c r="BH833" s="749"/>
    </row>
    <row r="834" spans="1:60" s="254" customFormat="1" x14ac:dyDescent="0.35">
      <c r="A834" s="747" t="s">
        <v>88</v>
      </c>
      <c r="B834" s="253"/>
      <c r="C834" s="876">
        <v>700.5</v>
      </c>
      <c r="D834" s="876">
        <v>713.7</v>
      </c>
      <c r="E834" s="876">
        <v>708.5</v>
      </c>
      <c r="F834" s="876">
        <v>693.9</v>
      </c>
      <c r="G834" s="877">
        <v>691.1</v>
      </c>
      <c r="H834" s="877">
        <v>688.2</v>
      </c>
      <c r="I834" s="877">
        <v>679.8</v>
      </c>
      <c r="J834" s="877">
        <v>668.5</v>
      </c>
      <c r="K834" s="876">
        <v>681.9</v>
      </c>
      <c r="L834" s="877">
        <v>661.5</v>
      </c>
      <c r="M834" s="877">
        <v>652</v>
      </c>
      <c r="N834" s="877">
        <v>645.29999999999995</v>
      </c>
      <c r="O834" s="877">
        <v>637.9</v>
      </c>
      <c r="P834" s="876">
        <v>649.20000000000005</v>
      </c>
      <c r="Q834" s="877">
        <v>636.20000000000005</v>
      </c>
      <c r="R834" s="877">
        <v>631.29999999999995</v>
      </c>
      <c r="S834" s="877">
        <v>620.6</v>
      </c>
      <c r="T834" s="877">
        <v>614.5</v>
      </c>
      <c r="U834" s="876">
        <v>625.6</v>
      </c>
      <c r="V834" s="877">
        <v>607.4</v>
      </c>
      <c r="W834" s="877">
        <v>606.9</v>
      </c>
      <c r="X834" s="877">
        <v>604.4</v>
      </c>
      <c r="Y834" s="877">
        <v>600.20000000000005</v>
      </c>
      <c r="Z834" s="876">
        <v>604.70000000000005</v>
      </c>
      <c r="AA834" s="877">
        <v>598.1</v>
      </c>
      <c r="AB834" s="877">
        <v>598.1</v>
      </c>
      <c r="AC834" s="877">
        <v>597.6</v>
      </c>
      <c r="AD834" s="877">
        <v>596.5</v>
      </c>
      <c r="AE834" s="876">
        <v>597.5</v>
      </c>
      <c r="AF834" s="877">
        <v>596.20000000000005</v>
      </c>
      <c r="AG834" s="877">
        <v>591.4</v>
      </c>
      <c r="AH834" s="888">
        <v>585.6</v>
      </c>
      <c r="AI834" s="877">
        <v>580.70000000000005</v>
      </c>
      <c r="AJ834" s="876">
        <v>588.5</v>
      </c>
      <c r="AK834" s="877">
        <v>577.5</v>
      </c>
      <c r="AL834" s="877">
        <v>577.70000000000005</v>
      </c>
      <c r="AM834" s="888">
        <v>576.5</v>
      </c>
      <c r="AN834" s="877">
        <v>576.29999999999995</v>
      </c>
      <c r="AO834" s="876">
        <v>577</v>
      </c>
      <c r="AP834" s="877">
        <v>576.79999999999995</v>
      </c>
      <c r="AQ834" s="877">
        <v>577</v>
      </c>
      <c r="AR834" s="888">
        <v>577.79999999999995</v>
      </c>
      <c r="AS834" s="877">
        <v>578.70000000000005</v>
      </c>
      <c r="AT834" s="876">
        <v>577.6</v>
      </c>
      <c r="AU834" s="878">
        <v>580.5</v>
      </c>
      <c r="AV834" s="877">
        <f ca="1">AU834+AV850/(AV851/AV891)</f>
        <v>577.92268041237116</v>
      </c>
      <c r="AW834" s="877">
        <f ca="1">AV834+AW850/(AW851/AW891)</f>
        <v>575.34536082474233</v>
      </c>
      <c r="AX834" s="877">
        <f ca="1">AW834+AX850/(AX851/AX891)</f>
        <v>572.76804123711349</v>
      </c>
      <c r="AY834" s="876">
        <f ca="1">AVERAGE(AU834,AV834,AW834,AX834)</f>
        <v>576.63402061855675</v>
      </c>
      <c r="AZ834" s="877">
        <f ca="1">AX834+AZ850/(AZ851/AZ891)</f>
        <v>570.42062339673794</v>
      </c>
      <c r="BA834" s="877">
        <f ca="1">AZ834+BA850/(BA851/BA891)</f>
        <v>568.07320555636238</v>
      </c>
      <c r="BB834" s="877">
        <f ca="1">BA834+BB850/(BB851/BB891)</f>
        <v>565.72578771598683</v>
      </c>
      <c r="BC834" s="877">
        <f ca="1">BB834+BC850/(BC851/BC891)</f>
        <v>563.37836987561127</v>
      </c>
      <c r="BD834" s="876">
        <f ca="1">AVERAGE(AZ834,BA834,BB834,BC834)</f>
        <v>566.8994966361746</v>
      </c>
      <c r="BE834" s="876">
        <f ca="1">BC834+BE850/(BE851/BE891)</f>
        <v>554.83136132860272</v>
      </c>
      <c r="BF834" s="876">
        <f ca="1">BE834+BF850/(BF851/BF891)</f>
        <v>547.04926016128752</v>
      </c>
      <c r="BG834" s="876">
        <f ca="1">BF834+BG850/(BG851/BG891)</f>
        <v>539.98212235210019</v>
      </c>
      <c r="BH834" s="747"/>
    </row>
    <row r="835" spans="1:60" s="254" customFormat="1" x14ac:dyDescent="0.35">
      <c r="A835" s="747" t="s">
        <v>89</v>
      </c>
      <c r="B835" s="253"/>
      <c r="C835" s="876">
        <v>706.7</v>
      </c>
      <c r="D835" s="876">
        <v>725.5</v>
      </c>
      <c r="E835" s="876">
        <v>719</v>
      </c>
      <c r="F835" s="876">
        <v>703.3</v>
      </c>
      <c r="G835" s="877">
        <v>702.1</v>
      </c>
      <c r="H835" s="877">
        <v>699.1</v>
      </c>
      <c r="I835" s="877">
        <v>691.8</v>
      </c>
      <c r="J835" s="877">
        <v>681.3</v>
      </c>
      <c r="K835" s="876">
        <v>693.6</v>
      </c>
      <c r="L835" s="877">
        <v>674.5</v>
      </c>
      <c r="M835" s="877">
        <v>664.6</v>
      </c>
      <c r="N835" s="877">
        <v>657.9</v>
      </c>
      <c r="O835" s="877">
        <v>650.9</v>
      </c>
      <c r="P835" s="876">
        <v>662</v>
      </c>
      <c r="Q835" s="877">
        <v>649.20000000000005</v>
      </c>
      <c r="R835" s="877">
        <v>643</v>
      </c>
      <c r="S835" s="877">
        <v>631.20000000000005</v>
      </c>
      <c r="T835" s="877">
        <v>625.4</v>
      </c>
      <c r="U835" s="876">
        <v>637.20000000000005</v>
      </c>
      <c r="V835" s="877">
        <v>621.29999999999995</v>
      </c>
      <c r="W835" s="877">
        <v>620.9</v>
      </c>
      <c r="X835" s="877">
        <v>618.79999999999995</v>
      </c>
      <c r="Y835" s="877">
        <v>613.79999999999995</v>
      </c>
      <c r="Z835" s="876">
        <v>618.70000000000005</v>
      </c>
      <c r="AA835" s="877">
        <v>612</v>
      </c>
      <c r="AB835" s="877">
        <v>612.79999999999995</v>
      </c>
      <c r="AC835" s="877">
        <v>612.70000000000005</v>
      </c>
      <c r="AD835" s="877">
        <v>613.4</v>
      </c>
      <c r="AE835" s="876">
        <v>612.70000000000005</v>
      </c>
      <c r="AF835" s="877">
        <v>612.70000000000005</v>
      </c>
      <c r="AG835" s="877">
        <v>604.20000000000005</v>
      </c>
      <c r="AH835" s="888">
        <v>598.4</v>
      </c>
      <c r="AI835" s="877">
        <v>592.6</v>
      </c>
      <c r="AJ835" s="876">
        <v>602</v>
      </c>
      <c r="AK835" s="877">
        <v>588.5</v>
      </c>
      <c r="AL835" s="877">
        <v>586.1</v>
      </c>
      <c r="AM835" s="888">
        <v>583</v>
      </c>
      <c r="AN835" s="877">
        <v>582.70000000000005</v>
      </c>
      <c r="AO835" s="876">
        <v>585.1</v>
      </c>
      <c r="AP835" s="877">
        <v>581.5</v>
      </c>
      <c r="AQ835" s="877">
        <v>580.79999999999995</v>
      </c>
      <c r="AR835" s="888">
        <v>582.4</v>
      </c>
      <c r="AS835" s="877">
        <v>584</v>
      </c>
      <c r="AT835" s="876">
        <v>582.20000000000005</v>
      </c>
      <c r="AU835" s="878">
        <v>586.29999999999995</v>
      </c>
      <c r="AV835" s="877">
        <f ca="1">AU835+AV850/(AV851/AV891)</f>
        <v>583.72268041237112</v>
      </c>
      <c r="AW835" s="877">
        <f ca="1">AV835+AW850/(AW851/AW891)</f>
        <v>581.14536082474228</v>
      </c>
      <c r="AX835" s="877">
        <f ca="1">AW835+AX850/(AX851/AX891)</f>
        <v>578.56804123711345</v>
      </c>
      <c r="AY835" s="876">
        <f ca="1">AVERAGE(AU835,AV835,AW835,AX835)</f>
        <v>582.4340206185567</v>
      </c>
      <c r="AZ835" s="877">
        <f ca="1">AX835+AZ850/(AZ851/AZ891)</f>
        <v>576.22062339673789</v>
      </c>
      <c r="BA835" s="877">
        <f ca="1">AZ835+BA850/(BA851/BA891)</f>
        <v>573.87320555636234</v>
      </c>
      <c r="BB835" s="877">
        <f ca="1">BA835+BB850/(BB851/BB891)</f>
        <v>571.52578771598678</v>
      </c>
      <c r="BC835" s="877">
        <f ca="1">BB835+BC850/(BC851/BC891)</f>
        <v>569.17836987561122</v>
      </c>
      <c r="BD835" s="876">
        <f ca="1">AVERAGE(AZ835,BA835,BB835,BC835)</f>
        <v>572.69949663617456</v>
      </c>
      <c r="BE835" s="876">
        <f ca="1">BC835+BE850/(BE851/BE891)</f>
        <v>560.63136132860268</v>
      </c>
      <c r="BF835" s="876">
        <f ca="1">BE835+BF850/(BF851/BF891)</f>
        <v>552.84926016128748</v>
      </c>
      <c r="BG835" s="876">
        <f ca="1">BF835+BG850/(BG851/BG891)</f>
        <v>545.78212235210015</v>
      </c>
      <c r="BH835" s="747"/>
    </row>
    <row r="836" spans="1:60" s="254" customFormat="1" x14ac:dyDescent="0.35">
      <c r="A836" s="747" t="s">
        <v>90</v>
      </c>
      <c r="B836" s="253"/>
      <c r="C836" s="876">
        <f t="shared" ref="C836:AQ836" si="1124">+C835</f>
        <v>706.7</v>
      </c>
      <c r="D836" s="876">
        <f t="shared" si="1124"/>
        <v>725.5</v>
      </c>
      <c r="E836" s="876">
        <f t="shared" si="1124"/>
        <v>719</v>
      </c>
      <c r="F836" s="876">
        <f t="shared" si="1124"/>
        <v>703.3</v>
      </c>
      <c r="G836" s="877">
        <f t="shared" si="1124"/>
        <v>702.1</v>
      </c>
      <c r="H836" s="877">
        <f t="shared" si="1124"/>
        <v>699.1</v>
      </c>
      <c r="I836" s="877">
        <f t="shared" si="1124"/>
        <v>691.8</v>
      </c>
      <c r="J836" s="877">
        <f t="shared" si="1124"/>
        <v>681.3</v>
      </c>
      <c r="K836" s="876">
        <f t="shared" si="1124"/>
        <v>693.6</v>
      </c>
      <c r="L836" s="877">
        <f t="shared" si="1124"/>
        <v>674.5</v>
      </c>
      <c r="M836" s="877">
        <f t="shared" si="1124"/>
        <v>664.6</v>
      </c>
      <c r="N836" s="877">
        <f t="shared" si="1124"/>
        <v>657.9</v>
      </c>
      <c r="O836" s="877">
        <f t="shared" si="1124"/>
        <v>650.9</v>
      </c>
      <c r="P836" s="876">
        <f t="shared" si="1124"/>
        <v>662</v>
      </c>
      <c r="Q836" s="877">
        <f t="shared" si="1124"/>
        <v>649.20000000000005</v>
      </c>
      <c r="R836" s="877">
        <f t="shared" si="1124"/>
        <v>643</v>
      </c>
      <c r="S836" s="877">
        <f t="shared" si="1124"/>
        <v>631.20000000000005</v>
      </c>
      <c r="T836" s="877">
        <f t="shared" si="1124"/>
        <v>625.4</v>
      </c>
      <c r="U836" s="876">
        <f t="shared" si="1124"/>
        <v>637.20000000000005</v>
      </c>
      <c r="V836" s="877">
        <f t="shared" si="1124"/>
        <v>621.29999999999995</v>
      </c>
      <c r="W836" s="877">
        <f t="shared" si="1124"/>
        <v>620.9</v>
      </c>
      <c r="X836" s="877">
        <f t="shared" si="1124"/>
        <v>618.79999999999995</v>
      </c>
      <c r="Y836" s="877">
        <f t="shared" si="1124"/>
        <v>613.79999999999995</v>
      </c>
      <c r="Z836" s="876">
        <f t="shared" si="1124"/>
        <v>618.70000000000005</v>
      </c>
      <c r="AA836" s="877">
        <f t="shared" si="1124"/>
        <v>612</v>
      </c>
      <c r="AB836" s="877">
        <f t="shared" si="1124"/>
        <v>612.79999999999995</v>
      </c>
      <c r="AC836" s="877">
        <f t="shared" si="1124"/>
        <v>612.70000000000005</v>
      </c>
      <c r="AD836" s="877">
        <f t="shared" si="1124"/>
        <v>613.4</v>
      </c>
      <c r="AE836" s="876">
        <f t="shared" si="1124"/>
        <v>612.70000000000005</v>
      </c>
      <c r="AF836" s="877">
        <f t="shared" si="1124"/>
        <v>612.70000000000005</v>
      </c>
      <c r="AG836" s="877">
        <f t="shared" si="1124"/>
        <v>604.20000000000005</v>
      </c>
      <c r="AH836" s="888">
        <f t="shared" si="1124"/>
        <v>598.4</v>
      </c>
      <c r="AI836" s="877">
        <f t="shared" si="1124"/>
        <v>592.6</v>
      </c>
      <c r="AJ836" s="876">
        <f t="shared" si="1124"/>
        <v>602</v>
      </c>
      <c r="AK836" s="877">
        <f t="shared" si="1124"/>
        <v>588.5</v>
      </c>
      <c r="AL836" s="877">
        <f t="shared" si="1124"/>
        <v>586.1</v>
      </c>
      <c r="AM836" s="888">
        <f t="shared" si="1124"/>
        <v>583</v>
      </c>
      <c r="AN836" s="877">
        <f t="shared" si="1124"/>
        <v>582.70000000000005</v>
      </c>
      <c r="AO836" s="876">
        <f t="shared" si="1124"/>
        <v>585.1</v>
      </c>
      <c r="AP836" s="877">
        <f t="shared" si="1124"/>
        <v>581.5</v>
      </c>
      <c r="AQ836" s="877">
        <f t="shared" si="1124"/>
        <v>580.79999999999995</v>
      </c>
      <c r="AR836" s="888">
        <f>+AR835</f>
        <v>582.4</v>
      </c>
      <c r="AS836" s="877">
        <f>+AS835</f>
        <v>584</v>
      </c>
      <c r="AT836" s="876">
        <f>+AT835</f>
        <v>582.20000000000005</v>
      </c>
      <c r="AU836" s="878">
        <f t="shared" ref="AU836" si="1125">+AU835</f>
        <v>586.29999999999995</v>
      </c>
      <c r="AV836" s="877">
        <f ca="1">AU836+AV850/(AV851/AV891)</f>
        <v>583.72268041237112</v>
      </c>
      <c r="AW836" s="877">
        <f ca="1">AV836+AW850/(AW851/AW891)</f>
        <v>581.14536082474228</v>
      </c>
      <c r="AX836" s="877">
        <f ca="1">AW836+AX850/(AX851/AX891)</f>
        <v>578.56804123711345</v>
      </c>
      <c r="AY836" s="876">
        <f ca="1">AVERAGE(AU836,AV836,AW836,AX836)</f>
        <v>582.4340206185567</v>
      </c>
      <c r="AZ836" s="877">
        <f ca="1">AX836+AZ850/(AZ851/AZ891)</f>
        <v>576.22062339673789</v>
      </c>
      <c r="BA836" s="877">
        <f ca="1">AZ836+BA850/(BA851/BA891)</f>
        <v>573.87320555636234</v>
      </c>
      <c r="BB836" s="877">
        <f ca="1">BA836+BB850/(BB851/BB891)</f>
        <v>571.52578771598678</v>
      </c>
      <c r="BC836" s="877">
        <f ca="1">BB836+BC850/(BC851/BC891)</f>
        <v>569.17836987561122</v>
      </c>
      <c r="BD836" s="876">
        <f ca="1">AVERAGE(AZ836,BA836,BB836,BC836)</f>
        <v>572.69949663617456</v>
      </c>
      <c r="BE836" s="876">
        <f ca="1">BC836+BE850/(BE851/BE891)</f>
        <v>560.63136132860268</v>
      </c>
      <c r="BF836" s="876">
        <f ca="1">BE836+BF850/(BF851/BF891)</f>
        <v>552.84926016128748</v>
      </c>
      <c r="BG836" s="876">
        <f ca="1">BF836+BG850/(BG851/BG891)</f>
        <v>545.78212235210015</v>
      </c>
      <c r="BH836" s="747"/>
    </row>
    <row r="837" spans="1:60" s="48" customFormat="1" x14ac:dyDescent="0.35">
      <c r="A837" s="253"/>
      <c r="B837" s="253"/>
      <c r="C837" s="876"/>
      <c r="D837" s="876"/>
      <c r="E837" s="876"/>
      <c r="F837" s="876"/>
      <c r="G837" s="877"/>
      <c r="H837" s="877"/>
      <c r="I837" s="877"/>
      <c r="J837" s="877"/>
      <c r="K837" s="876"/>
      <c r="L837" s="877"/>
      <c r="M837" s="877"/>
      <c r="N837" s="877"/>
      <c r="O837" s="877"/>
      <c r="P837" s="876"/>
      <c r="Q837" s="877"/>
      <c r="R837" s="877"/>
      <c r="S837" s="877"/>
      <c r="T837" s="877"/>
      <c r="U837" s="876"/>
      <c r="V837" s="877"/>
      <c r="W837" s="877"/>
      <c r="X837" s="877"/>
      <c r="Y837" s="877"/>
      <c r="Z837" s="876"/>
      <c r="AA837" s="877"/>
      <c r="AB837" s="877"/>
      <c r="AC837" s="877"/>
      <c r="AD837" s="877"/>
      <c r="AE837" s="876"/>
      <c r="AF837" s="877"/>
      <c r="AG837" s="877"/>
      <c r="AH837" s="877"/>
      <c r="AI837" s="877"/>
      <c r="AJ837" s="876"/>
      <c r="AK837" s="877"/>
      <c r="AL837" s="877"/>
      <c r="AM837" s="877"/>
      <c r="AN837" s="877"/>
      <c r="AO837" s="876"/>
      <c r="AP837" s="877"/>
      <c r="AQ837" s="877"/>
      <c r="AR837" s="877"/>
      <c r="AS837" s="877"/>
      <c r="AT837" s="876"/>
      <c r="AU837" s="878"/>
      <c r="AV837" s="877"/>
      <c r="AW837" s="877"/>
      <c r="AX837" s="877"/>
      <c r="AY837" s="876"/>
      <c r="AZ837" s="877"/>
      <c r="BA837" s="877"/>
      <c r="BB837" s="877"/>
      <c r="BC837" s="877"/>
      <c r="BD837" s="876"/>
      <c r="BE837" s="876"/>
      <c r="BF837" s="876"/>
      <c r="BG837" s="876"/>
      <c r="BH837" s="749"/>
    </row>
    <row r="838" spans="1:60" s="21" customFormat="1" x14ac:dyDescent="0.35">
      <c r="A838" s="746" t="s">
        <v>91</v>
      </c>
      <c r="B838" s="746"/>
      <c r="C838" s="874"/>
      <c r="D838" s="874"/>
      <c r="E838" s="874"/>
      <c r="F838" s="874"/>
      <c r="G838" s="874"/>
      <c r="H838" s="874"/>
      <c r="I838" s="874"/>
      <c r="J838" s="874"/>
      <c r="K838" s="874"/>
      <c r="L838" s="874"/>
      <c r="M838" s="874"/>
      <c r="N838" s="874"/>
      <c r="O838" s="874"/>
      <c r="P838" s="874"/>
      <c r="Q838" s="874"/>
      <c r="R838" s="874"/>
      <c r="S838" s="874"/>
      <c r="T838" s="874"/>
      <c r="U838" s="874"/>
      <c r="V838" s="874"/>
      <c r="W838" s="874"/>
      <c r="X838" s="874"/>
      <c r="Y838" s="874"/>
      <c r="Z838" s="874"/>
      <c r="AA838" s="874"/>
      <c r="AB838" s="874"/>
      <c r="AC838" s="874"/>
      <c r="AD838" s="874"/>
      <c r="AE838" s="874"/>
      <c r="AF838" s="874"/>
      <c r="AG838" s="874"/>
      <c r="AH838" s="874"/>
      <c r="AI838" s="874"/>
      <c r="AJ838" s="874"/>
      <c r="AK838" s="874"/>
      <c r="AL838" s="874"/>
      <c r="AM838" s="874"/>
      <c r="AN838" s="874"/>
      <c r="AO838" s="874"/>
      <c r="AP838" s="874"/>
      <c r="AQ838" s="874"/>
      <c r="AR838" s="874"/>
      <c r="AS838" s="874"/>
      <c r="AT838" s="874"/>
      <c r="AU838" s="875"/>
      <c r="AV838" s="874"/>
      <c r="AW838" s="874"/>
      <c r="AX838" s="874"/>
      <c r="AY838" s="874"/>
      <c r="AZ838" s="874"/>
      <c r="BA838" s="874"/>
      <c r="BB838" s="874"/>
      <c r="BC838" s="874"/>
      <c r="BD838" s="874"/>
      <c r="BE838" s="874"/>
      <c r="BF838" s="874"/>
      <c r="BG838" s="874"/>
      <c r="BH838" s="651"/>
    </row>
    <row r="839" spans="1:60" s="60" customFormat="1" x14ac:dyDescent="0.35">
      <c r="A839" s="350" t="s">
        <v>92</v>
      </c>
      <c r="B839" s="317"/>
      <c r="C839" s="46">
        <f t="shared" ref="C839:AH839" si="1126">C959</f>
        <v>4736</v>
      </c>
      <c r="D839" s="46">
        <f t="shared" si="1126"/>
        <v>5038</v>
      </c>
      <c r="E839" s="46">
        <f t="shared" si="1126"/>
        <v>5943</v>
      </c>
      <c r="F839" s="46">
        <f t="shared" si="1126"/>
        <v>5497</v>
      </c>
      <c r="G839" s="351">
        <f t="shared" si="1126"/>
        <v>1683</v>
      </c>
      <c r="H839" s="351">
        <f t="shared" si="1126"/>
        <v>1588</v>
      </c>
      <c r="I839" s="351">
        <f t="shared" si="1126"/>
        <v>1452</v>
      </c>
      <c r="J839" s="351">
        <f t="shared" si="1126"/>
        <v>1421</v>
      </c>
      <c r="K839" s="46">
        <f t="shared" si="1126"/>
        <v>6144</v>
      </c>
      <c r="L839" s="351">
        <f t="shared" si="1126"/>
        <v>1619</v>
      </c>
      <c r="M839" s="351">
        <f t="shared" si="1126"/>
        <v>1757</v>
      </c>
      <c r="N839" s="351">
        <f t="shared" si="1126"/>
        <v>1721</v>
      </c>
      <c r="O839" s="351">
        <f t="shared" si="1126"/>
        <v>1452</v>
      </c>
      <c r="P839" s="46">
        <f t="shared" si="1126"/>
        <v>6549</v>
      </c>
      <c r="Q839" s="351">
        <f t="shared" si="1126"/>
        <v>1664</v>
      </c>
      <c r="R839" s="351">
        <f t="shared" si="1126"/>
        <v>1974</v>
      </c>
      <c r="S839" s="351">
        <f t="shared" si="1126"/>
        <v>1893</v>
      </c>
      <c r="T839" s="351">
        <f t="shared" si="1126"/>
        <v>1551</v>
      </c>
      <c r="U839" s="46">
        <f t="shared" si="1126"/>
        <v>7082</v>
      </c>
      <c r="V839" s="351">
        <f t="shared" si="1126"/>
        <v>1743</v>
      </c>
      <c r="W839" s="351">
        <f t="shared" si="1126"/>
        <v>1630</v>
      </c>
      <c r="X839" s="351">
        <f t="shared" si="1126"/>
        <v>1620</v>
      </c>
      <c r="Y839" s="351">
        <f t="shared" si="1126"/>
        <v>1712</v>
      </c>
      <c r="Z839" s="46">
        <f t="shared" si="1126"/>
        <v>6705</v>
      </c>
      <c r="AA839" s="351">
        <f t="shared" si="1126"/>
        <v>1631</v>
      </c>
      <c r="AB839" s="351">
        <f t="shared" si="1126"/>
        <v>1578</v>
      </c>
      <c r="AC839" s="351">
        <f t="shared" si="1126"/>
        <v>1930</v>
      </c>
      <c r="AD839" s="351">
        <f t="shared" si="1126"/>
        <v>486</v>
      </c>
      <c r="AE839" s="46">
        <f t="shared" si="1126"/>
        <v>5625</v>
      </c>
      <c r="AF839" s="351">
        <f t="shared" si="1126"/>
        <v>890</v>
      </c>
      <c r="AG839" s="351">
        <f t="shared" si="1126"/>
        <v>1960</v>
      </c>
      <c r="AH839" s="351">
        <f t="shared" si="1126"/>
        <v>1939</v>
      </c>
      <c r="AI839" s="351">
        <f t="shared" ref="AI839:AY839" si="1127">AI959</f>
        <v>1802</v>
      </c>
      <c r="AJ839" s="46">
        <f t="shared" si="1127"/>
        <v>6591</v>
      </c>
      <c r="AK839" s="351">
        <f t="shared" si="1127"/>
        <v>1360</v>
      </c>
      <c r="AL839" s="351">
        <f t="shared" si="1127"/>
        <v>1768</v>
      </c>
      <c r="AM839" s="351">
        <f t="shared" si="1127"/>
        <v>1920</v>
      </c>
      <c r="AN839" s="351">
        <f t="shared" si="1127"/>
        <v>1330</v>
      </c>
      <c r="AO839" s="46">
        <f t="shared" si="1127"/>
        <v>6378</v>
      </c>
      <c r="AP839" s="351">
        <f t="shared" si="1127"/>
        <v>1940</v>
      </c>
      <c r="AQ839" s="351">
        <f t="shared" si="1127"/>
        <v>1517</v>
      </c>
      <c r="AR839" s="351">
        <f t="shared" ref="AR839" si="1128">AR959</f>
        <v>1897</v>
      </c>
      <c r="AS839" s="351">
        <f>AS959</f>
        <v>1903</v>
      </c>
      <c r="AT839" s="46">
        <f>AT959</f>
        <v>7257</v>
      </c>
      <c r="AU839" s="805">
        <f t="shared" ref="AU839" si="1129">AU959</f>
        <v>2234</v>
      </c>
      <c r="AV839" s="203">
        <f t="shared" si="1127"/>
        <v>1748.4530607016989</v>
      </c>
      <c r="AW839" s="203">
        <f t="shared" si="1127"/>
        <v>2023.3527774651088</v>
      </c>
      <c r="AX839" s="203">
        <f t="shared" si="1127"/>
        <v>2106.9110214527232</v>
      </c>
      <c r="AY839" s="108">
        <f t="shared" si="1127"/>
        <v>8112.7168596195306</v>
      </c>
      <c r="AZ839" s="203">
        <f t="shared" ref="AZ839:BG839" si="1130">AZ959</f>
        <v>2290.6398589036971</v>
      </c>
      <c r="BA839" s="203">
        <f t="shared" ca="1" si="1130"/>
        <v>1975.5014913662974</v>
      </c>
      <c r="BB839" s="203">
        <f t="shared" ca="1" si="1130"/>
        <v>2088.3728175827177</v>
      </c>
      <c r="BC839" s="203">
        <f t="shared" ca="1" si="1130"/>
        <v>2270.0884466410671</v>
      </c>
      <c r="BD839" s="108">
        <f t="shared" ca="1" si="1130"/>
        <v>8624.6026144937787</v>
      </c>
      <c r="BE839" s="108">
        <f t="shared" ca="1" si="1130"/>
        <v>9279.0768052823114</v>
      </c>
      <c r="BF839" s="108">
        <f t="shared" ca="1" si="1130"/>
        <v>9993.1708022494713</v>
      </c>
      <c r="BG839" s="108">
        <f t="shared" ca="1" si="1130"/>
        <v>10770.619039878158</v>
      </c>
      <c r="BH839" s="351"/>
    </row>
    <row r="840" spans="1:60" s="55" customFormat="1" x14ac:dyDescent="0.35">
      <c r="A840" s="96" t="s">
        <v>93</v>
      </c>
      <c r="B840" s="690"/>
      <c r="C840" s="18">
        <f t="shared" ref="C840:AH840" si="1131">C839/C835</f>
        <v>6.7015706806282722</v>
      </c>
      <c r="D840" s="18">
        <f t="shared" si="1131"/>
        <v>6.9441764300482429</v>
      </c>
      <c r="E840" s="19">
        <f t="shared" si="1131"/>
        <v>8.2656467315716267</v>
      </c>
      <c r="F840" s="19">
        <f t="shared" si="1131"/>
        <v>7.8160102374520122</v>
      </c>
      <c r="G840" s="131">
        <f t="shared" si="1131"/>
        <v>2.3970944309927358</v>
      </c>
      <c r="H840" s="131">
        <f t="shared" si="1131"/>
        <v>2.2714919181805175</v>
      </c>
      <c r="I840" s="131">
        <f t="shared" si="1131"/>
        <v>2.0988725065047702</v>
      </c>
      <c r="J840" s="131">
        <f t="shared" si="1131"/>
        <v>2.0857184793776606</v>
      </c>
      <c r="K840" s="19">
        <f t="shared" si="1131"/>
        <v>8.8581314878892723</v>
      </c>
      <c r="L840" s="131">
        <f t="shared" si="1131"/>
        <v>2.4002965159377316</v>
      </c>
      <c r="M840" s="131">
        <f t="shared" si="1131"/>
        <v>2.6436954559133312</v>
      </c>
      <c r="N840" s="131">
        <f t="shared" si="1131"/>
        <v>2.6158990728074176</v>
      </c>
      <c r="O840" s="131">
        <f t="shared" si="1131"/>
        <v>2.2307574128130283</v>
      </c>
      <c r="P840" s="19">
        <f t="shared" si="1131"/>
        <v>9.8927492447129914</v>
      </c>
      <c r="Q840" s="131">
        <f t="shared" si="1131"/>
        <v>2.5631546518792359</v>
      </c>
      <c r="R840" s="131">
        <f t="shared" si="1131"/>
        <v>3.0699844479004668</v>
      </c>
      <c r="S840" s="131">
        <f t="shared" si="1131"/>
        <v>2.9990494296577945</v>
      </c>
      <c r="T840" s="131">
        <f t="shared" si="1131"/>
        <v>2.4800127918132397</v>
      </c>
      <c r="U840" s="19">
        <f t="shared" si="1131"/>
        <v>11.114249843063401</v>
      </c>
      <c r="V840" s="131">
        <f t="shared" si="1131"/>
        <v>2.8054080154514729</v>
      </c>
      <c r="W840" s="131">
        <f t="shared" si="1131"/>
        <v>2.6252214527299085</v>
      </c>
      <c r="X840" s="131">
        <f t="shared" si="1131"/>
        <v>2.6179702650290886</v>
      </c>
      <c r="Y840" s="131">
        <f t="shared" si="1131"/>
        <v>2.7891821440208537</v>
      </c>
      <c r="Z840" s="19">
        <f t="shared" si="1131"/>
        <v>10.837239372878615</v>
      </c>
      <c r="AA840" s="131">
        <f t="shared" si="1131"/>
        <v>2.6650326797385619</v>
      </c>
      <c r="AB840" s="131">
        <f t="shared" si="1131"/>
        <v>2.5750652741514362</v>
      </c>
      <c r="AC840" s="131">
        <f t="shared" si="1131"/>
        <v>3.1499918393993798</v>
      </c>
      <c r="AD840" s="131">
        <f t="shared" si="1131"/>
        <v>0.79230518421910667</v>
      </c>
      <c r="AE840" s="19">
        <f t="shared" si="1131"/>
        <v>9.1806756977313526</v>
      </c>
      <c r="AF840" s="131">
        <f t="shared" si="1131"/>
        <v>1.4525869103966051</v>
      </c>
      <c r="AG840" s="131">
        <f t="shared" si="1131"/>
        <v>3.243958953988745</v>
      </c>
      <c r="AH840" s="131">
        <f t="shared" si="1131"/>
        <v>3.240307486631016</v>
      </c>
      <c r="AI840" s="131">
        <f t="shared" ref="AI840:AY840" si="1132">AI839/AI835</f>
        <v>3.0408369895376306</v>
      </c>
      <c r="AJ840" s="19">
        <f t="shared" si="1132"/>
        <v>10.948504983388704</v>
      </c>
      <c r="AK840" s="131">
        <f t="shared" si="1132"/>
        <v>2.3109600679694138</v>
      </c>
      <c r="AL840" s="131">
        <f t="shared" si="1132"/>
        <v>3.0165500767787066</v>
      </c>
      <c r="AM840" s="131">
        <f t="shared" si="1132"/>
        <v>3.293310463121784</v>
      </c>
      <c r="AN840" s="131">
        <f t="shared" si="1132"/>
        <v>2.2824781191007379</v>
      </c>
      <c r="AO840" s="19">
        <f t="shared" si="1132"/>
        <v>10.900700734917107</v>
      </c>
      <c r="AP840" s="131">
        <f t="shared" si="1132"/>
        <v>3.3361994840928633</v>
      </c>
      <c r="AQ840" s="131">
        <f t="shared" si="1132"/>
        <v>2.6119146005509646</v>
      </c>
      <c r="AR840" s="131">
        <f t="shared" ref="AR840" si="1133">AR839/AR835</f>
        <v>3.2572115384615388</v>
      </c>
      <c r="AS840" s="131">
        <f>AS839/AS835</f>
        <v>3.2585616438356166</v>
      </c>
      <c r="AT840" s="19">
        <f>AT839/AT835</f>
        <v>12.464788732394366</v>
      </c>
      <c r="AU840" s="817">
        <f t="shared" ref="AU840" si="1134">AU839/AU835</f>
        <v>3.8103360054579571</v>
      </c>
      <c r="AV840" s="246">
        <f t="shared" si="1132"/>
        <v>2.9953488520721923</v>
      </c>
      <c r="AW840" s="246">
        <f t="shared" si="1132"/>
        <v>3.4816638208960895</v>
      </c>
      <c r="AX840" s="246">
        <f t="shared" si="1132"/>
        <v>3.641595925256528</v>
      </c>
      <c r="AY840" s="119">
        <f t="shared" si="1132"/>
        <v>13.928988644934686</v>
      </c>
      <c r="AZ840" s="246">
        <f t="shared" ref="AZ840:BG840" ca="1" si="1135">AZ839/AZ835</f>
        <v>3.9752826710725899</v>
      </c>
      <c r="BA840" s="246">
        <f t="shared" ca="1" si="1135"/>
        <v>3.4424006422308482</v>
      </c>
      <c r="BB840" s="246">
        <f t="shared" ca="1" si="1135"/>
        <v>3.6540307759840065</v>
      </c>
      <c r="BC840" s="246">
        <f t="shared" ca="1" si="1135"/>
        <v>3.9883603572939257</v>
      </c>
      <c r="BD840" s="119">
        <f t="shared" ca="1" si="1135"/>
        <v>15.059560319419715</v>
      </c>
      <c r="BE840" s="119">
        <f t="shared" ca="1" si="1135"/>
        <v>16.551119764853055</v>
      </c>
      <c r="BF840" s="119">
        <f t="shared" ca="1" si="1135"/>
        <v>18.075760469199285</v>
      </c>
      <c r="BG840" s="119">
        <f t="shared" ca="1" si="1135"/>
        <v>19.734283331709634</v>
      </c>
      <c r="BH840" s="130"/>
    </row>
    <row r="841" spans="1:60" s="171" customFormat="1" x14ac:dyDescent="0.35">
      <c r="A841" s="167" t="str">
        <f>CONCATENATE("Consensus Estimates - ",IFERROR(LEFT(A840,FIND("(",A840)-1),A840))</f>
        <v>Consensus Estimates - Cash Flow Per Diluted Share</v>
      </c>
      <c r="B841" s="240"/>
      <c r="C841" s="168"/>
      <c r="D841" s="168"/>
      <c r="E841" s="168"/>
      <c r="F841" s="168"/>
      <c r="G841" s="169"/>
      <c r="H841" s="169"/>
      <c r="I841" s="169"/>
      <c r="J841" s="169"/>
      <c r="K841" s="168"/>
      <c r="L841" s="169"/>
      <c r="M841" s="169"/>
      <c r="N841" s="169"/>
      <c r="O841" s="169"/>
      <c r="P841" s="168"/>
      <c r="Q841" s="169"/>
      <c r="R841" s="169"/>
      <c r="S841" s="169"/>
      <c r="T841" s="169"/>
      <c r="U841" s="168"/>
      <c r="V841" s="169"/>
      <c r="W841" s="172"/>
      <c r="X841" s="172"/>
      <c r="Y841" s="169"/>
      <c r="Z841" s="168"/>
      <c r="AA841" s="169"/>
      <c r="AB841" s="172"/>
      <c r="AC841" s="172"/>
      <c r="AD841" s="169"/>
      <c r="AE841" s="168"/>
      <c r="AF841" s="169"/>
      <c r="AG841" s="172"/>
      <c r="AH841" s="172"/>
      <c r="AI841" s="169"/>
      <c r="AJ841" s="168"/>
      <c r="AK841" s="169"/>
      <c r="AL841" s="172"/>
      <c r="AM841" s="172"/>
      <c r="AN841" s="169"/>
      <c r="AO841" s="168"/>
      <c r="AP841" s="169"/>
      <c r="AQ841" s="172"/>
      <c r="AR841" s="172"/>
      <c r="AS841" s="169"/>
      <c r="AT841" s="168"/>
      <c r="AU841" s="814"/>
      <c r="AV841" s="169" t="str">
        <f t="shared" ref="AV841:AY841" ca="1" si="1136">IFERROR(VLOOKUP($A841,tb_ConsensusEstimate,MATCH(AV$5,OFFSET(tb_ConsensusEstimate,0,0,1,COLUMNS(tb_ConsensusEstimate)),0),FALSE),"-")</f>
        <v>N/A</v>
      </c>
      <c r="AW841" s="169" t="str">
        <f t="shared" ca="1" si="1136"/>
        <v>N/A</v>
      </c>
      <c r="AX841" s="169" t="str">
        <f t="shared" ca="1" si="1136"/>
        <v>N/A</v>
      </c>
      <c r="AY841" s="118" t="str">
        <f t="shared" ca="1" si="1136"/>
        <v>N/A</v>
      </c>
      <c r="AZ841" s="169" t="str">
        <f ca="1">IFERROR(VLOOKUP($A841,tb_ConsensusEstimate,MATCH(AZ$5,OFFSET(tb_ConsensusEstimate,0,0,1,COLUMNS(tb_ConsensusEstimate)),0),FALSE),"-")</f>
        <v>N/A</v>
      </c>
      <c r="BA841" s="169" t="str">
        <f ca="1">IFERROR(VLOOKUP($A841,tb_ConsensusEstimate,MATCH(BA$5,OFFSET(tb_ConsensusEstimate,0,0,1,COLUMNS(tb_ConsensusEstimate)),0),FALSE),"-")</f>
        <v>N/A</v>
      </c>
      <c r="BB841" s="169" t="str">
        <f ca="1">IFERROR(VLOOKUP($A841,tb_ConsensusEstimate,MATCH(BB$5,OFFSET(tb_ConsensusEstimate,0,0,1,COLUMNS(tb_ConsensusEstimate)),0),FALSE),"-")</f>
        <v>N/A</v>
      </c>
      <c r="BC841" s="169" t="str">
        <f ca="1">IFERROR(VLOOKUP($A841,tb_ConsensusEstimate,MATCH(BC$5,OFFSET(tb_ConsensusEstimate,0,0,1,COLUMNS(tb_ConsensusEstimate)),0),FALSE),"-")</f>
        <v>N/A</v>
      </c>
      <c r="BD841" s="118" t="str">
        <f ca="1">IFERROR(VLOOKUP($A841,tb_ConsensusEstimate,MATCH(BD$5,OFFSET(tb_ConsensusEstimate,0,0,1,COLUMNS(tb_ConsensusEstimate)),0),FALSE),"-")</f>
        <v>N/A</v>
      </c>
      <c r="BE841" s="118" t="str">
        <f ca="1">IFERROR(VLOOKUP(A841,tb_ConsensusEstimate,MATCH(BE5,OFFSET(tb_ConsensusEstimate,0,0,1,COLUMNS(tb_ConsensusEstimate)),0),FALSE),"-")</f>
        <v>N/A</v>
      </c>
      <c r="BF841" s="118" t="str">
        <f ca="1">IFERROR(VLOOKUP(A841,tb_ConsensusEstimate,MATCH(BF5,OFFSET(tb_ConsensusEstimate,0,0,1,COLUMNS(tb_ConsensusEstimate)),0),FALSE),"-")</f>
        <v>N/A</v>
      </c>
      <c r="BG841" s="118" t="str">
        <f ca="1">IFERROR(VLOOKUP(A841,tb_ConsensusEstimate,MATCH(BG5,OFFSET(tb_ConsensusEstimate,0,0,1,COLUMNS(tb_ConsensusEstimate)),0),FALSE),"-")</f>
        <v>N/A</v>
      </c>
      <c r="BH841" s="169"/>
    </row>
    <row r="842" spans="1:60" s="69" customFormat="1" x14ac:dyDescent="0.35">
      <c r="A842" s="90" t="s">
        <v>94</v>
      </c>
      <c r="B842" s="427"/>
      <c r="C842" s="70">
        <f t="shared" ref="C842:AU842" si="1137">+C969</f>
        <v>-903</v>
      </c>
      <c r="D842" s="70">
        <f t="shared" si="1137"/>
        <v>-1091</v>
      </c>
      <c r="E842" s="70">
        <f t="shared" si="1137"/>
        <v>-1379</v>
      </c>
      <c r="F842" s="70">
        <f t="shared" si="1137"/>
        <v>-1484</v>
      </c>
      <c r="G842" s="79">
        <f t="shared" si="1137"/>
        <v>-324</v>
      </c>
      <c r="H842" s="79">
        <f t="shared" si="1137"/>
        <v>-394</v>
      </c>
      <c r="I842" s="79">
        <f t="shared" si="1137"/>
        <v>-404</v>
      </c>
      <c r="J842" s="79">
        <f t="shared" si="1137"/>
        <v>-543</v>
      </c>
      <c r="K842" s="70">
        <f t="shared" si="1137"/>
        <v>-1665</v>
      </c>
      <c r="L842" s="79">
        <f t="shared" si="1137"/>
        <v>-293</v>
      </c>
      <c r="M842" s="79">
        <f t="shared" si="1137"/>
        <v>-341</v>
      </c>
      <c r="N842" s="79">
        <f t="shared" si="1137"/>
        <v>-369</v>
      </c>
      <c r="O842" s="79">
        <f t="shared" si="1137"/>
        <v>-490</v>
      </c>
      <c r="P842" s="70">
        <f t="shared" si="1137"/>
        <v>-1493</v>
      </c>
      <c r="Q842" s="79">
        <f t="shared" si="1137"/>
        <v>-291</v>
      </c>
      <c r="R842" s="79">
        <f t="shared" si="1137"/>
        <v>-370</v>
      </c>
      <c r="S842" s="79">
        <f t="shared" si="1137"/>
        <v>-354</v>
      </c>
      <c r="T842" s="79">
        <f t="shared" si="1137"/>
        <v>-446</v>
      </c>
      <c r="U842" s="70">
        <f t="shared" si="1137"/>
        <v>-1461</v>
      </c>
      <c r="V842" s="79">
        <f t="shared" si="1137"/>
        <v>-314</v>
      </c>
      <c r="W842" s="79">
        <f t="shared" si="1137"/>
        <v>-323</v>
      </c>
      <c r="X842" s="79">
        <f t="shared" si="1137"/>
        <v>-347</v>
      </c>
      <c r="Y842" s="79">
        <f t="shared" si="1137"/>
        <v>-436</v>
      </c>
      <c r="Z842" s="70">
        <f t="shared" si="1137"/>
        <v>-1420</v>
      </c>
      <c r="AA842" s="79">
        <f t="shared" si="1137"/>
        <v>-287</v>
      </c>
      <c r="AB842" s="79">
        <f t="shared" si="1137"/>
        <v>-302</v>
      </c>
      <c r="AC842" s="79">
        <f t="shared" si="1137"/>
        <v>-325</v>
      </c>
      <c r="AD842" s="79">
        <f t="shared" si="1137"/>
        <v>-459</v>
      </c>
      <c r="AE842" s="70">
        <f t="shared" si="1137"/>
        <v>-1373</v>
      </c>
      <c r="AF842" s="79">
        <f t="shared" si="1137"/>
        <v>-304</v>
      </c>
      <c r="AG842" s="79">
        <f t="shared" si="1137"/>
        <v>-365</v>
      </c>
      <c r="AH842" s="79">
        <f t="shared" si="1137"/>
        <v>-377</v>
      </c>
      <c r="AI842" s="79">
        <f t="shared" si="1137"/>
        <v>-531</v>
      </c>
      <c r="AJ842" s="70">
        <f t="shared" si="1137"/>
        <v>-1577</v>
      </c>
      <c r="AK842" s="79">
        <f t="shared" si="1137"/>
        <v>-391</v>
      </c>
      <c r="AL842" s="79">
        <f t="shared" si="1137"/>
        <v>-421</v>
      </c>
      <c r="AM842" s="79">
        <f t="shared" si="1137"/>
        <v>-349</v>
      </c>
      <c r="AN842" s="79">
        <f t="shared" si="1137"/>
        <v>-538</v>
      </c>
      <c r="AO842" s="70">
        <f t="shared" si="1137"/>
        <v>-1699</v>
      </c>
      <c r="AP842" s="79">
        <f t="shared" si="1137"/>
        <v>-332</v>
      </c>
      <c r="AQ842" s="79">
        <f t="shared" si="1137"/>
        <v>-379</v>
      </c>
      <c r="AR842" s="79">
        <f t="shared" si="1137"/>
        <v>-368</v>
      </c>
      <c r="AS842" s="79">
        <f t="shared" si="1137"/>
        <v>-422</v>
      </c>
      <c r="AT842" s="70">
        <f t="shared" si="1137"/>
        <v>-1501</v>
      </c>
      <c r="AU842" s="803">
        <f t="shared" si="1137"/>
        <v>-310</v>
      </c>
      <c r="AV842" s="959">
        <f>Drivers!AV109</f>
        <v>-475</v>
      </c>
      <c r="AW842" s="959">
        <f>Drivers!AW109</f>
        <v>-475</v>
      </c>
      <c r="AX842" s="959">
        <f>Drivers!AX109</f>
        <v>-475</v>
      </c>
      <c r="AY842" s="112">
        <f>+AY969</f>
        <v>-1735</v>
      </c>
      <c r="AZ842" s="959">
        <f>Drivers!AZ109</f>
        <v>-475</v>
      </c>
      <c r="BA842" s="959">
        <f>Drivers!BA109</f>
        <v>-475</v>
      </c>
      <c r="BB842" s="959">
        <f>Drivers!BB109</f>
        <v>-475</v>
      </c>
      <c r="BC842" s="959">
        <f>Drivers!BC109</f>
        <v>-475</v>
      </c>
      <c r="BD842" s="112">
        <f>+BD969</f>
        <v>-1900</v>
      </c>
      <c r="BE842" s="959">
        <f>Drivers!BE109</f>
        <v>-1900</v>
      </c>
      <c r="BF842" s="959">
        <f>Drivers!BF109</f>
        <v>-1900</v>
      </c>
      <c r="BG842" s="959">
        <f>Drivers!BG109</f>
        <v>-1900</v>
      </c>
      <c r="BH842" s="79"/>
    </row>
    <row r="843" spans="1:60" s="166" customFormat="1" x14ac:dyDescent="0.35">
      <c r="A843" s="162" t="str">
        <f>CONCATENATE("Consensus Estimates - ",IFERROR(LEFT(A842,FIND("(",A842)-1),A842))</f>
        <v>Consensus Estimates - Capex</v>
      </c>
      <c r="B843" s="239"/>
      <c r="C843" s="163"/>
      <c r="D843" s="163"/>
      <c r="E843" s="163"/>
      <c r="F843" s="163"/>
      <c r="G843" s="164"/>
      <c r="H843" s="164"/>
      <c r="I843" s="164"/>
      <c r="J843" s="164"/>
      <c r="K843" s="163"/>
      <c r="L843" s="164"/>
      <c r="M843" s="164"/>
      <c r="N843" s="164"/>
      <c r="O843" s="164"/>
      <c r="P843" s="163"/>
      <c r="Q843" s="164"/>
      <c r="R843" s="164"/>
      <c r="S843" s="164"/>
      <c r="T843" s="164"/>
      <c r="U843" s="163"/>
      <c r="V843" s="164"/>
      <c r="W843" s="165"/>
      <c r="X843" s="165"/>
      <c r="Y843" s="164"/>
      <c r="Z843" s="163"/>
      <c r="AA843" s="164"/>
      <c r="AB843" s="165"/>
      <c r="AC843" s="165"/>
      <c r="AD843" s="164"/>
      <c r="AE843" s="163"/>
      <c r="AF843" s="164"/>
      <c r="AG843" s="165"/>
      <c r="AH843" s="165"/>
      <c r="AI843" s="164"/>
      <c r="AJ843" s="163"/>
      <c r="AK843" s="164"/>
      <c r="AL843" s="165"/>
      <c r="AM843" s="165"/>
      <c r="AN843" s="164"/>
      <c r="AO843" s="163"/>
      <c r="AP843" s="164"/>
      <c r="AQ843" s="165"/>
      <c r="AR843" s="165"/>
      <c r="AS843" s="164"/>
      <c r="AT843" s="163"/>
      <c r="AU843" s="782"/>
      <c r="AV843" s="164" t="str">
        <f t="shared" ref="AV843:AY843" ca="1" si="1138">IFERROR(VLOOKUP($A843,tb_ConsensusEstimate,MATCH(AV$5,OFFSET(tb_ConsensusEstimate,0,0,1,COLUMNS(tb_ConsensusEstimate)),0),FALSE),"-")</f>
        <v>N/A</v>
      </c>
      <c r="AW843" s="164" t="str">
        <f t="shared" ca="1" si="1138"/>
        <v>N/A</v>
      </c>
      <c r="AX843" s="164" t="str">
        <f t="shared" ca="1" si="1138"/>
        <v>N/A</v>
      </c>
      <c r="AY843" s="126" t="str">
        <f t="shared" ca="1" si="1138"/>
        <v>N/A</v>
      </c>
      <c r="AZ843" s="164" t="str">
        <f ca="1">IFERROR(VLOOKUP($A843,tb_ConsensusEstimate,MATCH(AZ$5,OFFSET(tb_ConsensusEstimate,0,0,1,COLUMNS(tb_ConsensusEstimate)),0),FALSE),"-")</f>
        <v>N/A</v>
      </c>
      <c r="BA843" s="164" t="str">
        <f ca="1">IFERROR(VLOOKUP($A843,tb_ConsensusEstimate,MATCH(BA$5,OFFSET(tb_ConsensusEstimate,0,0,1,COLUMNS(tb_ConsensusEstimate)),0),FALSE),"-")</f>
        <v>N/A</v>
      </c>
      <c r="BB843" s="164" t="str">
        <f ca="1">IFERROR(VLOOKUP($A843,tb_ConsensusEstimate,MATCH(BB$5,OFFSET(tb_ConsensusEstimate,0,0,1,COLUMNS(tb_ConsensusEstimate)),0),FALSE),"-")</f>
        <v>N/A</v>
      </c>
      <c r="BC843" s="164" t="str">
        <f ca="1">IFERROR(VLOOKUP($A843,tb_ConsensusEstimate,MATCH(BC$5,OFFSET(tb_ConsensusEstimate,0,0,1,COLUMNS(tb_ConsensusEstimate)),0),FALSE),"-")</f>
        <v>N/A</v>
      </c>
      <c r="BD843" s="126" t="str">
        <f ca="1">IFERROR(VLOOKUP($A843,tb_ConsensusEstimate,MATCH(BD$5,OFFSET(tb_ConsensusEstimate,0,0,1,COLUMNS(tb_ConsensusEstimate)),0),FALSE),"-")</f>
        <v>N/A</v>
      </c>
      <c r="BE843" s="126" t="str">
        <f ca="1">IFERROR(VLOOKUP(A843,tb_ConsensusEstimate,MATCH(BE5,OFFSET(tb_ConsensusEstimate,0,0,1,COLUMNS(tb_ConsensusEstimate)),0),FALSE),"-")</f>
        <v>N/A</v>
      </c>
      <c r="BF843" s="126" t="str">
        <f ca="1">IFERROR(VLOOKUP(A843,tb_ConsensusEstimate,MATCH(BF5,OFFSET(tb_ConsensusEstimate,0,0,1,COLUMNS(tb_ConsensusEstimate)),0),FALSE),"-")</f>
        <v>N/A</v>
      </c>
      <c r="BG843" s="126" t="str">
        <f ca="1">IFERROR(VLOOKUP(A843,tb_ConsensusEstimate,MATCH(BG5,OFFSET(tb_ConsensusEstimate,0,0,1,COLUMNS(tb_ConsensusEstimate)),0),FALSE),"-")</f>
        <v>N/A</v>
      </c>
      <c r="BH843" s="164"/>
    </row>
    <row r="844" spans="1:60" s="60" customFormat="1" x14ac:dyDescent="0.35">
      <c r="A844" s="236" t="s">
        <v>95</v>
      </c>
      <c r="B844" s="317"/>
      <c r="C844" s="46">
        <f t="shared" ref="C844:AU844" si="1139">+C971+C987</f>
        <v>-69</v>
      </c>
      <c r="D844" s="46">
        <f t="shared" si="1139"/>
        <v>-1830</v>
      </c>
      <c r="E844" s="46">
        <f t="shared" si="1139"/>
        <v>-649</v>
      </c>
      <c r="F844" s="46">
        <f t="shared" si="1139"/>
        <v>-1046</v>
      </c>
      <c r="G844" s="351">
        <f t="shared" si="1139"/>
        <v>0</v>
      </c>
      <c r="H844" s="351">
        <f t="shared" si="1139"/>
        <v>0</v>
      </c>
      <c r="I844" s="351">
        <f t="shared" si="1139"/>
        <v>0</v>
      </c>
      <c r="J844" s="351">
        <f t="shared" si="1139"/>
        <v>0</v>
      </c>
      <c r="K844" s="46">
        <f t="shared" si="1139"/>
        <v>0</v>
      </c>
      <c r="L844" s="351">
        <f t="shared" si="1139"/>
        <v>0</v>
      </c>
      <c r="M844" s="351">
        <f t="shared" si="1139"/>
        <v>-94</v>
      </c>
      <c r="N844" s="351">
        <f t="shared" si="1139"/>
        <v>-699</v>
      </c>
      <c r="O844" s="351">
        <f t="shared" si="1139"/>
        <v>-162</v>
      </c>
      <c r="P844" s="46">
        <f t="shared" si="1139"/>
        <v>-955</v>
      </c>
      <c r="Q844" s="351">
        <f t="shared" si="1139"/>
        <v>-150</v>
      </c>
      <c r="R844" s="351">
        <f t="shared" si="1139"/>
        <v>-3</v>
      </c>
      <c r="S844" s="351">
        <f t="shared" si="1139"/>
        <v>-2757</v>
      </c>
      <c r="T844" s="351">
        <f t="shared" si="1139"/>
        <v>-4</v>
      </c>
      <c r="U844" s="46">
        <f t="shared" si="1139"/>
        <v>-2914</v>
      </c>
      <c r="V844" s="351">
        <f t="shared" si="1139"/>
        <v>-4</v>
      </c>
      <c r="W844" s="351">
        <f t="shared" si="1139"/>
        <v>0</v>
      </c>
      <c r="X844" s="351">
        <f t="shared" si="1139"/>
        <v>-13</v>
      </c>
      <c r="Y844" s="351">
        <f t="shared" si="1139"/>
        <v>1</v>
      </c>
      <c r="Z844" s="46">
        <f t="shared" si="1139"/>
        <v>-16</v>
      </c>
      <c r="AA844" s="351">
        <f t="shared" si="1139"/>
        <v>0</v>
      </c>
      <c r="AB844" s="351">
        <f t="shared" si="1139"/>
        <v>0</v>
      </c>
      <c r="AC844" s="351">
        <f t="shared" si="1139"/>
        <v>-12</v>
      </c>
      <c r="AD844" s="351">
        <f t="shared" si="1139"/>
        <v>-2011</v>
      </c>
      <c r="AE844" s="46">
        <f t="shared" si="1139"/>
        <v>-2023</v>
      </c>
      <c r="AF844" s="351">
        <f t="shared" si="1139"/>
        <v>0</v>
      </c>
      <c r="AG844" s="351">
        <f t="shared" si="1139"/>
        <v>13</v>
      </c>
      <c r="AH844" s="351">
        <f t="shared" si="1139"/>
        <v>0</v>
      </c>
      <c r="AI844" s="351">
        <f t="shared" si="1139"/>
        <v>0</v>
      </c>
      <c r="AJ844" s="46">
        <f t="shared" si="1139"/>
        <v>13</v>
      </c>
      <c r="AK844" s="351">
        <f t="shared" si="1139"/>
        <v>-704</v>
      </c>
      <c r="AL844" s="351">
        <f t="shared" si="1139"/>
        <v>0</v>
      </c>
      <c r="AM844" s="351">
        <f t="shared" si="1139"/>
        <v>0</v>
      </c>
      <c r="AN844" s="351">
        <f t="shared" si="1139"/>
        <v>-4280</v>
      </c>
      <c r="AO844" s="46">
        <f t="shared" si="1139"/>
        <v>-4984</v>
      </c>
      <c r="AP844" s="351">
        <f t="shared" si="1139"/>
        <v>-25</v>
      </c>
      <c r="AQ844" s="351">
        <f t="shared" si="1139"/>
        <v>0</v>
      </c>
      <c r="AR844" s="351">
        <f t="shared" si="1139"/>
        <v>0</v>
      </c>
      <c r="AS844" s="351">
        <f t="shared" si="1139"/>
        <v>0</v>
      </c>
      <c r="AT844" s="46">
        <f t="shared" si="1139"/>
        <v>-25</v>
      </c>
      <c r="AU844" s="805">
        <f t="shared" si="1139"/>
        <v>0</v>
      </c>
      <c r="AV844" s="954">
        <f>Drivers!AV110</f>
        <v>0</v>
      </c>
      <c r="AW844" s="954">
        <f>Drivers!AW110</f>
        <v>0</v>
      </c>
      <c r="AX844" s="954">
        <f>Drivers!AX110</f>
        <v>0</v>
      </c>
      <c r="AY844" s="108">
        <f>+AY971+AY987</f>
        <v>0</v>
      </c>
      <c r="AZ844" s="954">
        <f>Drivers!AZ110</f>
        <v>0</v>
      </c>
      <c r="BA844" s="954">
        <f>Drivers!BA110</f>
        <v>0</v>
      </c>
      <c r="BB844" s="954">
        <f>Drivers!BB110</f>
        <v>0</v>
      </c>
      <c r="BC844" s="954">
        <f>Drivers!BC110</f>
        <v>0</v>
      </c>
      <c r="BD844" s="108">
        <f>+BD971+BD987</f>
        <v>0</v>
      </c>
      <c r="BE844" s="954">
        <f>Drivers!BE110</f>
        <v>0</v>
      </c>
      <c r="BF844" s="954">
        <f>Drivers!BF110</f>
        <v>0</v>
      </c>
      <c r="BG844" s="954">
        <f>Drivers!BG110</f>
        <v>0</v>
      </c>
      <c r="BH844" s="351"/>
    </row>
    <row r="845" spans="1:60" s="60" customFormat="1" x14ac:dyDescent="0.35">
      <c r="A845" s="236" t="s">
        <v>96</v>
      </c>
      <c r="B845" s="317"/>
      <c r="C845" s="46">
        <f t="shared" ref="C845:AU845" si="1140">+C970+C975</f>
        <v>79</v>
      </c>
      <c r="D845" s="46">
        <f t="shared" si="1140"/>
        <v>25</v>
      </c>
      <c r="E845" s="46">
        <f t="shared" si="1140"/>
        <v>55</v>
      </c>
      <c r="F845" s="46">
        <f t="shared" si="1140"/>
        <v>41</v>
      </c>
      <c r="G845" s="351">
        <f t="shared" si="1140"/>
        <v>10</v>
      </c>
      <c r="H845" s="351">
        <f t="shared" si="1140"/>
        <v>16</v>
      </c>
      <c r="I845" s="351">
        <f t="shared" si="1140"/>
        <v>68</v>
      </c>
      <c r="J845" s="351">
        <f t="shared" si="1140"/>
        <v>42</v>
      </c>
      <c r="K845" s="46">
        <f t="shared" si="1140"/>
        <v>136</v>
      </c>
      <c r="L845" s="351">
        <f t="shared" si="1140"/>
        <v>3</v>
      </c>
      <c r="M845" s="351">
        <f t="shared" si="1140"/>
        <v>35</v>
      </c>
      <c r="N845" s="351">
        <f t="shared" si="1140"/>
        <v>78</v>
      </c>
      <c r="O845" s="351">
        <f t="shared" si="1140"/>
        <v>19</v>
      </c>
      <c r="P845" s="46">
        <f t="shared" si="1140"/>
        <v>135</v>
      </c>
      <c r="Q845" s="351">
        <f t="shared" si="1140"/>
        <v>23</v>
      </c>
      <c r="R845" s="351">
        <f t="shared" si="1140"/>
        <v>10</v>
      </c>
      <c r="S845" s="351">
        <f t="shared" si="1140"/>
        <v>3</v>
      </c>
      <c r="T845" s="351">
        <f t="shared" si="1140"/>
        <v>120</v>
      </c>
      <c r="U845" s="46">
        <f t="shared" si="1140"/>
        <v>156</v>
      </c>
      <c r="V845" s="351">
        <f t="shared" si="1140"/>
        <v>74</v>
      </c>
      <c r="W845" s="351">
        <f t="shared" si="1140"/>
        <v>0</v>
      </c>
      <c r="X845" s="351">
        <f t="shared" si="1140"/>
        <v>0</v>
      </c>
      <c r="Y845" s="351">
        <f t="shared" si="1140"/>
        <v>126</v>
      </c>
      <c r="Z845" s="46">
        <f t="shared" si="1140"/>
        <v>200</v>
      </c>
      <c r="AA845" s="351">
        <f t="shared" si="1140"/>
        <v>54</v>
      </c>
      <c r="AB845" s="351">
        <f t="shared" si="1140"/>
        <v>821</v>
      </c>
      <c r="AC845" s="351">
        <f t="shared" si="1140"/>
        <v>5</v>
      </c>
      <c r="AD845" s="351">
        <f t="shared" si="1140"/>
        <v>234</v>
      </c>
      <c r="AE845" s="46">
        <f t="shared" si="1140"/>
        <v>1114</v>
      </c>
      <c r="AF845" s="351">
        <f t="shared" si="1140"/>
        <v>123</v>
      </c>
      <c r="AG845" s="351">
        <f t="shared" si="1140"/>
        <v>779</v>
      </c>
      <c r="AH845" s="351">
        <f t="shared" si="1140"/>
        <v>47</v>
      </c>
      <c r="AI845" s="351">
        <f t="shared" si="1140"/>
        <v>159</v>
      </c>
      <c r="AJ845" s="46">
        <f t="shared" si="1140"/>
        <v>1108</v>
      </c>
      <c r="AK845" s="351">
        <f t="shared" si="1140"/>
        <v>7</v>
      </c>
      <c r="AL845" s="351">
        <f t="shared" si="1140"/>
        <v>2</v>
      </c>
      <c r="AM845" s="351">
        <f t="shared" si="1140"/>
        <v>318</v>
      </c>
      <c r="AN845" s="351">
        <f t="shared" si="1140"/>
        <v>32</v>
      </c>
      <c r="AO845" s="46">
        <f t="shared" si="1140"/>
        <v>359</v>
      </c>
      <c r="AP845" s="351">
        <f t="shared" si="1140"/>
        <v>93</v>
      </c>
      <c r="AQ845" s="351">
        <f t="shared" si="1140"/>
        <v>496</v>
      </c>
      <c r="AR845" s="351">
        <f t="shared" si="1140"/>
        <v>16</v>
      </c>
      <c r="AS845" s="351">
        <f t="shared" si="1140"/>
        <v>99</v>
      </c>
      <c r="AT845" s="46">
        <f t="shared" si="1140"/>
        <v>704</v>
      </c>
      <c r="AU845" s="805">
        <f t="shared" si="1140"/>
        <v>0</v>
      </c>
      <c r="AV845" s="954">
        <f>Drivers!AV111</f>
        <v>0</v>
      </c>
      <c r="AW845" s="954">
        <f>Drivers!AW111</f>
        <v>0</v>
      </c>
      <c r="AX845" s="954">
        <f>Drivers!AX111</f>
        <v>0</v>
      </c>
      <c r="AY845" s="108">
        <f>+AY970+AY975</f>
        <v>0</v>
      </c>
      <c r="AZ845" s="954">
        <f>Drivers!AZ111</f>
        <v>0</v>
      </c>
      <c r="BA845" s="954">
        <f>Drivers!BA111</f>
        <v>0</v>
      </c>
      <c r="BB845" s="954">
        <f>Drivers!BB111</f>
        <v>0</v>
      </c>
      <c r="BC845" s="954">
        <f>Drivers!BC111</f>
        <v>0</v>
      </c>
      <c r="BD845" s="108">
        <f>+BD970+BD975</f>
        <v>0</v>
      </c>
      <c r="BE845" s="954">
        <f>Drivers!BE111</f>
        <v>0</v>
      </c>
      <c r="BF845" s="954">
        <f>Drivers!BF111</f>
        <v>0</v>
      </c>
      <c r="BG845" s="954">
        <f>Drivers!BG111</f>
        <v>0</v>
      </c>
      <c r="BH845" s="351"/>
    </row>
    <row r="846" spans="1:60" s="60" customFormat="1" x14ac:dyDescent="0.35">
      <c r="A846" s="236" t="s">
        <v>97</v>
      </c>
      <c r="B846" s="317"/>
      <c r="C846" s="46">
        <f t="shared" ref="C846:AQ846" si="1141">+C985</f>
        <v>-1431</v>
      </c>
      <c r="D846" s="46">
        <f t="shared" si="1141"/>
        <v>-1500</v>
      </c>
      <c r="E846" s="46">
        <f t="shared" si="1141"/>
        <v>-1555</v>
      </c>
      <c r="F846" s="46">
        <f t="shared" si="1141"/>
        <v>-1635</v>
      </c>
      <c r="G846" s="351">
        <f t="shared" si="1141"/>
        <v>-440</v>
      </c>
      <c r="H846" s="351">
        <f t="shared" si="1141"/>
        <v>-436</v>
      </c>
      <c r="I846" s="351">
        <f t="shared" si="1141"/>
        <v>-431</v>
      </c>
      <c r="J846" s="351">
        <f t="shared" si="1141"/>
        <v>-423</v>
      </c>
      <c r="K846" s="46">
        <f t="shared" si="1141"/>
        <v>-1730</v>
      </c>
      <c r="L846" s="351">
        <f t="shared" si="1141"/>
        <v>-566</v>
      </c>
      <c r="M846" s="351">
        <f t="shared" si="1141"/>
        <v>-556</v>
      </c>
      <c r="N846" s="351">
        <f t="shared" si="1141"/>
        <v>-550</v>
      </c>
      <c r="O846" s="351">
        <f t="shared" si="1141"/>
        <v>-544</v>
      </c>
      <c r="P846" s="46">
        <f t="shared" si="1141"/>
        <v>-2216</v>
      </c>
      <c r="Q846" s="351">
        <f t="shared" si="1141"/>
        <v>-652</v>
      </c>
      <c r="R846" s="351">
        <f t="shared" si="1141"/>
        <v>-646</v>
      </c>
      <c r="S846" s="351">
        <f t="shared" si="1141"/>
        <v>-635</v>
      </c>
      <c r="T846" s="351">
        <f t="shared" si="1141"/>
        <v>-628</v>
      </c>
      <c r="U846" s="46">
        <f t="shared" si="1141"/>
        <v>-2561</v>
      </c>
      <c r="V846" s="351">
        <f t="shared" si="1141"/>
        <v>-672</v>
      </c>
      <c r="W846" s="351">
        <f t="shared" si="1141"/>
        <v>-672</v>
      </c>
      <c r="X846" s="351">
        <f t="shared" si="1141"/>
        <v>-670</v>
      </c>
      <c r="Y846" s="351">
        <f t="shared" si="1141"/>
        <v>-664</v>
      </c>
      <c r="Z846" s="46">
        <f t="shared" si="1141"/>
        <v>-2678</v>
      </c>
      <c r="AA846" s="351">
        <f t="shared" si="1141"/>
        <v>-702</v>
      </c>
      <c r="AB846" s="351">
        <f t="shared" si="1141"/>
        <v>-701</v>
      </c>
      <c r="AC846" s="351">
        <f t="shared" si="1141"/>
        <v>-701</v>
      </c>
      <c r="AD846" s="351">
        <f t="shared" si="1141"/>
        <v>-699</v>
      </c>
      <c r="AE846" s="46">
        <f t="shared" si="1141"/>
        <v>-2803</v>
      </c>
      <c r="AF846" s="351">
        <f t="shared" si="1141"/>
        <v>-810</v>
      </c>
      <c r="AG846" s="351">
        <f t="shared" si="1141"/>
        <v>-802</v>
      </c>
      <c r="AH846" s="351">
        <f t="shared" si="1141"/>
        <v>-794</v>
      </c>
      <c r="AI846" s="351">
        <f t="shared" si="1141"/>
        <v>-787</v>
      </c>
      <c r="AJ846" s="46">
        <f t="shared" si="1141"/>
        <v>-3193</v>
      </c>
      <c r="AK846" s="351">
        <f t="shared" si="1141"/>
        <v>-830</v>
      </c>
      <c r="AL846" s="351">
        <f t="shared" si="1141"/>
        <v>-830</v>
      </c>
      <c r="AM846" s="351">
        <f t="shared" si="1141"/>
        <v>-828</v>
      </c>
      <c r="AN846" s="351">
        <f t="shared" si="1141"/>
        <v>-828</v>
      </c>
      <c r="AO846" s="46">
        <f t="shared" si="1141"/>
        <v>-3316</v>
      </c>
      <c r="AP846" s="351">
        <f t="shared" si="1141"/>
        <v>-847</v>
      </c>
      <c r="AQ846" s="351">
        <f t="shared" si="1141"/>
        <v>-846</v>
      </c>
      <c r="AR846" s="351">
        <f>+AR985</f>
        <v>-847</v>
      </c>
      <c r="AS846" s="351">
        <f>+AS985</f>
        <v>-848</v>
      </c>
      <c r="AT846" s="46">
        <f>+AT985</f>
        <v>-3388</v>
      </c>
      <c r="AU846" s="805">
        <f t="shared" ref="AU846" si="1142">+AU985</f>
        <v>-858</v>
      </c>
      <c r="AV846" s="203">
        <f ca="1">AV847*-AV834</f>
        <v>-855.32556701030933</v>
      </c>
      <c r="AW846" s="203">
        <f ca="1">AW847*-AW834</f>
        <v>-851.51113402061867</v>
      </c>
      <c r="AX846" s="203">
        <f ca="1">AX847*-AX834</f>
        <v>-847.69670103092801</v>
      </c>
      <c r="AY846" s="108">
        <f>+AY985</f>
        <v>-3412.5334020618561</v>
      </c>
      <c r="AZ846" s="203">
        <f ca="1">AZ847*-AZ834</f>
        <v>-844.22252262717211</v>
      </c>
      <c r="BA846" s="203">
        <f ca="1">BA847*-BA834</f>
        <v>-840.74834422341632</v>
      </c>
      <c r="BB846" s="203">
        <f ca="1">BB847*-BB834</f>
        <v>-837.27416581966054</v>
      </c>
      <c r="BC846" s="203">
        <f ca="1">BC847*-BC834</f>
        <v>-833.79998741590464</v>
      </c>
      <c r="BD846" s="108">
        <f>+BD985</f>
        <v>-3356.0450200861537</v>
      </c>
      <c r="BE846" s="108">
        <f ca="1">BE847*-BE834</f>
        <v>-3284.601659065328</v>
      </c>
      <c r="BF846" s="108">
        <f ca="1">BF847*-BF834</f>
        <v>-3238.5316201548221</v>
      </c>
      <c r="BG846" s="108">
        <f ca="1">BG847*-BG834</f>
        <v>-3196.6941643244331</v>
      </c>
      <c r="BH846" s="351"/>
    </row>
    <row r="847" spans="1:60" s="57" customFormat="1" x14ac:dyDescent="0.35">
      <c r="A847" s="221" t="s">
        <v>98</v>
      </c>
      <c r="B847" s="702"/>
      <c r="C847" s="45">
        <v>2.04</v>
      </c>
      <c r="D847" s="45">
        <v>2.1</v>
      </c>
      <c r="E847" s="45">
        <v>2.2000000000000002</v>
      </c>
      <c r="F847" s="45">
        <v>2.36</v>
      </c>
      <c r="G847" s="132">
        <v>0.63500000000000001</v>
      </c>
      <c r="H847" s="132">
        <v>0.63500000000000001</v>
      </c>
      <c r="I847" s="132">
        <v>0.63500000000000001</v>
      </c>
      <c r="J847" s="132">
        <v>0.63500000000000001</v>
      </c>
      <c r="K847" s="45">
        <f>SUM(G847,H847,I847,J847)</f>
        <v>2.54</v>
      </c>
      <c r="L847" s="132">
        <v>0.85499999999999998</v>
      </c>
      <c r="M847" s="132">
        <v>0.85499999999999998</v>
      </c>
      <c r="N847" s="132">
        <v>0.85499999999999998</v>
      </c>
      <c r="O847" s="132">
        <v>0.85499999999999998</v>
      </c>
      <c r="P847" s="45">
        <f>SUM(L847,M847,N847,O847)</f>
        <v>3.42</v>
      </c>
      <c r="Q847" s="132">
        <v>1.0249999999999999</v>
      </c>
      <c r="R847" s="132">
        <v>1.0249999999999999</v>
      </c>
      <c r="S847" s="132">
        <v>1.0249999999999999</v>
      </c>
      <c r="T847" s="132">
        <v>1.0249999999999999</v>
      </c>
      <c r="U847" s="45">
        <f>SUM(Q847,R847,S847,T847)</f>
        <v>4.0999999999999996</v>
      </c>
      <c r="V847" s="132">
        <v>1.1100000000000001</v>
      </c>
      <c r="W847" s="132">
        <v>1.1100000000000001</v>
      </c>
      <c r="X847" s="132">
        <v>1.1100000000000001</v>
      </c>
      <c r="Y847" s="132">
        <v>1.1100000000000001</v>
      </c>
      <c r="Z847" s="45">
        <f>SUM(V847,W847,X847,Y847)</f>
        <v>4.4400000000000004</v>
      </c>
      <c r="AA847" s="132">
        <v>1.175</v>
      </c>
      <c r="AB847" s="132">
        <v>1.175</v>
      </c>
      <c r="AC847" s="132">
        <v>1.175</v>
      </c>
      <c r="AD847" s="132">
        <v>1.175</v>
      </c>
      <c r="AE847" s="45">
        <f>SUM(AA847,AB847,AC847,AD847)</f>
        <v>4.7</v>
      </c>
      <c r="AF847" s="132">
        <v>1.36</v>
      </c>
      <c r="AG847" s="132">
        <v>1.36</v>
      </c>
      <c r="AH847" s="132">
        <v>1.36</v>
      </c>
      <c r="AI847" s="132">
        <v>1.36</v>
      </c>
      <c r="AJ847" s="45">
        <f>SUM(AF847,AG847,AH847,AI847)</f>
        <v>5.44</v>
      </c>
      <c r="AK847" s="132">
        <v>1.44</v>
      </c>
      <c r="AL847" s="132">
        <v>1.44</v>
      </c>
      <c r="AM847" s="132">
        <v>1.44</v>
      </c>
      <c r="AN847" s="132">
        <v>1.44</v>
      </c>
      <c r="AO847" s="45">
        <f>SUM(AK847,AL847,AM847,AN847)</f>
        <v>5.76</v>
      </c>
      <c r="AP847" s="132">
        <v>1.47</v>
      </c>
      <c r="AQ847" s="132">
        <v>1.47</v>
      </c>
      <c r="AR847" s="132">
        <v>1.47</v>
      </c>
      <c r="AS847" s="132">
        <v>1.47</v>
      </c>
      <c r="AT847" s="45">
        <f>SUM(AP847,AQ847,AR847,AS847)</f>
        <v>5.88</v>
      </c>
      <c r="AU847" s="873">
        <v>1.48</v>
      </c>
      <c r="AV847" s="961">
        <f>Drivers!AV112</f>
        <v>1.48</v>
      </c>
      <c r="AW847" s="961">
        <f>Drivers!AW112</f>
        <v>1.48</v>
      </c>
      <c r="AX847" s="961">
        <f>Drivers!AX112</f>
        <v>1.48</v>
      </c>
      <c r="AY847" s="120">
        <f>SUM(AU847,AV847,AW847,AX847)</f>
        <v>5.92</v>
      </c>
      <c r="AZ847" s="961">
        <f>Drivers!AZ112</f>
        <v>1.48</v>
      </c>
      <c r="BA847" s="961">
        <f>Drivers!BA112</f>
        <v>1.48</v>
      </c>
      <c r="BB847" s="961">
        <f>Drivers!BB112</f>
        <v>1.48</v>
      </c>
      <c r="BC847" s="961">
        <f>Drivers!BC112</f>
        <v>1.48</v>
      </c>
      <c r="BD847" s="120">
        <f>SUM(AZ847,BA847,BB847,BC847)</f>
        <v>5.92</v>
      </c>
      <c r="BE847" s="961">
        <f>Drivers!BE112</f>
        <v>5.92</v>
      </c>
      <c r="BF847" s="961">
        <f>Drivers!BF112</f>
        <v>5.92</v>
      </c>
      <c r="BG847" s="961">
        <f>Drivers!BG112</f>
        <v>5.92</v>
      </c>
      <c r="BH847" s="132"/>
    </row>
    <row r="848" spans="1:60" s="57" customFormat="1" x14ac:dyDescent="0.35">
      <c r="A848" s="703"/>
      <c r="B848" s="702"/>
      <c r="C848" s="120"/>
      <c r="D848" s="120"/>
      <c r="E848" s="120"/>
      <c r="F848" s="120"/>
      <c r="G848" s="667"/>
      <c r="H848" s="667"/>
      <c r="I848" s="667"/>
      <c r="J848" s="667"/>
      <c r="K848" s="120"/>
      <c r="L848" s="667"/>
      <c r="M848" s="667"/>
      <c r="N848" s="667"/>
      <c r="O848" s="667"/>
      <c r="P848" s="120"/>
      <c r="Q848" s="667"/>
      <c r="R848" s="667"/>
      <c r="S848" s="667"/>
      <c r="T848" s="667"/>
      <c r="U848" s="120"/>
      <c r="V848" s="667"/>
      <c r="W848" s="667"/>
      <c r="X848" s="667"/>
      <c r="Y848" s="667"/>
      <c r="Z848" s="120"/>
      <c r="AA848" s="667"/>
      <c r="AB848" s="667"/>
      <c r="AC848" s="667"/>
      <c r="AD848" s="667"/>
      <c r="AE848" s="120"/>
      <c r="AF848" s="667"/>
      <c r="AG848" s="667"/>
      <c r="AH848" s="667"/>
      <c r="AI848" s="667"/>
      <c r="AJ848" s="120"/>
      <c r="AK848" s="667"/>
      <c r="AL848" s="667"/>
      <c r="AM848" s="667"/>
      <c r="AN848" s="667"/>
      <c r="AO848" s="120"/>
      <c r="AP848" s="667"/>
      <c r="AQ848" s="667"/>
      <c r="AR848" s="667"/>
      <c r="AS848" s="667"/>
      <c r="AT848" s="120"/>
      <c r="AU848" s="818"/>
      <c r="AV848" s="667"/>
      <c r="AW848" s="667"/>
      <c r="AX848" s="667"/>
      <c r="AY848" s="120"/>
      <c r="AZ848" s="667"/>
      <c r="BA848" s="667"/>
      <c r="BB848" s="667"/>
      <c r="BC848" s="667"/>
      <c r="BD848" s="120"/>
      <c r="BE848" s="120"/>
      <c r="BF848" s="120"/>
      <c r="BG848" s="120"/>
      <c r="BH848" s="132"/>
    </row>
    <row r="849" spans="1:60" s="57" customFormat="1" x14ac:dyDescent="0.35">
      <c r="A849" s="221" t="s">
        <v>719</v>
      </c>
      <c r="B849" s="702"/>
      <c r="C849" s="46">
        <f t="shared" ref="C849:AU849" si="1143">C980+C981+C982</f>
        <v>-1014</v>
      </c>
      <c r="D849" s="46">
        <f t="shared" si="1143"/>
        <v>-472</v>
      </c>
      <c r="E849" s="46">
        <f t="shared" si="1143"/>
        <v>-307</v>
      </c>
      <c r="F849" s="46">
        <f t="shared" si="1143"/>
        <v>722</v>
      </c>
      <c r="G849" s="351">
        <f t="shared" si="1143"/>
        <v>-9</v>
      </c>
      <c r="H849" s="351">
        <f t="shared" si="1143"/>
        <v>-4</v>
      </c>
      <c r="I849" s="351">
        <f t="shared" si="1143"/>
        <v>-221</v>
      </c>
      <c r="J849" s="351">
        <f t="shared" si="1143"/>
        <v>197</v>
      </c>
      <c r="K849" s="46">
        <f t="shared" si="1143"/>
        <v>-37</v>
      </c>
      <c r="L849" s="351">
        <f t="shared" si="1143"/>
        <v>574</v>
      </c>
      <c r="M849" s="351">
        <f t="shared" si="1143"/>
        <v>447</v>
      </c>
      <c r="N849" s="351">
        <f t="shared" si="1143"/>
        <v>427</v>
      </c>
      <c r="O849" s="351">
        <f t="shared" si="1143"/>
        <v>-438</v>
      </c>
      <c r="P849" s="46">
        <f t="shared" si="1143"/>
        <v>1010</v>
      </c>
      <c r="Q849" s="351">
        <f t="shared" si="1143"/>
        <v>-4</v>
      </c>
      <c r="R849" s="351">
        <f t="shared" si="1143"/>
        <v>1880</v>
      </c>
      <c r="S849" s="351">
        <f t="shared" si="1143"/>
        <v>1911</v>
      </c>
      <c r="T849" s="351">
        <f t="shared" si="1143"/>
        <v>-305</v>
      </c>
      <c r="U849" s="46">
        <f t="shared" si="1143"/>
        <v>3482</v>
      </c>
      <c r="V849" s="351">
        <f t="shared" si="1143"/>
        <v>138</v>
      </c>
      <c r="W849" s="351">
        <f t="shared" si="1143"/>
        <v>637</v>
      </c>
      <c r="X849" s="351">
        <f t="shared" si="1143"/>
        <v>567</v>
      </c>
      <c r="Y849" s="351">
        <f t="shared" si="1143"/>
        <v>-299</v>
      </c>
      <c r="Z849" s="46">
        <f t="shared" si="1143"/>
        <v>1043</v>
      </c>
      <c r="AA849" s="351">
        <f t="shared" si="1143"/>
        <v>-68</v>
      </c>
      <c r="AB849" s="351">
        <f t="shared" si="1143"/>
        <v>-695</v>
      </c>
      <c r="AC849" s="351">
        <f t="shared" si="1143"/>
        <v>173</v>
      </c>
      <c r="AD849" s="351">
        <f t="shared" si="1143"/>
        <v>2193</v>
      </c>
      <c r="AE849" s="46">
        <f t="shared" si="1143"/>
        <v>1603</v>
      </c>
      <c r="AF849" s="351">
        <f t="shared" si="1143"/>
        <v>1581</v>
      </c>
      <c r="AG849" s="351">
        <f t="shared" si="1143"/>
        <v>-807</v>
      </c>
      <c r="AH849" s="351">
        <f t="shared" si="1143"/>
        <v>319</v>
      </c>
      <c r="AI849" s="351">
        <f t="shared" si="1143"/>
        <v>-160</v>
      </c>
      <c r="AJ849" s="46">
        <f t="shared" si="1143"/>
        <v>933</v>
      </c>
      <c r="AK849" s="351">
        <f t="shared" si="1143"/>
        <v>1591</v>
      </c>
      <c r="AL849" s="351">
        <f t="shared" si="1143"/>
        <v>-638</v>
      </c>
      <c r="AM849" s="351">
        <f t="shared" si="1143"/>
        <v>3826</v>
      </c>
      <c r="AN849" s="351">
        <f t="shared" si="1143"/>
        <v>-1530</v>
      </c>
      <c r="AO849" s="46">
        <f t="shared" si="1143"/>
        <v>3249</v>
      </c>
      <c r="AP849" s="351">
        <f t="shared" si="1143"/>
        <v>2207</v>
      </c>
      <c r="AQ849" s="351">
        <f t="shared" si="1143"/>
        <v>-1740</v>
      </c>
      <c r="AR849" s="351">
        <f t="shared" si="1143"/>
        <v>-1337</v>
      </c>
      <c r="AS849" s="351">
        <f t="shared" si="1143"/>
        <v>-1005</v>
      </c>
      <c r="AT849" s="46">
        <f t="shared" si="1143"/>
        <v>-1875</v>
      </c>
      <c r="AU849" s="805">
        <f t="shared" si="1143"/>
        <v>-444</v>
      </c>
      <c r="AV849" s="954">
        <f>Drivers!AV113</f>
        <v>0</v>
      </c>
      <c r="AW849" s="954">
        <f>Drivers!AW113</f>
        <v>0</v>
      </c>
      <c r="AX849" s="954">
        <f>Drivers!AX113</f>
        <v>0</v>
      </c>
      <c r="AY849" s="108">
        <f>AY980+AY981+AY982</f>
        <v>-444</v>
      </c>
      <c r="AZ849" s="954">
        <f>Drivers!AZ113</f>
        <v>0</v>
      </c>
      <c r="BA849" s="954">
        <f>Drivers!BA113</f>
        <v>0</v>
      </c>
      <c r="BB849" s="954">
        <f>Drivers!BB113</f>
        <v>0</v>
      </c>
      <c r="BC849" s="954">
        <f>Drivers!BC113</f>
        <v>0</v>
      </c>
      <c r="BD849" s="108">
        <f>BD980+BD981+BD982</f>
        <v>0</v>
      </c>
      <c r="BE849" s="954">
        <f>Drivers!BE113</f>
        <v>0</v>
      </c>
      <c r="BF849" s="954">
        <f>Drivers!BF113</f>
        <v>0</v>
      </c>
      <c r="BG849" s="954">
        <f>Drivers!BG113</f>
        <v>0</v>
      </c>
      <c r="BH849" s="132"/>
    </row>
    <row r="850" spans="1:60" s="57" customFormat="1" x14ac:dyDescent="0.35">
      <c r="A850" s="221" t="s">
        <v>722</v>
      </c>
      <c r="B850" s="702"/>
      <c r="C850" s="46">
        <f t="shared" ref="C850:AU850" si="1144">C983+C984+C986</f>
        <v>428</v>
      </c>
      <c r="D850" s="46">
        <f t="shared" si="1144"/>
        <v>-135</v>
      </c>
      <c r="E850" s="46">
        <f t="shared" si="1144"/>
        <v>-1746</v>
      </c>
      <c r="F850" s="46">
        <f t="shared" si="1144"/>
        <v>-1130</v>
      </c>
      <c r="G850" s="351">
        <f t="shared" si="1144"/>
        <v>-33</v>
      </c>
      <c r="H850" s="351">
        <f t="shared" si="1144"/>
        <v>-808</v>
      </c>
      <c r="I850" s="351">
        <f t="shared" si="1144"/>
        <v>-1257</v>
      </c>
      <c r="J850" s="351">
        <f t="shared" si="1144"/>
        <v>-1413</v>
      </c>
      <c r="K850" s="46">
        <f t="shared" si="1144"/>
        <v>-3511</v>
      </c>
      <c r="L850" s="351">
        <f t="shared" si="1144"/>
        <v>-1390</v>
      </c>
      <c r="M850" s="351">
        <f t="shared" si="1144"/>
        <v>-1062</v>
      </c>
      <c r="N850" s="351">
        <f t="shared" si="1144"/>
        <v>-1061</v>
      </c>
      <c r="O850" s="351">
        <f t="shared" si="1144"/>
        <v>-1004</v>
      </c>
      <c r="P850" s="46">
        <f t="shared" si="1144"/>
        <v>-4517</v>
      </c>
      <c r="Q850" s="351">
        <f t="shared" si="1144"/>
        <v>-476</v>
      </c>
      <c r="R850" s="351">
        <f t="shared" si="1144"/>
        <v>-1526</v>
      </c>
      <c r="S850" s="351">
        <f t="shared" si="1144"/>
        <v>-1447</v>
      </c>
      <c r="T850" s="351">
        <f t="shared" si="1144"/>
        <v>-1000</v>
      </c>
      <c r="U850" s="46">
        <f t="shared" si="1144"/>
        <v>-4449</v>
      </c>
      <c r="V850" s="351">
        <f t="shared" si="1144"/>
        <v>-870</v>
      </c>
      <c r="W850" s="351">
        <f t="shared" si="1144"/>
        <v>-573</v>
      </c>
      <c r="X850" s="351">
        <f t="shared" si="1144"/>
        <v>-645</v>
      </c>
      <c r="Y850" s="351">
        <f t="shared" si="1144"/>
        <v>-861</v>
      </c>
      <c r="Z850" s="46">
        <f t="shared" si="1144"/>
        <v>-2949</v>
      </c>
      <c r="AA850" s="351">
        <f t="shared" si="1144"/>
        <v>-375</v>
      </c>
      <c r="AB850" s="351">
        <f t="shared" si="1144"/>
        <v>-313</v>
      </c>
      <c r="AC850" s="351">
        <f t="shared" si="1144"/>
        <v>-294</v>
      </c>
      <c r="AD850" s="351">
        <f t="shared" si="1144"/>
        <v>-352</v>
      </c>
      <c r="AE850" s="46">
        <f t="shared" si="1144"/>
        <v>-1334</v>
      </c>
      <c r="AF850" s="351">
        <f t="shared" si="1144"/>
        <v>-718</v>
      </c>
      <c r="AG850" s="351">
        <f t="shared" si="1144"/>
        <v>-1514</v>
      </c>
      <c r="AH850" s="351">
        <f t="shared" si="1144"/>
        <v>-968</v>
      </c>
      <c r="AI850" s="351">
        <f t="shared" si="1144"/>
        <v>-1185</v>
      </c>
      <c r="AJ850" s="46">
        <f t="shared" si="1144"/>
        <v>-4385</v>
      </c>
      <c r="AK850" s="351">
        <f t="shared" si="1144"/>
        <v>-486</v>
      </c>
      <c r="AL850" s="351">
        <f t="shared" si="1144"/>
        <v>-250</v>
      </c>
      <c r="AM850" s="351">
        <f t="shared" si="1144"/>
        <v>-70</v>
      </c>
      <c r="AN850" s="351">
        <f t="shared" si="1144"/>
        <v>-54</v>
      </c>
      <c r="AO850" s="46">
        <f t="shared" si="1144"/>
        <v>-860</v>
      </c>
      <c r="AP850" s="351">
        <f t="shared" si="1144"/>
        <v>-216</v>
      </c>
      <c r="AQ850" s="351">
        <f t="shared" si="1144"/>
        <v>86</v>
      </c>
      <c r="AR850" s="351">
        <f t="shared" si="1144"/>
        <v>89</v>
      </c>
      <c r="AS850" s="351">
        <f t="shared" si="1144"/>
        <v>102</v>
      </c>
      <c r="AT850" s="46">
        <f t="shared" si="1144"/>
        <v>61</v>
      </c>
      <c r="AU850" s="805">
        <f t="shared" si="1144"/>
        <v>62</v>
      </c>
      <c r="AV850" s="954">
        <f>Drivers!AV114</f>
        <v>-500</v>
      </c>
      <c r="AW850" s="954">
        <f>Drivers!AW114</f>
        <v>-500</v>
      </c>
      <c r="AX850" s="954">
        <f>Drivers!AX114</f>
        <v>-500</v>
      </c>
      <c r="AY850" s="108">
        <f>AY983+AY984+AY986</f>
        <v>-1438</v>
      </c>
      <c r="AZ850" s="954">
        <f>Drivers!AZ114</f>
        <v>-500</v>
      </c>
      <c r="BA850" s="954">
        <f>Drivers!BA114</f>
        <v>-500</v>
      </c>
      <c r="BB850" s="954">
        <f>Drivers!BB114</f>
        <v>-500</v>
      </c>
      <c r="BC850" s="954">
        <f>Drivers!BC114</f>
        <v>-500</v>
      </c>
      <c r="BD850" s="108">
        <f>BD983+BD984+BD986</f>
        <v>-2000</v>
      </c>
      <c r="BE850" s="954">
        <f>Drivers!BE114</f>
        <v>-2000</v>
      </c>
      <c r="BF850" s="954">
        <f>Drivers!BF114</f>
        <v>-2000</v>
      </c>
      <c r="BG850" s="954">
        <f>Drivers!BG114</f>
        <v>-2000</v>
      </c>
      <c r="BH850" s="132"/>
    </row>
    <row r="851" spans="1:60" s="57" customFormat="1" x14ac:dyDescent="0.35">
      <c r="A851" s="550" t="s">
        <v>723</v>
      </c>
      <c r="B851" s="704"/>
      <c r="C851" s="416"/>
      <c r="D851" s="416"/>
      <c r="E851" s="416"/>
      <c r="F851" s="416"/>
      <c r="G851" s="668"/>
      <c r="H851" s="668"/>
      <c r="I851" s="668"/>
      <c r="J851" s="668"/>
      <c r="K851" s="416"/>
      <c r="L851" s="668"/>
      <c r="M851" s="668"/>
      <c r="N851" s="668"/>
      <c r="O851" s="668"/>
      <c r="P851" s="416"/>
      <c r="Q851" s="668"/>
      <c r="R851" s="668"/>
      <c r="S851" s="668"/>
      <c r="T851" s="668"/>
      <c r="U851" s="416"/>
      <c r="V851" s="668"/>
      <c r="W851" s="668"/>
      <c r="X851" s="668"/>
      <c r="Y851" s="668"/>
      <c r="Z851" s="416"/>
      <c r="AA851" s="668"/>
      <c r="AB851" s="668"/>
      <c r="AC851" s="668"/>
      <c r="AD851" s="668"/>
      <c r="AE851" s="416"/>
      <c r="AF851" s="668"/>
      <c r="AG851" s="668"/>
      <c r="AH851" s="668"/>
      <c r="AI851" s="668"/>
      <c r="AJ851" s="416"/>
      <c r="AK851" s="668"/>
      <c r="AL851" s="668"/>
      <c r="AM851" s="668"/>
      <c r="AN851" s="668"/>
      <c r="AO851" s="416"/>
      <c r="AP851" s="668"/>
      <c r="AQ851" s="668"/>
      <c r="AR851" s="668"/>
      <c r="AS851" s="668"/>
      <c r="AT851" s="416"/>
      <c r="AU851" s="819"/>
      <c r="AV851" s="963">
        <f>Drivers!AV115</f>
        <v>194</v>
      </c>
      <c r="AW851" s="963">
        <f>Drivers!AW115</f>
        <v>194</v>
      </c>
      <c r="AX851" s="963">
        <f>Drivers!AX115</f>
        <v>194</v>
      </c>
      <c r="AY851" s="416">
        <f>AVERAGE(AU851,AV851,AW851,AX851)</f>
        <v>194</v>
      </c>
      <c r="AZ851" s="963">
        <f>Drivers!AZ115</f>
        <v>213</v>
      </c>
      <c r="BA851" s="963">
        <f>Drivers!BA115</f>
        <v>213</v>
      </c>
      <c r="BB851" s="963">
        <f>Drivers!BB115</f>
        <v>213</v>
      </c>
      <c r="BC851" s="963">
        <f>Drivers!BC115</f>
        <v>213</v>
      </c>
      <c r="BD851" s="416">
        <f>AVERAGE(AZ851,BA851,BB851,BC851)</f>
        <v>213</v>
      </c>
      <c r="BE851" s="963">
        <f>Drivers!BE115</f>
        <v>234</v>
      </c>
      <c r="BF851" s="963">
        <f>Drivers!BF115</f>
        <v>257</v>
      </c>
      <c r="BG851" s="963">
        <f>Drivers!BG115</f>
        <v>283</v>
      </c>
      <c r="BH851" s="132"/>
    </row>
    <row r="852" spans="1:60" s="54" customFormat="1" x14ac:dyDescent="0.35">
      <c r="A852" s="431"/>
      <c r="B852" s="432"/>
      <c r="C852" s="882"/>
      <c r="D852" s="882"/>
      <c r="E852" s="882"/>
      <c r="F852" s="882"/>
      <c r="G852" s="883"/>
      <c r="H852" s="883"/>
      <c r="I852" s="883"/>
      <c r="J852" s="883"/>
      <c r="K852" s="882"/>
      <c r="L852" s="883"/>
      <c r="M852" s="883"/>
      <c r="N852" s="883"/>
      <c r="O852" s="883"/>
      <c r="P852" s="882"/>
      <c r="Q852" s="883"/>
      <c r="R852" s="883"/>
      <c r="S852" s="883"/>
      <c r="T852" s="883"/>
      <c r="U852" s="882"/>
      <c r="V852" s="883"/>
      <c r="W852" s="883"/>
      <c r="X852" s="883"/>
      <c r="Y852" s="883"/>
      <c r="Z852" s="882"/>
      <c r="AA852" s="883"/>
      <c r="AB852" s="883"/>
      <c r="AC852" s="883"/>
      <c r="AD852" s="883"/>
      <c r="AE852" s="882"/>
      <c r="AF852" s="883"/>
      <c r="AG852" s="883"/>
      <c r="AH852" s="883"/>
      <c r="AI852" s="883"/>
      <c r="AJ852" s="882"/>
      <c r="AK852" s="883"/>
      <c r="AL852" s="883"/>
      <c r="AM852" s="883"/>
      <c r="AN852" s="883"/>
      <c r="AO852" s="882"/>
      <c r="AP852" s="883"/>
      <c r="AQ852" s="883"/>
      <c r="AR852" s="883"/>
      <c r="AS852" s="883"/>
      <c r="AT852" s="882"/>
      <c r="AU852" s="884"/>
      <c r="AV852" s="883"/>
      <c r="AW852" s="883"/>
      <c r="AX852" s="883"/>
      <c r="AY852" s="882"/>
      <c r="AZ852" s="883"/>
      <c r="BA852" s="883"/>
      <c r="BB852" s="883"/>
      <c r="BC852" s="883"/>
      <c r="BD852" s="882"/>
      <c r="BE852" s="882"/>
      <c r="BF852" s="882"/>
      <c r="BG852" s="882"/>
      <c r="BH852" s="652"/>
    </row>
    <row r="853" spans="1:60" s="60" customFormat="1" x14ac:dyDescent="0.35">
      <c r="A853" s="236" t="s">
        <v>99</v>
      </c>
      <c r="B853" s="317"/>
      <c r="C853" s="46">
        <f t="shared" ref="C853:AH853" si="1145">C839+C842</f>
        <v>3833</v>
      </c>
      <c r="D853" s="46">
        <f t="shared" si="1145"/>
        <v>3947</v>
      </c>
      <c r="E853" s="46">
        <f t="shared" si="1145"/>
        <v>4564</v>
      </c>
      <c r="F853" s="46">
        <f t="shared" si="1145"/>
        <v>4013</v>
      </c>
      <c r="G853" s="351">
        <f t="shared" si="1145"/>
        <v>1359</v>
      </c>
      <c r="H853" s="351">
        <f t="shared" si="1145"/>
        <v>1194</v>
      </c>
      <c r="I853" s="351">
        <f t="shared" si="1145"/>
        <v>1048</v>
      </c>
      <c r="J853" s="351">
        <f t="shared" si="1145"/>
        <v>878</v>
      </c>
      <c r="K853" s="46">
        <f t="shared" si="1145"/>
        <v>4479</v>
      </c>
      <c r="L853" s="351">
        <f t="shared" si="1145"/>
        <v>1326</v>
      </c>
      <c r="M853" s="351">
        <f t="shared" si="1145"/>
        <v>1416</v>
      </c>
      <c r="N853" s="351">
        <f t="shared" si="1145"/>
        <v>1352</v>
      </c>
      <c r="O853" s="351">
        <f t="shared" si="1145"/>
        <v>962</v>
      </c>
      <c r="P853" s="46">
        <f t="shared" si="1145"/>
        <v>5056</v>
      </c>
      <c r="Q853" s="351">
        <f t="shared" si="1145"/>
        <v>1373</v>
      </c>
      <c r="R853" s="351">
        <f t="shared" si="1145"/>
        <v>1604</v>
      </c>
      <c r="S853" s="351">
        <f t="shared" si="1145"/>
        <v>1539</v>
      </c>
      <c r="T853" s="351">
        <f t="shared" si="1145"/>
        <v>1105</v>
      </c>
      <c r="U853" s="46">
        <f t="shared" si="1145"/>
        <v>5621</v>
      </c>
      <c r="V853" s="351">
        <f t="shared" si="1145"/>
        <v>1429</v>
      </c>
      <c r="W853" s="351">
        <f t="shared" si="1145"/>
        <v>1307</v>
      </c>
      <c r="X853" s="351">
        <f t="shared" si="1145"/>
        <v>1273</v>
      </c>
      <c r="Y853" s="351">
        <f t="shared" si="1145"/>
        <v>1276</v>
      </c>
      <c r="Z853" s="46">
        <f t="shared" si="1145"/>
        <v>5285</v>
      </c>
      <c r="AA853" s="351">
        <f t="shared" si="1145"/>
        <v>1344</v>
      </c>
      <c r="AB853" s="351">
        <f t="shared" si="1145"/>
        <v>1276</v>
      </c>
      <c r="AC853" s="351">
        <f t="shared" si="1145"/>
        <v>1605</v>
      </c>
      <c r="AD853" s="351">
        <f t="shared" si="1145"/>
        <v>27</v>
      </c>
      <c r="AE853" s="46">
        <f t="shared" si="1145"/>
        <v>4252</v>
      </c>
      <c r="AF853" s="351">
        <f t="shared" si="1145"/>
        <v>586</v>
      </c>
      <c r="AG853" s="351">
        <f t="shared" si="1145"/>
        <v>1595</v>
      </c>
      <c r="AH853" s="351">
        <f t="shared" si="1145"/>
        <v>1562</v>
      </c>
      <c r="AI853" s="351">
        <f t="shared" ref="AI853:AY853" si="1146">AI839+AI842</f>
        <v>1271</v>
      </c>
      <c r="AJ853" s="46">
        <f t="shared" si="1146"/>
        <v>5014</v>
      </c>
      <c r="AK853" s="351">
        <f t="shared" si="1146"/>
        <v>969</v>
      </c>
      <c r="AL853" s="351">
        <f t="shared" si="1146"/>
        <v>1347</v>
      </c>
      <c r="AM853" s="351">
        <f t="shared" si="1146"/>
        <v>1571</v>
      </c>
      <c r="AN853" s="351">
        <f t="shared" si="1146"/>
        <v>792</v>
      </c>
      <c r="AO853" s="46">
        <f t="shared" si="1146"/>
        <v>4679</v>
      </c>
      <c r="AP853" s="351">
        <f t="shared" si="1146"/>
        <v>1608</v>
      </c>
      <c r="AQ853" s="351">
        <f t="shared" si="1146"/>
        <v>1138</v>
      </c>
      <c r="AR853" s="351">
        <f>AR839+AR842</f>
        <v>1529</v>
      </c>
      <c r="AS853" s="351">
        <f>AS839+AS842</f>
        <v>1481</v>
      </c>
      <c r="AT853" s="46">
        <f>AT839+AT842</f>
        <v>5756</v>
      </c>
      <c r="AU853" s="805">
        <f t="shared" ref="AU853" si="1147">AU839+AU842</f>
        <v>1924</v>
      </c>
      <c r="AV853" s="203">
        <f t="shared" si="1146"/>
        <v>1273.4530607016989</v>
      </c>
      <c r="AW853" s="203">
        <f t="shared" si="1146"/>
        <v>1548.3527774651088</v>
      </c>
      <c r="AX853" s="203">
        <f t="shared" si="1146"/>
        <v>1631.9110214527232</v>
      </c>
      <c r="AY853" s="108">
        <f t="shared" si="1146"/>
        <v>6377.7168596195306</v>
      </c>
      <c r="AZ853" s="203">
        <f t="shared" ref="AZ853:BG853" si="1148">AZ839+AZ842</f>
        <v>1815.6398589036971</v>
      </c>
      <c r="BA853" s="203">
        <f t="shared" ca="1" si="1148"/>
        <v>1500.5014913662974</v>
      </c>
      <c r="BB853" s="203">
        <f t="shared" ca="1" si="1148"/>
        <v>1613.3728175827177</v>
      </c>
      <c r="BC853" s="203">
        <f t="shared" ca="1" si="1148"/>
        <v>1795.0884466410671</v>
      </c>
      <c r="BD853" s="108">
        <f t="shared" ca="1" si="1148"/>
        <v>6724.6026144937787</v>
      </c>
      <c r="BE853" s="108">
        <f t="shared" ca="1" si="1148"/>
        <v>7379.0768052823114</v>
      </c>
      <c r="BF853" s="108">
        <f t="shared" ca="1" si="1148"/>
        <v>8093.1708022494713</v>
      </c>
      <c r="BG853" s="108">
        <f t="shared" ca="1" si="1148"/>
        <v>8870.6190398781582</v>
      </c>
      <c r="BH853" s="351"/>
    </row>
    <row r="854" spans="1:60" s="60" customFormat="1" x14ac:dyDescent="0.35">
      <c r="A854" s="236" t="s">
        <v>100</v>
      </c>
      <c r="B854" s="317"/>
      <c r="C854" s="46">
        <f t="shared" ref="C854:AH854" si="1149">C853+C846</f>
        <v>2402</v>
      </c>
      <c r="D854" s="46">
        <f t="shared" si="1149"/>
        <v>2447</v>
      </c>
      <c r="E854" s="46">
        <f t="shared" si="1149"/>
        <v>3009</v>
      </c>
      <c r="F854" s="46">
        <f t="shared" si="1149"/>
        <v>2378</v>
      </c>
      <c r="G854" s="351">
        <f t="shared" si="1149"/>
        <v>919</v>
      </c>
      <c r="H854" s="351">
        <f t="shared" si="1149"/>
        <v>758</v>
      </c>
      <c r="I854" s="351">
        <f t="shared" si="1149"/>
        <v>617</v>
      </c>
      <c r="J854" s="351">
        <f t="shared" si="1149"/>
        <v>455</v>
      </c>
      <c r="K854" s="46">
        <f t="shared" si="1149"/>
        <v>2749</v>
      </c>
      <c r="L854" s="351">
        <f t="shared" si="1149"/>
        <v>760</v>
      </c>
      <c r="M854" s="351">
        <f t="shared" si="1149"/>
        <v>860</v>
      </c>
      <c r="N854" s="351">
        <f t="shared" si="1149"/>
        <v>802</v>
      </c>
      <c r="O854" s="351">
        <f t="shared" si="1149"/>
        <v>418</v>
      </c>
      <c r="P854" s="46">
        <f t="shared" si="1149"/>
        <v>2840</v>
      </c>
      <c r="Q854" s="351">
        <f t="shared" si="1149"/>
        <v>721</v>
      </c>
      <c r="R854" s="351">
        <f t="shared" si="1149"/>
        <v>958</v>
      </c>
      <c r="S854" s="351">
        <f t="shared" si="1149"/>
        <v>904</v>
      </c>
      <c r="T854" s="351">
        <f t="shared" si="1149"/>
        <v>477</v>
      </c>
      <c r="U854" s="46">
        <f t="shared" si="1149"/>
        <v>3060</v>
      </c>
      <c r="V854" s="351">
        <f t="shared" si="1149"/>
        <v>757</v>
      </c>
      <c r="W854" s="351">
        <f t="shared" si="1149"/>
        <v>635</v>
      </c>
      <c r="X854" s="351">
        <f t="shared" si="1149"/>
        <v>603</v>
      </c>
      <c r="Y854" s="351">
        <f t="shared" si="1149"/>
        <v>612</v>
      </c>
      <c r="Z854" s="46">
        <f t="shared" si="1149"/>
        <v>2607</v>
      </c>
      <c r="AA854" s="351">
        <f t="shared" si="1149"/>
        <v>642</v>
      </c>
      <c r="AB854" s="351">
        <f t="shared" si="1149"/>
        <v>575</v>
      </c>
      <c r="AC854" s="351">
        <f t="shared" si="1149"/>
        <v>904</v>
      </c>
      <c r="AD854" s="351">
        <f t="shared" si="1149"/>
        <v>-672</v>
      </c>
      <c r="AE854" s="46">
        <f t="shared" si="1149"/>
        <v>1449</v>
      </c>
      <c r="AF854" s="351">
        <f t="shared" si="1149"/>
        <v>-224</v>
      </c>
      <c r="AG854" s="351">
        <f t="shared" si="1149"/>
        <v>793</v>
      </c>
      <c r="AH854" s="351">
        <f t="shared" si="1149"/>
        <v>768</v>
      </c>
      <c r="AI854" s="351">
        <f t="shared" ref="AI854:AY854" si="1150">AI853+AI846</f>
        <v>484</v>
      </c>
      <c r="AJ854" s="46">
        <f t="shared" si="1150"/>
        <v>1821</v>
      </c>
      <c r="AK854" s="351">
        <f t="shared" si="1150"/>
        <v>139</v>
      </c>
      <c r="AL854" s="351">
        <f t="shared" si="1150"/>
        <v>517</v>
      </c>
      <c r="AM854" s="351">
        <f t="shared" si="1150"/>
        <v>743</v>
      </c>
      <c r="AN854" s="351">
        <f t="shared" si="1150"/>
        <v>-36</v>
      </c>
      <c r="AO854" s="46">
        <f t="shared" si="1150"/>
        <v>1363</v>
      </c>
      <c r="AP854" s="351">
        <f t="shared" si="1150"/>
        <v>761</v>
      </c>
      <c r="AQ854" s="351">
        <f t="shared" si="1150"/>
        <v>292</v>
      </c>
      <c r="AR854" s="351">
        <f>AR853+AR846</f>
        <v>682</v>
      </c>
      <c r="AS854" s="351">
        <f>AS853+AS846</f>
        <v>633</v>
      </c>
      <c r="AT854" s="46">
        <f>AT853+AT846</f>
        <v>2368</v>
      </c>
      <c r="AU854" s="805">
        <f t="shared" ref="AU854" si="1151">AU853+AU846</f>
        <v>1066</v>
      </c>
      <c r="AV854" s="203">
        <f t="shared" si="1150"/>
        <v>418.12749369138953</v>
      </c>
      <c r="AW854" s="203">
        <f t="shared" si="1150"/>
        <v>696.84164344449016</v>
      </c>
      <c r="AX854" s="203">
        <f t="shared" si="1150"/>
        <v>784.21432042179515</v>
      </c>
      <c r="AY854" s="108">
        <f t="shared" si="1150"/>
        <v>2965.1834575576745</v>
      </c>
      <c r="AZ854" s="203">
        <f t="shared" ref="AZ854:BG854" ca="1" si="1152">AZ853+AZ846</f>
        <v>971.41733627652502</v>
      </c>
      <c r="BA854" s="203">
        <f t="shared" ca="1" si="1152"/>
        <v>659.75314714288106</v>
      </c>
      <c r="BB854" s="203">
        <f t="shared" ca="1" si="1152"/>
        <v>776.09865176305721</v>
      </c>
      <c r="BC854" s="203">
        <f t="shared" ca="1" si="1152"/>
        <v>961.28845922516246</v>
      </c>
      <c r="BD854" s="108">
        <f t="shared" ca="1" si="1152"/>
        <v>3368.5575944076249</v>
      </c>
      <c r="BE854" s="108">
        <f t="shared" ca="1" si="1152"/>
        <v>4094.4751462169834</v>
      </c>
      <c r="BF854" s="108">
        <f t="shared" ca="1" si="1152"/>
        <v>4854.6391820946492</v>
      </c>
      <c r="BG854" s="108">
        <f t="shared" ca="1" si="1152"/>
        <v>5673.9248755537246</v>
      </c>
      <c r="BH854" s="351"/>
    </row>
    <row r="855" spans="1:60" s="60" customFormat="1" x14ac:dyDescent="0.35">
      <c r="A855" s="236" t="s">
        <v>101</v>
      </c>
      <c r="B855" s="317"/>
      <c r="C855" s="46">
        <f t="shared" ref="C855:AH855" si="1153">C854+C844+C845</f>
        <v>2412</v>
      </c>
      <c r="D855" s="46">
        <f t="shared" si="1153"/>
        <v>642</v>
      </c>
      <c r="E855" s="46">
        <f t="shared" si="1153"/>
        <v>2415</v>
      </c>
      <c r="F855" s="46">
        <f t="shared" si="1153"/>
        <v>1373</v>
      </c>
      <c r="G855" s="351">
        <f t="shared" si="1153"/>
        <v>929</v>
      </c>
      <c r="H855" s="351">
        <f t="shared" si="1153"/>
        <v>774</v>
      </c>
      <c r="I855" s="351">
        <f t="shared" si="1153"/>
        <v>685</v>
      </c>
      <c r="J855" s="351">
        <f t="shared" si="1153"/>
        <v>497</v>
      </c>
      <c r="K855" s="46">
        <f t="shared" si="1153"/>
        <v>2885</v>
      </c>
      <c r="L855" s="351">
        <f t="shared" si="1153"/>
        <v>763</v>
      </c>
      <c r="M855" s="351">
        <f t="shared" si="1153"/>
        <v>801</v>
      </c>
      <c r="N855" s="351">
        <f t="shared" si="1153"/>
        <v>181</v>
      </c>
      <c r="O855" s="351">
        <f t="shared" si="1153"/>
        <v>275</v>
      </c>
      <c r="P855" s="46">
        <f t="shared" si="1153"/>
        <v>2020</v>
      </c>
      <c r="Q855" s="351">
        <f t="shared" si="1153"/>
        <v>594</v>
      </c>
      <c r="R855" s="351">
        <f t="shared" si="1153"/>
        <v>965</v>
      </c>
      <c r="S855" s="351">
        <f t="shared" si="1153"/>
        <v>-1850</v>
      </c>
      <c r="T855" s="351">
        <f t="shared" si="1153"/>
        <v>593</v>
      </c>
      <c r="U855" s="46">
        <f t="shared" si="1153"/>
        <v>302</v>
      </c>
      <c r="V855" s="351">
        <f t="shared" si="1153"/>
        <v>827</v>
      </c>
      <c r="W855" s="351">
        <f t="shared" si="1153"/>
        <v>635</v>
      </c>
      <c r="X855" s="351">
        <f t="shared" si="1153"/>
        <v>590</v>
      </c>
      <c r="Y855" s="351">
        <f t="shared" si="1153"/>
        <v>739</v>
      </c>
      <c r="Z855" s="46">
        <f t="shared" si="1153"/>
        <v>2791</v>
      </c>
      <c r="AA855" s="351">
        <f t="shared" si="1153"/>
        <v>696</v>
      </c>
      <c r="AB855" s="351">
        <f t="shared" si="1153"/>
        <v>1396</v>
      </c>
      <c r="AC855" s="351">
        <f t="shared" si="1153"/>
        <v>897</v>
      </c>
      <c r="AD855" s="351">
        <f t="shared" si="1153"/>
        <v>-2449</v>
      </c>
      <c r="AE855" s="46">
        <f t="shared" si="1153"/>
        <v>540</v>
      </c>
      <c r="AF855" s="351">
        <f t="shared" si="1153"/>
        <v>-101</v>
      </c>
      <c r="AG855" s="351">
        <f t="shared" si="1153"/>
        <v>1585</v>
      </c>
      <c r="AH855" s="351">
        <f t="shared" si="1153"/>
        <v>815</v>
      </c>
      <c r="AI855" s="351">
        <f t="shared" ref="AI855:AY855" si="1154">AI854+AI844+AI845</f>
        <v>643</v>
      </c>
      <c r="AJ855" s="46">
        <f t="shared" si="1154"/>
        <v>2942</v>
      </c>
      <c r="AK855" s="351">
        <f t="shared" si="1154"/>
        <v>-558</v>
      </c>
      <c r="AL855" s="351">
        <f t="shared" si="1154"/>
        <v>519</v>
      </c>
      <c r="AM855" s="351">
        <f t="shared" si="1154"/>
        <v>1061</v>
      </c>
      <c r="AN855" s="351">
        <f t="shared" si="1154"/>
        <v>-4284</v>
      </c>
      <c r="AO855" s="46">
        <f t="shared" si="1154"/>
        <v>-3262</v>
      </c>
      <c r="AP855" s="351">
        <f t="shared" si="1154"/>
        <v>829</v>
      </c>
      <c r="AQ855" s="351">
        <f t="shared" si="1154"/>
        <v>788</v>
      </c>
      <c r="AR855" s="351">
        <f>AR854+AR844+AR845</f>
        <v>698</v>
      </c>
      <c r="AS855" s="351">
        <f>AS854+AS844+AS845</f>
        <v>732</v>
      </c>
      <c r="AT855" s="46">
        <f>AT854+AT844+AT845</f>
        <v>3047</v>
      </c>
      <c r="AU855" s="805">
        <f t="shared" ref="AU855" si="1155">AU854+AU844+AU845</f>
        <v>1066</v>
      </c>
      <c r="AV855" s="203">
        <f t="shared" si="1154"/>
        <v>418.12749369138953</v>
      </c>
      <c r="AW855" s="203">
        <f t="shared" si="1154"/>
        <v>696.84164344449016</v>
      </c>
      <c r="AX855" s="203">
        <f t="shared" si="1154"/>
        <v>784.21432042179515</v>
      </c>
      <c r="AY855" s="108">
        <f t="shared" si="1154"/>
        <v>2965.1834575576745</v>
      </c>
      <c r="AZ855" s="203">
        <f t="shared" ref="AZ855:BG855" ca="1" si="1156">AZ854+AZ844+AZ845</f>
        <v>971.41733627652502</v>
      </c>
      <c r="BA855" s="203">
        <f t="shared" ca="1" si="1156"/>
        <v>659.75314714288106</v>
      </c>
      <c r="BB855" s="203">
        <f t="shared" ca="1" si="1156"/>
        <v>776.09865176305721</v>
      </c>
      <c r="BC855" s="203">
        <f t="shared" ca="1" si="1156"/>
        <v>961.28845922516246</v>
      </c>
      <c r="BD855" s="108">
        <f t="shared" ca="1" si="1156"/>
        <v>3368.5575944076249</v>
      </c>
      <c r="BE855" s="108">
        <f t="shared" ca="1" si="1156"/>
        <v>4094.4751462169834</v>
      </c>
      <c r="BF855" s="108">
        <f t="shared" ca="1" si="1156"/>
        <v>4854.6391820946492</v>
      </c>
      <c r="BG855" s="108">
        <f t="shared" ca="1" si="1156"/>
        <v>5673.9248755537246</v>
      </c>
      <c r="BH855" s="351"/>
    </row>
    <row r="856" spans="1:60" s="345" customFormat="1" x14ac:dyDescent="0.35">
      <c r="A856" s="90" t="s">
        <v>724</v>
      </c>
      <c r="B856" s="427"/>
      <c r="C856" s="70">
        <f t="shared" ref="C856:AH856" si="1157">C855+C849+C850</f>
        <v>1826</v>
      </c>
      <c r="D856" s="70">
        <f t="shared" si="1157"/>
        <v>35</v>
      </c>
      <c r="E856" s="70">
        <f t="shared" si="1157"/>
        <v>362</v>
      </c>
      <c r="F856" s="70">
        <f t="shared" si="1157"/>
        <v>965</v>
      </c>
      <c r="G856" s="79">
        <f t="shared" si="1157"/>
        <v>887</v>
      </c>
      <c r="H856" s="79">
        <f t="shared" si="1157"/>
        <v>-38</v>
      </c>
      <c r="I856" s="79">
        <f t="shared" si="1157"/>
        <v>-793</v>
      </c>
      <c r="J856" s="79">
        <f t="shared" si="1157"/>
        <v>-719</v>
      </c>
      <c r="K856" s="70">
        <f t="shared" si="1157"/>
        <v>-663</v>
      </c>
      <c r="L856" s="79">
        <f t="shared" si="1157"/>
        <v>-53</v>
      </c>
      <c r="M856" s="79">
        <f t="shared" si="1157"/>
        <v>186</v>
      </c>
      <c r="N856" s="79">
        <f t="shared" si="1157"/>
        <v>-453</v>
      </c>
      <c r="O856" s="79">
        <f t="shared" si="1157"/>
        <v>-1167</v>
      </c>
      <c r="P856" s="70">
        <f t="shared" si="1157"/>
        <v>-1487</v>
      </c>
      <c r="Q856" s="79">
        <f t="shared" si="1157"/>
        <v>114</v>
      </c>
      <c r="R856" s="79">
        <f t="shared" si="1157"/>
        <v>1319</v>
      </c>
      <c r="S856" s="79">
        <f t="shared" si="1157"/>
        <v>-1386</v>
      </c>
      <c r="T856" s="79">
        <f t="shared" si="1157"/>
        <v>-712</v>
      </c>
      <c r="U856" s="70">
        <f t="shared" si="1157"/>
        <v>-665</v>
      </c>
      <c r="V856" s="79">
        <f t="shared" si="1157"/>
        <v>95</v>
      </c>
      <c r="W856" s="79">
        <f t="shared" si="1157"/>
        <v>699</v>
      </c>
      <c r="X856" s="79">
        <f t="shared" si="1157"/>
        <v>512</v>
      </c>
      <c r="Y856" s="79">
        <f t="shared" si="1157"/>
        <v>-421</v>
      </c>
      <c r="Z856" s="70">
        <f t="shared" si="1157"/>
        <v>885</v>
      </c>
      <c r="AA856" s="79">
        <f t="shared" si="1157"/>
        <v>253</v>
      </c>
      <c r="AB856" s="79">
        <f t="shared" si="1157"/>
        <v>388</v>
      </c>
      <c r="AC856" s="79">
        <f t="shared" si="1157"/>
        <v>776</v>
      </c>
      <c r="AD856" s="79">
        <f t="shared" si="1157"/>
        <v>-608</v>
      </c>
      <c r="AE856" s="70">
        <f t="shared" si="1157"/>
        <v>809</v>
      </c>
      <c r="AF856" s="79">
        <f t="shared" si="1157"/>
        <v>762</v>
      </c>
      <c r="AG856" s="79">
        <f t="shared" si="1157"/>
        <v>-736</v>
      </c>
      <c r="AH856" s="79">
        <f t="shared" si="1157"/>
        <v>166</v>
      </c>
      <c r="AI856" s="79">
        <f t="shared" ref="AI856:AY856" si="1158">AI855+AI849+AI850</f>
        <v>-702</v>
      </c>
      <c r="AJ856" s="70">
        <f t="shared" si="1158"/>
        <v>-510</v>
      </c>
      <c r="AK856" s="79">
        <f t="shared" si="1158"/>
        <v>547</v>
      </c>
      <c r="AL856" s="79">
        <f t="shared" si="1158"/>
        <v>-369</v>
      </c>
      <c r="AM856" s="79">
        <f t="shared" si="1158"/>
        <v>4817</v>
      </c>
      <c r="AN856" s="79">
        <f t="shared" si="1158"/>
        <v>-5868</v>
      </c>
      <c r="AO856" s="70">
        <f t="shared" si="1158"/>
        <v>-873</v>
      </c>
      <c r="AP856" s="79">
        <f t="shared" si="1158"/>
        <v>2820</v>
      </c>
      <c r="AQ856" s="79">
        <f t="shared" si="1158"/>
        <v>-866</v>
      </c>
      <c r="AR856" s="79">
        <f>AR855+AR849+AR850</f>
        <v>-550</v>
      </c>
      <c r="AS856" s="79">
        <f>AS855+AS849+AS850</f>
        <v>-171</v>
      </c>
      <c r="AT856" s="70">
        <f>AT855+AT849+AT850</f>
        <v>1233</v>
      </c>
      <c r="AU856" s="803">
        <f t="shared" ref="AU856" si="1159">AU855+AU849+AU850</f>
        <v>684</v>
      </c>
      <c r="AV856" s="111">
        <f t="shared" si="1158"/>
        <v>-81.872506308610468</v>
      </c>
      <c r="AW856" s="111">
        <f t="shared" si="1158"/>
        <v>196.84164344449016</v>
      </c>
      <c r="AX856" s="111">
        <f t="shared" si="1158"/>
        <v>284.21432042179515</v>
      </c>
      <c r="AY856" s="112">
        <f t="shared" si="1158"/>
        <v>1083.1834575576745</v>
      </c>
      <c r="AZ856" s="111">
        <f t="shared" ref="AZ856:BG856" ca="1" si="1160">AZ855+AZ849+AZ850</f>
        <v>471.41733627652502</v>
      </c>
      <c r="BA856" s="111">
        <f t="shared" ca="1" si="1160"/>
        <v>159.75314714288106</v>
      </c>
      <c r="BB856" s="111">
        <f t="shared" ca="1" si="1160"/>
        <v>276.09865176305721</v>
      </c>
      <c r="BC856" s="111">
        <f t="shared" ca="1" si="1160"/>
        <v>461.28845922516246</v>
      </c>
      <c r="BD856" s="112">
        <f t="shared" ca="1" si="1160"/>
        <v>1368.5575944076249</v>
      </c>
      <c r="BE856" s="112">
        <f t="shared" ca="1" si="1160"/>
        <v>2094.4751462169834</v>
      </c>
      <c r="BF856" s="112">
        <f t="shared" ca="1" si="1160"/>
        <v>2854.6391820946492</v>
      </c>
      <c r="BG856" s="112">
        <f t="shared" ca="1" si="1160"/>
        <v>3673.9248755537246</v>
      </c>
      <c r="BH856" s="351"/>
    </row>
    <row r="857" spans="1:60" s="48" customFormat="1" x14ac:dyDescent="0.35">
      <c r="A857" s="747"/>
      <c r="B857" s="253"/>
      <c r="C857" s="876"/>
      <c r="D857" s="876"/>
      <c r="E857" s="876"/>
      <c r="F857" s="876"/>
      <c r="G857" s="877"/>
      <c r="H857" s="877"/>
      <c r="I857" s="877"/>
      <c r="J857" s="877"/>
      <c r="K857" s="876"/>
      <c r="L857" s="877"/>
      <c r="M857" s="877"/>
      <c r="N857" s="877"/>
      <c r="O857" s="877"/>
      <c r="P857" s="876"/>
      <c r="Q857" s="877"/>
      <c r="R857" s="877"/>
      <c r="S857" s="877"/>
      <c r="T857" s="877"/>
      <c r="U857" s="876"/>
      <c r="V857" s="877"/>
      <c r="W857" s="877"/>
      <c r="X857" s="877"/>
      <c r="Y857" s="877"/>
      <c r="Z857" s="876"/>
      <c r="AA857" s="877"/>
      <c r="AB857" s="877"/>
      <c r="AC857" s="877"/>
      <c r="AD857" s="877"/>
      <c r="AE857" s="876"/>
      <c r="AF857" s="877"/>
      <c r="AG857" s="877"/>
      <c r="AH857" s="877"/>
      <c r="AI857" s="877"/>
      <c r="AJ857" s="876"/>
      <c r="AK857" s="877"/>
      <c r="AL857" s="877"/>
      <c r="AM857" s="877"/>
      <c r="AN857" s="877"/>
      <c r="AO857" s="876"/>
      <c r="AP857" s="877"/>
      <c r="AQ857" s="877"/>
      <c r="AR857" s="877"/>
      <c r="AS857" s="877"/>
      <c r="AT857" s="876"/>
      <c r="AU857" s="878"/>
      <c r="AV857" s="877"/>
      <c r="AW857" s="877"/>
      <c r="AX857" s="877"/>
      <c r="AY857" s="876"/>
      <c r="AZ857" s="877"/>
      <c r="BA857" s="877"/>
      <c r="BB857" s="877"/>
      <c r="BC857" s="877"/>
      <c r="BD857" s="876"/>
      <c r="BE857" s="876"/>
      <c r="BF857" s="876"/>
      <c r="BG857" s="876"/>
      <c r="BH857" s="749"/>
    </row>
    <row r="858" spans="1:60" s="21" customFormat="1" x14ac:dyDescent="0.35">
      <c r="A858" s="746" t="s">
        <v>102</v>
      </c>
      <c r="B858" s="746"/>
      <c r="C858" s="874"/>
      <c r="D858" s="874"/>
      <c r="E858" s="874"/>
      <c r="F858" s="874"/>
      <c r="G858" s="874"/>
      <c r="H858" s="874"/>
      <c r="I858" s="874"/>
      <c r="J858" s="874"/>
      <c r="K858" s="874"/>
      <c r="L858" s="874"/>
      <c r="M858" s="874"/>
      <c r="N858" s="874"/>
      <c r="O858" s="874"/>
      <c r="P858" s="874"/>
      <c r="Q858" s="874"/>
      <c r="R858" s="874"/>
      <c r="S858" s="874"/>
      <c r="T858" s="874"/>
      <c r="U858" s="874"/>
      <c r="V858" s="874"/>
      <c r="W858" s="874"/>
      <c r="X858" s="874"/>
      <c r="Y858" s="874"/>
      <c r="Z858" s="874"/>
      <c r="AA858" s="874"/>
      <c r="AB858" s="874"/>
      <c r="AC858" s="874"/>
      <c r="AD858" s="874"/>
      <c r="AE858" s="874"/>
      <c r="AF858" s="874"/>
      <c r="AG858" s="874"/>
      <c r="AH858" s="874"/>
      <c r="AI858" s="874"/>
      <c r="AJ858" s="874"/>
      <c r="AK858" s="874"/>
      <c r="AL858" s="874"/>
      <c r="AM858" s="874"/>
      <c r="AN858" s="874"/>
      <c r="AO858" s="874"/>
      <c r="AP858" s="874"/>
      <c r="AQ858" s="874"/>
      <c r="AR858" s="874"/>
      <c r="AS858" s="874"/>
      <c r="AT858" s="874"/>
      <c r="AU858" s="875"/>
      <c r="AV858" s="874"/>
      <c r="AW858" s="874"/>
      <c r="AX858" s="874"/>
      <c r="AY858" s="874"/>
      <c r="AZ858" s="874"/>
      <c r="BA858" s="874"/>
      <c r="BB858" s="874"/>
      <c r="BC858" s="874"/>
      <c r="BD858" s="874"/>
      <c r="BE858" s="874"/>
      <c r="BF858" s="874"/>
      <c r="BG858" s="874"/>
      <c r="BH858" s="651"/>
    </row>
    <row r="859" spans="1:60" s="60" customFormat="1" x14ac:dyDescent="0.35">
      <c r="A859" s="236" t="s">
        <v>103</v>
      </c>
      <c r="B859" s="317"/>
      <c r="C859" s="46">
        <f t="shared" ref="C859:AH859" si="1161">+C1034+C1035+C1046</f>
        <v>4609</v>
      </c>
      <c r="D859" s="46">
        <f t="shared" si="1161"/>
        <v>5018</v>
      </c>
      <c r="E859" s="46">
        <f t="shared" si="1161"/>
        <v>4576</v>
      </c>
      <c r="F859" s="46">
        <f t="shared" si="1161"/>
        <v>5693</v>
      </c>
      <c r="G859" s="351">
        <f t="shared" si="1161"/>
        <v>5828</v>
      </c>
      <c r="H859" s="351">
        <f t="shared" si="1161"/>
        <v>5794</v>
      </c>
      <c r="I859" s="351">
        <f t="shared" si="1161"/>
        <v>4858</v>
      </c>
      <c r="J859" s="351">
        <f t="shared" si="1161"/>
        <v>4790</v>
      </c>
      <c r="K859" s="46">
        <f t="shared" si="1161"/>
        <v>4790</v>
      </c>
      <c r="L859" s="351">
        <f t="shared" si="1161"/>
        <v>4174</v>
      </c>
      <c r="M859" s="351">
        <f t="shared" si="1161"/>
        <v>4213</v>
      </c>
      <c r="N859" s="351">
        <f t="shared" si="1161"/>
        <v>3801</v>
      </c>
      <c r="O859" s="351">
        <f t="shared" si="1161"/>
        <v>3351</v>
      </c>
      <c r="P859" s="46">
        <f t="shared" si="1161"/>
        <v>3351</v>
      </c>
      <c r="Q859" s="351">
        <f t="shared" si="1161"/>
        <v>2822</v>
      </c>
      <c r="R859" s="351">
        <f t="shared" si="1161"/>
        <v>3498</v>
      </c>
      <c r="S859" s="351">
        <f t="shared" si="1161"/>
        <v>1771</v>
      </c>
      <c r="T859" s="351">
        <f t="shared" si="1161"/>
        <v>1925</v>
      </c>
      <c r="U859" s="46">
        <f t="shared" si="1161"/>
        <v>1925</v>
      </c>
      <c r="V859" s="351">
        <f t="shared" si="1161"/>
        <v>1528</v>
      </c>
      <c r="W859" s="351">
        <f t="shared" si="1161"/>
        <v>1879</v>
      </c>
      <c r="X859" s="351">
        <f t="shared" si="1161"/>
        <v>2680</v>
      </c>
      <c r="Y859" s="351">
        <f t="shared" si="1161"/>
        <v>2695</v>
      </c>
      <c r="Z859" s="46">
        <f t="shared" si="1161"/>
        <v>2695</v>
      </c>
      <c r="AA859" s="351">
        <f t="shared" si="1161"/>
        <v>2331</v>
      </c>
      <c r="AB859" s="351">
        <f t="shared" si="1161"/>
        <v>2811</v>
      </c>
      <c r="AC859" s="351">
        <f t="shared" si="1161"/>
        <v>3434</v>
      </c>
      <c r="AD859" s="351">
        <f t="shared" si="1161"/>
        <v>4129</v>
      </c>
      <c r="AE859" s="46">
        <f t="shared" si="1161"/>
        <v>4129</v>
      </c>
      <c r="AF859" s="351">
        <f t="shared" si="1161"/>
        <v>4095</v>
      </c>
      <c r="AG859" s="351">
        <f t="shared" si="1161"/>
        <v>3186</v>
      </c>
      <c r="AH859" s="351">
        <f t="shared" si="1161"/>
        <v>3523</v>
      </c>
      <c r="AI859" s="351">
        <f t="shared" ref="AI859:AY859" si="1162">+AI1034+AI1035+AI1046</f>
        <v>3233</v>
      </c>
      <c r="AJ859" s="46">
        <f t="shared" si="1162"/>
        <v>3233</v>
      </c>
      <c r="AK859" s="351">
        <f t="shared" si="1162"/>
        <v>3477</v>
      </c>
      <c r="AL859" s="351">
        <f t="shared" si="1162"/>
        <v>2988</v>
      </c>
      <c r="AM859" s="351">
        <f t="shared" si="1162"/>
        <v>7761</v>
      </c>
      <c r="AN859" s="351">
        <f t="shared" si="1162"/>
        <v>2451</v>
      </c>
      <c r="AO859" s="46">
        <f t="shared" si="1162"/>
        <v>2451</v>
      </c>
      <c r="AP859" s="351">
        <f t="shared" si="1162"/>
        <v>4477</v>
      </c>
      <c r="AQ859" s="351">
        <f t="shared" si="1162"/>
        <v>4466</v>
      </c>
      <c r="AR859" s="351">
        <f>+AR1034+AR1035+AR1046</f>
        <v>4561</v>
      </c>
      <c r="AS859" s="351">
        <f>+AS1034+AS1035+AS1046</f>
        <v>5038</v>
      </c>
      <c r="AT859" s="46">
        <f>+AT1034+AT1035+AT1046</f>
        <v>5038</v>
      </c>
      <c r="AU859" s="805">
        <f t="shared" ref="AU859" si="1163">+AU1034+AU1035+AU1046</f>
        <v>5137</v>
      </c>
      <c r="AV859" s="203">
        <f t="shared" si="1162"/>
        <v>4492.7841643512947</v>
      </c>
      <c r="AW859" s="203">
        <f t="shared" si="1162"/>
        <v>5011.2465038109558</v>
      </c>
      <c r="AX859" s="203">
        <f t="shared" si="1162"/>
        <v>5336.9694701172075</v>
      </c>
      <c r="AY859" s="108">
        <f t="shared" si="1162"/>
        <v>5336.9694701172075</v>
      </c>
      <c r="AZ859" s="203">
        <f t="shared" ref="AZ859:BG859" ca="1" si="1164">+AZ1034+AZ1035+AZ1046</f>
        <v>5591.6088184094424</v>
      </c>
      <c r="BA859" s="203">
        <f t="shared" ca="1" si="1164"/>
        <v>5163.3816536209424</v>
      </c>
      <c r="BB859" s="203">
        <f t="shared" ca="1" si="1164"/>
        <v>5748.1035654897278</v>
      </c>
      <c r="BC859" s="203">
        <f t="shared" ca="1" si="1164"/>
        <v>6220.5870887616948</v>
      </c>
      <c r="BD859" s="108">
        <f t="shared" ca="1" si="1164"/>
        <v>6220.5870887616948</v>
      </c>
      <c r="BE859" s="108">
        <f t="shared" ca="1" si="1164"/>
        <v>7811.3924869533312</v>
      </c>
      <c r="BF859" s="108">
        <f t="shared" ca="1" si="1164"/>
        <v>10128.535039056802</v>
      </c>
      <c r="BG859" s="108">
        <f t="shared" ca="1" si="1164"/>
        <v>13228.783412970231</v>
      </c>
      <c r="BH859" s="351"/>
    </row>
    <row r="860" spans="1:60" s="345" customFormat="1" x14ac:dyDescent="0.35">
      <c r="A860" s="350" t="s">
        <v>717</v>
      </c>
      <c r="B860" s="317"/>
      <c r="C860" s="46">
        <f t="shared" ref="C860:AQ860" si="1165">C1060</f>
        <v>613</v>
      </c>
      <c r="D860" s="46">
        <f t="shared" si="1165"/>
        <v>1269</v>
      </c>
      <c r="E860" s="46">
        <f t="shared" si="1165"/>
        <v>682</v>
      </c>
      <c r="F860" s="46">
        <f t="shared" si="1165"/>
        <v>1085</v>
      </c>
      <c r="G860" s="351">
        <f t="shared" si="1165"/>
        <v>1072</v>
      </c>
      <c r="H860" s="351">
        <f t="shared" si="1165"/>
        <v>1062</v>
      </c>
      <c r="I860" s="351">
        <f t="shared" si="1165"/>
        <v>2244</v>
      </c>
      <c r="J860" s="351">
        <f t="shared" si="1165"/>
        <v>1683</v>
      </c>
      <c r="K860" s="46">
        <f t="shared" si="1165"/>
        <v>1683</v>
      </c>
      <c r="L860" s="351">
        <f t="shared" si="1165"/>
        <v>2176</v>
      </c>
      <c r="M860" s="351">
        <f t="shared" si="1165"/>
        <v>1650</v>
      </c>
      <c r="N860" s="351">
        <f t="shared" si="1165"/>
        <v>2119</v>
      </c>
      <c r="O860" s="351">
        <f t="shared" si="1165"/>
        <v>106</v>
      </c>
      <c r="P860" s="46">
        <f t="shared" si="1165"/>
        <v>106</v>
      </c>
      <c r="Q860" s="351">
        <f t="shared" si="1165"/>
        <v>132</v>
      </c>
      <c r="R860" s="351">
        <f t="shared" si="1165"/>
        <v>86</v>
      </c>
      <c r="S860" s="351">
        <f t="shared" si="1165"/>
        <v>2279</v>
      </c>
      <c r="T860" s="351">
        <f t="shared" si="1165"/>
        <v>2044</v>
      </c>
      <c r="U860" s="46">
        <f t="shared" si="1165"/>
        <v>2044</v>
      </c>
      <c r="V860" s="351">
        <f t="shared" si="1165"/>
        <v>2212</v>
      </c>
      <c r="W860" s="351">
        <f t="shared" si="1165"/>
        <v>2450</v>
      </c>
      <c r="X860" s="351">
        <f t="shared" si="1165"/>
        <v>1282</v>
      </c>
      <c r="Y860" s="351">
        <f t="shared" si="1165"/>
        <v>972</v>
      </c>
      <c r="Z860" s="46">
        <f t="shared" si="1165"/>
        <v>972</v>
      </c>
      <c r="AA860" s="351">
        <f t="shared" si="1165"/>
        <v>909</v>
      </c>
      <c r="AB860" s="351">
        <f t="shared" si="1165"/>
        <v>213</v>
      </c>
      <c r="AC860" s="351">
        <f t="shared" si="1165"/>
        <v>835</v>
      </c>
      <c r="AD860" s="351">
        <f t="shared" si="1165"/>
        <v>1853</v>
      </c>
      <c r="AE860" s="46">
        <f t="shared" si="1165"/>
        <v>1853</v>
      </c>
      <c r="AF860" s="351">
        <f t="shared" si="1165"/>
        <v>3449</v>
      </c>
      <c r="AG860" s="351">
        <f t="shared" si="1165"/>
        <v>3225</v>
      </c>
      <c r="AH860" s="351">
        <f t="shared" si="1165"/>
        <v>1307</v>
      </c>
      <c r="AI860" s="351">
        <f t="shared" si="1165"/>
        <v>1211</v>
      </c>
      <c r="AJ860" s="46">
        <f t="shared" si="1165"/>
        <v>1211</v>
      </c>
      <c r="AK860" s="351">
        <f t="shared" si="1165"/>
        <v>790</v>
      </c>
      <c r="AL860" s="351">
        <f t="shared" si="1165"/>
        <v>892</v>
      </c>
      <c r="AM860" s="351">
        <f t="shared" si="1165"/>
        <v>1960</v>
      </c>
      <c r="AN860" s="351">
        <f t="shared" si="1165"/>
        <v>2795</v>
      </c>
      <c r="AO860" s="46">
        <f t="shared" si="1165"/>
        <v>2795</v>
      </c>
      <c r="AP860" s="351">
        <f t="shared" si="1165"/>
        <v>3248</v>
      </c>
      <c r="AQ860" s="351">
        <f t="shared" si="1165"/>
        <v>1486</v>
      </c>
      <c r="AR860" s="351">
        <f>AR1060</f>
        <v>1169</v>
      </c>
      <c r="AS860" s="351">
        <f>AS1060</f>
        <v>806</v>
      </c>
      <c r="AT860" s="46">
        <f>AT1060</f>
        <v>806</v>
      </c>
      <c r="AU860" s="805">
        <f t="shared" ref="AU860" si="1166">AU1060</f>
        <v>1368</v>
      </c>
      <c r="AV860" s="203">
        <f>AV862-AV861</f>
        <v>1368</v>
      </c>
      <c r="AW860" s="203">
        <f>AW862-AW861</f>
        <v>1368</v>
      </c>
      <c r="AX860" s="203">
        <f>AX862-AX861</f>
        <v>1368</v>
      </c>
      <c r="AY860" s="108">
        <f>AY1060</f>
        <v>1368</v>
      </c>
      <c r="AZ860" s="203">
        <f>AZ862-AZ861</f>
        <v>1368</v>
      </c>
      <c r="BA860" s="203">
        <f>BA862-BA861</f>
        <v>1368</v>
      </c>
      <c r="BB860" s="203">
        <f>BB862-BB861</f>
        <v>1368</v>
      </c>
      <c r="BC860" s="203">
        <f>BC862-BC861</f>
        <v>1368</v>
      </c>
      <c r="BD860" s="108">
        <f>BD1060</f>
        <v>1368</v>
      </c>
      <c r="BE860" s="108">
        <f>BE862-BE861</f>
        <v>1368</v>
      </c>
      <c r="BF860" s="108">
        <f>BF862-BF861</f>
        <v>1368</v>
      </c>
      <c r="BG860" s="108">
        <f>BG862-BG861</f>
        <v>1368</v>
      </c>
      <c r="BH860" s="351"/>
    </row>
    <row r="861" spans="1:60" s="345" customFormat="1" x14ac:dyDescent="0.35">
      <c r="A861" s="352" t="s">
        <v>718</v>
      </c>
      <c r="B861" s="705"/>
      <c r="C861" s="547">
        <f t="shared" ref="C861:AQ861" si="1167">C1069</f>
        <v>5097</v>
      </c>
      <c r="D861" s="547">
        <f t="shared" si="1167"/>
        <v>4183</v>
      </c>
      <c r="E861" s="547">
        <f t="shared" si="1167"/>
        <v>4484</v>
      </c>
      <c r="F861" s="547">
        <f t="shared" si="1167"/>
        <v>4916</v>
      </c>
      <c r="G861" s="353">
        <f t="shared" si="1167"/>
        <v>4864</v>
      </c>
      <c r="H861" s="353">
        <f t="shared" si="1167"/>
        <v>4884</v>
      </c>
      <c r="I861" s="353">
        <f t="shared" si="1167"/>
        <v>3533</v>
      </c>
      <c r="J861" s="353">
        <f t="shared" si="1167"/>
        <v>4326</v>
      </c>
      <c r="K861" s="547">
        <f t="shared" si="1167"/>
        <v>4326</v>
      </c>
      <c r="L861" s="353">
        <f t="shared" si="1167"/>
        <v>4401</v>
      </c>
      <c r="M861" s="353">
        <f t="shared" si="1167"/>
        <v>5323</v>
      </c>
      <c r="N861" s="353">
        <f t="shared" si="1167"/>
        <v>5225</v>
      </c>
      <c r="O861" s="353">
        <f t="shared" si="1167"/>
        <v>6705</v>
      </c>
      <c r="P861" s="547">
        <f t="shared" si="1167"/>
        <v>6705</v>
      </c>
      <c r="Q861" s="353">
        <f t="shared" si="1167"/>
        <v>6459</v>
      </c>
      <c r="R861" s="353">
        <f t="shared" si="1167"/>
        <v>8431</v>
      </c>
      <c r="S861" s="353">
        <f t="shared" si="1167"/>
        <v>8974</v>
      </c>
      <c r="T861" s="353">
        <f t="shared" si="1167"/>
        <v>8753</v>
      </c>
      <c r="U861" s="547">
        <f t="shared" si="1167"/>
        <v>8753</v>
      </c>
      <c r="V861" s="353">
        <f t="shared" si="1167"/>
        <v>8927</v>
      </c>
      <c r="W861" s="353">
        <f t="shared" si="1167"/>
        <v>9299</v>
      </c>
      <c r="X861" s="353">
        <f t="shared" si="1167"/>
        <v>11079</v>
      </c>
      <c r="Y861" s="353">
        <f t="shared" si="1167"/>
        <v>10678</v>
      </c>
      <c r="Z861" s="547">
        <f t="shared" si="1167"/>
        <v>10678</v>
      </c>
      <c r="AA861" s="353">
        <f t="shared" si="1167"/>
        <v>10802</v>
      </c>
      <c r="AB861" s="353">
        <f t="shared" si="1167"/>
        <v>11088</v>
      </c>
      <c r="AC861" s="353">
        <f t="shared" si="1167"/>
        <v>10828</v>
      </c>
      <c r="AD861" s="353">
        <f t="shared" si="1167"/>
        <v>12096</v>
      </c>
      <c r="AE861" s="547">
        <f t="shared" si="1167"/>
        <v>12096</v>
      </c>
      <c r="AF861" s="353">
        <f t="shared" si="1167"/>
        <v>12211</v>
      </c>
      <c r="AG861" s="353">
        <f t="shared" si="1167"/>
        <v>11294</v>
      </c>
      <c r="AH861" s="353">
        <f t="shared" si="1167"/>
        <v>13539</v>
      </c>
      <c r="AI861" s="353">
        <f t="shared" si="1167"/>
        <v>13411</v>
      </c>
      <c r="AJ861" s="547">
        <f t="shared" si="1167"/>
        <v>13411</v>
      </c>
      <c r="AK861" s="353">
        <f t="shared" si="1167"/>
        <v>15580</v>
      </c>
      <c r="AL861" s="353">
        <f t="shared" si="1167"/>
        <v>14914</v>
      </c>
      <c r="AM861" s="353">
        <f t="shared" si="1167"/>
        <v>17479</v>
      </c>
      <c r="AN861" s="353">
        <f t="shared" si="1167"/>
        <v>17518</v>
      </c>
      <c r="AO861" s="547">
        <f t="shared" si="1167"/>
        <v>17518</v>
      </c>
      <c r="AP861" s="353">
        <f t="shared" si="1167"/>
        <v>19247</v>
      </c>
      <c r="AQ861" s="353">
        <f t="shared" si="1167"/>
        <v>19276</v>
      </c>
      <c r="AR861" s="353">
        <f>AR1069</f>
        <v>18429</v>
      </c>
      <c r="AS861" s="353">
        <f>AS1069</f>
        <v>17989</v>
      </c>
      <c r="AT861" s="547">
        <f>AT1069</f>
        <v>17989</v>
      </c>
      <c r="AU861" s="820">
        <f t="shared" ref="AU861" si="1168">AU1069</f>
        <v>16819</v>
      </c>
      <c r="AV861" s="548">
        <f>MAX(0,AU861+AV849)</f>
        <v>16819</v>
      </c>
      <c r="AW861" s="548">
        <f>MAX(0,AV861+AW849)</f>
        <v>16819</v>
      </c>
      <c r="AX861" s="548">
        <f>MAX(0,AW861+AX849)</f>
        <v>16819</v>
      </c>
      <c r="AY861" s="549">
        <f>AY1069</f>
        <v>16819</v>
      </c>
      <c r="AZ861" s="548">
        <f>MAX(0,AY861+AZ849)</f>
        <v>16819</v>
      </c>
      <c r="BA861" s="548">
        <f>MAX(0,AZ861+BA849)</f>
        <v>16819</v>
      </c>
      <c r="BB861" s="548">
        <f>MAX(0,BA861+BB849)</f>
        <v>16819</v>
      </c>
      <c r="BC861" s="548">
        <f>MAX(0,BB861+BC849)</f>
        <v>16819</v>
      </c>
      <c r="BD861" s="549">
        <f>BD1069</f>
        <v>16819</v>
      </c>
      <c r="BE861" s="549">
        <f>MAX(0,BD861+BE849)</f>
        <v>16819</v>
      </c>
      <c r="BF861" s="549">
        <f>MAX(0,BE861+BF849)</f>
        <v>16819</v>
      </c>
      <c r="BG861" s="549">
        <f>MAX(0,BF861+BG849)</f>
        <v>16819</v>
      </c>
      <c r="BH861" s="351"/>
    </row>
    <row r="862" spans="1:60" s="60" customFormat="1" x14ac:dyDescent="0.35">
      <c r="A862" s="236" t="s">
        <v>104</v>
      </c>
      <c r="B862" s="317"/>
      <c r="C862" s="46">
        <f t="shared" ref="C862:AQ862" si="1169">C1069+C1060</f>
        <v>5710</v>
      </c>
      <c r="D862" s="46">
        <f t="shared" si="1169"/>
        <v>5452</v>
      </c>
      <c r="E862" s="46">
        <f t="shared" si="1169"/>
        <v>5166</v>
      </c>
      <c r="F862" s="46">
        <f t="shared" si="1169"/>
        <v>6001</v>
      </c>
      <c r="G862" s="351">
        <f t="shared" si="1169"/>
        <v>5936</v>
      </c>
      <c r="H862" s="351">
        <f t="shared" si="1169"/>
        <v>5946</v>
      </c>
      <c r="I862" s="351">
        <f t="shared" si="1169"/>
        <v>5777</v>
      </c>
      <c r="J862" s="351">
        <f t="shared" si="1169"/>
        <v>6009</v>
      </c>
      <c r="K862" s="46">
        <f t="shared" si="1169"/>
        <v>6009</v>
      </c>
      <c r="L862" s="351">
        <f t="shared" si="1169"/>
        <v>6577</v>
      </c>
      <c r="M862" s="351">
        <f t="shared" si="1169"/>
        <v>6973</v>
      </c>
      <c r="N862" s="351">
        <f t="shared" si="1169"/>
        <v>7344</v>
      </c>
      <c r="O862" s="351">
        <f t="shared" si="1169"/>
        <v>6811</v>
      </c>
      <c r="P862" s="46">
        <f t="shared" si="1169"/>
        <v>6811</v>
      </c>
      <c r="Q862" s="351">
        <f t="shared" si="1169"/>
        <v>6591</v>
      </c>
      <c r="R862" s="351">
        <f t="shared" si="1169"/>
        <v>8517</v>
      </c>
      <c r="S862" s="351">
        <f t="shared" si="1169"/>
        <v>11253</v>
      </c>
      <c r="T862" s="351">
        <f t="shared" si="1169"/>
        <v>10797</v>
      </c>
      <c r="U862" s="46">
        <f t="shared" si="1169"/>
        <v>10797</v>
      </c>
      <c r="V862" s="351">
        <f t="shared" si="1169"/>
        <v>11139</v>
      </c>
      <c r="W862" s="351">
        <f t="shared" si="1169"/>
        <v>11749</v>
      </c>
      <c r="X862" s="351">
        <f t="shared" si="1169"/>
        <v>12361</v>
      </c>
      <c r="Y862" s="351">
        <f t="shared" si="1169"/>
        <v>11650</v>
      </c>
      <c r="Z862" s="46">
        <f t="shared" si="1169"/>
        <v>11650</v>
      </c>
      <c r="AA862" s="351">
        <f t="shared" si="1169"/>
        <v>11711</v>
      </c>
      <c r="AB862" s="351">
        <f t="shared" si="1169"/>
        <v>11301</v>
      </c>
      <c r="AC862" s="351">
        <f t="shared" si="1169"/>
        <v>11663</v>
      </c>
      <c r="AD862" s="351">
        <f t="shared" si="1169"/>
        <v>13949</v>
      </c>
      <c r="AE862" s="46">
        <f t="shared" si="1169"/>
        <v>13949</v>
      </c>
      <c r="AF862" s="351">
        <f t="shared" si="1169"/>
        <v>15660</v>
      </c>
      <c r="AG862" s="351">
        <f t="shared" si="1169"/>
        <v>14519</v>
      </c>
      <c r="AH862" s="351">
        <f t="shared" si="1169"/>
        <v>14846</v>
      </c>
      <c r="AI862" s="351">
        <f t="shared" si="1169"/>
        <v>14622</v>
      </c>
      <c r="AJ862" s="46">
        <f t="shared" si="1169"/>
        <v>14622</v>
      </c>
      <c r="AK862" s="351">
        <f t="shared" si="1169"/>
        <v>16370</v>
      </c>
      <c r="AL862" s="351">
        <f t="shared" si="1169"/>
        <v>15806</v>
      </c>
      <c r="AM862" s="351">
        <f t="shared" si="1169"/>
        <v>19439</v>
      </c>
      <c r="AN862" s="351">
        <f t="shared" si="1169"/>
        <v>20313</v>
      </c>
      <c r="AO862" s="46">
        <f t="shared" si="1169"/>
        <v>20313</v>
      </c>
      <c r="AP862" s="351">
        <f t="shared" si="1169"/>
        <v>22495</v>
      </c>
      <c r="AQ862" s="351">
        <f t="shared" si="1169"/>
        <v>20762</v>
      </c>
      <c r="AR862" s="351">
        <f>AR1069+AR1060</f>
        <v>19598</v>
      </c>
      <c r="AS862" s="351">
        <f>AS1069+AS1060</f>
        <v>18795</v>
      </c>
      <c r="AT862" s="46">
        <f>AT1069+AT1060</f>
        <v>18795</v>
      </c>
      <c r="AU862" s="805">
        <f t="shared" ref="AU862" si="1170">AU1069+AU1060</f>
        <v>18187</v>
      </c>
      <c r="AV862" s="203">
        <f>AU862+AV849</f>
        <v>18187</v>
      </c>
      <c r="AW862" s="203">
        <f>AV862+AW849</f>
        <v>18187</v>
      </c>
      <c r="AX862" s="203">
        <f>AW862+AX849</f>
        <v>18187</v>
      </c>
      <c r="AY862" s="108">
        <f>AY1069+AY1060</f>
        <v>18187</v>
      </c>
      <c r="AZ862" s="203">
        <f>AY862+AZ849</f>
        <v>18187</v>
      </c>
      <c r="BA862" s="203">
        <f>AZ862+BA849</f>
        <v>18187</v>
      </c>
      <c r="BB862" s="203">
        <f>BA862+BB849</f>
        <v>18187</v>
      </c>
      <c r="BC862" s="203">
        <f>BB862+BC849</f>
        <v>18187</v>
      </c>
      <c r="BD862" s="108">
        <f>BD1069+BD1060</f>
        <v>18187</v>
      </c>
      <c r="BE862" s="108">
        <f>BD862+BE849</f>
        <v>18187</v>
      </c>
      <c r="BF862" s="108">
        <f>BE862+BF849</f>
        <v>18187</v>
      </c>
      <c r="BG862" s="108">
        <f>BF862+BG849</f>
        <v>18187</v>
      </c>
      <c r="BH862" s="351"/>
    </row>
    <row r="863" spans="1:60" s="345" customFormat="1" x14ac:dyDescent="0.35">
      <c r="A863" s="236" t="s">
        <v>566</v>
      </c>
      <c r="B863" s="317"/>
      <c r="C863" s="46">
        <f t="shared" ref="C863:AH863" si="1171">C1071+C1064</f>
        <v>0</v>
      </c>
      <c r="D863" s="46">
        <f t="shared" si="1171"/>
        <v>0</v>
      </c>
      <c r="E863" s="46">
        <f t="shared" si="1171"/>
        <v>0</v>
      </c>
      <c r="F863" s="46">
        <f t="shared" si="1171"/>
        <v>0</v>
      </c>
      <c r="G863" s="351">
        <f t="shared" si="1171"/>
        <v>0</v>
      </c>
      <c r="H863" s="351">
        <f t="shared" si="1171"/>
        <v>0</v>
      </c>
      <c r="I863" s="351">
        <f t="shared" si="1171"/>
        <v>0</v>
      </c>
      <c r="J863" s="351">
        <f t="shared" si="1171"/>
        <v>0</v>
      </c>
      <c r="K863" s="46">
        <f t="shared" si="1171"/>
        <v>0</v>
      </c>
      <c r="L863" s="351">
        <f t="shared" si="1171"/>
        <v>0</v>
      </c>
      <c r="M863" s="351">
        <f t="shared" si="1171"/>
        <v>0</v>
      </c>
      <c r="N863" s="351">
        <f t="shared" si="1171"/>
        <v>0</v>
      </c>
      <c r="O863" s="351">
        <f t="shared" si="1171"/>
        <v>0</v>
      </c>
      <c r="P863" s="46">
        <f t="shared" si="1171"/>
        <v>0</v>
      </c>
      <c r="Q863" s="351">
        <f t="shared" si="1171"/>
        <v>0</v>
      </c>
      <c r="R863" s="351">
        <f t="shared" si="1171"/>
        <v>0</v>
      </c>
      <c r="S863" s="351">
        <f t="shared" si="1171"/>
        <v>0</v>
      </c>
      <c r="T863" s="351">
        <f t="shared" si="1171"/>
        <v>0</v>
      </c>
      <c r="U863" s="46">
        <f t="shared" si="1171"/>
        <v>0</v>
      </c>
      <c r="V863" s="351">
        <f t="shared" si="1171"/>
        <v>0</v>
      </c>
      <c r="W863" s="351">
        <f t="shared" si="1171"/>
        <v>0</v>
      </c>
      <c r="X863" s="351">
        <f t="shared" si="1171"/>
        <v>0</v>
      </c>
      <c r="Y863" s="351">
        <f t="shared" si="1171"/>
        <v>0</v>
      </c>
      <c r="Z863" s="46">
        <f t="shared" si="1171"/>
        <v>0</v>
      </c>
      <c r="AA863" s="351">
        <f t="shared" si="1171"/>
        <v>0</v>
      </c>
      <c r="AB863" s="351">
        <f t="shared" si="1171"/>
        <v>0</v>
      </c>
      <c r="AC863" s="351">
        <f t="shared" si="1171"/>
        <v>0</v>
      </c>
      <c r="AD863" s="351">
        <f t="shared" si="1171"/>
        <v>0</v>
      </c>
      <c r="AE863" s="46">
        <f t="shared" si="1171"/>
        <v>0</v>
      </c>
      <c r="AF863" s="351">
        <f t="shared" si="1171"/>
        <v>0</v>
      </c>
      <c r="AG863" s="351">
        <f t="shared" si="1171"/>
        <v>0</v>
      </c>
      <c r="AH863" s="351">
        <f t="shared" si="1171"/>
        <v>0</v>
      </c>
      <c r="AI863" s="351">
        <f t="shared" ref="AI863:AY863" si="1172">AI1071+AI1064</f>
        <v>0</v>
      </c>
      <c r="AJ863" s="46">
        <f t="shared" si="1172"/>
        <v>0</v>
      </c>
      <c r="AK863" s="351">
        <f t="shared" si="1172"/>
        <v>786</v>
      </c>
      <c r="AL863" s="351">
        <f t="shared" si="1172"/>
        <v>866</v>
      </c>
      <c r="AM863" s="351">
        <f t="shared" si="1172"/>
        <v>825</v>
      </c>
      <c r="AN863" s="351">
        <f t="shared" si="1172"/>
        <v>854</v>
      </c>
      <c r="AO863" s="46">
        <f t="shared" si="1172"/>
        <v>854</v>
      </c>
      <c r="AP863" s="351">
        <f t="shared" si="1172"/>
        <v>847</v>
      </c>
      <c r="AQ863" s="351">
        <f t="shared" si="1172"/>
        <v>855</v>
      </c>
      <c r="AR863" s="351">
        <f>AR1071+AR1064</f>
        <v>857</v>
      </c>
      <c r="AS863" s="351">
        <f>AS1071+AS1064</f>
        <v>865</v>
      </c>
      <c r="AT863" s="46">
        <f>AT1071+AT1064</f>
        <v>865</v>
      </c>
      <c r="AU863" s="805">
        <f t="shared" ref="AU863" si="1173">AU1071+AU1064</f>
        <v>876</v>
      </c>
      <c r="AV863" s="203">
        <f t="shared" si="1172"/>
        <v>876</v>
      </c>
      <c r="AW863" s="203">
        <f t="shared" si="1172"/>
        <v>876</v>
      </c>
      <c r="AX863" s="203">
        <f t="shared" si="1172"/>
        <v>876</v>
      </c>
      <c r="AY863" s="108">
        <f t="shared" si="1172"/>
        <v>876</v>
      </c>
      <c r="AZ863" s="203">
        <f t="shared" ref="AZ863:BG863" si="1174">AZ1071+AZ1064</f>
        <v>876</v>
      </c>
      <c r="BA863" s="203">
        <f t="shared" si="1174"/>
        <v>876</v>
      </c>
      <c r="BB863" s="203">
        <f t="shared" si="1174"/>
        <v>876</v>
      </c>
      <c r="BC863" s="203">
        <f t="shared" si="1174"/>
        <v>876</v>
      </c>
      <c r="BD863" s="108">
        <f t="shared" si="1174"/>
        <v>876</v>
      </c>
      <c r="BE863" s="108">
        <f t="shared" si="1174"/>
        <v>876</v>
      </c>
      <c r="BF863" s="108">
        <f t="shared" si="1174"/>
        <v>876</v>
      </c>
      <c r="BG863" s="108">
        <f t="shared" si="1174"/>
        <v>876</v>
      </c>
      <c r="BH863" s="351"/>
    </row>
    <row r="864" spans="1:60" s="60" customFormat="1" x14ac:dyDescent="0.35">
      <c r="A864" s="236" t="s">
        <v>105</v>
      </c>
      <c r="B864" s="317"/>
      <c r="C864" s="46">
        <f t="shared" ref="C864:AH864" si="1175">C862+C863-C859</f>
        <v>1101</v>
      </c>
      <c r="D864" s="46">
        <f t="shared" si="1175"/>
        <v>434</v>
      </c>
      <c r="E864" s="46">
        <f t="shared" si="1175"/>
        <v>590</v>
      </c>
      <c r="F864" s="46">
        <f t="shared" si="1175"/>
        <v>308</v>
      </c>
      <c r="G864" s="351">
        <f t="shared" si="1175"/>
        <v>108</v>
      </c>
      <c r="H864" s="351">
        <f t="shared" si="1175"/>
        <v>152</v>
      </c>
      <c r="I864" s="351">
        <f t="shared" si="1175"/>
        <v>919</v>
      </c>
      <c r="J864" s="351">
        <f t="shared" si="1175"/>
        <v>1219</v>
      </c>
      <c r="K864" s="46">
        <f t="shared" si="1175"/>
        <v>1219</v>
      </c>
      <c r="L864" s="351">
        <f t="shared" si="1175"/>
        <v>2403</v>
      </c>
      <c r="M864" s="351">
        <f t="shared" si="1175"/>
        <v>2760</v>
      </c>
      <c r="N864" s="351">
        <f t="shared" si="1175"/>
        <v>3543</v>
      </c>
      <c r="O864" s="351">
        <f t="shared" si="1175"/>
        <v>3460</v>
      </c>
      <c r="P864" s="46">
        <f t="shared" si="1175"/>
        <v>3460</v>
      </c>
      <c r="Q864" s="351">
        <f t="shared" si="1175"/>
        <v>3769</v>
      </c>
      <c r="R864" s="351">
        <f t="shared" si="1175"/>
        <v>5019</v>
      </c>
      <c r="S864" s="351">
        <f t="shared" si="1175"/>
        <v>9482</v>
      </c>
      <c r="T864" s="351">
        <f t="shared" si="1175"/>
        <v>8872</v>
      </c>
      <c r="U864" s="46">
        <f t="shared" si="1175"/>
        <v>8872</v>
      </c>
      <c r="V864" s="351">
        <f t="shared" si="1175"/>
        <v>9611</v>
      </c>
      <c r="W864" s="351">
        <f t="shared" si="1175"/>
        <v>9870</v>
      </c>
      <c r="X864" s="351">
        <f t="shared" si="1175"/>
        <v>9681</v>
      </c>
      <c r="Y864" s="351">
        <f t="shared" si="1175"/>
        <v>8955</v>
      </c>
      <c r="Z864" s="46">
        <f t="shared" si="1175"/>
        <v>8955</v>
      </c>
      <c r="AA864" s="351">
        <f t="shared" si="1175"/>
        <v>9380</v>
      </c>
      <c r="AB864" s="351">
        <f t="shared" si="1175"/>
        <v>8490</v>
      </c>
      <c r="AC864" s="351">
        <f t="shared" si="1175"/>
        <v>8229</v>
      </c>
      <c r="AD864" s="351">
        <f t="shared" si="1175"/>
        <v>9820</v>
      </c>
      <c r="AE864" s="46">
        <f t="shared" si="1175"/>
        <v>9820</v>
      </c>
      <c r="AF864" s="351">
        <f t="shared" si="1175"/>
        <v>11565</v>
      </c>
      <c r="AG864" s="351">
        <f t="shared" si="1175"/>
        <v>11333</v>
      </c>
      <c r="AH864" s="351">
        <f t="shared" si="1175"/>
        <v>11323</v>
      </c>
      <c r="AI864" s="351">
        <f t="shared" ref="AI864:AY864" si="1176">AI862+AI863-AI859</f>
        <v>11389</v>
      </c>
      <c r="AJ864" s="46">
        <f t="shared" si="1176"/>
        <v>11389</v>
      </c>
      <c r="AK864" s="351">
        <f t="shared" si="1176"/>
        <v>13679</v>
      </c>
      <c r="AL864" s="351">
        <f t="shared" si="1176"/>
        <v>13684</v>
      </c>
      <c r="AM864" s="351">
        <f t="shared" si="1176"/>
        <v>12503</v>
      </c>
      <c r="AN864" s="351">
        <f t="shared" si="1176"/>
        <v>18716</v>
      </c>
      <c r="AO864" s="46">
        <f t="shared" si="1176"/>
        <v>18716</v>
      </c>
      <c r="AP864" s="351">
        <f t="shared" si="1176"/>
        <v>18865</v>
      </c>
      <c r="AQ864" s="351">
        <f t="shared" si="1176"/>
        <v>17151</v>
      </c>
      <c r="AR864" s="351">
        <f>AR862+AR863-AR859</f>
        <v>15894</v>
      </c>
      <c r="AS864" s="351">
        <f>AS862+AS863-AS859</f>
        <v>14622</v>
      </c>
      <c r="AT864" s="46">
        <f>AT862+AT863-AT859</f>
        <v>14622</v>
      </c>
      <c r="AU864" s="805">
        <f t="shared" ref="AU864" si="1177">AU862+AU863-AU859</f>
        <v>13926</v>
      </c>
      <c r="AV864" s="203">
        <f t="shared" si="1176"/>
        <v>14570.215835648705</v>
      </c>
      <c r="AW864" s="203">
        <f t="shared" si="1176"/>
        <v>14051.753496189045</v>
      </c>
      <c r="AX864" s="203">
        <f t="shared" si="1176"/>
        <v>13726.030529882792</v>
      </c>
      <c r="AY864" s="108">
        <f t="shared" si="1176"/>
        <v>13726.030529882792</v>
      </c>
      <c r="AZ864" s="203">
        <f t="shared" ref="AZ864:BG864" ca="1" si="1178">AZ862+AZ863-AZ859</f>
        <v>13471.391181590558</v>
      </c>
      <c r="BA864" s="203">
        <f t="shared" ca="1" si="1178"/>
        <v>13899.618346379058</v>
      </c>
      <c r="BB864" s="203">
        <f t="shared" ca="1" si="1178"/>
        <v>13314.896434510272</v>
      </c>
      <c r="BC864" s="203">
        <f t="shared" ca="1" si="1178"/>
        <v>12842.412911238305</v>
      </c>
      <c r="BD864" s="108">
        <f t="shared" ca="1" si="1178"/>
        <v>12842.412911238305</v>
      </c>
      <c r="BE864" s="108">
        <f t="shared" ca="1" si="1178"/>
        <v>11251.607513046669</v>
      </c>
      <c r="BF864" s="108">
        <f t="shared" ca="1" si="1178"/>
        <v>8934.4649609431981</v>
      </c>
      <c r="BG864" s="108">
        <f t="shared" ca="1" si="1178"/>
        <v>5834.2165870297686</v>
      </c>
      <c r="BH864" s="351"/>
    </row>
    <row r="865" spans="1:60" s="345" customFormat="1" x14ac:dyDescent="0.35">
      <c r="A865" s="537"/>
      <c r="B865" s="317"/>
      <c r="C865" s="108"/>
      <c r="D865" s="108"/>
      <c r="E865" s="108"/>
      <c r="F865" s="108"/>
      <c r="G865" s="203"/>
      <c r="H865" s="203"/>
      <c r="I865" s="203"/>
      <c r="J865" s="203"/>
      <c r="K865" s="108"/>
      <c r="L865" s="203"/>
      <c r="M865" s="203"/>
      <c r="N865" s="203"/>
      <c r="O865" s="203"/>
      <c r="P865" s="108"/>
      <c r="Q865" s="203"/>
      <c r="R865" s="203"/>
      <c r="S865" s="203"/>
      <c r="T865" s="203"/>
      <c r="U865" s="108"/>
      <c r="V865" s="203"/>
      <c r="W865" s="203"/>
      <c r="X865" s="203"/>
      <c r="Y865" s="203"/>
      <c r="Z865" s="108"/>
      <c r="AA865" s="203"/>
      <c r="AB865" s="203"/>
      <c r="AC865" s="203"/>
      <c r="AD865" s="203"/>
      <c r="AE865" s="108"/>
      <c r="AF865" s="203"/>
      <c r="AG865" s="203"/>
      <c r="AH865" s="203"/>
      <c r="AI865" s="203"/>
      <c r="AJ865" s="108"/>
      <c r="AK865" s="203"/>
      <c r="AL865" s="203"/>
      <c r="AM865" s="203"/>
      <c r="AN865" s="203"/>
      <c r="AO865" s="108"/>
      <c r="AP865" s="203"/>
      <c r="AQ865" s="203"/>
      <c r="AR865" s="203"/>
      <c r="AS865" s="203"/>
      <c r="AT865" s="108"/>
      <c r="AU865" s="790"/>
      <c r="AV865" s="203"/>
      <c r="AW865" s="203"/>
      <c r="AX865" s="203"/>
      <c r="AY865" s="108"/>
      <c r="AZ865" s="203"/>
      <c r="BA865" s="203"/>
      <c r="BB865" s="203"/>
      <c r="BC865" s="203"/>
      <c r="BD865" s="108"/>
      <c r="BE865" s="108"/>
      <c r="BF865" s="108"/>
      <c r="BG865" s="108"/>
      <c r="BH865" s="351"/>
    </row>
    <row r="866" spans="1:60" s="345" customFormat="1" x14ac:dyDescent="0.35">
      <c r="A866" s="236" t="s">
        <v>710</v>
      </c>
      <c r="B866" s="317"/>
      <c r="C866" s="436">
        <f t="shared" ref="C866:AR866" si="1179">C807</f>
        <v>219</v>
      </c>
      <c r="D866" s="436">
        <f t="shared" si="1179"/>
        <v>201</v>
      </c>
      <c r="E866" s="436">
        <f t="shared" si="1179"/>
        <v>186</v>
      </c>
      <c r="F866" s="436">
        <f t="shared" si="1179"/>
        <v>171</v>
      </c>
      <c r="G866" s="437">
        <f t="shared" si="1179"/>
        <v>39</v>
      </c>
      <c r="H866" s="437">
        <f t="shared" si="1179"/>
        <v>41</v>
      </c>
      <c r="I866" s="437">
        <f t="shared" si="1179"/>
        <v>33</v>
      </c>
      <c r="J866" s="437">
        <f t="shared" si="1179"/>
        <v>32</v>
      </c>
      <c r="K866" s="436">
        <f t="shared" si="1179"/>
        <v>145</v>
      </c>
      <c r="L866" s="437">
        <f t="shared" si="1179"/>
        <v>37</v>
      </c>
      <c r="M866" s="437">
        <f t="shared" si="1179"/>
        <v>45</v>
      </c>
      <c r="N866" s="437">
        <f t="shared" si="1179"/>
        <v>28</v>
      </c>
      <c r="O866" s="437">
        <f t="shared" si="1179"/>
        <v>32</v>
      </c>
      <c r="P866" s="436">
        <f t="shared" si="1179"/>
        <v>142</v>
      </c>
      <c r="Q866" s="437">
        <f t="shared" si="1179"/>
        <v>31</v>
      </c>
      <c r="R866" s="437">
        <f t="shared" si="1179"/>
        <v>35</v>
      </c>
      <c r="S866" s="437">
        <f t="shared" si="1179"/>
        <v>38</v>
      </c>
      <c r="T866" s="437">
        <f t="shared" si="1179"/>
        <v>45</v>
      </c>
      <c r="U866" s="436">
        <f t="shared" si="1179"/>
        <v>149</v>
      </c>
      <c r="V866" s="437">
        <f t="shared" si="1179"/>
        <v>47</v>
      </c>
      <c r="W866" s="437">
        <f t="shared" si="1179"/>
        <v>38</v>
      </c>
      <c r="X866" s="437">
        <f t="shared" si="1179"/>
        <v>50</v>
      </c>
      <c r="Y866" s="437">
        <f t="shared" si="1179"/>
        <v>64</v>
      </c>
      <c r="Z866" s="436">
        <f t="shared" si="1179"/>
        <v>199</v>
      </c>
      <c r="AA866" s="437">
        <f t="shared" si="1179"/>
        <v>45</v>
      </c>
      <c r="AB866" s="437">
        <f t="shared" si="1179"/>
        <v>54</v>
      </c>
      <c r="AC866" s="437">
        <f t="shared" si="1179"/>
        <v>57</v>
      </c>
      <c r="AD866" s="437">
        <f t="shared" si="1179"/>
        <v>166</v>
      </c>
      <c r="AE866" s="436">
        <f t="shared" si="1179"/>
        <v>322</v>
      </c>
      <c r="AF866" s="437">
        <f t="shared" si="1179"/>
        <v>82</v>
      </c>
      <c r="AG866" s="437">
        <f t="shared" si="1179"/>
        <v>88</v>
      </c>
      <c r="AH866" s="437">
        <f t="shared" si="1179"/>
        <v>85</v>
      </c>
      <c r="AI866" s="437">
        <f t="shared" si="1179"/>
        <v>95</v>
      </c>
      <c r="AJ866" s="436">
        <f t="shared" si="1179"/>
        <v>350</v>
      </c>
      <c r="AK866" s="437">
        <f t="shared" si="1179"/>
        <v>104</v>
      </c>
      <c r="AL866" s="437">
        <f t="shared" si="1179"/>
        <v>111</v>
      </c>
      <c r="AM866" s="437">
        <f t="shared" si="1179"/>
        <v>109</v>
      </c>
      <c r="AN866" s="437">
        <f t="shared" si="1179"/>
        <v>124</v>
      </c>
      <c r="AO866" s="436">
        <f t="shared" si="1179"/>
        <v>448</v>
      </c>
      <c r="AP866" s="437">
        <f t="shared" si="1179"/>
        <v>123</v>
      </c>
      <c r="AQ866" s="437">
        <f t="shared" si="1179"/>
        <v>137</v>
      </c>
      <c r="AR866" s="437">
        <f t="shared" si="1179"/>
        <v>128</v>
      </c>
      <c r="AS866" s="437">
        <f>AS807</f>
        <v>141</v>
      </c>
      <c r="AT866" s="436">
        <f>AT807</f>
        <v>529</v>
      </c>
      <c r="AU866" s="763">
        <f t="shared" ref="AU866" si="1180">AU807</f>
        <v>132</v>
      </c>
      <c r="AV866" s="446">
        <f>MAX(0,AV867*AVERAGE(AU862,AV862)*AV3/AY3)</f>
        <v>131.49450136986303</v>
      </c>
      <c r="AW866" s="446">
        <f>MAX(0,AW867*AVERAGE(AV862,AW862)*AW3/AY3)</f>
        <v>132.93949589041094</v>
      </c>
      <c r="AX866" s="446">
        <f>MAX(0,AX867*AVERAGE(AW862,AX862)*AX3/AY3)</f>
        <v>132.93949589041094</v>
      </c>
      <c r="AY866" s="445">
        <f>IF(OR(ISBLANK(AU866),ISBLANK(AV866),ISBLANK(AW866),ISBLANK(AX866)),"n/a",SUM(AU866,AV866,AW866,AX866))</f>
        <v>529.37349315068491</v>
      </c>
      <c r="AZ866" s="446">
        <f>MAX(0,AZ867*AVERAGE(AY862,AZ862)*AZ3/BD3)</f>
        <v>130.04950684931507</v>
      </c>
      <c r="BA866" s="446">
        <f>MAX(0,BA867*AVERAGE(AZ862,BA862)*BA3/BD3)</f>
        <v>131.49450136986303</v>
      </c>
      <c r="BB866" s="446">
        <f>MAX(0,BB867*AVERAGE(BA862,BB862)*BB3/BD3)</f>
        <v>132.93949589041094</v>
      </c>
      <c r="BC866" s="446">
        <f>MAX(0,BC867*AVERAGE(BB862,BC862)*BC3/BD3)</f>
        <v>132.93949589041094</v>
      </c>
      <c r="BD866" s="445">
        <f>IF(OR(ISBLANK(AZ866),ISBLANK(BA866),ISBLANK(BB866),ISBLANK(BC866)),"n/a",SUM(AZ866,BA866,BB866,BC866))</f>
        <v>527.423</v>
      </c>
      <c r="BE866" s="445">
        <f>BE867*AVERAGE(BD862,BE862)</f>
        <v>527.423</v>
      </c>
      <c r="BF866" s="445">
        <f>BF867*AVERAGE(BE862,BF862)</f>
        <v>527.423</v>
      </c>
      <c r="BG866" s="445">
        <f>BG867*AVERAGE(BF862,BG862)</f>
        <v>527.423</v>
      </c>
      <c r="BH866" s="351"/>
    </row>
    <row r="867" spans="1:60" s="345" customFormat="1" x14ac:dyDescent="0.35">
      <c r="A867" s="90" t="s">
        <v>711</v>
      </c>
      <c r="B867" s="427"/>
      <c r="C867" s="113"/>
      <c r="D867" s="223">
        <f>IFERROR(D866/AVERAGE(C862,D862),"n/a")</f>
        <v>3.601505106611718E-2</v>
      </c>
      <c r="E867" s="223">
        <f>IFERROR(E866/AVERAGE(D862,E862),"n/a")</f>
        <v>3.5034846487097385E-2</v>
      </c>
      <c r="F867" s="223">
        <f>IFERROR(F866/AVERAGE(E862,F862),"n/a")</f>
        <v>3.0625951464135399E-2</v>
      </c>
      <c r="G867" s="226">
        <f>IFERROR(G866/AVERAGE(F862,G862)*K3/G3,"n/a")</f>
        <v>2.6500237357236604E-2</v>
      </c>
      <c r="H867" s="226">
        <f>IFERROR(H866/AVERAGE(G862,H862)*K3/H3,"n/a")</f>
        <v>2.7680617648636503E-2</v>
      </c>
      <c r="I867" s="226">
        <f>IFERROR(I866/AVERAGE(H862,I862)*K3/I3,"n/a")</f>
        <v>2.2336247213764097E-2</v>
      </c>
      <c r="J867" s="226">
        <f>IFERROR(J866/AVERAGE(I862,J862)*K3/J3,"n/a")</f>
        <v>2.1543614752949337E-2</v>
      </c>
      <c r="K867" s="223">
        <f>IFERROR(K866/AVERAGE(G862,H862,I862,J862),"n/a")</f>
        <v>2.4505661652864628E-2</v>
      </c>
      <c r="L867" s="226">
        <f>IFERROR(L866/AVERAGE(K862,L862)*P3/L3,"n/a")</f>
        <v>2.3844836414358105E-2</v>
      </c>
      <c r="M867" s="226">
        <f>IFERROR(M866/AVERAGE(L862,M862)*P3/M3,"n/a")</f>
        <v>2.6641255423543248E-2</v>
      </c>
      <c r="N867" s="226">
        <f>IFERROR(N866/AVERAGE(M862,N862)*P3/N3,"n/a")</f>
        <v>1.5518189078960553E-2</v>
      </c>
      <c r="O867" s="226">
        <f>IFERROR(O866/AVERAGE(N862,O862)*P3/O3,"n/a")</f>
        <v>1.7938046165896213E-2</v>
      </c>
      <c r="P867" s="223">
        <f>IFERROR(P866/AVERAGE(L862,M862,N862,O862),"n/a")</f>
        <v>2.0501714491968959E-2</v>
      </c>
      <c r="Q867" s="226">
        <f>IFERROR(Q866/AVERAGE(P862,Q862)*U3/Q3,"n/a")</f>
        <v>1.8761710524134039E-2</v>
      </c>
      <c r="R867" s="226">
        <f>IFERROR(R866/AVERAGE(Q862,R862)*U3/R3,"n/a")</f>
        <v>1.8584142889146862E-2</v>
      </c>
      <c r="S867" s="226">
        <f>IFERROR(S866/AVERAGE(R862,S862)*U3/S3,"n/a")</f>
        <v>1.5251478964614811E-2</v>
      </c>
      <c r="T867" s="226">
        <f>IFERROR(T866/AVERAGE(S862,T862)*U3/T3,"n/a")</f>
        <v>1.619343389529725E-2</v>
      </c>
      <c r="U867" s="223">
        <f>IFERROR(U866/AVERAGE(Q862,R862,S862,T862),"n/a")</f>
        <v>1.6039614618655471E-2</v>
      </c>
      <c r="V867" s="226">
        <f>IFERROR(V866/AVERAGE(U862,V862)*Z3/V3,"n/a")</f>
        <v>1.723495323057686E-2</v>
      </c>
      <c r="W867" s="226">
        <f>IFERROR(W866/AVERAGE(V862,W862)*Z3/W3,"n/a")</f>
        <v>1.3355047608805036E-2</v>
      </c>
      <c r="X867" s="226">
        <f>IFERROR(X866/AVERAGE(W862,X862)*Z3/X3,"n/a")</f>
        <v>1.6500459848881037E-2</v>
      </c>
      <c r="Y867" s="226">
        <f>IFERROR(Y866/AVERAGE(X862,Y862)*Z3/Y3,"n/a")</f>
        <v>2.1207671121750357E-2</v>
      </c>
      <c r="Z867" s="223">
        <f>IFERROR(Z866/AVERAGE(V862,W862,X862,Y862),"n/a")</f>
        <v>1.6972643339943281E-2</v>
      </c>
      <c r="AA867" s="226">
        <f>IFERROR(AA866/AVERAGE(Z862,AA862)*AE3/AA3,"n/a")</f>
        <v>1.5624331150207608E-2</v>
      </c>
      <c r="AB867" s="226">
        <f>IFERROR(AB866/AVERAGE(AA862,AB862)*AE3/AB3,"n/a")</f>
        <v>1.8824387849244447E-2</v>
      </c>
      <c r="AC867" s="226">
        <f>IFERROR(AC866/AVERAGE(AB862,AC862)*AE3/AC3,"n/a")</f>
        <v>1.9695288655968132E-2</v>
      </c>
      <c r="AD867" s="226">
        <f>IFERROR(AD866/AVERAGE(AC862,AD862)*AE3/AD3,"n/a")</f>
        <v>5.1427999103681017E-2</v>
      </c>
      <c r="AE867" s="223">
        <f>IFERROR(AE866/AVERAGE(AA862,AB862,AC862,AD862),"n/a")</f>
        <v>2.6488976637051662E-2</v>
      </c>
      <c r="AF867" s="226">
        <f>IFERROR(AF866/AVERAGE(AE862,AF862)*AJ3/AF3,"n/a")</f>
        <v>2.2463139961197982E-2</v>
      </c>
      <c r="AG867" s="226">
        <f>IFERROR(AG866/AVERAGE(AF862,AG862)*AJ3/AG3,"n/a")</f>
        <v>2.3391565854868155E-2</v>
      </c>
      <c r="AH867" s="226">
        <f>IFERROR(AH866/AVERAGE(AG862,AH862)*AJ3/AH3,"n/a")</f>
        <v>2.296804092419991E-2</v>
      </c>
      <c r="AI867" s="226">
        <f>IFERROR(AI866/AVERAGE(AH862,AI862)*AJ3/AI3,"n/a")</f>
        <v>2.5580438028576319E-2</v>
      </c>
      <c r="AJ867" s="223">
        <f>IFERROR(AJ866/AVERAGE(AF862,AG862,AH862,AI862),"n/a")</f>
        <v>2.3471423541837812E-2</v>
      </c>
      <c r="AK867" s="226">
        <f>IFERROR(AK866/AVERAGE(AJ862,AK862)*AO3/AK3,"n/a")</f>
        <v>2.7218493661446682E-2</v>
      </c>
      <c r="AL867" s="226">
        <f>IFERROR(AL866/AVERAGE(AK862,AL862)*AO3/AL3,"n/a")</f>
        <v>2.7674029103666103E-2</v>
      </c>
      <c r="AM867" s="226">
        <f>IFERROR(AM866/AVERAGE(AL862,AM862)*AO3/AM3,"n/a")</f>
        <v>2.4539404294164454E-2</v>
      </c>
      <c r="AN867" s="226">
        <f>IFERROR(AN866/AVERAGE(AM862,AN862)*AO3/AN3,"n/a")</f>
        <v>2.4751284048054462E-2</v>
      </c>
      <c r="AO867" s="223">
        <f>IFERROR(AO866/AVERAGE(AK862,AL862,AM862,AN862),"n/a")</f>
        <v>2.4913802691580469E-2</v>
      </c>
      <c r="AP867" s="226">
        <f>IFERROR(AP866/AVERAGE(AO862,AP862)*AT3/AP3,"n/a")</f>
        <v>2.3112656358778579E-2</v>
      </c>
      <c r="AQ867" s="226">
        <f>IFERROR(AQ866/AVERAGE(AP862,AQ862)*AT3/AQ3,"n/a")</f>
        <v>2.5476153640381399E-2</v>
      </c>
      <c r="AR867" s="226">
        <f>IFERROR(AR866/AVERAGE(AQ862,AR862)*AT3/AR3,"n/a")</f>
        <v>2.5233765674150036E-2</v>
      </c>
      <c r="AS867" s="226">
        <f>IFERROR(AS866/AVERAGE(AR862,AS862)*AT3/AS3,"n/a")</f>
        <v>2.9220679947318296E-2</v>
      </c>
      <c r="AT867" s="223">
        <f>IFERROR(AT866/AVERAGE(AP862,AQ862,AR862,AS862),"n/a")</f>
        <v>2.5915492957746478E-2</v>
      </c>
      <c r="AU867" s="773">
        <f>IFERROR(AU866/AVERAGE(AT862,AU862)*AY3/AU3,"n/a")</f>
        <v>2.8951021217529248E-2</v>
      </c>
      <c r="AV867" s="953">
        <f>Drivers!AV118</f>
        <v>2.9000000000000001E-2</v>
      </c>
      <c r="AW867" s="953">
        <f>Drivers!AW118</f>
        <v>2.9000000000000001E-2</v>
      </c>
      <c r="AX867" s="953">
        <f>Drivers!AX118</f>
        <v>2.9000000000000001E-2</v>
      </c>
      <c r="AY867" s="113">
        <f>IFERROR(AY866/AVERAGE(AU862,AV862,AW862,AX862),"n/a")</f>
        <v>2.9107246558018635E-2</v>
      </c>
      <c r="AZ867" s="953">
        <f>Drivers!AZ118</f>
        <v>2.9000000000000001E-2</v>
      </c>
      <c r="BA867" s="953">
        <f>Drivers!BA118</f>
        <v>2.9000000000000001E-2</v>
      </c>
      <c r="BB867" s="953">
        <f>Drivers!BB118</f>
        <v>2.9000000000000001E-2</v>
      </c>
      <c r="BC867" s="953">
        <f>Drivers!BC118</f>
        <v>2.9000000000000001E-2</v>
      </c>
      <c r="BD867" s="113">
        <f>IFERROR(BD866/AVERAGE(AZ862,BA862,BB862,BC862),"n/a")</f>
        <v>2.9000000000000001E-2</v>
      </c>
      <c r="BE867" s="953">
        <f>Drivers!BE118</f>
        <v>2.9000000000000001E-2</v>
      </c>
      <c r="BF867" s="953">
        <f>Drivers!BF118</f>
        <v>2.9000000000000001E-2</v>
      </c>
      <c r="BG867" s="953">
        <f>Drivers!BG118</f>
        <v>2.9000000000000001E-2</v>
      </c>
      <c r="BH867" s="351"/>
    </row>
    <row r="868" spans="1:60" s="345" customFormat="1" x14ac:dyDescent="0.35">
      <c r="A868" s="537" t="s">
        <v>712</v>
      </c>
      <c r="B868" s="317"/>
      <c r="C868" s="445">
        <f t="shared" ref="C868:AR868" si="1181">-C808</f>
        <v>37</v>
      </c>
      <c r="D868" s="445">
        <f t="shared" si="1181"/>
        <v>38</v>
      </c>
      <c r="E868" s="445">
        <f t="shared" si="1181"/>
        <v>39</v>
      </c>
      <c r="F868" s="445">
        <f t="shared" si="1181"/>
        <v>39</v>
      </c>
      <c r="G868" s="446">
        <f t="shared" si="1181"/>
        <v>10</v>
      </c>
      <c r="H868" s="446">
        <f t="shared" si="1181"/>
        <v>10</v>
      </c>
      <c r="I868" s="446">
        <f t="shared" si="1181"/>
        <v>10</v>
      </c>
      <c r="J868" s="446">
        <f t="shared" si="1181"/>
        <v>11</v>
      </c>
      <c r="K868" s="445">
        <f t="shared" si="1181"/>
        <v>41</v>
      </c>
      <c r="L868" s="446">
        <f t="shared" si="1181"/>
        <v>9</v>
      </c>
      <c r="M868" s="446">
        <f t="shared" si="1181"/>
        <v>9</v>
      </c>
      <c r="N868" s="446">
        <f t="shared" si="1181"/>
        <v>7</v>
      </c>
      <c r="O868" s="446">
        <f t="shared" si="1181"/>
        <v>8</v>
      </c>
      <c r="P868" s="445">
        <f t="shared" si="1181"/>
        <v>33</v>
      </c>
      <c r="Q868" s="446">
        <f t="shared" si="1181"/>
        <v>4</v>
      </c>
      <c r="R868" s="446">
        <f t="shared" si="1181"/>
        <v>7</v>
      </c>
      <c r="S868" s="446">
        <f t="shared" si="1181"/>
        <v>7</v>
      </c>
      <c r="T868" s="446">
        <f t="shared" si="1181"/>
        <v>8</v>
      </c>
      <c r="U868" s="445">
        <f t="shared" si="1181"/>
        <v>26</v>
      </c>
      <c r="V868" s="446">
        <f t="shared" si="1181"/>
        <v>5</v>
      </c>
      <c r="W868" s="446">
        <f t="shared" si="1181"/>
        <v>7</v>
      </c>
      <c r="X868" s="446">
        <f t="shared" si="1181"/>
        <v>8</v>
      </c>
      <c r="Y868" s="446">
        <f t="shared" si="1181"/>
        <v>9</v>
      </c>
      <c r="Z868" s="445">
        <f t="shared" si="1181"/>
        <v>29</v>
      </c>
      <c r="AA868" s="446">
        <f t="shared" si="1181"/>
        <v>8</v>
      </c>
      <c r="AB868" s="446">
        <f t="shared" si="1181"/>
        <v>12</v>
      </c>
      <c r="AC868" s="446">
        <f t="shared" si="1181"/>
        <v>13</v>
      </c>
      <c r="AD868" s="446">
        <f t="shared" si="1181"/>
        <v>17</v>
      </c>
      <c r="AE868" s="445">
        <f t="shared" si="1181"/>
        <v>50</v>
      </c>
      <c r="AF868" s="446">
        <f t="shared" si="1181"/>
        <v>21</v>
      </c>
      <c r="AG868" s="446">
        <f t="shared" si="1181"/>
        <v>16</v>
      </c>
      <c r="AH868" s="446">
        <f t="shared" si="1181"/>
        <v>15</v>
      </c>
      <c r="AI868" s="446">
        <f t="shared" si="1181"/>
        <v>18</v>
      </c>
      <c r="AJ868" s="445">
        <f t="shared" si="1181"/>
        <v>70</v>
      </c>
      <c r="AK868" s="446">
        <f t="shared" si="1181"/>
        <v>20</v>
      </c>
      <c r="AL868" s="446">
        <f t="shared" si="1181"/>
        <v>18</v>
      </c>
      <c r="AM868" s="446">
        <f t="shared" si="1181"/>
        <v>26</v>
      </c>
      <c r="AN868" s="446">
        <f t="shared" si="1181"/>
        <v>16</v>
      </c>
      <c r="AO868" s="445">
        <f t="shared" si="1181"/>
        <v>80</v>
      </c>
      <c r="AP868" s="446">
        <f t="shared" si="1181"/>
        <v>10</v>
      </c>
      <c r="AQ868" s="446">
        <f t="shared" si="1181"/>
        <v>9</v>
      </c>
      <c r="AR868" s="446">
        <f t="shared" si="1181"/>
        <v>5</v>
      </c>
      <c r="AS868" s="446">
        <f>-AS808</f>
        <v>5</v>
      </c>
      <c r="AT868" s="445">
        <f>-AT808</f>
        <v>29</v>
      </c>
      <c r="AU868" s="767">
        <f t="shared" ref="AU868" si="1182">-AU808</f>
        <v>4</v>
      </c>
      <c r="AV868" s="446">
        <f>MAX(0,AV869*AU859*AV3/AY3)</f>
        <v>7.6843890410958906</v>
      </c>
      <c r="AW868" s="446">
        <f>MAX(0,AW869*AV859*AW3/AY3)</f>
        <v>6.7945667362244251</v>
      </c>
      <c r="AX868" s="446">
        <f>MAX(0,AX869*AW859*AX3/AY3)</f>
        <v>7.5786522468593098</v>
      </c>
      <c r="AY868" s="445">
        <f>IF(OR(ISBLANK(AU868),ISBLANK(AV868),ISBLANK(AW868),ISBLANK(AX868)),"n/a",SUM(AU868,AV868,AW868,AX868))</f>
        <v>26.057608024179626</v>
      </c>
      <c r="AZ868" s="446">
        <f>MAX(0,AZ869*AY859*AZ3/BD3)</f>
        <v>7.8957904489405264</v>
      </c>
      <c r="BA868" s="446">
        <f ca="1">MAX(0,BA869*AZ859*BA3/BD3)</f>
        <v>8.3644340132919339</v>
      </c>
      <c r="BB868" s="446">
        <f ca="1">MAX(0,BB869*BA859*BB3/BD3)</f>
        <v>7.8087306104075624</v>
      </c>
      <c r="BC868" s="446">
        <f ca="1">MAX(0,BC869*BB859*BC3/BD3)</f>
        <v>8.6930223784940548</v>
      </c>
      <c r="BD868" s="445">
        <f ca="1">IF(OR(ISBLANK(AZ868),ISBLANK(BA868),ISBLANK(BB868),ISBLANK(BC868)),"n/a",SUM(AZ868,BA868,BB868,BC868))</f>
        <v>32.761977451134079</v>
      </c>
      <c r="BE868" s="445">
        <f ca="1">BE869*BD859</f>
        <v>36.866939727945322</v>
      </c>
      <c r="BF868" s="445">
        <f ca="1">BF869*BE859</f>
        <v>46.295009120298438</v>
      </c>
      <c r="BG868" s="445">
        <f ca="1">BG869*BF859</f>
        <v>60.027789256724667</v>
      </c>
      <c r="BH868" s="351"/>
    </row>
    <row r="869" spans="1:60" s="345" customFormat="1" x14ac:dyDescent="0.35">
      <c r="A869" s="426" t="s">
        <v>713</v>
      </c>
      <c r="B869" s="427"/>
      <c r="C869" s="113"/>
      <c r="D869" s="113">
        <f>IFERROR(D868/AVERAGE(C859,D859),"n/a")</f>
        <v>7.894463488106367E-3</v>
      </c>
      <c r="E869" s="113">
        <f>IFERROR(E868/AVERAGE(D859,E859),"n/a")</f>
        <v>8.130081300813009E-3</v>
      </c>
      <c r="F869" s="113">
        <f>IFERROR(F868/AVERAGE(E859,F859),"n/a")</f>
        <v>7.5956763073327487E-3</v>
      </c>
      <c r="G869" s="177">
        <f>IFERROR(G868/AVERAGE(F859,G859)*K3/G3,"n/a")</f>
        <v>7.0402839259709324E-3</v>
      </c>
      <c r="H869" s="177">
        <f>IFERROR(H868/AVERAGE(G859,H859)*K3/H3,"n/a")</f>
        <v>6.9024075219222348E-3</v>
      </c>
      <c r="I869" s="177">
        <f>IFERROR(I868/AVERAGE(H859,I859)*K3/I3,"n/a")</f>
        <v>7.4491012098156697E-3</v>
      </c>
      <c r="J869" s="177">
        <f>IFERROR(J868/AVERAGE(I859,J859)*K3/J3,"n/a")</f>
        <v>9.046704881390151E-3</v>
      </c>
      <c r="K869" s="113">
        <f>IFERROR(K868/AVERAGE(G859,H859,I859,J859),"n/a")</f>
        <v>7.7103902209685006E-3</v>
      </c>
      <c r="L869" s="177">
        <f>IFERROR(L868/AVERAGE(K859,L859)*P3/L3,"n/a")</f>
        <v>8.1436858545292264E-3</v>
      </c>
      <c r="M869" s="177">
        <f>IFERROR(M868/AVERAGE(L859,M859)*P3/M3,"n/a")</f>
        <v>8.6082988193397179E-3</v>
      </c>
      <c r="N869" s="177">
        <f>IFERROR(N868/AVERAGE(M859,N859)*P3/N3,"n/a")</f>
        <v>6.9308058723321145E-3</v>
      </c>
      <c r="O869" s="177">
        <f>IFERROR(O868/AVERAGE(N859,O859)*P3/O3,"n/a")</f>
        <v>8.8755957591673956E-3</v>
      </c>
      <c r="P869" s="113">
        <f>IFERROR(P868/AVERAGE(L859,M859,N859,O859),"n/a")</f>
        <v>8.4947551322478929E-3</v>
      </c>
      <c r="Q869" s="177">
        <f>IFERROR(Q868/AVERAGE(P859,Q859)*U3/Q3,"n/a")</f>
        <v>5.2558633475529633E-3</v>
      </c>
      <c r="R869" s="177">
        <f>IFERROR(R868/AVERAGE(Q859,R859)*U3/R3,"n/a")</f>
        <v>8.8851022395326201E-3</v>
      </c>
      <c r="S869" s="177">
        <f>IFERROR(S868/AVERAGE(R859,S859)*U3/S3,"n/a")</f>
        <v>1.0541559738255754E-2</v>
      </c>
      <c r="T869" s="177">
        <f>IFERROR(T868/AVERAGE(S859,T859)*U3/T3,"n/a")</f>
        <v>1.7174854131375868E-2</v>
      </c>
      <c r="U869" s="113">
        <f>IFERROR(U868/AVERAGE(Q859,R859,S859,T859),"n/a")</f>
        <v>1.0383386581469648E-2</v>
      </c>
      <c r="V869" s="177">
        <f>IFERROR(V868/AVERAGE(U859,V859)*Z3/V3,"n/a")</f>
        <v>1.1647778806770988E-2</v>
      </c>
      <c r="W869" s="177">
        <f>IFERROR(W868/AVERAGE(V859,W859)*Z3/W3,"n/a")</f>
        <v>1.6527059673522835E-2</v>
      </c>
      <c r="X869" s="177">
        <f>IFERROR(X868/AVERAGE(W859,X859)*Z3/X3,"n/a")</f>
        <v>1.396187188265924E-2</v>
      </c>
      <c r="Y869" s="177">
        <f>IFERROR(Y868/AVERAGE(X859,Y859)*Z3/Y3,"n/a")</f>
        <v>1.3322548028311424E-2</v>
      </c>
      <c r="Z869" s="113">
        <f>IFERROR(Z868/AVERAGE(V859,W859,X859,Y859),"n/a")</f>
        <v>1.3208836255978138E-2</v>
      </c>
      <c r="AA869" s="177">
        <f>IFERROR(AA868/AVERAGE(Z859,AA859)*AE3/AA3,"n/a")</f>
        <v>1.2910642437104831E-2</v>
      </c>
      <c r="AB869" s="177">
        <f>IFERROR(AB868/AVERAGE(AA859,AB859)*AE3/AB3,"n/a")</f>
        <v>1.8721068896098068E-2</v>
      </c>
      <c r="AC869" s="177">
        <f>IFERROR(AC868/AVERAGE(AB859,AC859)*AE3/AC3,"n/a")</f>
        <v>1.6517561875587429E-2</v>
      </c>
      <c r="AD869" s="177">
        <f>IFERROR(AD868/AVERAGE(AC859,AD859)*AE3/AD3,"n/a")</f>
        <v>1.7835687471615243E-2</v>
      </c>
      <c r="AE869" s="113">
        <f>IFERROR(AE868/AVERAGE(AA859,AB859,AC859,AD859),"n/a")</f>
        <v>1.5741833923652106E-2</v>
      </c>
      <c r="AF869" s="177">
        <f>IFERROR(AF868/AVERAGE(AE859,AF859)*AJ3/AF3,"n/a")</f>
        <v>2.0711738002594033E-2</v>
      </c>
      <c r="AG869" s="177">
        <f>IFERROR(AG868/AVERAGE(AF859,AG859)*AJ3/AG3,"n/a")</f>
        <v>1.7628299457718495E-2</v>
      </c>
      <c r="AH869" s="177">
        <f>IFERROR(AH868/AVERAGE(AG859,AH859)*AJ3/AH3,"n/a")</f>
        <v>1.7740608008709909E-2</v>
      </c>
      <c r="AI869" s="177">
        <f>IFERROR(AI868/AVERAGE(AH859,AI859)*AJ3/AI3,"n/a")</f>
        <v>2.1140628619970653E-2</v>
      </c>
      <c r="AJ869" s="113">
        <f>IFERROR(AJ868/AVERAGE(AF859,AG859,AH859,AI859),"n/a")</f>
        <v>1.9947282182802593E-2</v>
      </c>
      <c r="AK869" s="177">
        <f>IFERROR(AK868/AVERAGE(AJ859,AK859)*AO3/AK3,"n/a")</f>
        <v>2.4176188110614338E-2</v>
      </c>
      <c r="AL869" s="177">
        <f>IFERROR(AL868/AVERAGE(AK859,AL859)*AO3/AL3,"n/a")</f>
        <v>2.2334973611075698E-2</v>
      </c>
      <c r="AM869" s="177">
        <f>IFERROR(AM868/AVERAGE(AL859,AM859)*AO3/AM3,"n/a")</f>
        <v>1.9192887508241413E-2</v>
      </c>
      <c r="AN869" s="177">
        <f>IFERROR(AN868/AVERAGE(AM859,AN859)*AO3/AN3,"n/a")</f>
        <v>1.2432091827176892E-2</v>
      </c>
      <c r="AO869" s="113">
        <f>IFERROR(AO868/AVERAGE(AK859,AL859,AM859,AN859),"n/a")</f>
        <v>1.9188103375906939E-2</v>
      </c>
      <c r="AP869" s="177">
        <f>IFERROR(AP868/AVERAGE(AO859,AP859)*AT3/AP3,"n/a")</f>
        <v>1.161079105651854E-2</v>
      </c>
      <c r="AQ869" s="177">
        <f>IFERROR(AQ868/AVERAGE(AP859,AQ859)*AT3/AQ3,"n/a")</f>
        <v>8.0952258074029285E-3</v>
      </c>
      <c r="AR869" s="177">
        <f>IFERROR(AR868/AVERAGE(AQ859,AR859)*AT3/AR3,"n/a")</f>
        <v>4.4070686491250888E-3</v>
      </c>
      <c r="AS869" s="177">
        <f>IFERROR(AS868/AVERAGE(AR859,AS859)*AT3/AS3,"n/a")</f>
        <v>4.144453453031792E-3</v>
      </c>
      <c r="AT869" s="113">
        <f>IFERROR(AT868/AVERAGE(AP859,AQ859,AR859,AS859),"n/a")</f>
        <v>6.256067306655161E-3</v>
      </c>
      <c r="AU869" s="780">
        <f>IFERROR(AU868/AVERAGE(AT859,AU859)*AY3/AU3,"n/a")</f>
        <v>3.1886431886431884E-3</v>
      </c>
      <c r="AV869" s="953">
        <f>Drivers!AV119</f>
        <v>6.0000000000000001E-3</v>
      </c>
      <c r="AW869" s="953">
        <f>Drivers!AW119</f>
        <v>6.0000000000000001E-3</v>
      </c>
      <c r="AX869" s="953">
        <f>Drivers!AX119</f>
        <v>6.0000000000000001E-3</v>
      </c>
      <c r="AY869" s="113">
        <f>IFERROR(AY868/AVERAGE(AU859,AV859,AW859,AX859),"n/a")</f>
        <v>5.2172605553748395E-3</v>
      </c>
      <c r="AZ869" s="953">
        <f>Drivers!AZ119</f>
        <v>6.0000000000000001E-3</v>
      </c>
      <c r="BA869" s="953">
        <f>Drivers!BA119</f>
        <v>6.0000000000000001E-3</v>
      </c>
      <c r="BB869" s="953">
        <f>Drivers!BB119</f>
        <v>6.0000000000000001E-3</v>
      </c>
      <c r="BC869" s="953">
        <f>Drivers!BC119</f>
        <v>6.0000000000000001E-3</v>
      </c>
      <c r="BD869" s="113">
        <f ca="1">IFERROR(BD868/AVERAGE(AZ859,BA859,BB859,BC859),"n/a")</f>
        <v>5.767019396033005E-3</v>
      </c>
      <c r="BE869" s="953">
        <f>Drivers!BE119</f>
        <v>5.9266013323003349E-3</v>
      </c>
      <c r="BF869" s="953">
        <f>Drivers!BF119</f>
        <v>5.9266013323003349E-3</v>
      </c>
      <c r="BG869" s="953">
        <f>Drivers!BG119</f>
        <v>5.9266013323003349E-3</v>
      </c>
      <c r="BH869" s="351"/>
    </row>
    <row r="870" spans="1:60" s="345" customFormat="1" hidden="1" outlineLevel="1" x14ac:dyDescent="0.35">
      <c r="A870" s="537" t="s">
        <v>714</v>
      </c>
      <c r="B870" s="317"/>
      <c r="C870" s="445">
        <f t="shared" ref="C870:AQ870" si="1183">IFERROR(C866-C868,"n/a")</f>
        <v>182</v>
      </c>
      <c r="D870" s="445">
        <f t="shared" si="1183"/>
        <v>163</v>
      </c>
      <c r="E870" s="445">
        <f t="shared" si="1183"/>
        <v>147</v>
      </c>
      <c r="F870" s="445">
        <f t="shared" si="1183"/>
        <v>132</v>
      </c>
      <c r="G870" s="446">
        <f t="shared" si="1183"/>
        <v>29</v>
      </c>
      <c r="H870" s="446">
        <f t="shared" si="1183"/>
        <v>31</v>
      </c>
      <c r="I870" s="446">
        <f t="shared" si="1183"/>
        <v>23</v>
      </c>
      <c r="J870" s="446">
        <f t="shared" si="1183"/>
        <v>21</v>
      </c>
      <c r="K870" s="445">
        <f t="shared" si="1183"/>
        <v>104</v>
      </c>
      <c r="L870" s="446">
        <f t="shared" si="1183"/>
        <v>28</v>
      </c>
      <c r="M870" s="446">
        <f t="shared" si="1183"/>
        <v>36</v>
      </c>
      <c r="N870" s="446">
        <f t="shared" si="1183"/>
        <v>21</v>
      </c>
      <c r="O870" s="446">
        <f t="shared" si="1183"/>
        <v>24</v>
      </c>
      <c r="P870" s="445">
        <f t="shared" si="1183"/>
        <v>109</v>
      </c>
      <c r="Q870" s="446">
        <f t="shared" si="1183"/>
        <v>27</v>
      </c>
      <c r="R870" s="446">
        <f t="shared" si="1183"/>
        <v>28</v>
      </c>
      <c r="S870" s="446">
        <f t="shared" si="1183"/>
        <v>31</v>
      </c>
      <c r="T870" s="446">
        <f t="shared" si="1183"/>
        <v>37</v>
      </c>
      <c r="U870" s="445">
        <f t="shared" si="1183"/>
        <v>123</v>
      </c>
      <c r="V870" s="446">
        <f t="shared" si="1183"/>
        <v>42</v>
      </c>
      <c r="W870" s="446">
        <f t="shared" si="1183"/>
        <v>31</v>
      </c>
      <c r="X870" s="446">
        <f t="shared" si="1183"/>
        <v>42</v>
      </c>
      <c r="Y870" s="446">
        <f t="shared" si="1183"/>
        <v>55</v>
      </c>
      <c r="Z870" s="445">
        <f t="shared" si="1183"/>
        <v>170</v>
      </c>
      <c r="AA870" s="446">
        <f t="shared" si="1183"/>
        <v>37</v>
      </c>
      <c r="AB870" s="446">
        <f t="shared" si="1183"/>
        <v>42</v>
      </c>
      <c r="AC870" s="446">
        <f t="shared" si="1183"/>
        <v>44</v>
      </c>
      <c r="AD870" s="446">
        <f t="shared" si="1183"/>
        <v>149</v>
      </c>
      <c r="AE870" s="445">
        <f t="shared" si="1183"/>
        <v>272</v>
      </c>
      <c r="AF870" s="446">
        <f t="shared" si="1183"/>
        <v>61</v>
      </c>
      <c r="AG870" s="446">
        <f t="shared" si="1183"/>
        <v>72</v>
      </c>
      <c r="AH870" s="446">
        <f t="shared" si="1183"/>
        <v>70</v>
      </c>
      <c r="AI870" s="446">
        <f t="shared" si="1183"/>
        <v>77</v>
      </c>
      <c r="AJ870" s="445">
        <f t="shared" si="1183"/>
        <v>280</v>
      </c>
      <c r="AK870" s="446">
        <f t="shared" si="1183"/>
        <v>84</v>
      </c>
      <c r="AL870" s="446">
        <f t="shared" si="1183"/>
        <v>93</v>
      </c>
      <c r="AM870" s="446">
        <f t="shared" si="1183"/>
        <v>83</v>
      </c>
      <c r="AN870" s="446">
        <f t="shared" si="1183"/>
        <v>108</v>
      </c>
      <c r="AO870" s="445">
        <f t="shared" si="1183"/>
        <v>368</v>
      </c>
      <c r="AP870" s="446">
        <f t="shared" si="1183"/>
        <v>113</v>
      </c>
      <c r="AQ870" s="446">
        <f t="shared" si="1183"/>
        <v>128</v>
      </c>
      <c r="AR870" s="446">
        <f t="shared" ref="AR870:AX870" si="1184">IFERROR(AR866-AR868,"n/a")</f>
        <v>123</v>
      </c>
      <c r="AS870" s="446">
        <f t="shared" si="1184"/>
        <v>136</v>
      </c>
      <c r="AT870" s="445">
        <f t="shared" si="1184"/>
        <v>500</v>
      </c>
      <c r="AU870" s="767">
        <f t="shared" si="1184"/>
        <v>128</v>
      </c>
      <c r="AV870" s="446">
        <f t="shared" si="1184"/>
        <v>123.81011232876713</v>
      </c>
      <c r="AW870" s="446">
        <f t="shared" si="1184"/>
        <v>126.14492915418651</v>
      </c>
      <c r="AX870" s="446">
        <f t="shared" si="1184"/>
        <v>125.36084364355163</v>
      </c>
      <c r="AY870" s="445">
        <f>SUM(AU870,AV870,AW870,AX870)</f>
        <v>503.31588512650529</v>
      </c>
      <c r="AZ870" s="446">
        <f>IFERROR(AZ866-AZ868,"n/a")</f>
        <v>122.15371640037453</v>
      </c>
      <c r="BA870" s="446">
        <f ca="1">IFERROR(BA866-BA868,"n/a")</f>
        <v>123.13006735657109</v>
      </c>
      <c r="BB870" s="446">
        <f ca="1">IFERROR(BB866-BB868,"n/a")</f>
        <v>125.13076528000337</v>
      </c>
      <c r="BC870" s="446">
        <f ca="1">IFERROR(BC866-BC868,"n/a")</f>
        <v>124.24647351191689</v>
      </c>
      <c r="BD870" s="445">
        <f ca="1">SUM(AZ870,BA870,BB870,BC870)</f>
        <v>494.66102254886584</v>
      </c>
      <c r="BE870" s="445">
        <f ca="1">IFERROR(BE866-BE868,"n/a")</f>
        <v>490.55606027205465</v>
      </c>
      <c r="BF870" s="445">
        <f ca="1">IFERROR(BF866-BF868,"n/a")</f>
        <v>481.12799087970154</v>
      </c>
      <c r="BG870" s="445">
        <f ca="1">IFERROR(BG866-BG868,"n/a")</f>
        <v>467.39521074327536</v>
      </c>
      <c r="BH870" s="351"/>
    </row>
    <row r="871" spans="1:60" s="345" customFormat="1" hidden="1" outlineLevel="1" x14ac:dyDescent="0.35">
      <c r="A871" s="426" t="s">
        <v>715</v>
      </c>
      <c r="B871" s="427"/>
      <c r="C871" s="113"/>
      <c r="D871" s="113">
        <f>IFERROR(IF(D870/AVERAGE(C862,D862)&lt;0,"n/a",D870/AVERAGE(C862,D862)),"n/a")</f>
        <v>2.9206235441677119E-2</v>
      </c>
      <c r="E871" s="113">
        <f>IFERROR(IF(E870/AVERAGE(D862,E862)&lt;0,"n/a",E870/AVERAGE(D862,E862)),"n/a")</f>
        <v>2.7688830288189865E-2</v>
      </c>
      <c r="F871" s="113">
        <f>IFERROR(IF(F870/AVERAGE(E862,F862)&lt;0,"n/a",F870/AVERAGE(E862,F862)),"n/a")</f>
        <v>2.3641085340736098E-2</v>
      </c>
      <c r="G871" s="177">
        <f>IFERROR(IF(G870/AVERAGE(F862,G862)&lt;0,"n/a",G870/AVERAGE(F862,G862)*K3/G3),"n/a")</f>
        <v>1.970530470153491E-2</v>
      </c>
      <c r="H871" s="177">
        <f>IFERROR(IF(H870/AVERAGE(G862,H862)&lt;0,"n/a",H870/AVERAGE(G862,H862)*K3/H3),"n/a")</f>
        <v>2.0929247490432477E-2</v>
      </c>
      <c r="I871" s="177">
        <f>IFERROR(IF(I870/AVERAGE(H862,I862)&lt;0,"n/a",I870/AVERAGE(H862,I862)*K3/I3),"n/a")</f>
        <v>1.5567687452017401E-2</v>
      </c>
      <c r="J871" s="177">
        <f>IFERROR(IF(J870/AVERAGE(I862,J862)&lt;0,"n/a",J870/AVERAGE(I862,J862)*K3/J3),"n/a")</f>
        <v>1.4137997181623001E-2</v>
      </c>
      <c r="K871" s="113">
        <f>IFERROR(IF(K870/AVERAGE(G862,H862,I862,J862)&lt;0,"n/a",K870/AVERAGE(G862,H862,I862,J862)),"n/a")</f>
        <v>1.757647456481325E-2</v>
      </c>
      <c r="L871" s="177">
        <f>IFERROR(IF(L870/AVERAGE(K862,L862)&lt;0,"n/a",L870/AVERAGE(K862,L862)*P3/L3),"n/a")</f>
        <v>1.8044741070325051E-2</v>
      </c>
      <c r="M871" s="177">
        <f>IFERROR(IF(M870/AVERAGE(L862,M862)&lt;0,"n/a",M870/AVERAGE(L862,M862)*P3/M3),"n/a")</f>
        <v>2.1313004338834596E-2</v>
      </c>
      <c r="N871" s="177">
        <f>IFERROR(IF(N870/AVERAGE(M862,N862)&lt;0,"n/a",N870/AVERAGE(M862,N862)*P3/N3),"n/a")</f>
        <v>1.1638641809220416E-2</v>
      </c>
      <c r="O871" s="177">
        <f>IFERROR(IF(O870/AVERAGE(N862,O862)&lt;0,"n/a",O870/AVERAGE(N862,O862)*P3/O3),"n/a")</f>
        <v>1.3453534624422159E-2</v>
      </c>
      <c r="P871" s="113">
        <f>IFERROR(IF(P870/AVERAGE(L862,M862,N862,O862)&lt;0,"n/a",P870/AVERAGE(L862,M862,N862,O862)),"n/a")</f>
        <v>1.5737231546652228E-2</v>
      </c>
      <c r="Q871" s="177">
        <f>IFERROR(IF(Q870/AVERAGE(P862,Q862)&lt;0,"n/a",Q870/AVERAGE(P862,Q862)*U3/Q3),"n/a")</f>
        <v>1.6340844650052234E-2</v>
      </c>
      <c r="R871" s="177">
        <f>IFERROR(IF(R870/AVERAGE(Q862,R862)&lt;0,"n/a",R870/AVERAGE(Q862,R862)*U3/R3),"n/a")</f>
        <v>1.4867314311317489E-2</v>
      </c>
      <c r="S871" s="177">
        <f>IFERROR(IF(S870/AVERAGE(R862,S862)&lt;0,"n/a",S870/AVERAGE(R862,S862)*U3/S3),"n/a")</f>
        <v>1.2441995997448923E-2</v>
      </c>
      <c r="T871" s="177">
        <f>IFERROR(IF(T870/AVERAGE(S862,T862)&lt;0,"n/a",T870/AVERAGE(S862,T862)*U3/T3),"n/a")</f>
        <v>1.3314601202799958E-2</v>
      </c>
      <c r="U871" s="113">
        <f>IFERROR(IF(U870/AVERAGE(Q862,R862,S862,T862)&lt;0,"n/a",U870/AVERAGE(Q862,R862,S862,T862)),"n/a")</f>
        <v>1.3240755691910222E-2</v>
      </c>
      <c r="V871" s="177">
        <f>IFERROR(IF(V870/AVERAGE(U862,V862)&lt;0,"n/a",V870/AVERAGE(U862,V862)*Z3/V3),"n/a")</f>
        <v>1.5401447567749537E-2</v>
      </c>
      <c r="W871" s="177">
        <f>IFERROR(IF(W870/AVERAGE(V862,W862)&lt;0,"n/a",W870/AVERAGE(V862,W862)*Z3/W3),"n/a")</f>
        <v>1.0894907259814634E-2</v>
      </c>
      <c r="X871" s="177">
        <f>IFERROR(IF(X870/AVERAGE(W862,X862)&lt;0,"n/a",X870/AVERAGE(W862,X862)*Z3/X3),"n/a")</f>
        <v>1.386038627306007E-2</v>
      </c>
      <c r="Y871" s="177">
        <f>IFERROR(IF(Y870/AVERAGE(X862,Y862)&lt;0,"n/a",Y870/AVERAGE(X862,Y862)*Z3/Y3),"n/a")</f>
        <v>1.8225342370254211E-2</v>
      </c>
      <c r="Z871" s="113">
        <f>IFERROR(IF(Z870/AVERAGE(V862,W862,X862,Y862)&lt;0,"n/a",Z870/AVERAGE(V862,W862,X862,Y862)),"n/a")</f>
        <v>1.4499243054222904E-2</v>
      </c>
      <c r="AA871" s="177">
        <f>IFERROR(IF(AA870/AVERAGE(Z862,AA862)&lt;0,"n/a",AA870/AVERAGE(Z862,AA862)*AE3/AA3),"n/a")</f>
        <v>1.2846672279059591E-2</v>
      </c>
      <c r="AB871" s="177">
        <f>IFERROR(IF(AB870/AVERAGE(AA862,AB862)&lt;0,"n/a",AB870/AVERAGE(AA862,AB862)*AE3/AB3),"n/a")</f>
        <v>1.4641190549412346E-2</v>
      </c>
      <c r="AC871" s="177">
        <f>IFERROR(IF(AC870/AVERAGE(AB862,AC862)&lt;0,"n/a",AC870/AVERAGE(AB862,AC862)*AE3/AC3),"n/a")</f>
        <v>1.520338071688768E-2</v>
      </c>
      <c r="AD871" s="177">
        <f>IFERROR(IF(AD870/AVERAGE(AC862,AD862)&lt;0,"n/a",AD870/AVERAGE(AC862,AD862)*AE3/AD3),"n/a")</f>
        <v>4.616127630390645E-2</v>
      </c>
      <c r="AE871" s="113">
        <f>IFERROR(IF(AE870/AVERAGE(AA862,AB862,AC862,AD862)&lt;0,"n/a",AE870/AVERAGE(AA862,AB862,AC862,AD862)),"n/a")</f>
        <v>2.2375781507074696E-2</v>
      </c>
      <c r="AF871" s="177">
        <f>IFERROR(IF(AF870/AVERAGE(AE862,AF862)&lt;0,"n/a",AF870/AVERAGE(AE862,AF862)*AJ3/AF3),"n/a")</f>
        <v>1.6710384605281424E-2</v>
      </c>
      <c r="AG871" s="177">
        <f>IFERROR(IF(AG870/AVERAGE(AF862,AG862)&lt;0,"n/a",AG870/AVERAGE(AF862,AG862)*AJ3/AG3),"n/a")</f>
        <v>1.9138553881255762E-2</v>
      </c>
      <c r="AH871" s="177">
        <f>IFERROR(IF(AH870/AVERAGE(AG862,AH862)&lt;0,"n/a",AH870/AVERAGE(AG862,AH862)*AJ3/AH3),"n/a")</f>
        <v>1.8914857231694046E-2</v>
      </c>
      <c r="AI871" s="177">
        <f>IFERROR(IF(AI870/AVERAGE(AH862,AI862)&lt;0,"n/a",AI870/AVERAGE(AH862,AI862)*AJ3/AI3),"n/a")</f>
        <v>2.0733618191582912E-2</v>
      </c>
      <c r="AJ871" s="113">
        <f>IFERROR(IF(AJ870/AVERAGE(AF862,AG862,AH862,AI862)&lt;0,"n/a",AJ870/AVERAGE(AF862,AG862,AH862,AI862)),"n/a")</f>
        <v>1.877713883347025E-2</v>
      </c>
      <c r="AK871" s="177">
        <f>IFERROR(IF(AK870/AVERAGE(AJ862,AK862)&lt;0,"n/a",AK870/AVERAGE(AJ862,AK862)*AO3/AK3),"n/a")</f>
        <v>2.1984167957322318E-2</v>
      </c>
      <c r="AL871" s="177">
        <f>IFERROR(IF(AL870/AVERAGE(AK862,AL862)&lt;0,"n/a",AL870/AVERAGE(AK862,AL862)*AO3/AL3),"n/a")</f>
        <v>2.3186348708477002E-2</v>
      </c>
      <c r="AM871" s="177">
        <f>IFERROR(IF(AM870/AVERAGE(AL862,AM862)&lt;0,"n/a",AM870/AVERAGE(AL862,AM862)*AO3/AM3),"n/a")</f>
        <v>1.8685968407483024E-2</v>
      </c>
      <c r="AN871" s="177">
        <f>IFERROR(IF(AN870/AVERAGE(AM862,AN862)&lt;0,"n/a",AN870/AVERAGE(AM862,AN862)*AO3/AN3),"n/a")</f>
        <v>2.1557569977337755E-2</v>
      </c>
      <c r="AO871" s="113">
        <f>IFERROR(IF(AO870/AVERAGE(AK862,AL862,AM862,AN862)&lt;0,"n/a",AO870/AVERAGE(AK862,AL862,AM862,AN862)),"n/a")</f>
        <v>2.0464909353798244E-2</v>
      </c>
      <c r="AP871" s="177">
        <f>IFERROR(IF(AP870/AVERAGE(AO862,AP862)&lt;0,"n/a",AP870/AVERAGE(AO862,AP862)*AT3/AP3),"n/a")</f>
        <v>2.1233578606032352E-2</v>
      </c>
      <c r="AQ871" s="177">
        <f>IFERROR(IF(AQ870/AVERAGE(AP862,AQ862)&lt;0,"n/a",AQ870/AVERAGE(AP862,AQ862)*AT3/AQ3),"n/a")</f>
        <v>2.3802537707801597E-2</v>
      </c>
      <c r="AR871" s="177">
        <f>IFERROR(IF(AR870/AVERAGE(AQ862,AR862)&lt;0,"n/a",AR870/AVERAGE(AQ862,AR862)*AT3/AR3),"n/a")</f>
        <v>2.4248071702503551E-2</v>
      </c>
      <c r="AS871" s="177">
        <f>IFERROR(IF(AS870/AVERAGE(AR862,AS862)&lt;0,"n/a",AS870/AVERAGE(AR862,AS862)*AT3/AS3),"n/a")</f>
        <v>2.8184485622945309E-2</v>
      </c>
      <c r="AT871" s="113">
        <f>IFERROR(IF(AT870/AVERAGE(AP862,AQ862,AR862,AS862)&lt;0,"n/a",AT870/AVERAGE(AP862,AQ862,AR862,AS862)),"n/a")</f>
        <v>2.4494794856093079E-2</v>
      </c>
      <c r="AU871" s="780">
        <f>IFERROR(IF(AU870/AVERAGE(AT862,AU862)&lt;0,"n/a",AU870/AVERAGE(AT862,AU862)*AY3/AU3),"n/a")</f>
        <v>2.8073717544270786E-2</v>
      </c>
      <c r="AV871" s="177">
        <f>IFERROR(IF(AV870/AVERAGE(AU862,AV862)&lt;0,"n/a",AV870/AVERAGE(AU862,AV862)*AY3/AV3),"n/a")</f>
        <v>2.7305272997195797E-2</v>
      </c>
      <c r="AW871" s="177">
        <f>IFERROR(IF(AW870/AVERAGE(AV862,AW862)&lt;0,"n/a",AW870/AVERAGE(AV862,AW862)*AY3/AW3),"n/a")</f>
        <v>2.7517803651723328E-2</v>
      </c>
      <c r="AX871" s="177">
        <f>IFERROR(IF(AX870/AVERAGE(AW862,AX862)&lt;0,"n/a",AX870/AVERAGE(AW862,AX862)*AY3/AX3),"n/a")</f>
        <v>2.7346759827191629E-2</v>
      </c>
      <c r="AY871" s="113">
        <f>IFERROR(IF(AY870/AVERAGE(AU862,AV862,AW862,AX862)&lt;0,"n/a",AY870/AVERAGE(AU862,AV862,AW862,AX862)),"n/a")</f>
        <v>2.7674486453318596E-2</v>
      </c>
      <c r="AZ871" s="177">
        <f>IFERROR(IF(AZ870/AVERAGE(AY862,AZ862)&lt;0,"n/a",AZ870/AVERAGE(AY862,AZ862)*BD3/AZ3),"n/a")</f>
        <v>2.7239301873827278E-2</v>
      </c>
      <c r="BA871" s="177">
        <f ca="1">IFERROR(IF(BA870/AVERAGE(AZ862,BA862)&lt;0,"n/a",BA870/AVERAGE(AZ862,BA862)*BD3/BA3),"n/a")</f>
        <v>2.7155294830898079E-2</v>
      </c>
      <c r="BB871" s="177">
        <f ca="1">IFERROR(IF(BB870/AVERAGE(BA862,BB862)&lt;0,"n/a",BB870/AVERAGE(BA862,BB862)*BD3/BB3),"n/a")</f>
        <v>2.729656953198847E-2</v>
      </c>
      <c r="BC871" s="177">
        <f ca="1">IFERROR(IF(BC870/AVERAGE(BB862,BC862)&lt;0,"n/a",BC870/AVERAGE(BB862,BC862)*BD3/BC3),"n/a")</f>
        <v>2.7103666278499014E-2</v>
      </c>
      <c r="BD871" s="113">
        <f ca="1">IFERROR(IF(BD870/AVERAGE(AZ862,BA862,BB862,BC862)&lt;0,"n/a",BD870/AVERAGE(AZ862,BA862,BB862,BC862)),"n/a")</f>
        <v>2.7198604637865831E-2</v>
      </c>
      <c r="BE871" s="113">
        <f ca="1">IFERROR(IF(BE870/AVERAGE(BD862,BE862)&lt;0,"n/a",BE870/AVERAGE(BD862,BE862)),"n/a")</f>
        <v>2.6972896039591722E-2</v>
      </c>
      <c r="BF871" s="113">
        <f ca="1">IFERROR(IF(BF870/AVERAGE(BE862,BF862)&lt;0,"n/a",BF870/AVERAGE(BE862,BF862)),"n/a")</f>
        <v>2.6454499965893306E-2</v>
      </c>
      <c r="BG871" s="113">
        <f ca="1">IFERROR(IF(BG870/AVERAGE(BF862,BG862)&lt;0,"n/a",BG870/AVERAGE(BF862,BG862)),"n/a")</f>
        <v>2.5699412258386505E-2</v>
      </c>
      <c r="BH871" s="351"/>
    </row>
    <row r="872" spans="1:60" s="345" customFormat="1" collapsed="1" x14ac:dyDescent="0.35">
      <c r="A872" s="426"/>
      <c r="B872" s="427"/>
      <c r="C872" s="113"/>
      <c r="D872" s="113"/>
      <c r="E872" s="113"/>
      <c r="F872" s="113"/>
      <c r="G872" s="177"/>
      <c r="H872" s="177"/>
      <c r="I872" s="177"/>
      <c r="J872" s="177"/>
      <c r="K872" s="113"/>
      <c r="L872" s="177"/>
      <c r="M872" s="177"/>
      <c r="N872" s="177"/>
      <c r="O872" s="177"/>
      <c r="P872" s="113"/>
      <c r="Q872" s="177"/>
      <c r="R872" s="177"/>
      <c r="S872" s="177"/>
      <c r="T872" s="177"/>
      <c r="U872" s="113"/>
      <c r="V872" s="177"/>
      <c r="W872" s="177"/>
      <c r="X872" s="177"/>
      <c r="Y872" s="177"/>
      <c r="Z872" s="113"/>
      <c r="AA872" s="177"/>
      <c r="AB872" s="177"/>
      <c r="AC872" s="177"/>
      <c r="AD872" s="177"/>
      <c r="AE872" s="113"/>
      <c r="AF872" s="177"/>
      <c r="AG872" s="177"/>
      <c r="AH872" s="177"/>
      <c r="AI872" s="177"/>
      <c r="AJ872" s="113"/>
      <c r="AK872" s="177"/>
      <c r="AL872" s="177"/>
      <c r="AM872" s="177"/>
      <c r="AN872" s="177"/>
      <c r="AO872" s="113"/>
      <c r="AP872" s="177"/>
      <c r="AQ872" s="177"/>
      <c r="AR872" s="177"/>
      <c r="AS872" s="177"/>
      <c r="AT872" s="113"/>
      <c r="AU872" s="780"/>
      <c r="AV872" s="177"/>
      <c r="AW872" s="177"/>
      <c r="AX872" s="177"/>
      <c r="AY872" s="113"/>
      <c r="AZ872" s="177"/>
      <c r="BA872" s="177"/>
      <c r="BB872" s="177"/>
      <c r="BC872" s="177"/>
      <c r="BD872" s="113"/>
      <c r="BE872" s="113"/>
      <c r="BF872" s="113"/>
      <c r="BG872" s="113"/>
      <c r="BH872" s="351"/>
    </row>
    <row r="873" spans="1:60" s="345" customFormat="1" x14ac:dyDescent="0.35">
      <c r="A873" s="426" t="s">
        <v>716</v>
      </c>
      <c r="B873" s="427"/>
      <c r="C873" s="121">
        <f t="shared" ref="C873:AH873" si="1185">IFERROR(IF(OR(C796&lt;0,C870&lt;0),"n/a",C796/C870),"n/a")</f>
        <v>32.807692307692307</v>
      </c>
      <c r="D873" s="121">
        <f t="shared" si="1185"/>
        <v>43.177914110429448</v>
      </c>
      <c r="E873" s="121">
        <f t="shared" si="1185"/>
        <v>50.435374149659864</v>
      </c>
      <c r="F873" s="121">
        <f t="shared" si="1185"/>
        <v>58.871212121212125</v>
      </c>
      <c r="G873" s="546">
        <f t="shared" si="1185"/>
        <v>68.34482758620689</v>
      </c>
      <c r="H873" s="546">
        <f t="shared" si="1185"/>
        <v>65.709677419354833</v>
      </c>
      <c r="I873" s="546">
        <f t="shared" si="1185"/>
        <v>90.521739130434781</v>
      </c>
      <c r="J873" s="546">
        <f t="shared" si="1185"/>
        <v>92.19047619047619</v>
      </c>
      <c r="K873" s="121">
        <f t="shared" si="1185"/>
        <v>77.27884615384616</v>
      </c>
      <c r="L873" s="546">
        <f t="shared" si="1185"/>
        <v>73.785714285714292</v>
      </c>
      <c r="M873" s="546">
        <f t="shared" si="1185"/>
        <v>61.5</v>
      </c>
      <c r="N873" s="546">
        <f t="shared" si="1185"/>
        <v>107.19047619047619</v>
      </c>
      <c r="O873" s="546">
        <f t="shared" si="1185"/>
        <v>83.833333333333329</v>
      </c>
      <c r="P873" s="121">
        <f t="shared" si="1185"/>
        <v>78.376146788990823</v>
      </c>
      <c r="Q873" s="546">
        <f t="shared" si="1185"/>
        <v>76.629629629629633</v>
      </c>
      <c r="R873" s="546">
        <f t="shared" si="1185"/>
        <v>78</v>
      </c>
      <c r="S873" s="546">
        <f t="shared" si="1185"/>
        <v>71.967741935483872</v>
      </c>
      <c r="T873" s="546">
        <f t="shared" si="1185"/>
        <v>51.270270270270274</v>
      </c>
      <c r="U873" s="121">
        <f t="shared" si="1185"/>
        <v>68.138211382113823</v>
      </c>
      <c r="V873" s="546">
        <f t="shared" si="1185"/>
        <v>51.047619047619051</v>
      </c>
      <c r="W873" s="546">
        <f t="shared" si="1185"/>
        <v>72</v>
      </c>
      <c r="X873" s="546">
        <f t="shared" si="1185"/>
        <v>54.095238095238095</v>
      </c>
      <c r="Y873" s="546">
        <f t="shared" si="1185"/>
        <v>37.254545454545458</v>
      </c>
      <c r="Z873" s="121">
        <f t="shared" si="1185"/>
        <v>51.158823529411762</v>
      </c>
      <c r="AA873" s="546">
        <f t="shared" si="1185"/>
        <v>58.918918918918919</v>
      </c>
      <c r="AB873" s="546">
        <f t="shared" si="1185"/>
        <v>60.30952380952381</v>
      </c>
      <c r="AC873" s="546">
        <f t="shared" si="1185"/>
        <v>54.204545454545453</v>
      </c>
      <c r="AD873" s="546">
        <f t="shared" si="1185"/>
        <v>14.348993288590604</v>
      </c>
      <c r="AE873" s="121">
        <f t="shared" si="1185"/>
        <v>33.955882352941174</v>
      </c>
      <c r="AF873" s="546">
        <f t="shared" si="1185"/>
        <v>37.475409836065573</v>
      </c>
      <c r="AG873" s="546">
        <f t="shared" si="1185"/>
        <v>38.625</v>
      </c>
      <c r="AH873" s="546">
        <f t="shared" si="1185"/>
        <v>33.871428571428574</v>
      </c>
      <c r="AI873" s="546">
        <f t="shared" ref="AI873:AY873" si="1186">IFERROR(IF(OR(AI796&lt;0,AI870&lt;0),"n/a",AI796/AI870),"n/a")</f>
        <v>27.974025974025974</v>
      </c>
      <c r="AJ873" s="121">
        <f t="shared" si="1186"/>
        <v>34.25714285714286</v>
      </c>
      <c r="AK873" s="546">
        <f t="shared" si="1186"/>
        <v>24.416666666666668</v>
      </c>
      <c r="AL873" s="546">
        <f t="shared" si="1186"/>
        <v>22.344086021505376</v>
      </c>
      <c r="AM873" s="546">
        <f t="shared" si="1186"/>
        <v>27.518072289156628</v>
      </c>
      <c r="AN873" s="546">
        <f t="shared" si="1186"/>
        <v>18.537037037037038</v>
      </c>
      <c r="AO873" s="121">
        <f t="shared" si="1186"/>
        <v>22.866847826086957</v>
      </c>
      <c r="AP873" s="546">
        <f t="shared" si="1186"/>
        <v>18.743362831858406</v>
      </c>
      <c r="AQ873" s="546">
        <f t="shared" si="1186"/>
        <v>14.84375</v>
      </c>
      <c r="AR873" s="546">
        <f t="shared" si="1186"/>
        <v>19.430894308943088</v>
      </c>
      <c r="AS873" s="546">
        <f>IFERROR(IF(OR(AS796&lt;0,AS870&lt;0),"n/a",AS796/AS870),"n/a")</f>
        <v>17.257352941176471</v>
      </c>
      <c r="AT873" s="121">
        <f>IFERROR(IF(OR(AT796&lt;0,AT870&lt;0),"n/a",AT796/AT870),"n/a")</f>
        <v>17.510000000000002</v>
      </c>
      <c r="AU873" s="821">
        <f t="shared" ref="AU873" si="1187">IFERROR(IF(OR(AU796&lt;0,AU870&lt;0),"n/a",AU796/AU870),"n/a")</f>
        <v>19.171875</v>
      </c>
      <c r="AV873" s="546">
        <f t="shared" si="1186"/>
        <v>17.130865523875258</v>
      </c>
      <c r="AW873" s="546">
        <f t="shared" si="1186"/>
        <v>19.522715534525059</v>
      </c>
      <c r="AX873" s="546">
        <f t="shared" si="1186"/>
        <v>20.461459366797609</v>
      </c>
      <c r="AY873" s="121">
        <f t="shared" si="1186"/>
        <v>19.07893639952654</v>
      </c>
      <c r="AZ873" s="546">
        <f t="shared" ref="AZ873:BG873" si="1188">IFERROR(IF(OR(AZ796&lt;0,AZ870&lt;0),"n/a",AZ796/AZ870),"n/a")</f>
        <v>21.970237286957992</v>
      </c>
      <c r="BA873" s="546">
        <f t="shared" ca="1" si="1188"/>
        <v>19.49646496497175</v>
      </c>
      <c r="BB873" s="546">
        <f t="shared" ca="1" si="1188"/>
        <v>20.314341184631264</v>
      </c>
      <c r="BC873" s="546">
        <f t="shared" ca="1" si="1188"/>
        <v>22.257412797690076</v>
      </c>
      <c r="BD873" s="121">
        <f t="shared" ca="1" si="1188"/>
        <v>21.007722083721365</v>
      </c>
      <c r="BE873" s="121">
        <f t="shared" ca="1" si="1188"/>
        <v>22.822242063433652</v>
      </c>
      <c r="BF873" s="121">
        <f t="shared" ca="1" si="1188"/>
        <v>25.082221029950695</v>
      </c>
      <c r="BG873" s="121">
        <f t="shared" ca="1" si="1188"/>
        <v>27.843328666455211</v>
      </c>
      <c r="BH873" s="351"/>
    </row>
    <row r="874" spans="1:60" s="58" customFormat="1" x14ac:dyDescent="0.35">
      <c r="A874" s="97" t="s">
        <v>106</v>
      </c>
      <c r="B874" s="706"/>
      <c r="C874" s="41">
        <f>IF(C864&lt;0,"n/a",C864/C796)</f>
        <v>0.1843912242505443</v>
      </c>
      <c r="D874" s="41">
        <f>IF(D864&lt;0,"n/a",D864/D796)</f>
        <v>6.1665245808468314E-2</v>
      </c>
      <c r="E874" s="41">
        <f>IF(E864&lt;0,"n/a",E864/E796)</f>
        <v>7.9579174534664149E-2</v>
      </c>
      <c r="F874" s="41">
        <f>IF(F864&lt;0,"n/a",F864/F796)</f>
        <v>3.9634538669411919E-2</v>
      </c>
      <c r="G874" s="546"/>
      <c r="H874" s="546"/>
      <c r="I874" s="546"/>
      <c r="J874" s="546"/>
      <c r="K874" s="41">
        <f>IF(K864&lt;0,"n/a",K864/K796)</f>
        <v>0.15167351001617518</v>
      </c>
      <c r="L874" s="546"/>
      <c r="M874" s="546"/>
      <c r="N874" s="546"/>
      <c r="O874" s="546"/>
      <c r="P874" s="41">
        <f>IF(P864&lt;0,"n/a",P864/P796)</f>
        <v>0.40500994966639353</v>
      </c>
      <c r="Q874" s="546"/>
      <c r="R874" s="546"/>
      <c r="S874" s="546"/>
      <c r="T874" s="546"/>
      <c r="U874" s="41">
        <f>IF(U864&lt;0,"n/a",U864/U796)</f>
        <v>1.058584894404009</v>
      </c>
      <c r="V874" s="546"/>
      <c r="W874" s="707"/>
      <c r="X874" s="707"/>
      <c r="Y874" s="546"/>
      <c r="Z874" s="41">
        <f>IF(Z864&lt;0,"n/a",Z864/Z796)</f>
        <v>1.0296654018627114</v>
      </c>
      <c r="AA874" s="546"/>
      <c r="AB874" s="707"/>
      <c r="AC874" s="707"/>
      <c r="AD874" s="546"/>
      <c r="AE874" s="41">
        <f>IF(AE864&lt;0,"n/a",AE864/AE796)</f>
        <v>1.0632308358596796</v>
      </c>
      <c r="AF874" s="546"/>
      <c r="AG874" s="707"/>
      <c r="AH874" s="707"/>
      <c r="AI874" s="546"/>
      <c r="AJ874" s="41">
        <f>IF(AJ864&lt;0,"n/a",AJ864/AJ796)</f>
        <v>1.1873436196830691</v>
      </c>
      <c r="AK874" s="546"/>
      <c r="AL874" s="707"/>
      <c r="AM874" s="707"/>
      <c r="AN874" s="546"/>
      <c r="AO874" s="41">
        <f>IF(AO864&lt;0,"n/a",AO864/AO796)</f>
        <v>2.224123588829471</v>
      </c>
      <c r="AP874" s="546"/>
      <c r="AQ874" s="707"/>
      <c r="AR874" s="707"/>
      <c r="AS874" s="546"/>
      <c r="AT874" s="41">
        <f>IF(AT864&lt;0,"n/a",AT864/AT796)</f>
        <v>1.6701313535122786</v>
      </c>
      <c r="AU874" s="821"/>
      <c r="AV874" s="707"/>
      <c r="AW874" s="707"/>
      <c r="AX874" s="707"/>
      <c r="AY874" s="121">
        <f>IF(AY864&lt;0,"n/a",AY864/AY796)</f>
        <v>1.4293881023880151</v>
      </c>
      <c r="AZ874" s="707"/>
      <c r="BA874" s="707"/>
      <c r="BB874" s="707"/>
      <c r="BC874" s="707"/>
      <c r="BD874" s="121">
        <f ca="1">IF(BD864&lt;0,"n/a",BD864/BD796)</f>
        <v>1.2358335325577712</v>
      </c>
      <c r="BE874" s="121">
        <f ca="1">IF(BE864&lt;0,"n/a",BE864/BE796)</f>
        <v>1.0050036098205168</v>
      </c>
      <c r="BF874" s="121">
        <f ca="1">IF(BF864&lt;0,"n/a",BF864/BF796)</f>
        <v>0.74035827604664739</v>
      </c>
      <c r="BG874" s="121">
        <f ca="1">IF(BG864&lt;0,"n/a",BG864/BG796)</f>
        <v>0.44830866777279643</v>
      </c>
      <c r="BH874" s="133"/>
    </row>
    <row r="875" spans="1:60" s="58" customFormat="1" x14ac:dyDescent="0.35">
      <c r="A875" s="97" t="s">
        <v>107</v>
      </c>
      <c r="B875" s="706"/>
      <c r="C875" s="41">
        <f>IF(C864&lt;0,"n/a",C864/C839)</f>
        <v>0.23247466216216217</v>
      </c>
      <c r="D875" s="41">
        <f>IF(D864&lt;0,"n/a",D864/D839)</f>
        <v>8.614529575228265E-2</v>
      </c>
      <c r="E875" s="41">
        <f>IF(E864&lt;0,"n/a",E864/E839)</f>
        <v>9.9276459700487971E-2</v>
      </c>
      <c r="F875" s="41">
        <f>IF(F864&lt;0,"n/a",F864/F839)</f>
        <v>5.603056212479534E-2</v>
      </c>
      <c r="G875" s="546"/>
      <c r="H875" s="546"/>
      <c r="I875" s="546"/>
      <c r="J875" s="546"/>
      <c r="K875" s="41">
        <f>IF(K864&lt;0,"n/a",K864/K839)</f>
        <v>0.19840494791666666</v>
      </c>
      <c r="L875" s="546"/>
      <c r="M875" s="546"/>
      <c r="N875" s="546"/>
      <c r="O875" s="546"/>
      <c r="P875" s="41">
        <f>IF(P864&lt;0,"n/a",P864/P839)</f>
        <v>0.52832493510459611</v>
      </c>
      <c r="Q875" s="546"/>
      <c r="R875" s="546"/>
      <c r="S875" s="546"/>
      <c r="T875" s="546"/>
      <c r="U875" s="41">
        <f>IF(U864&lt;0,"n/a",U864/U839)</f>
        <v>1.2527534594747247</v>
      </c>
      <c r="V875" s="546"/>
      <c r="W875" s="707"/>
      <c r="X875" s="707"/>
      <c r="Y875" s="546"/>
      <c r="Z875" s="41">
        <f>IF(Z864&lt;0,"n/a",Z864/Z839)</f>
        <v>1.3355704697986577</v>
      </c>
      <c r="AA875" s="546"/>
      <c r="AB875" s="707"/>
      <c r="AC875" s="707"/>
      <c r="AD875" s="546"/>
      <c r="AE875" s="41">
        <f>IF(AE864&lt;0,"n/a",AE864/AE839)</f>
        <v>1.7457777777777779</v>
      </c>
      <c r="AF875" s="546"/>
      <c r="AG875" s="707"/>
      <c r="AH875" s="707"/>
      <c r="AI875" s="546"/>
      <c r="AJ875" s="41">
        <f>IF(AJ864&lt;0,"n/a",AJ864/AJ839)</f>
        <v>1.7279623729327871</v>
      </c>
      <c r="AK875" s="546"/>
      <c r="AL875" s="707"/>
      <c r="AM875" s="707"/>
      <c r="AN875" s="546"/>
      <c r="AO875" s="41">
        <f>IF(AO864&lt;0,"n/a",AO864/AO839)</f>
        <v>2.9344622138601442</v>
      </c>
      <c r="AP875" s="546"/>
      <c r="AQ875" s="707"/>
      <c r="AR875" s="707"/>
      <c r="AS875" s="546"/>
      <c r="AT875" s="41">
        <f>IF(AT864&lt;0,"n/a",AT864/AT839)</f>
        <v>2.0148821827201324</v>
      </c>
      <c r="AU875" s="821"/>
      <c r="AV875" s="707"/>
      <c r="AW875" s="707"/>
      <c r="AX875" s="707"/>
      <c r="AY875" s="121">
        <f>IF(AY864&lt;0,"n/a",AY864/AY839)</f>
        <v>1.6919153925121102</v>
      </c>
      <c r="AZ875" s="707"/>
      <c r="BA875" s="707"/>
      <c r="BB875" s="707"/>
      <c r="BC875" s="707"/>
      <c r="BD875" s="121">
        <f ca="1">IF(BD864&lt;0,"n/a",BD864/BD839)</f>
        <v>1.4890440157389317</v>
      </c>
      <c r="BE875" s="121">
        <f ca="1">IF(BE864&lt;0,"n/a",BE864/BE839)</f>
        <v>1.2125783360949716</v>
      </c>
      <c r="BF875" s="121">
        <f ca="1">IF(BF864&lt;0,"n/a",BF864/BF839)</f>
        <v>0.8940570653442691</v>
      </c>
      <c r="BG875" s="121">
        <f ca="1">IF(BG864&lt;0,"n/a",BG864/BG839)</f>
        <v>0.5416788548019954</v>
      </c>
      <c r="BH875" s="133"/>
    </row>
    <row r="876" spans="1:60" s="98" customFormat="1" x14ac:dyDescent="0.35">
      <c r="A876" s="708"/>
      <c r="B876" s="708"/>
      <c r="C876" s="738"/>
      <c r="D876" s="738"/>
      <c r="E876" s="738"/>
      <c r="F876" s="738"/>
      <c r="G876" s="277"/>
      <c r="H876" s="277"/>
      <c r="I876" s="277"/>
      <c r="J876" s="277"/>
      <c r="K876" s="738"/>
      <c r="L876" s="277"/>
      <c r="M876" s="277"/>
      <c r="N876" s="277"/>
      <c r="O876" s="277"/>
      <c r="P876" s="738"/>
      <c r="Q876" s="277"/>
      <c r="R876" s="277"/>
      <c r="S876" s="277"/>
      <c r="T876" s="277"/>
      <c r="U876" s="738"/>
      <c r="V876" s="277"/>
      <c r="W876" s="277"/>
      <c r="X876" s="277"/>
      <c r="Y876" s="277"/>
      <c r="Z876" s="738"/>
      <c r="AA876" s="277"/>
      <c r="AB876" s="277"/>
      <c r="AC876" s="277"/>
      <c r="AD876" s="277"/>
      <c r="AE876" s="738"/>
      <c r="AF876" s="277"/>
      <c r="AG876" s="277"/>
      <c r="AH876" s="277"/>
      <c r="AI876" s="277"/>
      <c r="AJ876" s="738"/>
      <c r="AK876" s="277"/>
      <c r="AL876" s="277"/>
      <c r="AM876" s="277"/>
      <c r="AN876" s="277"/>
      <c r="AO876" s="738"/>
      <c r="AP876" s="277"/>
      <c r="AQ876" s="277"/>
      <c r="AR876" s="277"/>
      <c r="AS876" s="277"/>
      <c r="AT876" s="738"/>
      <c r="AU876" s="822"/>
      <c r="AV876" s="277"/>
      <c r="AW876" s="277"/>
      <c r="AX876" s="277"/>
      <c r="AY876" s="738"/>
      <c r="AZ876" s="277"/>
      <c r="BA876" s="277"/>
      <c r="BB876" s="277"/>
      <c r="BC876" s="277"/>
      <c r="BD876" s="738"/>
      <c r="BE876" s="738"/>
      <c r="BF876" s="738"/>
      <c r="BG876" s="738"/>
      <c r="BH876" s="349"/>
    </row>
    <row r="877" spans="1:60" s="21" customFormat="1" x14ac:dyDescent="0.35">
      <c r="A877" s="746" t="s">
        <v>108</v>
      </c>
      <c r="B877" s="746"/>
      <c r="C877" s="874"/>
      <c r="D877" s="874"/>
      <c r="E877" s="874"/>
      <c r="F877" s="874"/>
      <c r="G877" s="874"/>
      <c r="H877" s="874"/>
      <c r="I877" s="874"/>
      <c r="J877" s="874"/>
      <c r="K877" s="874"/>
      <c r="L877" s="874"/>
      <c r="M877" s="874"/>
      <c r="N877" s="874"/>
      <c r="O877" s="874"/>
      <c r="P877" s="874"/>
      <c r="Q877" s="874"/>
      <c r="R877" s="874"/>
      <c r="S877" s="874"/>
      <c r="T877" s="874"/>
      <c r="U877" s="874"/>
      <c r="V877" s="874"/>
      <c r="W877" s="874"/>
      <c r="X877" s="874"/>
      <c r="Y877" s="874"/>
      <c r="Z877" s="874"/>
      <c r="AA877" s="874"/>
      <c r="AB877" s="874"/>
      <c r="AC877" s="874"/>
      <c r="AD877" s="874"/>
      <c r="AE877" s="874"/>
      <c r="AF877" s="874"/>
      <c r="AG877" s="874"/>
      <c r="AH877" s="874"/>
      <c r="AI877" s="874"/>
      <c r="AJ877" s="874"/>
      <c r="AK877" s="874"/>
      <c r="AL877" s="874"/>
      <c r="AM877" s="874"/>
      <c r="AN877" s="874"/>
      <c r="AO877" s="874"/>
      <c r="AP877" s="874"/>
      <c r="AQ877" s="874"/>
      <c r="AR877" s="874"/>
      <c r="AS877" s="874"/>
      <c r="AT877" s="874"/>
      <c r="AU877" s="875"/>
      <c r="AV877" s="874"/>
      <c r="AW877" s="874"/>
      <c r="AX877" s="874"/>
      <c r="AY877" s="874"/>
      <c r="AZ877" s="874"/>
      <c r="BA877" s="874"/>
      <c r="BB877" s="874"/>
      <c r="BC877" s="874"/>
      <c r="BD877" s="874"/>
      <c r="BE877" s="874"/>
      <c r="BF877" s="874"/>
      <c r="BG877" s="874"/>
      <c r="BH877" s="651"/>
    </row>
    <row r="878" spans="1:60" s="418" customFormat="1" x14ac:dyDescent="0.35">
      <c r="A878" s="237" t="str">
        <f>"Stock Price (Reporting Cur.) - "&amp;MO.ValuationToggle&amp;", "&amp;MO.ReportCurrency</f>
        <v>Stock Price (Reporting Cur.) - Avg, USD</v>
      </c>
      <c r="B878" s="413" t="s">
        <v>109</v>
      </c>
      <c r="C878" s="414">
        <f t="shared" ref="C878:AH878" ca="1" si="1189">INDEX(MO_VA_StockPrice_TradingCurrency,1,COLUMN())/INDEX(MO_VA_FX_Average,1,COLUMN())</f>
        <v>62.576250000000002</v>
      </c>
      <c r="D878" s="414">
        <f t="shared" ca="1" si="1189"/>
        <v>82.603750000000005</v>
      </c>
      <c r="E878" s="414">
        <f t="shared" ca="1" si="1189"/>
        <v>86.194999999999993</v>
      </c>
      <c r="F878" s="414">
        <f t="shared" ca="1" si="1189"/>
        <v>88.31</v>
      </c>
      <c r="G878" s="415">
        <f t="shared" ca="1" si="1189"/>
        <v>100.42</v>
      </c>
      <c r="H878" s="415">
        <f t="shared" ca="1" si="1189"/>
        <v>108.07</v>
      </c>
      <c r="I878" s="415">
        <f t="shared" ca="1" si="1189"/>
        <v>115.24</v>
      </c>
      <c r="J878" s="415">
        <f t="shared" ca="1" si="1189"/>
        <v>128.54</v>
      </c>
      <c r="K878" s="414">
        <f t="shared" ca="1" si="1189"/>
        <v>113.0675</v>
      </c>
      <c r="L878" s="415">
        <f t="shared" ca="1" si="1189"/>
        <v>131.44999999999999</v>
      </c>
      <c r="M878" s="415">
        <f t="shared" ca="1" si="1189"/>
        <v>138.77500000000001</v>
      </c>
      <c r="N878" s="415">
        <f t="shared" ca="1" si="1189"/>
        <v>143.15</v>
      </c>
      <c r="O878" s="415">
        <f t="shared" ca="1" si="1189"/>
        <v>149.38</v>
      </c>
      <c r="P878" s="414">
        <f t="shared" ca="1" si="1189"/>
        <v>140.68875</v>
      </c>
      <c r="Q878" s="415">
        <f t="shared" ca="1" si="1189"/>
        <v>164.12</v>
      </c>
      <c r="R878" s="415">
        <f t="shared" ca="1" si="1189"/>
        <v>160.81</v>
      </c>
      <c r="S878" s="415">
        <f t="shared" ca="1" si="1189"/>
        <v>145.97</v>
      </c>
      <c r="T878" s="415">
        <f t="shared" ca="1" si="1189"/>
        <v>149.33000000000001</v>
      </c>
      <c r="U878" s="414">
        <f t="shared" ca="1" si="1189"/>
        <v>155.0575</v>
      </c>
      <c r="V878" s="415">
        <f t="shared" ca="1" si="1189"/>
        <v>151.07</v>
      </c>
      <c r="W878" s="415">
        <f t="shared" ca="1" si="1189"/>
        <v>169.155</v>
      </c>
      <c r="X878" s="415">
        <f t="shared" ca="1" si="1189"/>
        <v>177.89</v>
      </c>
      <c r="Y878" s="415">
        <f t="shared" ca="1" si="1189"/>
        <v>171.95500000000001</v>
      </c>
      <c r="Z878" s="414">
        <f t="shared" ca="1" si="1189"/>
        <v>167.51750000000001</v>
      </c>
      <c r="AA878" s="415">
        <f t="shared" ca="1" si="1189"/>
        <v>183.52500000000001</v>
      </c>
      <c r="AB878" s="415">
        <f t="shared" ca="1" si="1189"/>
        <v>201.595</v>
      </c>
      <c r="AC878" s="415">
        <f t="shared" ca="1" si="1189"/>
        <v>205.91</v>
      </c>
      <c r="AD878" s="415">
        <f t="shared" ca="1" si="1189"/>
        <v>227.13</v>
      </c>
      <c r="AE878" s="414">
        <f t="shared" ca="1" si="1189"/>
        <v>204.54</v>
      </c>
      <c r="AF878" s="415">
        <f t="shared" ca="1" si="1189"/>
        <v>231.51747540983601</v>
      </c>
      <c r="AG878" s="415">
        <f t="shared" ca="1" si="1189"/>
        <v>200.653146875</v>
      </c>
      <c r="AH878" s="415">
        <f t="shared" ca="1" si="1189"/>
        <v>203.823425396825</v>
      </c>
      <c r="AI878" s="415">
        <f t="shared" ref="AI878:AY878" ca="1" si="1190">INDEX(MO_VA_StockPrice_TradingCurrency,1,COLUMN())/INDEX(MO_VA_FX_Average,1,COLUMN())</f>
        <v>197.73132539682501</v>
      </c>
      <c r="AJ878" s="414">
        <f t="shared" ca="1" si="1190"/>
        <v>208.21640119521899</v>
      </c>
      <c r="AK878" s="415">
        <f t="shared" ca="1" si="1190"/>
        <v>201.351803278689</v>
      </c>
      <c r="AL878" s="415">
        <f t="shared" ca="1" si="1190"/>
        <v>184.10777777777801</v>
      </c>
      <c r="AM878" s="415">
        <f t="shared" ca="1" si="1190"/>
        <v>167.20515624999999</v>
      </c>
      <c r="AN878" s="415">
        <f t="shared" ca="1" si="1190"/>
        <v>167.51249999999999</v>
      </c>
      <c r="AO878" s="414">
        <f t="shared" ca="1" si="1190"/>
        <v>179.774523809524</v>
      </c>
      <c r="AP878" s="415">
        <f t="shared" ca="1" si="1190"/>
        <v>157.336935483871</v>
      </c>
      <c r="AQ878" s="415">
        <f t="shared" ca="1" si="1190"/>
        <v>150.70222222222199</v>
      </c>
      <c r="AR878" s="415">
        <f ca="1">INDEX(MO_VA_StockPrice_TradingCurrency,1,COLUMN())/INDEX(MO_VA_FX_Average,1,COLUMN())</f>
        <v>160.8853125</v>
      </c>
      <c r="AS878" s="415">
        <f ca="1">INDEX(MO_VA_StockPrice_TradingCurrency,1,COLUMN())/INDEX(MO_VA_FX_Average,1,COLUMN())</f>
        <v>169.76921874999999</v>
      </c>
      <c r="AT878" s="414">
        <f ca="1">INDEX(MO_VA_StockPrice_TradingCurrency,1,COLUMN())/INDEX(MO_VA_FX_Average,1,COLUMN())</f>
        <v>159.72735177865599</v>
      </c>
      <c r="AU878" s="823">
        <f t="shared" ca="1" si="1190"/>
        <v>179.029672131148</v>
      </c>
      <c r="AV878" s="415">
        <f t="shared" ca="1" si="1190"/>
        <v>195.93</v>
      </c>
      <c r="AW878" s="415">
        <f t="shared" ca="1" si="1190"/>
        <v>195.93</v>
      </c>
      <c r="AX878" s="415">
        <f t="shared" ca="1" si="1190"/>
        <v>195.93</v>
      </c>
      <c r="AY878" s="416">
        <f t="shared" ca="1" si="1190"/>
        <v>195.93</v>
      </c>
      <c r="AZ878" s="415">
        <f t="shared" ref="AZ878:BG878" ca="1" si="1191">INDEX(MO_VA_StockPrice_TradingCurrency,1,COLUMN())/INDEX(MO_VA_FX_Average,1,COLUMN())</f>
        <v>195.93</v>
      </c>
      <c r="BA878" s="415">
        <f t="shared" ca="1" si="1191"/>
        <v>195.93</v>
      </c>
      <c r="BB878" s="415">
        <f t="shared" ca="1" si="1191"/>
        <v>195.93</v>
      </c>
      <c r="BC878" s="415">
        <f t="shared" ca="1" si="1191"/>
        <v>195.93</v>
      </c>
      <c r="BD878" s="416">
        <f t="shared" ca="1" si="1191"/>
        <v>195.93</v>
      </c>
      <c r="BE878" s="416">
        <f t="shared" ca="1" si="1191"/>
        <v>195.93</v>
      </c>
      <c r="BF878" s="416">
        <f t="shared" ca="1" si="1191"/>
        <v>195.93</v>
      </c>
      <c r="BG878" s="416">
        <f t="shared" ca="1" si="1191"/>
        <v>195.93</v>
      </c>
      <c r="BH878" s="417"/>
    </row>
    <row r="879" spans="1:60" s="48" customFormat="1" x14ac:dyDescent="0.35">
      <c r="A879" s="351" t="str">
        <f>"Market Cap - "&amp;MO.ValuationToggle</f>
        <v>Market Cap - Avg</v>
      </c>
      <c r="B879" s="317"/>
      <c r="C879" s="46">
        <f t="shared" ref="C879:AH879" ca="1" si="1192">C836*C878</f>
        <v>44222.635875000007</v>
      </c>
      <c r="D879" s="46">
        <f t="shared" ca="1" si="1192"/>
        <v>59929.020625000005</v>
      </c>
      <c r="E879" s="46">
        <f t="shared" ca="1" si="1192"/>
        <v>61974.204999999994</v>
      </c>
      <c r="F879" s="46">
        <f t="shared" ca="1" si="1192"/>
        <v>62108.422999999995</v>
      </c>
      <c r="G879" s="351">
        <f t="shared" ca="1" si="1192"/>
        <v>70504.881999999998</v>
      </c>
      <c r="H879" s="351">
        <f t="shared" ca="1" si="1192"/>
        <v>75551.736999999994</v>
      </c>
      <c r="I879" s="351">
        <f t="shared" ca="1" si="1192"/>
        <v>79723.031999999992</v>
      </c>
      <c r="J879" s="351">
        <f t="shared" ca="1" si="1192"/>
        <v>87574.301999999981</v>
      </c>
      <c r="K879" s="46">
        <f t="shared" ca="1" si="1192"/>
        <v>78423.618000000002</v>
      </c>
      <c r="L879" s="351">
        <f t="shared" ca="1" si="1192"/>
        <v>88663.024999999994</v>
      </c>
      <c r="M879" s="351">
        <f t="shared" ca="1" si="1192"/>
        <v>92229.865000000005</v>
      </c>
      <c r="N879" s="351">
        <f t="shared" ca="1" si="1192"/>
        <v>94178.384999999995</v>
      </c>
      <c r="O879" s="351">
        <f t="shared" ca="1" si="1192"/>
        <v>97231.441999999995</v>
      </c>
      <c r="P879" s="46">
        <f t="shared" ca="1" si="1192"/>
        <v>93135.952499999999</v>
      </c>
      <c r="Q879" s="351">
        <f t="shared" ca="1" si="1192"/>
        <v>106546.70400000001</v>
      </c>
      <c r="R879" s="351">
        <f t="shared" ca="1" si="1192"/>
        <v>103400.83</v>
      </c>
      <c r="S879" s="351">
        <f t="shared" ca="1" si="1192"/>
        <v>92136.26400000001</v>
      </c>
      <c r="T879" s="351">
        <f t="shared" ca="1" si="1192"/>
        <v>93390.982000000004</v>
      </c>
      <c r="U879" s="46">
        <f t="shared" ca="1" si="1192"/>
        <v>98802.63900000001</v>
      </c>
      <c r="V879" s="351">
        <f t="shared" ca="1" si="1192"/>
        <v>93859.790999999983</v>
      </c>
      <c r="W879" s="351">
        <f t="shared" ca="1" si="1192"/>
        <v>105028.3395</v>
      </c>
      <c r="X879" s="351">
        <f t="shared" ca="1" si="1192"/>
        <v>110078.33199999998</v>
      </c>
      <c r="Y879" s="351">
        <f t="shared" ca="1" si="1192"/>
        <v>105545.97900000001</v>
      </c>
      <c r="Z879" s="46">
        <f t="shared" ca="1" si="1192"/>
        <v>103643.07725000002</v>
      </c>
      <c r="AA879" s="351">
        <f t="shared" ca="1" si="1192"/>
        <v>112317.3</v>
      </c>
      <c r="AB879" s="351">
        <f t="shared" ca="1" si="1192"/>
        <v>123537.41599999998</v>
      </c>
      <c r="AC879" s="351">
        <f t="shared" ca="1" si="1192"/>
        <v>126161.057</v>
      </c>
      <c r="AD879" s="351">
        <f t="shared" ca="1" si="1192"/>
        <v>139321.54199999999</v>
      </c>
      <c r="AE879" s="46">
        <f t="shared" ca="1" si="1192"/>
        <v>125321.65800000001</v>
      </c>
      <c r="AF879" s="351">
        <f t="shared" ca="1" si="1192"/>
        <v>141850.75718360653</v>
      </c>
      <c r="AG879" s="351">
        <f t="shared" ca="1" si="1192"/>
        <v>121234.63134187501</v>
      </c>
      <c r="AH879" s="351">
        <f t="shared" ca="1" si="1192"/>
        <v>121967.93775746008</v>
      </c>
      <c r="AI879" s="351">
        <f t="shared" ref="AI879:AY879" ca="1" si="1193">AI836*AI878</f>
        <v>117175.58343015851</v>
      </c>
      <c r="AJ879" s="46">
        <f t="shared" ca="1" si="1193"/>
        <v>125346.27351952183</v>
      </c>
      <c r="AK879" s="351">
        <f t="shared" ca="1" si="1193"/>
        <v>118495.53622950848</v>
      </c>
      <c r="AL879" s="351">
        <f t="shared" ca="1" si="1193"/>
        <v>107905.5685555557</v>
      </c>
      <c r="AM879" s="351">
        <f t="shared" ca="1" si="1193"/>
        <v>97480.606093749986</v>
      </c>
      <c r="AN879" s="351">
        <f t="shared" ca="1" si="1193"/>
        <v>97609.533750000002</v>
      </c>
      <c r="AO879" s="46">
        <f t="shared" ca="1" si="1193"/>
        <v>105186.07388095249</v>
      </c>
      <c r="AP879" s="351">
        <f t="shared" ca="1" si="1193"/>
        <v>91491.427983870992</v>
      </c>
      <c r="AQ879" s="351">
        <f t="shared" ca="1" si="1193"/>
        <v>87527.85066666652</v>
      </c>
      <c r="AR879" s="351">
        <f ca="1">AR836*AR878</f>
        <v>93699.606</v>
      </c>
      <c r="AS879" s="351">
        <f ca="1">AS836*AS878</f>
        <v>99145.22374999999</v>
      </c>
      <c r="AT879" s="46">
        <f ca="1">AT836*AT878</f>
        <v>92993.264205533516</v>
      </c>
      <c r="AU879" s="805">
        <f t="shared" ref="AU879" ca="1" si="1194">AU836*AU878</f>
        <v>104965.09677049206</v>
      </c>
      <c r="AV879" s="351">
        <f t="shared" ca="1" si="1193"/>
        <v>114368.78477319588</v>
      </c>
      <c r="AW879" s="351">
        <f t="shared" ca="1" si="1193"/>
        <v>113863.81054639176</v>
      </c>
      <c r="AX879" s="351">
        <f t="shared" ca="1" si="1193"/>
        <v>113358.83631958764</v>
      </c>
      <c r="AY879" s="108">
        <f t="shared" ca="1" si="1193"/>
        <v>114116.29765979383</v>
      </c>
      <c r="AZ879" s="351">
        <f t="shared" ref="AZ879:BG879" ca="1" si="1195">AZ836*AZ878</f>
        <v>112898.90674212285</v>
      </c>
      <c r="BA879" s="351">
        <f t="shared" ca="1" si="1195"/>
        <v>112438.97716465808</v>
      </c>
      <c r="BB879" s="351">
        <f t="shared" ca="1" si="1195"/>
        <v>111979.04758719329</v>
      </c>
      <c r="BC879" s="351">
        <f t="shared" ca="1" si="1195"/>
        <v>111519.11800972851</v>
      </c>
      <c r="BD879" s="108">
        <f t="shared" ca="1" si="1195"/>
        <v>112209.01237592568</v>
      </c>
      <c r="BE879" s="108">
        <f t="shared" ca="1" si="1195"/>
        <v>109844.50262511312</v>
      </c>
      <c r="BF879" s="108">
        <f t="shared" ca="1" si="1195"/>
        <v>108319.75554340106</v>
      </c>
      <c r="BG879" s="108">
        <f t="shared" ca="1" si="1195"/>
        <v>106935.09123244698</v>
      </c>
      <c r="BH879" s="749"/>
    </row>
    <row r="880" spans="1:60" s="48" customFormat="1" x14ac:dyDescent="0.35">
      <c r="A880" s="351" t="str">
        <f>"Enterprise Value - "&amp;MO.ValuationToggle</f>
        <v>Enterprise Value - Avg</v>
      </c>
      <c r="B880" s="317"/>
      <c r="C880" s="46">
        <f t="shared" ref="C880:AH880" ca="1" si="1196">C864+C879+C895+C896+C897</f>
        <v>48088.635875000007</v>
      </c>
      <c r="D880" s="46">
        <f t="shared" ca="1" si="1196"/>
        <v>62730.020625000005</v>
      </c>
      <c r="E880" s="46">
        <f t="shared" ca="1" si="1196"/>
        <v>66978.204999999987</v>
      </c>
      <c r="F880" s="46">
        <f t="shared" ca="1" si="1196"/>
        <v>65967.422999999995</v>
      </c>
      <c r="G880" s="351">
        <f t="shared" ca="1" si="1196"/>
        <v>74072.881999999998</v>
      </c>
      <c r="H880" s="351">
        <f t="shared" ca="1" si="1196"/>
        <v>79055.736999999994</v>
      </c>
      <c r="I880" s="351">
        <f t="shared" ca="1" si="1196"/>
        <v>83792.031999999992</v>
      </c>
      <c r="J880" s="351">
        <f t="shared" ca="1" si="1196"/>
        <v>91033.301999999981</v>
      </c>
      <c r="K880" s="46">
        <f t="shared" ca="1" si="1196"/>
        <v>81882.618000000002</v>
      </c>
      <c r="L880" s="351">
        <f t="shared" ca="1" si="1196"/>
        <v>93351.024999999994</v>
      </c>
      <c r="M880" s="351">
        <f t="shared" ca="1" si="1196"/>
        <v>97310.865000000005</v>
      </c>
      <c r="N880" s="351">
        <f t="shared" ca="1" si="1196"/>
        <v>99603.384999999995</v>
      </c>
      <c r="O880" s="351">
        <f t="shared" ca="1" si="1196"/>
        <v>104567.442</v>
      </c>
      <c r="P880" s="46">
        <f t="shared" ca="1" si="1196"/>
        <v>100471.9525</v>
      </c>
      <c r="Q880" s="351">
        <f t="shared" ca="1" si="1196"/>
        <v>114114.70400000001</v>
      </c>
      <c r="R880" s="351">
        <f t="shared" ca="1" si="1196"/>
        <v>112139.83</v>
      </c>
      <c r="S880" s="351">
        <f t="shared" ca="1" si="1196"/>
        <v>105118.26400000001</v>
      </c>
      <c r="T880" s="351">
        <f t="shared" ca="1" si="1196"/>
        <v>105821.982</v>
      </c>
      <c r="U880" s="46">
        <f t="shared" ca="1" si="1196"/>
        <v>111233.63900000001</v>
      </c>
      <c r="V880" s="351">
        <f t="shared" ca="1" si="1196"/>
        <v>106965.79099999998</v>
      </c>
      <c r="W880" s="351">
        <f t="shared" ca="1" si="1196"/>
        <v>118359.3395</v>
      </c>
      <c r="X880" s="351">
        <f t="shared" ca="1" si="1196"/>
        <v>122984.33199999998</v>
      </c>
      <c r="Y880" s="351">
        <f t="shared" ca="1" si="1196"/>
        <v>118563.97900000001</v>
      </c>
      <c r="Z880" s="46">
        <f t="shared" ca="1" si="1196"/>
        <v>116661.07725000002</v>
      </c>
      <c r="AA880" s="351">
        <f t="shared" ca="1" si="1196"/>
        <v>125512.3</v>
      </c>
      <c r="AB880" s="351">
        <f t="shared" ca="1" si="1196"/>
        <v>135841.41599999997</v>
      </c>
      <c r="AC880" s="351">
        <f t="shared" ca="1" si="1196"/>
        <v>138194.057</v>
      </c>
      <c r="AD880" s="351">
        <f t="shared" ca="1" si="1196"/>
        <v>152820.54199999999</v>
      </c>
      <c r="AE880" s="46">
        <f t="shared" ca="1" si="1196"/>
        <v>138820.658</v>
      </c>
      <c r="AF880" s="351">
        <f t="shared" ca="1" si="1196"/>
        <v>156858.75718360653</v>
      </c>
      <c r="AG880" s="351">
        <f t="shared" ca="1" si="1196"/>
        <v>135884.63134187501</v>
      </c>
      <c r="AH880" s="351">
        <f t="shared" ca="1" si="1196"/>
        <v>136536.93775746008</v>
      </c>
      <c r="AI880" s="351">
        <f t="shared" ref="AI880:AY880" ca="1" si="1197">AI864+AI879+AI895+AI896+AI897</f>
        <v>131603.5834301585</v>
      </c>
      <c r="AJ880" s="46">
        <f t="shared" ca="1" si="1197"/>
        <v>139774.27351952181</v>
      </c>
      <c r="AK880" s="351">
        <f t="shared" ca="1" si="1197"/>
        <v>135147.53622950846</v>
      </c>
      <c r="AL880" s="351">
        <f t="shared" ca="1" si="1197"/>
        <v>124409.5685555557</v>
      </c>
      <c r="AM880" s="351">
        <f t="shared" ca="1" si="1197"/>
        <v>112712.60609374999</v>
      </c>
      <c r="AN880" s="351">
        <f t="shared" ca="1" si="1197"/>
        <v>120299.53375</v>
      </c>
      <c r="AO880" s="46">
        <f t="shared" ca="1" si="1197"/>
        <v>127876.07388095249</v>
      </c>
      <c r="AP880" s="351">
        <f t="shared" ca="1" si="1197"/>
        <v>114212.42798387099</v>
      </c>
      <c r="AQ880" s="351">
        <f t="shared" ca="1" si="1197"/>
        <v>108460.85066666652</v>
      </c>
      <c r="AR880" s="351">
        <f ca="1">AR864+AR879+AR895+AR896+AR897</f>
        <v>113335.606</v>
      </c>
      <c r="AS880" s="351">
        <f ca="1">AS864+AS879+AS895+AS896+AS897</f>
        <v>118235.22374999999</v>
      </c>
      <c r="AT880" s="46">
        <f ca="1">AT864+AT879+AT895+AT896+AT897</f>
        <v>112084.26420553352</v>
      </c>
      <c r="AU880" s="805">
        <f t="shared" ref="AU880" ca="1" si="1198">AU864+AU879+AU895+AU896+AU897</f>
        <v>123190.09677049206</v>
      </c>
      <c r="AV880" s="351">
        <f t="shared" ca="1" si="1197"/>
        <v>133238.00060884457</v>
      </c>
      <c r="AW880" s="351">
        <f t="shared" ca="1" si="1197"/>
        <v>132214.56404258081</v>
      </c>
      <c r="AX880" s="351">
        <f t="shared" ca="1" si="1197"/>
        <v>131383.86684947042</v>
      </c>
      <c r="AY880" s="108">
        <f t="shared" ca="1" si="1197"/>
        <v>132141.32818967663</v>
      </c>
      <c r="AZ880" s="351">
        <f t="shared" ref="AZ880:BG880" ca="1" si="1199">AZ864+AZ879+AZ895+AZ896+AZ897</f>
        <v>130669.29792371341</v>
      </c>
      <c r="BA880" s="351">
        <f t="shared" ca="1" si="1199"/>
        <v>130637.59551103713</v>
      </c>
      <c r="BB880" s="351">
        <f t="shared" ca="1" si="1199"/>
        <v>129592.94402170356</v>
      </c>
      <c r="BC880" s="351">
        <f t="shared" ca="1" si="1199"/>
        <v>128660.53092096682</v>
      </c>
      <c r="BD880" s="108">
        <f t="shared" ca="1" si="1199"/>
        <v>129350.42528716399</v>
      </c>
      <c r="BE880" s="108">
        <f t="shared" ca="1" si="1199"/>
        <v>125395.11013815978</v>
      </c>
      <c r="BF880" s="108">
        <f t="shared" ca="1" si="1199"/>
        <v>121553.22050434425</v>
      </c>
      <c r="BG880" s="108">
        <f t="shared" ca="1" si="1199"/>
        <v>117068.30781947676</v>
      </c>
      <c r="BH880" s="749"/>
    </row>
    <row r="881" spans="1:60" s="59" customFormat="1" x14ac:dyDescent="0.35">
      <c r="A881" s="709"/>
      <c r="B881" s="710"/>
      <c r="C881" s="122"/>
      <c r="D881" s="122"/>
      <c r="E881" s="122"/>
      <c r="F881" s="122"/>
      <c r="G881" s="669"/>
      <c r="H881" s="669"/>
      <c r="I881" s="669"/>
      <c r="J881" s="669"/>
      <c r="K881" s="122"/>
      <c r="L881" s="669"/>
      <c r="M881" s="669"/>
      <c r="N881" s="669"/>
      <c r="O881" s="669"/>
      <c r="P881" s="122"/>
      <c r="Q881" s="669"/>
      <c r="R881" s="669"/>
      <c r="S881" s="669"/>
      <c r="T881" s="669"/>
      <c r="U881" s="122"/>
      <c r="V881" s="669"/>
      <c r="W881" s="711"/>
      <c r="X881" s="711"/>
      <c r="Y881" s="669"/>
      <c r="Z881" s="122"/>
      <c r="AA881" s="669"/>
      <c r="AB881" s="711"/>
      <c r="AC881" s="711"/>
      <c r="AD881" s="669"/>
      <c r="AE881" s="122"/>
      <c r="AF881" s="669"/>
      <c r="AG881" s="711"/>
      <c r="AH881" s="711"/>
      <c r="AI881" s="669"/>
      <c r="AJ881" s="122"/>
      <c r="AK881" s="669"/>
      <c r="AL881" s="711"/>
      <c r="AM881" s="711"/>
      <c r="AN881" s="669"/>
      <c r="AO881" s="122"/>
      <c r="AP881" s="669"/>
      <c r="AQ881" s="711"/>
      <c r="AR881" s="711"/>
      <c r="AS881" s="669"/>
      <c r="AT881" s="122"/>
      <c r="AU881" s="824"/>
      <c r="AV881" s="711"/>
      <c r="AW881" s="711"/>
      <c r="AX881" s="711"/>
      <c r="AY881" s="122"/>
      <c r="AZ881" s="711"/>
      <c r="BA881" s="711"/>
      <c r="BB881" s="711"/>
      <c r="BC881" s="711"/>
      <c r="BD881" s="122"/>
      <c r="BE881" s="122"/>
      <c r="BF881" s="122"/>
      <c r="BG881" s="122"/>
      <c r="BH881" s="134"/>
    </row>
    <row r="882" spans="1:60" s="59" customFormat="1" x14ac:dyDescent="0.35">
      <c r="A882" s="222" t="str">
        <f>"P/E - "&amp;MO.ValuationToggle</f>
        <v>P/E - Avg</v>
      </c>
      <c r="B882" s="710"/>
      <c r="C882" s="42">
        <f ca="1">C878/C831</f>
        <v>13.849870302223616</v>
      </c>
      <c r="D882" s="42">
        <f ca="1">D878/D831</f>
        <v>14.670506884944921</v>
      </c>
      <c r="E882" s="42">
        <f ca="1">E878/E831</f>
        <v>14.469812047630164</v>
      </c>
      <c r="F882" s="42">
        <f ca="1">F878/F831</f>
        <v>13.975792754275426</v>
      </c>
      <c r="G882" s="669"/>
      <c r="H882" s="669"/>
      <c r="I882" s="669"/>
      <c r="J882" s="669"/>
      <c r="K882" s="42">
        <f ca="1">K878/K831</f>
        <v>16.832714745653576</v>
      </c>
      <c r="L882" s="669"/>
      <c r="M882" s="669"/>
      <c r="N882" s="669"/>
      <c r="O882" s="669"/>
      <c r="P882" s="42">
        <f ca="1">P878/P831</f>
        <v>18.792565072639228</v>
      </c>
      <c r="Q882" s="669"/>
      <c r="R882" s="669"/>
      <c r="S882" s="669"/>
      <c r="T882" s="669"/>
      <c r="U882" s="42">
        <f ca="1">U878/U831</f>
        <v>20.443335195530729</v>
      </c>
      <c r="V882" s="669"/>
      <c r="W882" s="711"/>
      <c r="X882" s="711"/>
      <c r="Y882" s="669"/>
      <c r="Z882" s="42">
        <f ca="1">Z878/Z831</f>
        <v>20.523381633663369</v>
      </c>
      <c r="AA882" s="669"/>
      <c r="AB882" s="711"/>
      <c r="AC882" s="711"/>
      <c r="AD882" s="669"/>
      <c r="AE882" s="42">
        <f ca="1">AE878/AE831</f>
        <v>22.299227402135234</v>
      </c>
      <c r="AF882" s="669"/>
      <c r="AG882" s="711"/>
      <c r="AH882" s="711"/>
      <c r="AI882" s="669"/>
      <c r="AJ882" s="42">
        <f ca="1">AJ878/AJ831</f>
        <v>19.912037096032066</v>
      </c>
      <c r="AK882" s="669"/>
      <c r="AL882" s="711"/>
      <c r="AM882" s="711"/>
      <c r="AN882" s="669"/>
      <c r="AO882" s="42">
        <f ca="1">AO878/AO831</f>
        <v>20.255357958974098</v>
      </c>
      <c r="AP882" s="669"/>
      <c r="AQ882" s="711"/>
      <c r="AR882" s="711"/>
      <c r="AS882" s="669"/>
      <c r="AT882" s="42">
        <f ca="1">AT878/AT831</f>
        <v>18.276978027817123</v>
      </c>
      <c r="AU882" s="824"/>
      <c r="AV882" s="711"/>
      <c r="AW882" s="711"/>
      <c r="AX882" s="711"/>
      <c r="AY882" s="122">
        <f ca="1">AY878/AY831</f>
        <v>19.122169249389042</v>
      </c>
      <c r="AZ882" s="711"/>
      <c r="BA882" s="711"/>
      <c r="BB882" s="711"/>
      <c r="BC882" s="711"/>
      <c r="BD882" s="122">
        <f ca="1">BD878/BD831</f>
        <v>17.327806127329069</v>
      </c>
      <c r="BE882" s="122">
        <f ca="1">BE878/BE831</f>
        <v>15.440662213445686</v>
      </c>
      <c r="BF882" s="122">
        <f ca="1">BF878/BF831</f>
        <v>13.868588792392151</v>
      </c>
      <c r="BG882" s="122">
        <f ca="1">BG878/BG831</f>
        <v>12.479747668813463</v>
      </c>
      <c r="BH882" s="134"/>
    </row>
    <row r="883" spans="1:60" s="59" customFormat="1" x14ac:dyDescent="0.35">
      <c r="A883" s="222" t="str">
        <f>"EV/EBITDA - "&amp;MO.ValuationToggle</f>
        <v>EV/EBITDA - Avg</v>
      </c>
      <c r="B883" s="710"/>
      <c r="C883" s="42">
        <f ca="1">C880/C796</f>
        <v>8.053698856975382</v>
      </c>
      <c r="D883" s="42">
        <f ca="1">D880/D796</f>
        <v>8.9130464087809038</v>
      </c>
      <c r="E883" s="42">
        <f ca="1">E880/E796</f>
        <v>9.0340173995144308</v>
      </c>
      <c r="F883" s="42">
        <f ca="1">F880/F796</f>
        <v>8.4889233045940031</v>
      </c>
      <c r="G883" s="669"/>
      <c r="H883" s="669"/>
      <c r="I883" s="669"/>
      <c r="J883" s="669"/>
      <c r="K883" s="42">
        <f ca="1">K880/K796</f>
        <v>10.188206793579694</v>
      </c>
      <c r="L883" s="669"/>
      <c r="M883" s="669"/>
      <c r="N883" s="669"/>
      <c r="O883" s="669"/>
      <c r="P883" s="42">
        <f ca="1">P880/P796</f>
        <v>11.760734226852394</v>
      </c>
      <c r="Q883" s="669"/>
      <c r="R883" s="669"/>
      <c r="S883" s="669"/>
      <c r="T883" s="669"/>
      <c r="U883" s="42">
        <f ca="1">U880/U796</f>
        <v>13.272120152726407</v>
      </c>
      <c r="V883" s="669"/>
      <c r="W883" s="711"/>
      <c r="X883" s="711"/>
      <c r="Y883" s="669"/>
      <c r="Z883" s="42">
        <f ca="1">Z880/Z796</f>
        <v>13.413944722318043</v>
      </c>
      <c r="AA883" s="669"/>
      <c r="AB883" s="711"/>
      <c r="AC883" s="711"/>
      <c r="AD883" s="669"/>
      <c r="AE883" s="42">
        <f ca="1">AE880/AE796</f>
        <v>15.030387397141618</v>
      </c>
      <c r="AF883" s="669"/>
      <c r="AG883" s="711"/>
      <c r="AH883" s="711"/>
      <c r="AI883" s="669"/>
      <c r="AJ883" s="42">
        <f ca="1">AJ880/AJ796</f>
        <v>14.571963461167829</v>
      </c>
      <c r="AK883" s="669"/>
      <c r="AL883" s="711"/>
      <c r="AM883" s="711"/>
      <c r="AN883" s="669"/>
      <c r="AO883" s="42">
        <f ca="1">AO880/AO796</f>
        <v>15.196206046459</v>
      </c>
      <c r="AP883" s="669"/>
      <c r="AQ883" s="711"/>
      <c r="AR883" s="711"/>
      <c r="AS883" s="669"/>
      <c r="AT883" s="42">
        <f ca="1">AT880/AT796</f>
        <v>12.802314586582925</v>
      </c>
      <c r="AU883" s="824"/>
      <c r="AV883" s="711"/>
      <c r="AW883" s="711"/>
      <c r="AX883" s="711"/>
      <c r="AY883" s="122">
        <f ca="1">AY880/AY796</f>
        <v>13.760805932703013</v>
      </c>
      <c r="AZ883" s="711"/>
      <c r="BA883" s="711"/>
      <c r="BB883" s="711"/>
      <c r="BC883" s="711"/>
      <c r="BD883" s="122">
        <f ca="1">BD880/BD796</f>
        <v>12.447473393461552</v>
      </c>
      <c r="BE883" s="122">
        <f ca="1">BE880/BE796</f>
        <v>11.200402982112905</v>
      </c>
      <c r="BF883" s="122">
        <f ca="1">BF880/BF796</f>
        <v>10.072559820192511</v>
      </c>
      <c r="BG883" s="122">
        <f ca="1">BG880/BG796</f>
        <v>8.9956785686772935</v>
      </c>
      <c r="BH883" s="134"/>
    </row>
    <row r="884" spans="1:60" s="59" customFormat="1" x14ac:dyDescent="0.35">
      <c r="A884" s="222" t="str">
        <f>"P/CF - "&amp;MO.ValuationToggle</f>
        <v>P/CF - Avg</v>
      </c>
      <c r="B884" s="710"/>
      <c r="C884" s="42">
        <f ca="1">C878/C840</f>
        <v>9.3375498046874998</v>
      </c>
      <c r="D884" s="42">
        <f ca="1">D878/D840</f>
        <v>11.895399091901549</v>
      </c>
      <c r="E884" s="42">
        <f ca="1">E878/E840</f>
        <v>10.428101127376745</v>
      </c>
      <c r="F884" s="42">
        <f ca="1">F878/F840</f>
        <v>11.298603420047298</v>
      </c>
      <c r="G884" s="669"/>
      <c r="H884" s="669"/>
      <c r="I884" s="669"/>
      <c r="J884" s="669"/>
      <c r="K884" s="42">
        <f ca="1">K878/K840</f>
        <v>12.764260742187501</v>
      </c>
      <c r="L884" s="669"/>
      <c r="M884" s="669"/>
      <c r="N884" s="669"/>
      <c r="O884" s="669"/>
      <c r="P884" s="42">
        <f ca="1">P878/P840</f>
        <v>14.221400595510763</v>
      </c>
      <c r="Q884" s="669"/>
      <c r="R884" s="669"/>
      <c r="S884" s="669"/>
      <c r="T884" s="669"/>
      <c r="U884" s="42">
        <f ca="1">U878/U840</f>
        <v>13.951233973453828</v>
      </c>
      <c r="V884" s="669"/>
      <c r="W884" s="711"/>
      <c r="X884" s="711"/>
      <c r="Y884" s="669"/>
      <c r="Z884" s="42">
        <f ca="1">Z878/Z840</f>
        <v>15.457580499627147</v>
      </c>
      <c r="AA884" s="669"/>
      <c r="AB884" s="711"/>
      <c r="AC884" s="711"/>
      <c r="AD884" s="669"/>
      <c r="AE884" s="42">
        <f ca="1">AE878/AE840</f>
        <v>22.279405866666668</v>
      </c>
      <c r="AF884" s="669"/>
      <c r="AG884" s="711"/>
      <c r="AH884" s="711"/>
      <c r="AI884" s="669"/>
      <c r="AJ884" s="42">
        <f ca="1">AJ878/AJ840</f>
        <v>19.017792978231199</v>
      </c>
      <c r="AK884" s="669"/>
      <c r="AL884" s="711"/>
      <c r="AM884" s="711"/>
      <c r="AN884" s="669"/>
      <c r="AO884" s="42">
        <f ca="1">AO878/AO840</f>
        <v>16.492015346652948</v>
      </c>
      <c r="AP884" s="669"/>
      <c r="AQ884" s="711"/>
      <c r="AR884" s="711"/>
      <c r="AS884" s="669"/>
      <c r="AT884" s="42">
        <f ca="1">AT878/AT840</f>
        <v>12.814284718965622</v>
      </c>
      <c r="AU884" s="824"/>
      <c r="AV884" s="711"/>
      <c r="AW884" s="711"/>
      <c r="AX884" s="711"/>
      <c r="AY884" s="122">
        <f ca="1">AY878/AY840</f>
        <v>14.06634788745057</v>
      </c>
      <c r="AZ884" s="711"/>
      <c r="BA884" s="711"/>
      <c r="BB884" s="711"/>
      <c r="BC884" s="711"/>
      <c r="BD884" s="122">
        <f ca="1">BD878/BD840</f>
        <v>13.010339999591018</v>
      </c>
      <c r="BE884" s="122">
        <f ca="1">BE878/BE840</f>
        <v>11.837869750424074</v>
      </c>
      <c r="BF884" s="122">
        <f ca="1">BF878/BF840</f>
        <v>10.839377979911861</v>
      </c>
      <c r="BG884" s="122">
        <f ca="1">BG878/BG840</f>
        <v>9.9284071636477353</v>
      </c>
      <c r="BH884" s="134"/>
    </row>
    <row r="885" spans="1:60" s="87" customFormat="1" x14ac:dyDescent="0.35">
      <c r="A885" s="99" t="str">
        <f>"FCF Yield % to "&amp;MO.ValuationToggle&amp;" Market Cap"</f>
        <v>FCF Yield % to Avg Market Cap</v>
      </c>
      <c r="B885" s="312"/>
      <c r="C885" s="47">
        <f t="shared" ref="C885:F886" ca="1" si="1200">C$853/C879</f>
        <v>8.6675068642095038E-2</v>
      </c>
      <c r="D885" s="47">
        <f t="shared" ca="1" si="1200"/>
        <v>6.5861246501890416E-2</v>
      </c>
      <c r="E885" s="47">
        <f t="shared" ca="1" si="1200"/>
        <v>7.3643542502884879E-2</v>
      </c>
      <c r="F885" s="47">
        <f t="shared" ca="1" si="1200"/>
        <v>6.4612814271584398E-2</v>
      </c>
      <c r="G885" s="200"/>
      <c r="H885" s="200"/>
      <c r="I885" s="200"/>
      <c r="J885" s="200"/>
      <c r="K885" s="47">
        <f ca="1">K$853/K879</f>
        <v>5.711289678066115E-2</v>
      </c>
      <c r="L885" s="200"/>
      <c r="M885" s="200"/>
      <c r="N885" s="200"/>
      <c r="O885" s="200"/>
      <c r="P885" s="47">
        <f ca="1">P$853/P879</f>
        <v>5.4286232805747063E-2</v>
      </c>
      <c r="Q885" s="200"/>
      <c r="R885" s="200"/>
      <c r="S885" s="200"/>
      <c r="T885" s="200"/>
      <c r="U885" s="47">
        <f ca="1">U$853/U879</f>
        <v>5.689119295690067E-2</v>
      </c>
      <c r="V885" s="200"/>
      <c r="W885" s="200"/>
      <c r="X885" s="200"/>
      <c r="Y885" s="200"/>
      <c r="Z885" s="47">
        <f ca="1">Z$853/Z879</f>
        <v>5.0992310728597161E-2</v>
      </c>
      <c r="AA885" s="200"/>
      <c r="AB885" s="200"/>
      <c r="AC885" s="200"/>
      <c r="AD885" s="200"/>
      <c r="AE885" s="47">
        <f ca="1">AE$853/AE879</f>
        <v>3.3928692516978984E-2</v>
      </c>
      <c r="AF885" s="200"/>
      <c r="AG885" s="200"/>
      <c r="AH885" s="200"/>
      <c r="AI885" s="200"/>
      <c r="AJ885" s="47">
        <f ca="1">AJ$853/AJ879</f>
        <v>4.0001189179502045E-2</v>
      </c>
      <c r="AK885" s="200"/>
      <c r="AL885" s="200"/>
      <c r="AM885" s="200"/>
      <c r="AN885" s="200"/>
      <c r="AO885" s="47">
        <f ca="1">AO$853/AO879</f>
        <v>4.4483074872588166E-2</v>
      </c>
      <c r="AP885" s="200"/>
      <c r="AQ885" s="200"/>
      <c r="AR885" s="200"/>
      <c r="AS885" s="200"/>
      <c r="AT885" s="47">
        <f ca="1">AT$853/AT879</f>
        <v>6.1896956184676999E-2</v>
      </c>
      <c r="AU885" s="761"/>
      <c r="AV885" s="200"/>
      <c r="AW885" s="200"/>
      <c r="AX885" s="200"/>
      <c r="AY885" s="105">
        <f ca="1">AY$853/AY879</f>
        <v>5.5887870448031264E-2</v>
      </c>
      <c r="AZ885" s="200"/>
      <c r="BA885" s="200"/>
      <c r="BB885" s="200"/>
      <c r="BC885" s="200"/>
      <c r="BD885" s="105">
        <f ca="1">BD$853/BD879</f>
        <v>5.9929255877993401E-2</v>
      </c>
      <c r="BE885" s="105">
        <f ca="1">BE853/BE879</f>
        <v>6.7177479336096288E-2</v>
      </c>
      <c r="BF885" s="105">
        <f ca="1">BF853/BF879</f>
        <v>7.4715556378879916E-2</v>
      </c>
      <c r="BG885" s="105">
        <f ca="1">BG853/BG879</f>
        <v>8.295330314532498E-2</v>
      </c>
      <c r="BH885" s="363"/>
    </row>
    <row r="886" spans="1:60" s="87" customFormat="1" x14ac:dyDescent="0.35">
      <c r="A886" s="99" t="str">
        <f>"FCF Yield % to "&amp;MO.ValuationToggle&amp;" Enterprise Value"</f>
        <v>FCF Yield % to Avg Enterprise Value</v>
      </c>
      <c r="B886" s="312"/>
      <c r="C886" s="47">
        <f t="shared" ca="1" si="1200"/>
        <v>7.9706981291034582E-2</v>
      </c>
      <c r="D886" s="47">
        <f t="shared" ca="1" si="1200"/>
        <v>6.2920432046326941E-2</v>
      </c>
      <c r="E886" s="47">
        <f t="shared" ca="1" si="1200"/>
        <v>6.8141569335875771E-2</v>
      </c>
      <c r="F886" s="47">
        <f t="shared" ca="1" si="1200"/>
        <v>6.0833056946911511E-2</v>
      </c>
      <c r="G886" s="200"/>
      <c r="H886" s="200"/>
      <c r="I886" s="200"/>
      <c r="J886" s="200"/>
      <c r="K886" s="47">
        <f ca="1">K$853/K880</f>
        <v>5.4700253965988238E-2</v>
      </c>
      <c r="L886" s="200"/>
      <c r="M886" s="200"/>
      <c r="N886" s="200"/>
      <c r="O886" s="200"/>
      <c r="P886" s="47">
        <f ca="1">P$853/P880</f>
        <v>5.0322501695187025E-2</v>
      </c>
      <c r="Q886" s="200"/>
      <c r="R886" s="200"/>
      <c r="S886" s="200"/>
      <c r="T886" s="200"/>
      <c r="U886" s="47">
        <f ca="1">U$853/U880</f>
        <v>5.0533274381142919E-2</v>
      </c>
      <c r="V886" s="200"/>
      <c r="W886" s="200"/>
      <c r="X886" s="200"/>
      <c r="Y886" s="200"/>
      <c r="Z886" s="47">
        <f ca="1">Z$853/Z880</f>
        <v>4.5302170394624905E-2</v>
      </c>
      <c r="AA886" s="200"/>
      <c r="AB886" s="200"/>
      <c r="AC886" s="200"/>
      <c r="AD886" s="200"/>
      <c r="AE886" s="47">
        <f ca="1">AE$853/AE880</f>
        <v>3.0629447095690904E-2</v>
      </c>
      <c r="AF886" s="200"/>
      <c r="AG886" s="200"/>
      <c r="AH886" s="200"/>
      <c r="AI886" s="200"/>
      <c r="AJ886" s="47">
        <f ca="1">AJ$853/AJ880</f>
        <v>3.5872123487014303E-2</v>
      </c>
      <c r="AK886" s="200"/>
      <c r="AL886" s="200"/>
      <c r="AM886" s="200"/>
      <c r="AN886" s="200"/>
      <c r="AO886" s="47">
        <f ca="1">AO$853/AO880</f>
        <v>3.6590113052391349E-2</v>
      </c>
      <c r="AP886" s="200"/>
      <c r="AQ886" s="200"/>
      <c r="AR886" s="200"/>
      <c r="AS886" s="200"/>
      <c r="AT886" s="47">
        <f ca="1">AT$853/AT880</f>
        <v>5.1354220334131707E-2</v>
      </c>
      <c r="AU886" s="761"/>
      <c r="AV886" s="200"/>
      <c r="AW886" s="200"/>
      <c r="AX886" s="200"/>
      <c r="AY886" s="105">
        <f ca="1">AY$853/AY880</f>
        <v>4.8264361702683278E-2</v>
      </c>
      <c r="AZ886" s="200"/>
      <c r="BA886" s="200"/>
      <c r="BB886" s="200"/>
      <c r="BC886" s="200"/>
      <c r="BD886" s="105">
        <f ca="1">BD$853/BD880</f>
        <v>5.1987479743996562E-2</v>
      </c>
      <c r="BE886" s="105">
        <f ca="1">BE853/BE880</f>
        <v>5.8846607313092804E-2</v>
      </c>
      <c r="BF886" s="105">
        <f ca="1">BF853/BF880</f>
        <v>6.6581294750312478E-2</v>
      </c>
      <c r="BG886" s="105">
        <f ca="1">BG853/BG880</f>
        <v>7.5773018377928117E-2</v>
      </c>
      <c r="BH886" s="363"/>
    </row>
    <row r="887" spans="1:60" s="87" customFormat="1" hidden="1" outlineLevel="1" x14ac:dyDescent="0.35">
      <c r="A887" s="539"/>
      <c r="B887" s="312"/>
      <c r="C887" s="105"/>
      <c r="D887" s="105"/>
      <c r="E887" s="105"/>
      <c r="F887" s="105"/>
      <c r="G887" s="200"/>
      <c r="H887" s="200"/>
      <c r="I887" s="200"/>
      <c r="J887" s="200"/>
      <c r="K887" s="105"/>
      <c r="L887" s="200"/>
      <c r="M887" s="200"/>
      <c r="N887" s="200"/>
      <c r="O887" s="200"/>
      <c r="P887" s="105"/>
      <c r="Q887" s="200"/>
      <c r="R887" s="200"/>
      <c r="S887" s="200"/>
      <c r="T887" s="200"/>
      <c r="U887" s="105"/>
      <c r="V887" s="200"/>
      <c r="W887" s="200"/>
      <c r="X887" s="200"/>
      <c r="Y887" s="200"/>
      <c r="Z887" s="105"/>
      <c r="AA887" s="200"/>
      <c r="AB887" s="200"/>
      <c r="AC887" s="200"/>
      <c r="AD887" s="200"/>
      <c r="AE887" s="105"/>
      <c r="AF887" s="200"/>
      <c r="AG887" s="200"/>
      <c r="AH887" s="200"/>
      <c r="AI887" s="200"/>
      <c r="AJ887" s="105"/>
      <c r="AK887" s="200"/>
      <c r="AL887" s="200"/>
      <c r="AM887" s="200"/>
      <c r="AN887" s="200"/>
      <c r="AO887" s="105"/>
      <c r="AP887" s="200"/>
      <c r="AQ887" s="200"/>
      <c r="AR887" s="200"/>
      <c r="AS887" s="200"/>
      <c r="AT887" s="105"/>
      <c r="AU887" s="761"/>
      <c r="AV887" s="200"/>
      <c r="AW887" s="200"/>
      <c r="AX887" s="200"/>
      <c r="AY887" s="105"/>
      <c r="AZ887" s="200"/>
      <c r="BA887" s="200"/>
      <c r="BB887" s="200"/>
      <c r="BC887" s="200"/>
      <c r="BD887" s="105"/>
      <c r="BE887" s="105"/>
      <c r="BF887" s="105"/>
      <c r="BG887" s="105"/>
      <c r="BH887" s="363"/>
    </row>
    <row r="888" spans="1:60" s="399" customFormat="1" hidden="1" outlineLevel="1" x14ac:dyDescent="0.35">
      <c r="A888" s="405" t="str">
        <f ca="1">"Stock High, "&amp;HP.TradeCurrency</f>
        <v>Stock High, USD</v>
      </c>
      <c r="B888" s="712"/>
      <c r="C888" s="406">
        <f t="shared" ref="C888:AH888" ca="1" si="1201">IF(INDEX(MO_SNA_IsHistoricalPeriod,1,COLUMN())=FALSE,0,INDEX(MO_SPT_StockHigh,1,COLUMN()))</f>
        <v>84.32</v>
      </c>
      <c r="D888" s="406">
        <f t="shared" ca="1" si="1201"/>
        <v>91.49</v>
      </c>
      <c r="E888" s="406">
        <f t="shared" ca="1" si="1201"/>
        <v>98.19</v>
      </c>
      <c r="F888" s="406">
        <f t="shared" ca="1" si="1201"/>
        <v>95.46</v>
      </c>
      <c r="G888" s="407">
        <f t="shared" ca="1" si="1201"/>
        <v>106.88</v>
      </c>
      <c r="H888" s="407">
        <f t="shared" ca="1" si="1201"/>
        <v>113.25</v>
      </c>
      <c r="I888" s="407">
        <f t="shared" ca="1" si="1201"/>
        <v>122.27</v>
      </c>
      <c r="J888" s="407">
        <f t="shared" ca="1" si="1201"/>
        <v>140.43</v>
      </c>
      <c r="K888" s="406">
        <f t="shared" ca="1" si="1201"/>
        <v>140.43</v>
      </c>
      <c r="L888" s="407">
        <f t="shared" ca="1" si="1201"/>
        <v>139.29</v>
      </c>
      <c r="M888" s="407">
        <f t="shared" ca="1" si="1201"/>
        <v>145.53</v>
      </c>
      <c r="N888" s="407">
        <f t="shared" ca="1" si="1201"/>
        <v>147.87</v>
      </c>
      <c r="O888" s="407">
        <f t="shared" ca="1" si="1201"/>
        <v>168.16</v>
      </c>
      <c r="P888" s="406">
        <f t="shared" ca="1" si="1201"/>
        <v>168.16</v>
      </c>
      <c r="Q888" s="407">
        <f t="shared" ca="1" si="1201"/>
        <v>170.5</v>
      </c>
      <c r="R888" s="407">
        <f t="shared" ca="1" si="1201"/>
        <v>167.7</v>
      </c>
      <c r="S888" s="407">
        <f t="shared" ca="1" si="1201"/>
        <v>157.94</v>
      </c>
      <c r="T888" s="407">
        <f t="shared" ca="1" si="1201"/>
        <v>160.09</v>
      </c>
      <c r="U888" s="406">
        <f t="shared" ca="1" si="1201"/>
        <v>170.5</v>
      </c>
      <c r="V888" s="407">
        <f t="shared" ca="1" si="1201"/>
        <v>167.5</v>
      </c>
      <c r="W888" s="407">
        <f t="shared" ca="1" si="1201"/>
        <v>175.14</v>
      </c>
      <c r="X888" s="407">
        <f t="shared" ca="1" si="1201"/>
        <v>182.27</v>
      </c>
      <c r="Y888" s="407">
        <f t="shared" ca="1" si="1201"/>
        <v>180.06</v>
      </c>
      <c r="Z888" s="406">
        <f t="shared" ca="1" si="1201"/>
        <v>182.27</v>
      </c>
      <c r="AA888" s="407">
        <f t="shared" ca="1" si="1201"/>
        <v>193.5</v>
      </c>
      <c r="AB888" s="407">
        <f t="shared" ca="1" si="1201"/>
        <v>214.57</v>
      </c>
      <c r="AC888" s="407">
        <f t="shared" ca="1" si="1201"/>
        <v>214.65</v>
      </c>
      <c r="AD888" s="407">
        <f t="shared" ca="1" si="1201"/>
        <v>244.23</v>
      </c>
      <c r="AE888" s="406">
        <f t="shared" ca="1" si="1201"/>
        <v>244.23</v>
      </c>
      <c r="AF888" s="407">
        <f t="shared" ca="1" si="1201"/>
        <v>251.94649999999999</v>
      </c>
      <c r="AG888" s="407">
        <f t="shared" ca="1" si="1201"/>
        <v>215.66669999999999</v>
      </c>
      <c r="AH888" s="407">
        <f t="shared" ca="1" si="1201"/>
        <v>214.86259999999999</v>
      </c>
      <c r="AI888" s="407">
        <f t="shared" ref="AI888:AY888" ca="1" si="1202">IF(INDEX(MO_SNA_IsHistoricalPeriod,1,COLUMN())=FALSE,0,INDEX(MO_SPT_StockHigh,1,COLUMN()))</f>
        <v>214.29650000000001</v>
      </c>
      <c r="AJ888" s="406">
        <f t="shared" ca="1" si="1202"/>
        <v>251.94649999999999</v>
      </c>
      <c r="AK888" s="407">
        <f t="shared" ca="1" si="1202"/>
        <v>210.58</v>
      </c>
      <c r="AL888" s="407">
        <f t="shared" ca="1" si="1202"/>
        <v>219.5</v>
      </c>
      <c r="AM888" s="407">
        <f t="shared" ca="1" si="1202"/>
        <v>179.42</v>
      </c>
      <c r="AN888" s="407">
        <f t="shared" ca="1" si="1202"/>
        <v>178.47</v>
      </c>
      <c r="AO888" s="406">
        <f t="shared" ca="1" si="1202"/>
        <v>219.5</v>
      </c>
      <c r="AP888" s="407">
        <f t="shared" ca="1" si="1202"/>
        <v>181.37</v>
      </c>
      <c r="AQ888" s="407">
        <f t="shared" ca="1" si="1202"/>
        <v>167.41</v>
      </c>
      <c r="AR888" s="407">
        <f ca="1">IF(INDEX(MO_SNA_IsHistoricalPeriod,1,COLUMN())=FALSE,0,INDEX(MO_SPT_StockHigh,1,COLUMN()))</f>
        <v>172.38</v>
      </c>
      <c r="AS888" s="407">
        <f ca="1">IF(INDEX(MO_SNA_IsHistoricalPeriod,1,COLUMN())=FALSE,0,INDEX(MO_SPT_StockHigh,1,COLUMN()))</f>
        <v>177.12</v>
      </c>
      <c r="AT888" s="406">
        <f ca="1">IF(INDEX(MO_SNA_IsHistoricalPeriod,1,COLUMN())=FALSE,0,INDEX(MO_SPT_StockHigh,1,COLUMN()))</f>
        <v>181.37</v>
      </c>
      <c r="AU888" s="825">
        <f t="shared" ca="1" si="1202"/>
        <v>195.74</v>
      </c>
      <c r="AV888" s="407">
        <f t="shared" si="1202"/>
        <v>0</v>
      </c>
      <c r="AW888" s="407">
        <f t="shared" si="1202"/>
        <v>0</v>
      </c>
      <c r="AX888" s="407">
        <f t="shared" si="1202"/>
        <v>0</v>
      </c>
      <c r="AY888" s="408">
        <f t="shared" si="1202"/>
        <v>0</v>
      </c>
      <c r="AZ888" s="407">
        <f t="shared" ref="AZ888:BG888" si="1203">IF(INDEX(MO_SNA_IsHistoricalPeriod,1,COLUMN())=FALSE,0,INDEX(MO_SPT_StockHigh,1,COLUMN()))</f>
        <v>0</v>
      </c>
      <c r="BA888" s="407">
        <f t="shared" si="1203"/>
        <v>0</v>
      </c>
      <c r="BB888" s="407">
        <f t="shared" si="1203"/>
        <v>0</v>
      </c>
      <c r="BC888" s="407">
        <f t="shared" si="1203"/>
        <v>0</v>
      </c>
      <c r="BD888" s="408">
        <f t="shared" si="1203"/>
        <v>0</v>
      </c>
      <c r="BE888" s="408">
        <f t="shared" si="1203"/>
        <v>0</v>
      </c>
      <c r="BF888" s="408">
        <f t="shared" si="1203"/>
        <v>0</v>
      </c>
      <c r="BG888" s="408">
        <f t="shared" si="1203"/>
        <v>0</v>
      </c>
      <c r="BH888" s="347"/>
    </row>
    <row r="889" spans="1:60" s="399" customFormat="1" hidden="1" outlineLevel="1" x14ac:dyDescent="0.35">
      <c r="A889" s="405" t="str">
        <f ca="1">"Stock Low, "&amp;HP.TradeCurrency</f>
        <v>Stock Low, USD</v>
      </c>
      <c r="B889" s="712"/>
      <c r="C889" s="406">
        <f t="shared" ref="C889:AH889" ca="1" si="1204">IF(INDEX(MO_SNA_IsHistoricalPeriod,1,COLUMN())=FALSE,0,INDEX(MO_SPT_StockLow,1,COLUMN()))</f>
        <v>40.869999999999997</v>
      </c>
      <c r="D889" s="406">
        <f t="shared" ca="1" si="1204"/>
        <v>67.98</v>
      </c>
      <c r="E889" s="406">
        <f t="shared" ca="1" si="1204"/>
        <v>68.63</v>
      </c>
      <c r="F889" s="406">
        <f t="shared" ca="1" si="1204"/>
        <v>81.99</v>
      </c>
      <c r="G889" s="407">
        <f t="shared" ca="1" si="1204"/>
        <v>93.96</v>
      </c>
      <c r="H889" s="407">
        <f t="shared" ca="1" si="1204"/>
        <v>102.89</v>
      </c>
      <c r="I889" s="407">
        <f t="shared" ca="1" si="1204"/>
        <v>108.21</v>
      </c>
      <c r="J889" s="407">
        <f t="shared" ca="1" si="1204"/>
        <v>116.65</v>
      </c>
      <c r="K889" s="406">
        <f t="shared" ca="1" si="1204"/>
        <v>93.96</v>
      </c>
      <c r="L889" s="407">
        <f t="shared" ca="1" si="1204"/>
        <v>123.61</v>
      </c>
      <c r="M889" s="407">
        <f t="shared" ca="1" si="1204"/>
        <v>132.02000000000001</v>
      </c>
      <c r="N889" s="407">
        <f t="shared" ca="1" si="1204"/>
        <v>138.43</v>
      </c>
      <c r="O889" s="407">
        <f t="shared" ca="1" si="1204"/>
        <v>130.6</v>
      </c>
      <c r="P889" s="406">
        <f t="shared" ca="1" si="1204"/>
        <v>123.61</v>
      </c>
      <c r="Q889" s="407">
        <f t="shared" ca="1" si="1204"/>
        <v>157.74</v>
      </c>
      <c r="R889" s="407">
        <f t="shared" ca="1" si="1204"/>
        <v>153.91999999999999</v>
      </c>
      <c r="S889" s="407">
        <f t="shared" ca="1" si="1204"/>
        <v>134</v>
      </c>
      <c r="T889" s="407">
        <f t="shared" ca="1" si="1204"/>
        <v>138.57</v>
      </c>
      <c r="U889" s="406">
        <f t="shared" ca="1" si="1204"/>
        <v>134</v>
      </c>
      <c r="V889" s="407">
        <f t="shared" ca="1" si="1204"/>
        <v>134.63999999999999</v>
      </c>
      <c r="W889" s="407">
        <f t="shared" ca="1" si="1204"/>
        <v>163.16999999999999</v>
      </c>
      <c r="X889" s="407">
        <f t="shared" ca="1" si="1204"/>
        <v>173.51</v>
      </c>
      <c r="Y889" s="407">
        <f t="shared" ca="1" si="1204"/>
        <v>163.85</v>
      </c>
      <c r="Z889" s="406">
        <f t="shared" ca="1" si="1204"/>
        <v>134.63999999999999</v>
      </c>
      <c r="AA889" s="407">
        <f t="shared" ca="1" si="1204"/>
        <v>173.55</v>
      </c>
      <c r="AB889" s="407">
        <f t="shared" ca="1" si="1204"/>
        <v>188.62</v>
      </c>
      <c r="AC889" s="407">
        <f t="shared" ca="1" si="1204"/>
        <v>197.17</v>
      </c>
      <c r="AD889" s="407">
        <f t="shared" ca="1" si="1204"/>
        <v>210.03</v>
      </c>
      <c r="AE889" s="406">
        <f t="shared" ca="1" si="1204"/>
        <v>173.55</v>
      </c>
      <c r="AF889" s="407">
        <f t="shared" ca="1" si="1204"/>
        <v>211.0317</v>
      </c>
      <c r="AG889" s="407">
        <f t="shared" ca="1" si="1204"/>
        <v>190.48320000000001</v>
      </c>
      <c r="AH889" s="407">
        <f t="shared" ca="1" si="1204"/>
        <v>192.9008</v>
      </c>
      <c r="AI889" s="407">
        <f t="shared" ref="AI889:AY889" ca="1" si="1205">IF(INDEX(MO_SNA_IsHistoricalPeriod,1,COLUMN())=FALSE,0,INDEX(MO_SPT_StockLow,1,COLUMN()))</f>
        <v>178.62</v>
      </c>
      <c r="AJ889" s="406">
        <f t="shared" ca="1" si="1205"/>
        <v>178.62</v>
      </c>
      <c r="AK889" s="407">
        <f t="shared" ca="1" si="1205"/>
        <v>183.76</v>
      </c>
      <c r="AL889" s="407">
        <f t="shared" ca="1" si="1205"/>
        <v>159.75</v>
      </c>
      <c r="AM889" s="407">
        <f t="shared" ca="1" si="1205"/>
        <v>155.75</v>
      </c>
      <c r="AN889" s="407">
        <f t="shared" ca="1" si="1205"/>
        <v>150.74</v>
      </c>
      <c r="AO889" s="406">
        <f t="shared" ca="1" si="1205"/>
        <v>150.74</v>
      </c>
      <c r="AP889" s="407">
        <f t="shared" ca="1" si="1205"/>
        <v>117.87</v>
      </c>
      <c r="AQ889" s="407">
        <f t="shared" ca="1" si="1205"/>
        <v>133.13999999999999</v>
      </c>
      <c r="AR889" s="407">
        <f ca="1">IF(INDEX(MO_SNA_IsHistoricalPeriod,1,COLUMN())=FALSE,0,INDEX(MO_SPT_StockLow,1,COLUMN()))</f>
        <v>150.41</v>
      </c>
      <c r="AS889" s="407">
        <f ca="1">IF(INDEX(MO_SNA_IsHistoricalPeriod,1,COLUMN())=FALSE,0,INDEX(MO_SPT_StockLow,1,COLUMN()))</f>
        <v>158.47999999999999</v>
      </c>
      <c r="AT889" s="406">
        <f ca="1">IF(INDEX(MO_SNA_IsHistoricalPeriod,1,COLUMN())=FALSE,0,INDEX(MO_SPT_StockLow,1,COLUMN()))</f>
        <v>117.87</v>
      </c>
      <c r="AU889" s="825">
        <f t="shared" ca="1" si="1205"/>
        <v>165.2</v>
      </c>
      <c r="AV889" s="407">
        <f t="shared" si="1205"/>
        <v>0</v>
      </c>
      <c r="AW889" s="407">
        <f t="shared" si="1205"/>
        <v>0</v>
      </c>
      <c r="AX889" s="407">
        <f t="shared" si="1205"/>
        <v>0</v>
      </c>
      <c r="AY889" s="408">
        <f t="shared" si="1205"/>
        <v>0</v>
      </c>
      <c r="AZ889" s="407">
        <f t="shared" ref="AZ889:BG889" si="1206">IF(INDEX(MO_SNA_IsHistoricalPeriod,1,COLUMN())=FALSE,0,INDEX(MO_SPT_StockLow,1,COLUMN()))</f>
        <v>0</v>
      </c>
      <c r="BA889" s="407">
        <f t="shared" si="1206"/>
        <v>0</v>
      </c>
      <c r="BB889" s="407">
        <f t="shared" si="1206"/>
        <v>0</v>
      </c>
      <c r="BC889" s="407">
        <f t="shared" si="1206"/>
        <v>0</v>
      </c>
      <c r="BD889" s="408">
        <f t="shared" si="1206"/>
        <v>0</v>
      </c>
      <c r="BE889" s="408">
        <f t="shared" si="1206"/>
        <v>0</v>
      </c>
      <c r="BF889" s="408">
        <f t="shared" si="1206"/>
        <v>0</v>
      </c>
      <c r="BG889" s="408">
        <f t="shared" si="1206"/>
        <v>0</v>
      </c>
      <c r="BH889" s="347"/>
    </row>
    <row r="890" spans="1:60" s="399" customFormat="1" hidden="1" outlineLevel="1" x14ac:dyDescent="0.35">
      <c r="A890" s="405" t="str">
        <f ca="1">"Stock Average, "&amp;HP.TradeCurrency</f>
        <v>Stock Average, USD</v>
      </c>
      <c r="B890" s="712"/>
      <c r="C890" s="406">
        <f t="shared" ref="C890:AH890" ca="1" si="1207">IF(INDEX(MO_SNA_IsHistoricalPeriod,1,COLUMN())=FALSE,0,INDEX(MO_SPT_StockAverage,1,COLUMN()))</f>
        <v>62.576250000000002</v>
      </c>
      <c r="D890" s="406">
        <f t="shared" ca="1" si="1207"/>
        <v>82.603750000000005</v>
      </c>
      <c r="E890" s="406">
        <f t="shared" ca="1" si="1207"/>
        <v>86.194999999999993</v>
      </c>
      <c r="F890" s="406">
        <f t="shared" ca="1" si="1207"/>
        <v>88.31</v>
      </c>
      <c r="G890" s="407">
        <f t="shared" ca="1" si="1207"/>
        <v>100.42</v>
      </c>
      <c r="H890" s="407">
        <f t="shared" ca="1" si="1207"/>
        <v>108.07</v>
      </c>
      <c r="I890" s="407">
        <f t="shared" ca="1" si="1207"/>
        <v>115.24</v>
      </c>
      <c r="J890" s="407">
        <f t="shared" ca="1" si="1207"/>
        <v>128.54</v>
      </c>
      <c r="K890" s="406">
        <f t="shared" ca="1" si="1207"/>
        <v>113.0675</v>
      </c>
      <c r="L890" s="407">
        <f t="shared" ca="1" si="1207"/>
        <v>131.44999999999999</v>
      </c>
      <c r="M890" s="407">
        <f t="shared" ca="1" si="1207"/>
        <v>138.77500000000001</v>
      </c>
      <c r="N890" s="407">
        <f t="shared" ca="1" si="1207"/>
        <v>143.15</v>
      </c>
      <c r="O890" s="407">
        <f t="shared" ca="1" si="1207"/>
        <v>149.38</v>
      </c>
      <c r="P890" s="406">
        <f t="shared" ca="1" si="1207"/>
        <v>140.68875</v>
      </c>
      <c r="Q890" s="407">
        <f t="shared" ca="1" si="1207"/>
        <v>164.12</v>
      </c>
      <c r="R890" s="407">
        <f t="shared" ca="1" si="1207"/>
        <v>160.81</v>
      </c>
      <c r="S890" s="407">
        <f t="shared" ca="1" si="1207"/>
        <v>145.97</v>
      </c>
      <c r="T890" s="407">
        <f t="shared" ca="1" si="1207"/>
        <v>149.33000000000001</v>
      </c>
      <c r="U890" s="406">
        <f t="shared" ca="1" si="1207"/>
        <v>155.0575</v>
      </c>
      <c r="V890" s="407">
        <f t="shared" ca="1" si="1207"/>
        <v>151.07</v>
      </c>
      <c r="W890" s="407">
        <f t="shared" ca="1" si="1207"/>
        <v>169.155</v>
      </c>
      <c r="X890" s="407">
        <f t="shared" ca="1" si="1207"/>
        <v>177.89</v>
      </c>
      <c r="Y890" s="407">
        <f t="shared" ca="1" si="1207"/>
        <v>171.95500000000001</v>
      </c>
      <c r="Z890" s="406">
        <f t="shared" ca="1" si="1207"/>
        <v>167.51750000000001</v>
      </c>
      <c r="AA890" s="407">
        <f t="shared" ca="1" si="1207"/>
        <v>183.52500000000001</v>
      </c>
      <c r="AB890" s="407">
        <f t="shared" ca="1" si="1207"/>
        <v>201.595</v>
      </c>
      <c r="AC890" s="407">
        <f t="shared" ca="1" si="1207"/>
        <v>205.91</v>
      </c>
      <c r="AD890" s="407">
        <f t="shared" ca="1" si="1207"/>
        <v>227.13</v>
      </c>
      <c r="AE890" s="406">
        <f t="shared" ca="1" si="1207"/>
        <v>204.54</v>
      </c>
      <c r="AF890" s="407">
        <f t="shared" ca="1" si="1207"/>
        <v>231.51747540983601</v>
      </c>
      <c r="AG890" s="407">
        <f t="shared" ca="1" si="1207"/>
        <v>200.653146875</v>
      </c>
      <c r="AH890" s="407">
        <f t="shared" ca="1" si="1207"/>
        <v>203.823425396825</v>
      </c>
      <c r="AI890" s="407">
        <f t="shared" ref="AI890:AY890" ca="1" si="1208">IF(INDEX(MO_SNA_IsHistoricalPeriod,1,COLUMN())=FALSE,0,INDEX(MO_SPT_StockAverage,1,COLUMN()))</f>
        <v>197.73132539682501</v>
      </c>
      <c r="AJ890" s="406">
        <f t="shared" ca="1" si="1208"/>
        <v>208.21640119521899</v>
      </c>
      <c r="AK890" s="407">
        <f t="shared" ca="1" si="1208"/>
        <v>201.351803278689</v>
      </c>
      <c r="AL890" s="407">
        <f t="shared" ca="1" si="1208"/>
        <v>184.10777777777801</v>
      </c>
      <c r="AM890" s="407">
        <f t="shared" ca="1" si="1208"/>
        <v>167.20515624999999</v>
      </c>
      <c r="AN890" s="407">
        <f t="shared" ca="1" si="1208"/>
        <v>167.51249999999999</v>
      </c>
      <c r="AO890" s="406">
        <f t="shared" ca="1" si="1208"/>
        <v>179.774523809524</v>
      </c>
      <c r="AP890" s="407">
        <f t="shared" ca="1" si="1208"/>
        <v>157.336935483871</v>
      </c>
      <c r="AQ890" s="407">
        <f t="shared" ca="1" si="1208"/>
        <v>150.70222222222199</v>
      </c>
      <c r="AR890" s="407">
        <f ca="1">IF(INDEX(MO_SNA_IsHistoricalPeriod,1,COLUMN())=FALSE,0,INDEX(MO_SPT_StockAverage,1,COLUMN()))</f>
        <v>160.8853125</v>
      </c>
      <c r="AS890" s="407">
        <f ca="1">IF(INDEX(MO_SNA_IsHistoricalPeriod,1,COLUMN())=FALSE,0,INDEX(MO_SPT_StockAverage,1,COLUMN()))</f>
        <v>169.76921874999999</v>
      </c>
      <c r="AT890" s="406">
        <f ca="1">IF(INDEX(MO_SNA_IsHistoricalPeriod,1,COLUMN())=FALSE,0,INDEX(MO_SPT_StockAverage,1,COLUMN()))</f>
        <v>159.72735177865599</v>
      </c>
      <c r="AU890" s="825">
        <f t="shared" ca="1" si="1208"/>
        <v>179.029672131148</v>
      </c>
      <c r="AV890" s="407">
        <f t="shared" si="1208"/>
        <v>0</v>
      </c>
      <c r="AW890" s="407">
        <f t="shared" si="1208"/>
        <v>0</v>
      </c>
      <c r="AX890" s="407">
        <f t="shared" si="1208"/>
        <v>0</v>
      </c>
      <c r="AY890" s="408">
        <f t="shared" si="1208"/>
        <v>0</v>
      </c>
      <c r="AZ890" s="407">
        <f t="shared" ref="AZ890:BG890" si="1209">IF(INDEX(MO_SNA_IsHistoricalPeriod,1,COLUMN())=FALSE,0,INDEX(MO_SPT_StockAverage,1,COLUMN()))</f>
        <v>0</v>
      </c>
      <c r="BA890" s="407">
        <f t="shared" si="1209"/>
        <v>0</v>
      </c>
      <c r="BB890" s="407">
        <f t="shared" si="1209"/>
        <v>0</v>
      </c>
      <c r="BC890" s="407">
        <f t="shared" si="1209"/>
        <v>0</v>
      </c>
      <c r="BD890" s="408">
        <f t="shared" si="1209"/>
        <v>0</v>
      </c>
      <c r="BE890" s="408">
        <f t="shared" si="1209"/>
        <v>0</v>
      </c>
      <c r="BF890" s="408">
        <f t="shared" si="1209"/>
        <v>0</v>
      </c>
      <c r="BG890" s="408">
        <f t="shared" si="1209"/>
        <v>0</v>
      </c>
      <c r="BH890" s="347"/>
    </row>
    <row r="891" spans="1:60" s="403" customFormat="1" hidden="1" outlineLevel="1" x14ac:dyDescent="0.35">
      <c r="A891" s="409" t="str">
        <f ca="1">"Average FX Rate, "&amp;HP.TradeCurrency&amp;"/"&amp;MO.ReportCurrency</f>
        <v>Average FX Rate, USD/USD</v>
      </c>
      <c r="B891" s="713"/>
      <c r="C891" s="410">
        <f t="shared" ref="C891:AH891" ca="1" si="1210">IF(INDEX(MO_SPT_FXAverage,1,COLUMN())=0,1,INDEX(MO_SPT_FXAverage,1,COLUMN()))</f>
        <v>1</v>
      </c>
      <c r="D891" s="410">
        <f t="shared" ca="1" si="1210"/>
        <v>1</v>
      </c>
      <c r="E891" s="410">
        <f t="shared" ca="1" si="1210"/>
        <v>1</v>
      </c>
      <c r="F891" s="410">
        <f t="shared" ca="1" si="1210"/>
        <v>1</v>
      </c>
      <c r="G891" s="411">
        <f t="shared" ca="1" si="1210"/>
        <v>1</v>
      </c>
      <c r="H891" s="411">
        <f t="shared" ca="1" si="1210"/>
        <v>1</v>
      </c>
      <c r="I891" s="411">
        <f t="shared" ca="1" si="1210"/>
        <v>1</v>
      </c>
      <c r="J891" s="411">
        <f t="shared" ca="1" si="1210"/>
        <v>1</v>
      </c>
      <c r="K891" s="410">
        <f t="shared" ca="1" si="1210"/>
        <v>1</v>
      </c>
      <c r="L891" s="411">
        <f t="shared" ca="1" si="1210"/>
        <v>1</v>
      </c>
      <c r="M891" s="411">
        <f t="shared" ca="1" si="1210"/>
        <v>1</v>
      </c>
      <c r="N891" s="411">
        <f t="shared" ca="1" si="1210"/>
        <v>1</v>
      </c>
      <c r="O891" s="411">
        <f t="shared" ca="1" si="1210"/>
        <v>1</v>
      </c>
      <c r="P891" s="410">
        <f t="shared" ca="1" si="1210"/>
        <v>1</v>
      </c>
      <c r="Q891" s="411">
        <f t="shared" ca="1" si="1210"/>
        <v>1</v>
      </c>
      <c r="R891" s="411">
        <f t="shared" ca="1" si="1210"/>
        <v>1</v>
      </c>
      <c r="S891" s="411">
        <f t="shared" ca="1" si="1210"/>
        <v>1</v>
      </c>
      <c r="T891" s="411">
        <f t="shared" ca="1" si="1210"/>
        <v>1</v>
      </c>
      <c r="U891" s="410">
        <f t="shared" ca="1" si="1210"/>
        <v>1</v>
      </c>
      <c r="V891" s="411">
        <f t="shared" ca="1" si="1210"/>
        <v>1</v>
      </c>
      <c r="W891" s="411">
        <f t="shared" ca="1" si="1210"/>
        <v>1</v>
      </c>
      <c r="X891" s="411">
        <f t="shared" ca="1" si="1210"/>
        <v>1</v>
      </c>
      <c r="Y891" s="411">
        <f t="shared" ca="1" si="1210"/>
        <v>1</v>
      </c>
      <c r="Z891" s="410">
        <f t="shared" ca="1" si="1210"/>
        <v>1</v>
      </c>
      <c r="AA891" s="411">
        <f t="shared" ca="1" si="1210"/>
        <v>1</v>
      </c>
      <c r="AB891" s="411">
        <f t="shared" ca="1" si="1210"/>
        <v>1</v>
      </c>
      <c r="AC891" s="411">
        <f t="shared" ca="1" si="1210"/>
        <v>1</v>
      </c>
      <c r="AD891" s="411">
        <f t="shared" ca="1" si="1210"/>
        <v>1</v>
      </c>
      <c r="AE891" s="410">
        <f t="shared" ca="1" si="1210"/>
        <v>1</v>
      </c>
      <c r="AF891" s="411">
        <f t="shared" ca="1" si="1210"/>
        <v>1</v>
      </c>
      <c r="AG891" s="411">
        <f t="shared" ca="1" si="1210"/>
        <v>1</v>
      </c>
      <c r="AH891" s="411">
        <f t="shared" ca="1" si="1210"/>
        <v>1</v>
      </c>
      <c r="AI891" s="411">
        <f t="shared" ref="AI891:AY891" ca="1" si="1211">IF(INDEX(MO_SPT_FXAverage,1,COLUMN())=0,1,INDEX(MO_SPT_FXAverage,1,COLUMN()))</f>
        <v>1</v>
      </c>
      <c r="AJ891" s="410">
        <f t="shared" ca="1" si="1211"/>
        <v>1</v>
      </c>
      <c r="AK891" s="411">
        <f t="shared" ca="1" si="1211"/>
        <v>1</v>
      </c>
      <c r="AL891" s="411">
        <f t="shared" ca="1" si="1211"/>
        <v>1</v>
      </c>
      <c r="AM891" s="411">
        <f t="shared" ca="1" si="1211"/>
        <v>1</v>
      </c>
      <c r="AN891" s="411">
        <f t="shared" ca="1" si="1211"/>
        <v>1</v>
      </c>
      <c r="AO891" s="410">
        <f t="shared" ca="1" si="1211"/>
        <v>1</v>
      </c>
      <c r="AP891" s="411">
        <f t="shared" ca="1" si="1211"/>
        <v>1</v>
      </c>
      <c r="AQ891" s="411">
        <f t="shared" ca="1" si="1211"/>
        <v>1</v>
      </c>
      <c r="AR891" s="411">
        <f ca="1">IF(INDEX(MO_SPT_FXAverage,1,COLUMN())=0,1,INDEX(MO_SPT_FXAverage,1,COLUMN()))</f>
        <v>1</v>
      </c>
      <c r="AS891" s="411">
        <f ca="1">IF(INDEX(MO_SPT_FXAverage,1,COLUMN())=0,1,INDEX(MO_SPT_FXAverage,1,COLUMN()))</f>
        <v>1</v>
      </c>
      <c r="AT891" s="410">
        <f ca="1">IF(INDEX(MO_SPT_FXAverage,1,COLUMN())=0,1,INDEX(MO_SPT_FXAverage,1,COLUMN()))</f>
        <v>1</v>
      </c>
      <c r="AU891" s="826">
        <f t="shared" ca="1" si="1211"/>
        <v>1</v>
      </c>
      <c r="AV891" s="411">
        <f t="shared" ca="1" si="1211"/>
        <v>1</v>
      </c>
      <c r="AW891" s="411">
        <f t="shared" ca="1" si="1211"/>
        <v>1</v>
      </c>
      <c r="AX891" s="411">
        <f t="shared" ca="1" si="1211"/>
        <v>1</v>
      </c>
      <c r="AY891" s="412">
        <f t="shared" ca="1" si="1211"/>
        <v>1</v>
      </c>
      <c r="AZ891" s="411">
        <f t="shared" ref="AZ891:BG891" ca="1" si="1212">IF(INDEX(MO_SPT_FXAverage,1,COLUMN())=0,1,INDEX(MO_SPT_FXAverage,1,COLUMN()))</f>
        <v>1</v>
      </c>
      <c r="BA891" s="411">
        <f t="shared" ca="1" si="1212"/>
        <v>1</v>
      </c>
      <c r="BB891" s="411">
        <f t="shared" ca="1" si="1212"/>
        <v>1</v>
      </c>
      <c r="BC891" s="411">
        <f t="shared" ca="1" si="1212"/>
        <v>1</v>
      </c>
      <c r="BD891" s="412">
        <f t="shared" ca="1" si="1212"/>
        <v>1</v>
      </c>
      <c r="BE891" s="412">
        <f t="shared" ca="1" si="1212"/>
        <v>1</v>
      </c>
      <c r="BF891" s="412">
        <f t="shared" ca="1" si="1212"/>
        <v>1</v>
      </c>
      <c r="BG891" s="412">
        <f t="shared" ca="1" si="1212"/>
        <v>1</v>
      </c>
      <c r="BH891" s="402"/>
    </row>
    <row r="892" spans="1:60" s="399" customFormat="1" hidden="1" outlineLevel="1" x14ac:dyDescent="0.35">
      <c r="A892" s="405" t="str">
        <f ca="1">"Stock Price (Trading Cur.) - "&amp;MO.ValuationToggle&amp;", "&amp;HP.TradeCurrency</f>
        <v>Stock Price (Trading Cur.) - Avg, USD</v>
      </c>
      <c r="B892" s="712"/>
      <c r="C892" s="406">
        <f t="shared" ref="C892:AH892" ca="1" si="1213">IF(INDEX(MO_SNA_IsHistoricalPeriod,1,COLUMN())=FALSE,MO.LastPrice,CHOOSE(VLOOKUP(MO.ValuationToggle,tb_ValuationToggle,COLUMNS(tb_ValuationToggle),FALSE),C888,C889,C890))</f>
        <v>62.576250000000002</v>
      </c>
      <c r="D892" s="406">
        <f t="shared" ca="1" si="1213"/>
        <v>82.603750000000005</v>
      </c>
      <c r="E892" s="406">
        <f t="shared" ca="1" si="1213"/>
        <v>86.194999999999993</v>
      </c>
      <c r="F892" s="406">
        <f t="shared" ca="1" si="1213"/>
        <v>88.31</v>
      </c>
      <c r="G892" s="407">
        <f t="shared" ca="1" si="1213"/>
        <v>100.42</v>
      </c>
      <c r="H892" s="407">
        <f t="shared" ca="1" si="1213"/>
        <v>108.07</v>
      </c>
      <c r="I892" s="407">
        <f t="shared" ca="1" si="1213"/>
        <v>115.24</v>
      </c>
      <c r="J892" s="407">
        <f t="shared" ca="1" si="1213"/>
        <v>128.54</v>
      </c>
      <c r="K892" s="406">
        <f t="shared" ca="1" si="1213"/>
        <v>113.0675</v>
      </c>
      <c r="L892" s="407">
        <f t="shared" ca="1" si="1213"/>
        <v>131.44999999999999</v>
      </c>
      <c r="M892" s="407">
        <f t="shared" ca="1" si="1213"/>
        <v>138.77500000000001</v>
      </c>
      <c r="N892" s="407">
        <f t="shared" ca="1" si="1213"/>
        <v>143.15</v>
      </c>
      <c r="O892" s="407">
        <f t="shared" ca="1" si="1213"/>
        <v>149.38</v>
      </c>
      <c r="P892" s="406">
        <f t="shared" ca="1" si="1213"/>
        <v>140.68875</v>
      </c>
      <c r="Q892" s="407">
        <f t="shared" ca="1" si="1213"/>
        <v>164.12</v>
      </c>
      <c r="R892" s="407">
        <f t="shared" ca="1" si="1213"/>
        <v>160.81</v>
      </c>
      <c r="S892" s="407">
        <f t="shared" ca="1" si="1213"/>
        <v>145.97</v>
      </c>
      <c r="T892" s="407">
        <f t="shared" ca="1" si="1213"/>
        <v>149.33000000000001</v>
      </c>
      <c r="U892" s="406">
        <f t="shared" ca="1" si="1213"/>
        <v>155.0575</v>
      </c>
      <c r="V892" s="407">
        <f t="shared" ca="1" si="1213"/>
        <v>151.07</v>
      </c>
      <c r="W892" s="407">
        <f t="shared" ca="1" si="1213"/>
        <v>169.155</v>
      </c>
      <c r="X892" s="407">
        <f t="shared" ca="1" si="1213"/>
        <v>177.89</v>
      </c>
      <c r="Y892" s="407">
        <f t="shared" ca="1" si="1213"/>
        <v>171.95500000000001</v>
      </c>
      <c r="Z892" s="406">
        <f t="shared" ca="1" si="1213"/>
        <v>167.51750000000001</v>
      </c>
      <c r="AA892" s="407">
        <f t="shared" ca="1" si="1213"/>
        <v>183.52500000000001</v>
      </c>
      <c r="AB892" s="407">
        <f t="shared" ca="1" si="1213"/>
        <v>201.595</v>
      </c>
      <c r="AC892" s="407">
        <f t="shared" ca="1" si="1213"/>
        <v>205.91</v>
      </c>
      <c r="AD892" s="407">
        <f t="shared" ca="1" si="1213"/>
        <v>227.13</v>
      </c>
      <c r="AE892" s="406">
        <f t="shared" ca="1" si="1213"/>
        <v>204.54</v>
      </c>
      <c r="AF892" s="407">
        <f t="shared" ca="1" si="1213"/>
        <v>231.51747540983601</v>
      </c>
      <c r="AG892" s="407">
        <f t="shared" ca="1" si="1213"/>
        <v>200.653146875</v>
      </c>
      <c r="AH892" s="407">
        <f t="shared" ca="1" si="1213"/>
        <v>203.823425396825</v>
      </c>
      <c r="AI892" s="407">
        <f t="shared" ref="AI892:AY892" ca="1" si="1214">IF(INDEX(MO_SNA_IsHistoricalPeriod,1,COLUMN())=FALSE,MO.LastPrice,CHOOSE(VLOOKUP(MO.ValuationToggle,tb_ValuationToggle,COLUMNS(tb_ValuationToggle),FALSE),AI888,AI889,AI890))</f>
        <v>197.73132539682501</v>
      </c>
      <c r="AJ892" s="406">
        <f t="shared" ca="1" si="1214"/>
        <v>208.21640119521899</v>
      </c>
      <c r="AK892" s="407">
        <f t="shared" ca="1" si="1214"/>
        <v>201.351803278689</v>
      </c>
      <c r="AL892" s="407">
        <f t="shared" ca="1" si="1214"/>
        <v>184.10777777777801</v>
      </c>
      <c r="AM892" s="407">
        <f t="shared" ca="1" si="1214"/>
        <v>167.20515624999999</v>
      </c>
      <c r="AN892" s="407">
        <f t="shared" ca="1" si="1214"/>
        <v>167.51249999999999</v>
      </c>
      <c r="AO892" s="406">
        <f t="shared" ca="1" si="1214"/>
        <v>179.774523809524</v>
      </c>
      <c r="AP892" s="407">
        <f t="shared" ca="1" si="1214"/>
        <v>157.336935483871</v>
      </c>
      <c r="AQ892" s="407">
        <f t="shared" ca="1" si="1214"/>
        <v>150.70222222222199</v>
      </c>
      <c r="AR892" s="407">
        <f ca="1">IF(INDEX(MO_SNA_IsHistoricalPeriod,1,COLUMN())=FALSE,MO.LastPrice,CHOOSE(VLOOKUP(MO.ValuationToggle,tb_ValuationToggle,COLUMNS(tb_ValuationToggle),FALSE),AR888,AR889,AR890))</f>
        <v>160.8853125</v>
      </c>
      <c r="AS892" s="407">
        <f ca="1">IF(INDEX(MO_SNA_IsHistoricalPeriod,1,COLUMN())=FALSE,MO.LastPrice,CHOOSE(VLOOKUP(MO.ValuationToggle,tb_ValuationToggle,COLUMNS(tb_ValuationToggle),FALSE),AS888,AS889,AS890))</f>
        <v>169.76921874999999</v>
      </c>
      <c r="AT892" s="406">
        <f ca="1">IF(INDEX(MO_SNA_IsHistoricalPeriod,1,COLUMN())=FALSE,MO.LastPrice,CHOOSE(VLOOKUP(MO.ValuationToggle,tb_ValuationToggle,COLUMNS(tb_ValuationToggle),FALSE),AT888,AT889,AT890))</f>
        <v>159.72735177865599</v>
      </c>
      <c r="AU892" s="825">
        <f t="shared" ref="AU892" ca="1" si="1215">IF(INDEX(MO_SNA_IsHistoricalPeriod,1,COLUMN())=FALSE,MO.LastPrice,CHOOSE(VLOOKUP(MO.ValuationToggle,tb_ValuationToggle,COLUMNS(tb_ValuationToggle),FALSE),AU888,AU889,AU890))</f>
        <v>179.029672131148</v>
      </c>
      <c r="AV892" s="407">
        <f t="shared" ca="1" si="1214"/>
        <v>195.93</v>
      </c>
      <c r="AW892" s="407">
        <f t="shared" ca="1" si="1214"/>
        <v>195.93</v>
      </c>
      <c r="AX892" s="407">
        <f t="shared" ca="1" si="1214"/>
        <v>195.93</v>
      </c>
      <c r="AY892" s="408">
        <f t="shared" ca="1" si="1214"/>
        <v>195.93</v>
      </c>
      <c r="AZ892" s="407">
        <f t="shared" ref="AZ892:BG892" ca="1" si="1216">IF(INDEX(MO_SNA_IsHistoricalPeriod,1,COLUMN())=FALSE,MO.LastPrice,CHOOSE(VLOOKUP(MO.ValuationToggle,tb_ValuationToggle,COLUMNS(tb_ValuationToggle),FALSE),AZ888,AZ889,AZ890))</f>
        <v>195.93</v>
      </c>
      <c r="BA892" s="407">
        <f t="shared" ca="1" si="1216"/>
        <v>195.93</v>
      </c>
      <c r="BB892" s="407">
        <f t="shared" ca="1" si="1216"/>
        <v>195.93</v>
      </c>
      <c r="BC892" s="407">
        <f t="shared" ca="1" si="1216"/>
        <v>195.93</v>
      </c>
      <c r="BD892" s="408">
        <f t="shared" ca="1" si="1216"/>
        <v>195.93</v>
      </c>
      <c r="BE892" s="408">
        <f t="shared" ca="1" si="1216"/>
        <v>195.93</v>
      </c>
      <c r="BF892" s="408">
        <f t="shared" ca="1" si="1216"/>
        <v>195.93</v>
      </c>
      <c r="BG892" s="408">
        <f t="shared" ca="1" si="1216"/>
        <v>195.93</v>
      </c>
      <c r="BH892" s="347"/>
    </row>
    <row r="893" spans="1:60" s="48" customFormat="1" hidden="1" outlineLevel="1" x14ac:dyDescent="0.35">
      <c r="A893" s="430"/>
      <c r="B893" s="253"/>
      <c r="C893" s="876"/>
      <c r="D893" s="876"/>
      <c r="E893" s="876"/>
      <c r="F893" s="876"/>
      <c r="G893" s="877"/>
      <c r="H893" s="877"/>
      <c r="I893" s="877"/>
      <c r="J893" s="877"/>
      <c r="K893" s="876"/>
      <c r="L893" s="877"/>
      <c r="M893" s="877"/>
      <c r="N893" s="877"/>
      <c r="O893" s="877"/>
      <c r="P893" s="876"/>
      <c r="Q893" s="877"/>
      <c r="R893" s="877"/>
      <c r="S893" s="877"/>
      <c r="T893" s="877"/>
      <c r="U893" s="876"/>
      <c r="V893" s="877"/>
      <c r="W893" s="877"/>
      <c r="X893" s="877"/>
      <c r="Y893" s="877"/>
      <c r="Z893" s="876"/>
      <c r="AA893" s="877"/>
      <c r="AB893" s="877"/>
      <c r="AC893" s="877"/>
      <c r="AD893" s="877"/>
      <c r="AE893" s="876"/>
      <c r="AF893" s="877"/>
      <c r="AG893" s="877"/>
      <c r="AH893" s="877"/>
      <c r="AI893" s="877"/>
      <c r="AJ893" s="876"/>
      <c r="AK893" s="877"/>
      <c r="AL893" s="877"/>
      <c r="AM893" s="877"/>
      <c r="AN893" s="877"/>
      <c r="AO893" s="876"/>
      <c r="AP893" s="877"/>
      <c r="AQ893" s="877"/>
      <c r="AR893" s="877"/>
      <c r="AS893" s="877"/>
      <c r="AT893" s="876"/>
      <c r="AU893" s="878"/>
      <c r="AV893" s="877"/>
      <c r="AW893" s="877"/>
      <c r="AX893" s="877"/>
      <c r="AY893" s="876"/>
      <c r="AZ893" s="877"/>
      <c r="BA893" s="877"/>
      <c r="BB893" s="877"/>
      <c r="BC893" s="877"/>
      <c r="BD893" s="876"/>
      <c r="BE893" s="876"/>
      <c r="BF893" s="876"/>
      <c r="BG893" s="876"/>
      <c r="BH893" s="749"/>
    </row>
    <row r="894" spans="1:60" s="21" customFormat="1" hidden="1" outlineLevel="1" x14ac:dyDescent="0.35">
      <c r="A894" s="100" t="s">
        <v>110</v>
      </c>
      <c r="B894" s="429"/>
      <c r="C894" s="879"/>
      <c r="D894" s="879"/>
      <c r="E894" s="879"/>
      <c r="F894" s="879"/>
      <c r="G894" s="880"/>
      <c r="H894" s="880"/>
      <c r="I894" s="880"/>
      <c r="J894" s="880"/>
      <c r="K894" s="879"/>
      <c r="L894" s="880"/>
      <c r="M894" s="880"/>
      <c r="N894" s="880"/>
      <c r="O894" s="880"/>
      <c r="P894" s="879"/>
      <c r="Q894" s="880"/>
      <c r="R894" s="880"/>
      <c r="S894" s="880"/>
      <c r="T894" s="880"/>
      <c r="U894" s="879"/>
      <c r="V894" s="880"/>
      <c r="W894" s="880"/>
      <c r="X894" s="880"/>
      <c r="Y894" s="880"/>
      <c r="Z894" s="879"/>
      <c r="AA894" s="880"/>
      <c r="AB894" s="880"/>
      <c r="AC894" s="880"/>
      <c r="AD894" s="880"/>
      <c r="AE894" s="879"/>
      <c r="AF894" s="880"/>
      <c r="AG894" s="880"/>
      <c r="AH894" s="880"/>
      <c r="AI894" s="880"/>
      <c r="AJ894" s="879"/>
      <c r="AK894" s="880"/>
      <c r="AL894" s="880"/>
      <c r="AM894" s="880"/>
      <c r="AN894" s="880"/>
      <c r="AO894" s="879"/>
      <c r="AP894" s="880"/>
      <c r="AQ894" s="880"/>
      <c r="AR894" s="880"/>
      <c r="AS894" s="880"/>
      <c r="AT894" s="879"/>
      <c r="AU894" s="881"/>
      <c r="AV894" s="880"/>
      <c r="AW894" s="880"/>
      <c r="AX894" s="880"/>
      <c r="AY894" s="879"/>
      <c r="AZ894" s="880"/>
      <c r="BA894" s="880"/>
      <c r="BB894" s="880"/>
      <c r="BC894" s="880"/>
      <c r="BD894" s="879"/>
      <c r="BE894" s="879"/>
      <c r="BF894" s="879"/>
      <c r="BG894" s="879"/>
      <c r="BH894" s="651"/>
    </row>
    <row r="895" spans="1:60" s="60" customFormat="1" hidden="1" outlineLevel="1" x14ac:dyDescent="0.35">
      <c r="A895" s="161" t="s">
        <v>111</v>
      </c>
      <c r="B895" s="317"/>
      <c r="C895" s="46">
        <f t="shared" ref="C895:AH895" si="1217">C1083</f>
        <v>538</v>
      </c>
      <c r="D895" s="46">
        <f t="shared" si="1217"/>
        <v>354</v>
      </c>
      <c r="E895" s="46">
        <f t="shared" si="1217"/>
        <v>442</v>
      </c>
      <c r="F895" s="46">
        <f t="shared" si="1217"/>
        <v>465</v>
      </c>
      <c r="G895" s="351">
        <f t="shared" si="1217"/>
        <v>446</v>
      </c>
      <c r="H895" s="351">
        <f t="shared" si="1217"/>
        <v>443</v>
      </c>
      <c r="I895" s="351">
        <f t="shared" si="1217"/>
        <v>456</v>
      </c>
      <c r="J895" s="351">
        <f t="shared" si="1217"/>
        <v>446</v>
      </c>
      <c r="K895" s="46">
        <f t="shared" si="1217"/>
        <v>446</v>
      </c>
      <c r="L895" s="351">
        <f t="shared" si="1217"/>
        <v>476</v>
      </c>
      <c r="M895" s="351">
        <f t="shared" si="1217"/>
        <v>492</v>
      </c>
      <c r="N895" s="351">
        <f t="shared" si="1217"/>
        <v>33</v>
      </c>
      <c r="O895" s="351">
        <f t="shared" si="1217"/>
        <v>33</v>
      </c>
      <c r="P895" s="46">
        <f t="shared" si="1217"/>
        <v>33</v>
      </c>
      <c r="Q895" s="351">
        <f t="shared" si="1217"/>
        <v>35</v>
      </c>
      <c r="R895" s="351">
        <f t="shared" si="1217"/>
        <v>37</v>
      </c>
      <c r="S895" s="351">
        <f t="shared" si="1217"/>
        <v>38</v>
      </c>
      <c r="T895" s="351">
        <f t="shared" si="1217"/>
        <v>39</v>
      </c>
      <c r="U895" s="46">
        <f t="shared" si="1217"/>
        <v>39</v>
      </c>
      <c r="V895" s="351">
        <f t="shared" si="1217"/>
        <v>41</v>
      </c>
      <c r="W895" s="351">
        <f t="shared" si="1217"/>
        <v>43</v>
      </c>
      <c r="X895" s="351">
        <f t="shared" si="1217"/>
        <v>46</v>
      </c>
      <c r="Y895" s="351">
        <f t="shared" si="1217"/>
        <v>45</v>
      </c>
      <c r="Z895" s="46">
        <f t="shared" si="1217"/>
        <v>45</v>
      </c>
      <c r="AA895" s="351">
        <f t="shared" si="1217"/>
        <v>51</v>
      </c>
      <c r="AB895" s="351">
        <f t="shared" si="1217"/>
        <v>53</v>
      </c>
      <c r="AC895" s="351">
        <f t="shared" si="1217"/>
        <v>56</v>
      </c>
      <c r="AD895" s="351">
        <f t="shared" si="1217"/>
        <v>59</v>
      </c>
      <c r="AE895" s="46">
        <f t="shared" si="1217"/>
        <v>59</v>
      </c>
      <c r="AF895" s="351">
        <f t="shared" si="1217"/>
        <v>62</v>
      </c>
      <c r="AG895" s="351">
        <f t="shared" si="1217"/>
        <v>63</v>
      </c>
      <c r="AH895" s="351">
        <f t="shared" si="1217"/>
        <v>63</v>
      </c>
      <c r="AI895" s="351">
        <f t="shared" ref="AI895:AY895" si="1218">AI1083</f>
        <v>52</v>
      </c>
      <c r="AJ895" s="46">
        <f t="shared" si="1218"/>
        <v>52</v>
      </c>
      <c r="AK895" s="351">
        <f t="shared" si="1218"/>
        <v>54</v>
      </c>
      <c r="AL895" s="351">
        <f t="shared" si="1218"/>
        <v>59</v>
      </c>
      <c r="AM895" s="351">
        <f t="shared" si="1218"/>
        <v>62</v>
      </c>
      <c r="AN895" s="351">
        <f t="shared" si="1218"/>
        <v>63</v>
      </c>
      <c r="AO895" s="46">
        <f t="shared" si="1218"/>
        <v>63</v>
      </c>
      <c r="AP895" s="351">
        <f t="shared" si="1218"/>
        <v>62</v>
      </c>
      <c r="AQ895" s="351">
        <f t="shared" si="1218"/>
        <v>58</v>
      </c>
      <c r="AR895" s="351">
        <f>AR1083</f>
        <v>63</v>
      </c>
      <c r="AS895" s="351">
        <f>AS1083</f>
        <v>63</v>
      </c>
      <c r="AT895" s="46">
        <f>AT1083</f>
        <v>64</v>
      </c>
      <c r="AU895" s="805">
        <f t="shared" ref="AU895" si="1219">AU1083</f>
        <v>68</v>
      </c>
      <c r="AV895" s="203">
        <f t="shared" si="1218"/>
        <v>68</v>
      </c>
      <c r="AW895" s="203">
        <f t="shared" si="1218"/>
        <v>68</v>
      </c>
      <c r="AX895" s="203">
        <f t="shared" si="1218"/>
        <v>68</v>
      </c>
      <c r="AY895" s="108">
        <f t="shared" si="1218"/>
        <v>68</v>
      </c>
      <c r="AZ895" s="203">
        <f t="shared" ref="AZ895:BG895" si="1220">AZ1083</f>
        <v>68</v>
      </c>
      <c r="BA895" s="203">
        <f t="shared" si="1220"/>
        <v>68</v>
      </c>
      <c r="BB895" s="203">
        <f t="shared" si="1220"/>
        <v>68</v>
      </c>
      <c r="BC895" s="203">
        <f t="shared" si="1220"/>
        <v>68</v>
      </c>
      <c r="BD895" s="108">
        <f t="shared" si="1220"/>
        <v>68</v>
      </c>
      <c r="BE895" s="108">
        <f t="shared" si="1220"/>
        <v>68</v>
      </c>
      <c r="BF895" s="108">
        <f t="shared" si="1220"/>
        <v>68</v>
      </c>
      <c r="BG895" s="108">
        <f t="shared" si="1220"/>
        <v>68</v>
      </c>
      <c r="BH895" s="351"/>
    </row>
    <row r="896" spans="1:60" s="60" customFormat="1" hidden="1" outlineLevel="1" x14ac:dyDescent="0.35">
      <c r="A896" s="161" t="s">
        <v>112</v>
      </c>
      <c r="B896" s="317"/>
      <c r="C896" s="108"/>
      <c r="D896" s="108"/>
      <c r="E896" s="108"/>
      <c r="F896" s="108"/>
      <c r="G896" s="203"/>
      <c r="H896" s="203"/>
      <c r="I896" s="203"/>
      <c r="J896" s="203"/>
      <c r="K896" s="108"/>
      <c r="L896" s="203"/>
      <c r="M896" s="203"/>
      <c r="N896" s="203"/>
      <c r="O896" s="203"/>
      <c r="P896" s="108"/>
      <c r="Q896" s="203"/>
      <c r="R896" s="203"/>
      <c r="S896" s="203"/>
      <c r="T896" s="203"/>
      <c r="U896" s="108"/>
      <c r="V896" s="203"/>
      <c r="W896" s="203"/>
      <c r="X896" s="203"/>
      <c r="Y896" s="203"/>
      <c r="Z896" s="108"/>
      <c r="AA896" s="203"/>
      <c r="AB896" s="203"/>
      <c r="AC896" s="203"/>
      <c r="AD896" s="203"/>
      <c r="AE896" s="108"/>
      <c r="AF896" s="203"/>
      <c r="AG896" s="203"/>
      <c r="AH896" s="203"/>
      <c r="AI896" s="203"/>
      <c r="AJ896" s="108"/>
      <c r="AK896" s="203"/>
      <c r="AL896" s="203"/>
      <c r="AM896" s="203"/>
      <c r="AN896" s="203"/>
      <c r="AO896" s="108"/>
      <c r="AP896" s="203"/>
      <c r="AQ896" s="203"/>
      <c r="AR896" s="203"/>
      <c r="AS896" s="203"/>
      <c r="AT896" s="108"/>
      <c r="AU896" s="790"/>
      <c r="AV896" s="203"/>
      <c r="AW896" s="203"/>
      <c r="AX896" s="203"/>
      <c r="AY896" s="108"/>
      <c r="AZ896" s="203"/>
      <c r="BA896" s="203"/>
      <c r="BB896" s="203"/>
      <c r="BC896" s="203"/>
      <c r="BD896" s="108"/>
      <c r="BE896" s="108"/>
      <c r="BF896" s="108"/>
      <c r="BG896" s="108"/>
      <c r="BH896" s="351"/>
    </row>
    <row r="897" spans="1:60" s="60" customFormat="1" hidden="1" outlineLevel="1" x14ac:dyDescent="0.35">
      <c r="A897" s="161" t="s">
        <v>113</v>
      </c>
      <c r="B897" s="317"/>
      <c r="C897" s="46">
        <f t="shared" ref="C897:AH897" si="1221">+C1070</f>
        <v>2227</v>
      </c>
      <c r="D897" s="46">
        <f t="shared" si="1221"/>
        <v>2013</v>
      </c>
      <c r="E897" s="46">
        <f t="shared" si="1221"/>
        <v>3972</v>
      </c>
      <c r="F897" s="46">
        <f t="shared" si="1221"/>
        <v>3086</v>
      </c>
      <c r="G897" s="351">
        <f t="shared" si="1221"/>
        <v>3014</v>
      </c>
      <c r="H897" s="351">
        <f t="shared" si="1221"/>
        <v>2909</v>
      </c>
      <c r="I897" s="351">
        <f t="shared" si="1221"/>
        <v>2694</v>
      </c>
      <c r="J897" s="351">
        <f t="shared" si="1221"/>
        <v>1794</v>
      </c>
      <c r="K897" s="46">
        <f t="shared" si="1221"/>
        <v>1794</v>
      </c>
      <c r="L897" s="351">
        <f t="shared" si="1221"/>
        <v>1809</v>
      </c>
      <c r="M897" s="351">
        <f t="shared" si="1221"/>
        <v>1829</v>
      </c>
      <c r="N897" s="351">
        <f t="shared" si="1221"/>
        <v>1849</v>
      </c>
      <c r="O897" s="351">
        <f t="shared" si="1221"/>
        <v>3843</v>
      </c>
      <c r="P897" s="46">
        <f t="shared" si="1221"/>
        <v>3843</v>
      </c>
      <c r="Q897" s="351">
        <f t="shared" si="1221"/>
        <v>3764</v>
      </c>
      <c r="R897" s="351">
        <f t="shared" si="1221"/>
        <v>3683</v>
      </c>
      <c r="S897" s="351">
        <f t="shared" si="1221"/>
        <v>3462</v>
      </c>
      <c r="T897" s="351">
        <f t="shared" si="1221"/>
        <v>3520</v>
      </c>
      <c r="U897" s="46">
        <f t="shared" si="1221"/>
        <v>3520</v>
      </c>
      <c r="V897" s="351">
        <f t="shared" si="1221"/>
        <v>3454</v>
      </c>
      <c r="W897" s="351">
        <f t="shared" si="1221"/>
        <v>3418</v>
      </c>
      <c r="X897" s="351">
        <f t="shared" si="1221"/>
        <v>3179</v>
      </c>
      <c r="Y897" s="351">
        <f t="shared" si="1221"/>
        <v>4018</v>
      </c>
      <c r="Z897" s="46">
        <f t="shared" si="1221"/>
        <v>4018</v>
      </c>
      <c r="AA897" s="351">
        <f t="shared" si="1221"/>
        <v>3764</v>
      </c>
      <c r="AB897" s="351">
        <f t="shared" si="1221"/>
        <v>3761</v>
      </c>
      <c r="AC897" s="351">
        <f t="shared" si="1221"/>
        <v>3748</v>
      </c>
      <c r="AD897" s="351">
        <f t="shared" si="1221"/>
        <v>3620</v>
      </c>
      <c r="AE897" s="46">
        <f t="shared" si="1221"/>
        <v>3620</v>
      </c>
      <c r="AF897" s="351">
        <f t="shared" si="1221"/>
        <v>3381</v>
      </c>
      <c r="AG897" s="351">
        <f t="shared" si="1221"/>
        <v>3254</v>
      </c>
      <c r="AH897" s="351">
        <f t="shared" si="1221"/>
        <v>3183</v>
      </c>
      <c r="AI897" s="351">
        <f t="shared" ref="AI897:AY897" si="1222">+AI1070</f>
        <v>2987</v>
      </c>
      <c r="AJ897" s="46">
        <f t="shared" si="1222"/>
        <v>2987</v>
      </c>
      <c r="AK897" s="351">
        <f t="shared" si="1222"/>
        <v>2919</v>
      </c>
      <c r="AL897" s="351">
        <f t="shared" si="1222"/>
        <v>2761</v>
      </c>
      <c r="AM897" s="351">
        <f t="shared" si="1222"/>
        <v>2667</v>
      </c>
      <c r="AN897" s="351">
        <f t="shared" si="1222"/>
        <v>3911</v>
      </c>
      <c r="AO897" s="46">
        <f t="shared" si="1222"/>
        <v>3911</v>
      </c>
      <c r="AP897" s="351">
        <f t="shared" si="1222"/>
        <v>3794</v>
      </c>
      <c r="AQ897" s="351">
        <f t="shared" si="1222"/>
        <v>3724</v>
      </c>
      <c r="AR897" s="351">
        <f>+AR1070</f>
        <v>3679</v>
      </c>
      <c r="AS897" s="351">
        <f>+AS1070</f>
        <v>4405</v>
      </c>
      <c r="AT897" s="46">
        <f>+AT1070</f>
        <v>4405</v>
      </c>
      <c r="AU897" s="805">
        <f t="shared" ref="AU897" si="1223">+AU1070</f>
        <v>4231</v>
      </c>
      <c r="AV897" s="351">
        <f t="shared" si="1222"/>
        <v>4231</v>
      </c>
      <c r="AW897" s="351">
        <f t="shared" si="1222"/>
        <v>4231</v>
      </c>
      <c r="AX897" s="351">
        <f t="shared" si="1222"/>
        <v>4231</v>
      </c>
      <c r="AY897" s="46">
        <f t="shared" si="1222"/>
        <v>4231</v>
      </c>
      <c r="AZ897" s="351">
        <f t="shared" ref="AZ897:BG897" si="1224">+AZ1070</f>
        <v>4231</v>
      </c>
      <c r="BA897" s="351">
        <f t="shared" si="1224"/>
        <v>4231</v>
      </c>
      <c r="BB897" s="351">
        <f t="shared" si="1224"/>
        <v>4231</v>
      </c>
      <c r="BC897" s="351">
        <f t="shared" si="1224"/>
        <v>4231</v>
      </c>
      <c r="BD897" s="46">
        <f t="shared" si="1224"/>
        <v>4231</v>
      </c>
      <c r="BE897" s="46">
        <f t="shared" si="1224"/>
        <v>4231</v>
      </c>
      <c r="BF897" s="46">
        <f t="shared" si="1224"/>
        <v>4231</v>
      </c>
      <c r="BG897" s="46">
        <f t="shared" si="1224"/>
        <v>4231</v>
      </c>
      <c r="BH897" s="351"/>
    </row>
    <row r="898" spans="1:60" s="48" customFormat="1" collapsed="1" x14ac:dyDescent="0.35">
      <c r="A898" s="714"/>
      <c r="B898" s="253"/>
      <c r="C898" s="876"/>
      <c r="D898" s="876"/>
      <c r="E898" s="876"/>
      <c r="F898" s="876"/>
      <c r="G898" s="877"/>
      <c r="H898" s="877"/>
      <c r="I898" s="877"/>
      <c r="J898" s="877"/>
      <c r="K898" s="876"/>
      <c r="L898" s="877"/>
      <c r="M898" s="877"/>
      <c r="N898" s="877"/>
      <c r="O898" s="877"/>
      <c r="P898" s="876"/>
      <c r="Q898" s="877"/>
      <c r="R898" s="877"/>
      <c r="S898" s="877"/>
      <c r="T898" s="877"/>
      <c r="U898" s="876"/>
      <c r="V898" s="877"/>
      <c r="W898" s="877"/>
      <c r="X898" s="877"/>
      <c r="Y898" s="877"/>
      <c r="Z898" s="876"/>
      <c r="AA898" s="877"/>
      <c r="AB898" s="877"/>
      <c r="AC898" s="877"/>
      <c r="AD898" s="877"/>
      <c r="AE898" s="876"/>
      <c r="AF898" s="877"/>
      <c r="AG898" s="877"/>
      <c r="AH898" s="877"/>
      <c r="AI898" s="877"/>
      <c r="AJ898" s="876"/>
      <c r="AK898" s="877"/>
      <c r="AL898" s="877"/>
      <c r="AM898" s="877"/>
      <c r="AN898" s="877"/>
      <c r="AO898" s="876"/>
      <c r="AP898" s="877"/>
      <c r="AQ898" s="877"/>
      <c r="AR898" s="877"/>
      <c r="AS898" s="877"/>
      <c r="AT898" s="876"/>
      <c r="AU898" s="878"/>
      <c r="AV898" s="877"/>
      <c r="AW898" s="877"/>
      <c r="AX898" s="877"/>
      <c r="AY898" s="876"/>
      <c r="AZ898" s="877"/>
      <c r="BA898" s="877"/>
      <c r="BB898" s="877"/>
      <c r="BC898" s="877"/>
      <c r="BD898" s="876"/>
      <c r="BE898" s="876"/>
      <c r="BF898" s="876"/>
      <c r="BG898" s="876"/>
      <c r="BH898" s="749"/>
    </row>
    <row r="899" spans="1:60" s="21" customFormat="1" x14ac:dyDescent="0.35">
      <c r="A899" s="746" t="s">
        <v>114</v>
      </c>
      <c r="B899" s="746"/>
      <c r="C899" s="874"/>
      <c r="D899" s="874"/>
      <c r="E899" s="874"/>
      <c r="F899" s="874"/>
      <c r="G899" s="874"/>
      <c r="H899" s="874"/>
      <c r="I899" s="874"/>
      <c r="J899" s="874"/>
      <c r="K899" s="874"/>
      <c r="L899" s="874"/>
      <c r="M899" s="874"/>
      <c r="N899" s="874"/>
      <c r="O899" s="874"/>
      <c r="P899" s="874"/>
      <c r="Q899" s="874"/>
      <c r="R899" s="874"/>
      <c r="S899" s="874"/>
      <c r="T899" s="874"/>
      <c r="U899" s="874"/>
      <c r="V899" s="874"/>
      <c r="W899" s="874"/>
      <c r="X899" s="874"/>
      <c r="Y899" s="874"/>
      <c r="Z899" s="874"/>
      <c r="AA899" s="874"/>
      <c r="AB899" s="874"/>
      <c r="AC899" s="874"/>
      <c r="AD899" s="874"/>
      <c r="AE899" s="874"/>
      <c r="AF899" s="874"/>
      <c r="AG899" s="874"/>
      <c r="AH899" s="874"/>
      <c r="AI899" s="874"/>
      <c r="AJ899" s="874"/>
      <c r="AK899" s="874"/>
      <c r="AL899" s="874"/>
      <c r="AM899" s="874"/>
      <c r="AN899" s="874"/>
      <c r="AO899" s="874"/>
      <c r="AP899" s="874"/>
      <c r="AQ899" s="874"/>
      <c r="AR899" s="874"/>
      <c r="AS899" s="874"/>
      <c r="AT899" s="874"/>
      <c r="AU899" s="875"/>
      <c r="AV899" s="874"/>
      <c r="AW899" s="874"/>
      <c r="AX899" s="874"/>
      <c r="AY899" s="874"/>
      <c r="AZ899" s="874"/>
      <c r="BA899" s="874"/>
      <c r="BB899" s="874"/>
      <c r="BC899" s="874"/>
      <c r="BD899" s="874"/>
      <c r="BE899" s="874"/>
      <c r="BF899" s="874"/>
      <c r="BG899" s="874"/>
      <c r="BH899" s="651"/>
    </row>
    <row r="900" spans="1:60" s="21" customFormat="1" hidden="1" outlineLevel="1" x14ac:dyDescent="0.35">
      <c r="A900" s="93" t="s">
        <v>115</v>
      </c>
      <c r="B900" s="429"/>
      <c r="C900" s="879"/>
      <c r="D900" s="879"/>
      <c r="E900" s="879"/>
      <c r="F900" s="879"/>
      <c r="G900" s="880"/>
      <c r="H900" s="880"/>
      <c r="I900" s="880"/>
      <c r="J900" s="880"/>
      <c r="K900" s="879"/>
      <c r="L900" s="880"/>
      <c r="M900" s="880"/>
      <c r="N900" s="880"/>
      <c r="O900" s="880"/>
      <c r="P900" s="879"/>
      <c r="Q900" s="880"/>
      <c r="R900" s="880"/>
      <c r="S900" s="880"/>
      <c r="T900" s="880"/>
      <c r="U900" s="879"/>
      <c r="V900" s="880"/>
      <c r="W900" s="880"/>
      <c r="X900" s="880"/>
      <c r="Y900" s="880"/>
      <c r="Z900" s="879"/>
      <c r="AA900" s="880"/>
      <c r="AB900" s="880"/>
      <c r="AC900" s="880"/>
      <c r="AD900" s="880"/>
      <c r="AE900" s="879"/>
      <c r="AF900" s="880"/>
      <c r="AG900" s="880"/>
      <c r="AH900" s="880"/>
      <c r="AI900" s="880"/>
      <c r="AJ900" s="879"/>
      <c r="AK900" s="880"/>
      <c r="AL900" s="880"/>
      <c r="AM900" s="880"/>
      <c r="AN900" s="880"/>
      <c r="AO900" s="879"/>
      <c r="AP900" s="880"/>
      <c r="AQ900" s="880"/>
      <c r="AR900" s="880"/>
      <c r="AS900" s="880"/>
      <c r="AT900" s="879"/>
      <c r="AU900" s="881"/>
      <c r="AV900" s="880"/>
      <c r="AW900" s="880"/>
      <c r="AX900" s="880"/>
      <c r="AY900" s="879"/>
      <c r="AZ900" s="880"/>
      <c r="BA900" s="880"/>
      <c r="BB900" s="880"/>
      <c r="BC900" s="880"/>
      <c r="BD900" s="879"/>
      <c r="BE900" s="879"/>
      <c r="BF900" s="879"/>
      <c r="BG900" s="879"/>
      <c r="BH900" s="651"/>
    </row>
    <row r="901" spans="1:60" s="60" customFormat="1" hidden="1" outlineLevel="1" x14ac:dyDescent="0.35">
      <c r="A901" s="350" t="s">
        <v>48</v>
      </c>
      <c r="B901" s="317"/>
      <c r="C901" s="46">
        <v>3244</v>
      </c>
      <c r="D901" s="46">
        <v>4163</v>
      </c>
      <c r="E901" s="46">
        <v>4357</v>
      </c>
      <c r="F901" s="46">
        <v>4511</v>
      </c>
      <c r="G901" s="351">
        <v>1147</v>
      </c>
      <c r="H901" s="351">
        <v>2360</v>
      </c>
      <c r="I901" s="351">
        <v>3605</v>
      </c>
      <c r="J901" s="351">
        <f>K901</f>
        <v>4721</v>
      </c>
      <c r="K901" s="46">
        <v>4721</v>
      </c>
      <c r="L901" s="351">
        <v>1225</v>
      </c>
      <c r="M901" s="351">
        <v>2508</v>
      </c>
      <c r="N901" s="351">
        <v>3819</v>
      </c>
      <c r="O901" s="351">
        <f>P901</f>
        <v>4998</v>
      </c>
      <c r="P901" s="46">
        <v>4998</v>
      </c>
      <c r="Q901" s="351">
        <v>1201</v>
      </c>
      <c r="R901" s="351">
        <v>2504</v>
      </c>
      <c r="S901" s="351">
        <v>3802</v>
      </c>
      <c r="T901" s="351">
        <f>U901</f>
        <v>4841</v>
      </c>
      <c r="U901" s="46">
        <v>4841</v>
      </c>
      <c r="V901" s="351">
        <v>1278</v>
      </c>
      <c r="W901" s="351">
        <v>2571</v>
      </c>
      <c r="X901" s="351">
        <v>3902</v>
      </c>
      <c r="Y901" s="351">
        <f>Z901</f>
        <v>5058</v>
      </c>
      <c r="Z901" s="46">
        <v>5058</v>
      </c>
      <c r="AA901" s="351">
        <v>1326</v>
      </c>
      <c r="AB901" s="351">
        <v>2911</v>
      </c>
      <c r="AC901" s="351">
        <v>4344</v>
      </c>
      <c r="AD901" s="351">
        <f t="shared" ref="AD901:AD907" si="1225">AE901</f>
        <v>4869</v>
      </c>
      <c r="AE901" s="46">
        <v>4869</v>
      </c>
      <c r="AF901" s="351">
        <v>606</v>
      </c>
      <c r="AG901" s="351">
        <v>2468</v>
      </c>
      <c r="AH901" s="351">
        <v>4014</v>
      </c>
      <c r="AI901" s="351">
        <f t="shared" ref="AI901:AI907" si="1226">AJ901</f>
        <v>5363</v>
      </c>
      <c r="AJ901" s="46">
        <v>5363</v>
      </c>
      <c r="AK901" s="351">
        <v>893</v>
      </c>
      <c r="AL901" s="351">
        <v>2024</v>
      </c>
      <c r="AM901" s="351">
        <v>3612</v>
      </c>
      <c r="AN901" s="351">
        <f t="shared" ref="AN901:AN909" si="1227">AO901</f>
        <v>4582</v>
      </c>
      <c r="AO901" s="46">
        <v>4582</v>
      </c>
      <c r="AP901" s="351">
        <v>1294</v>
      </c>
      <c r="AQ901" s="351">
        <v>2581</v>
      </c>
      <c r="AR901" s="351">
        <v>3998</v>
      </c>
      <c r="AS901" s="351">
        <f t="shared" ref="AS901:AS909" si="1228">AT901</f>
        <v>5388</v>
      </c>
      <c r="AT901" s="46">
        <v>5388</v>
      </c>
      <c r="AU901" s="790">
        <v>1627</v>
      </c>
      <c r="AV901" s="203"/>
      <c r="AW901" s="203"/>
      <c r="AX901" s="203">
        <f t="shared" ref="AX901:AX909" si="1229">AY901</f>
        <v>0</v>
      </c>
      <c r="AY901" s="108"/>
      <c r="AZ901" s="203"/>
      <c r="BA901" s="203"/>
      <c r="BB901" s="203"/>
      <c r="BC901" s="203">
        <f t="shared" ref="BC901:BC909" si="1230">BD901</f>
        <v>0</v>
      </c>
      <c r="BD901" s="108"/>
      <c r="BE901" s="108"/>
      <c r="BF901" s="108"/>
      <c r="BG901" s="108"/>
      <c r="BH901" s="351"/>
    </row>
    <row r="902" spans="1:60" s="60" customFormat="1" hidden="1" outlineLevel="1" x14ac:dyDescent="0.35">
      <c r="A902" s="350" t="s">
        <v>116</v>
      </c>
      <c r="B902" s="317"/>
      <c r="C902" s="46">
        <v>1157</v>
      </c>
      <c r="D902" s="46">
        <v>1120</v>
      </c>
      <c r="E902" s="46">
        <v>1236</v>
      </c>
      <c r="F902" s="46">
        <v>1288</v>
      </c>
      <c r="G902" s="351">
        <v>336</v>
      </c>
      <c r="H902" s="351">
        <v>671</v>
      </c>
      <c r="I902" s="351">
        <v>1014</v>
      </c>
      <c r="J902" s="351">
        <f>K902</f>
        <v>1371</v>
      </c>
      <c r="K902" s="46">
        <v>1371</v>
      </c>
      <c r="L902" s="351">
        <v>350</v>
      </c>
      <c r="M902" s="351">
        <v>708</v>
      </c>
      <c r="N902" s="351">
        <v>1058</v>
      </c>
      <c r="O902" s="351">
        <f>P902</f>
        <v>1408</v>
      </c>
      <c r="P902" s="46">
        <v>1408</v>
      </c>
      <c r="Q902" s="351">
        <v>339</v>
      </c>
      <c r="R902" s="351">
        <v>683</v>
      </c>
      <c r="S902" s="351">
        <v>1038</v>
      </c>
      <c r="T902" s="351">
        <f>U902</f>
        <v>1435</v>
      </c>
      <c r="U902" s="46">
        <v>1435</v>
      </c>
      <c r="V902" s="351">
        <v>356</v>
      </c>
      <c r="W902" s="351">
        <v>722</v>
      </c>
      <c r="X902" s="351">
        <v>1090</v>
      </c>
      <c r="Y902" s="351">
        <f>Z902</f>
        <v>1474</v>
      </c>
      <c r="Z902" s="46">
        <v>1474</v>
      </c>
      <c r="AA902" s="351">
        <v>438</v>
      </c>
      <c r="AB902" s="351">
        <v>818</v>
      </c>
      <c r="AC902" s="351">
        <v>1195</v>
      </c>
      <c r="AD902" s="351">
        <f t="shared" si="1225"/>
        <v>1544</v>
      </c>
      <c r="AE902" s="46">
        <v>1544</v>
      </c>
      <c r="AF902" s="351">
        <v>382</v>
      </c>
      <c r="AG902" s="351">
        <v>762</v>
      </c>
      <c r="AH902" s="351">
        <v>1117</v>
      </c>
      <c r="AI902" s="351">
        <f t="shared" si="1226"/>
        <v>1488</v>
      </c>
      <c r="AJ902" s="46">
        <v>1488</v>
      </c>
      <c r="AK902" s="351">
        <v>375</v>
      </c>
      <c r="AL902" s="351">
        <v>751</v>
      </c>
      <c r="AM902" s="351">
        <v>1130</v>
      </c>
      <c r="AN902" s="351">
        <f t="shared" si="1227"/>
        <v>1593</v>
      </c>
      <c r="AO902" s="46">
        <v>1593</v>
      </c>
      <c r="AP902" s="351">
        <v>440</v>
      </c>
      <c r="AQ902" s="351">
        <v>932</v>
      </c>
      <c r="AR902" s="351">
        <v>1413</v>
      </c>
      <c r="AS902" s="351">
        <f t="shared" si="1228"/>
        <v>1911</v>
      </c>
      <c r="AT902" s="46">
        <v>1911</v>
      </c>
      <c r="AU902" s="790">
        <v>460</v>
      </c>
      <c r="AV902" s="203"/>
      <c r="AW902" s="203"/>
      <c r="AX902" s="203">
        <f t="shared" si="1229"/>
        <v>0</v>
      </c>
      <c r="AY902" s="108"/>
      <c r="AZ902" s="203"/>
      <c r="BA902" s="203"/>
      <c r="BB902" s="203"/>
      <c r="BC902" s="203">
        <f t="shared" si="1230"/>
        <v>0</v>
      </c>
      <c r="BD902" s="108"/>
      <c r="BE902" s="108"/>
      <c r="BF902" s="108"/>
      <c r="BG902" s="108"/>
      <c r="BH902" s="351"/>
    </row>
    <row r="903" spans="1:60" s="60" customFormat="1" hidden="1" outlineLevel="1" x14ac:dyDescent="0.35">
      <c r="A903" s="350" t="s">
        <v>117</v>
      </c>
      <c r="B903" s="317"/>
      <c r="C903" s="46">
        <v>-792</v>
      </c>
      <c r="D903" s="46">
        <v>-618</v>
      </c>
      <c r="E903" s="46">
        <v>-582</v>
      </c>
      <c r="F903" s="46">
        <v>-1146</v>
      </c>
      <c r="G903" s="351">
        <v>-68</v>
      </c>
      <c r="H903" s="351">
        <v>-171</v>
      </c>
      <c r="I903" s="351">
        <v>-385</v>
      </c>
      <c r="J903" s="351">
        <f>K903</f>
        <v>-482</v>
      </c>
      <c r="K903" s="46">
        <v>-482</v>
      </c>
      <c r="L903" s="351">
        <v>-42</v>
      </c>
      <c r="M903" s="351">
        <v>-77</v>
      </c>
      <c r="N903" s="351">
        <v>-112</v>
      </c>
      <c r="O903" s="351">
        <f>P903</f>
        <v>-215</v>
      </c>
      <c r="P903" s="46">
        <v>-215</v>
      </c>
      <c r="Q903" s="351">
        <v>-91</v>
      </c>
      <c r="R903" s="351">
        <v>-185</v>
      </c>
      <c r="S903" s="351">
        <v>-216</v>
      </c>
      <c r="T903" s="351">
        <f>U903</f>
        <v>-267</v>
      </c>
      <c r="U903" s="46">
        <v>-267</v>
      </c>
      <c r="V903" s="351">
        <v>-56</v>
      </c>
      <c r="W903" s="351">
        <v>-97</v>
      </c>
      <c r="X903" s="351">
        <v>-323</v>
      </c>
      <c r="Y903" s="351">
        <f>Z903</f>
        <v>-383</v>
      </c>
      <c r="Z903" s="46">
        <v>-383</v>
      </c>
      <c r="AA903" s="351">
        <v>-248</v>
      </c>
      <c r="AB903" s="351">
        <v>-279</v>
      </c>
      <c r="AC903" s="351">
        <v>-314</v>
      </c>
      <c r="AD903" s="351">
        <f t="shared" si="1225"/>
        <v>-967</v>
      </c>
      <c r="AE903" s="46">
        <v>-967</v>
      </c>
      <c r="AF903" s="351">
        <v>-232</v>
      </c>
      <c r="AG903" s="351">
        <v>-261</v>
      </c>
      <c r="AH903" s="351">
        <v>-303</v>
      </c>
      <c r="AI903" s="351">
        <f t="shared" si="1226"/>
        <v>-370</v>
      </c>
      <c r="AJ903" s="46">
        <v>-370</v>
      </c>
      <c r="AK903" s="351">
        <v>-47</v>
      </c>
      <c r="AL903" s="351">
        <v>-88</v>
      </c>
      <c r="AM903" s="351">
        <v>-129</v>
      </c>
      <c r="AN903" s="351">
        <f t="shared" si="1227"/>
        <v>-210</v>
      </c>
      <c r="AO903" s="46">
        <v>-210</v>
      </c>
      <c r="AP903" s="351">
        <v>-39</v>
      </c>
      <c r="AQ903" s="351">
        <v>-77</v>
      </c>
      <c r="AR903" s="351">
        <v>-122</v>
      </c>
      <c r="AS903" s="351">
        <f t="shared" si="1228"/>
        <v>-156</v>
      </c>
      <c r="AT903" s="46">
        <v>-156</v>
      </c>
      <c r="AU903" s="790">
        <v>-47</v>
      </c>
      <c r="AV903" s="203"/>
      <c r="AW903" s="203"/>
      <c r="AX903" s="203">
        <f t="shared" si="1229"/>
        <v>0</v>
      </c>
      <c r="AY903" s="108"/>
      <c r="AZ903" s="203"/>
      <c r="BA903" s="203"/>
      <c r="BB903" s="203"/>
      <c r="BC903" s="203">
        <f t="shared" si="1230"/>
        <v>0</v>
      </c>
      <c r="BD903" s="108"/>
      <c r="BE903" s="108"/>
      <c r="BF903" s="108"/>
      <c r="BG903" s="108"/>
      <c r="BH903" s="351"/>
    </row>
    <row r="904" spans="1:60" s="60" customFormat="1" hidden="1" outlineLevel="1" x14ac:dyDescent="0.35">
      <c r="A904" s="350" t="s">
        <v>118</v>
      </c>
      <c r="B904" s="317"/>
      <c r="C904" s="46">
        <v>223</v>
      </c>
      <c r="D904" s="46">
        <v>322</v>
      </c>
      <c r="E904" s="46">
        <v>555</v>
      </c>
      <c r="F904" s="46">
        <v>650</v>
      </c>
      <c r="G904" s="351">
        <v>138</v>
      </c>
      <c r="H904" s="351">
        <v>275</v>
      </c>
      <c r="I904" s="351">
        <v>414</v>
      </c>
      <c r="J904" s="351">
        <f>K904</f>
        <v>553</v>
      </c>
      <c r="K904" s="46">
        <v>553</v>
      </c>
      <c r="L904" s="351">
        <v>98</v>
      </c>
      <c r="M904" s="351">
        <v>196</v>
      </c>
      <c r="N904" s="351">
        <v>293</v>
      </c>
      <c r="O904" s="351">
        <f>P904</f>
        <v>391</v>
      </c>
      <c r="P904" s="46">
        <v>391</v>
      </c>
      <c r="Q904" s="351">
        <v>134</v>
      </c>
      <c r="R904" s="351">
        <v>283</v>
      </c>
      <c r="S904" s="351">
        <v>418</v>
      </c>
      <c r="T904" s="351">
        <f>U904</f>
        <v>556</v>
      </c>
      <c r="U904" s="46">
        <v>556</v>
      </c>
      <c r="V904" s="351">
        <v>59</v>
      </c>
      <c r="W904" s="351">
        <v>118</v>
      </c>
      <c r="X904" s="351">
        <v>180</v>
      </c>
      <c r="Y904" s="351">
        <f>Z904</f>
        <v>251</v>
      </c>
      <c r="Z904" s="46">
        <v>251</v>
      </c>
      <c r="AA904" s="351">
        <v>81</v>
      </c>
      <c r="AB904" s="351">
        <v>163</v>
      </c>
      <c r="AC904" s="351">
        <v>243</v>
      </c>
      <c r="AD904" s="351">
        <f t="shared" si="1225"/>
        <v>334</v>
      </c>
      <c r="AE904" s="46">
        <v>334</v>
      </c>
      <c r="AF904" s="351">
        <v>102</v>
      </c>
      <c r="AG904" s="351">
        <v>204</v>
      </c>
      <c r="AH904" s="351">
        <v>306</v>
      </c>
      <c r="AI904" s="351">
        <f t="shared" si="1226"/>
        <v>410</v>
      </c>
      <c r="AJ904" s="46">
        <v>410</v>
      </c>
      <c r="AK904" s="351">
        <v>70</v>
      </c>
      <c r="AL904" s="351">
        <v>176</v>
      </c>
      <c r="AM904" s="351">
        <v>242</v>
      </c>
      <c r="AN904" s="351">
        <f t="shared" si="1227"/>
        <v>357</v>
      </c>
      <c r="AO904" s="46">
        <v>357</v>
      </c>
      <c r="AP904" s="351">
        <v>98</v>
      </c>
      <c r="AQ904" s="351">
        <v>197</v>
      </c>
      <c r="AR904" s="351">
        <v>295</v>
      </c>
      <c r="AS904" s="351">
        <f t="shared" si="1228"/>
        <v>406</v>
      </c>
      <c r="AT904" s="46">
        <v>406</v>
      </c>
      <c r="AU904" s="790">
        <v>47</v>
      </c>
      <c r="AV904" s="203"/>
      <c r="AW904" s="203"/>
      <c r="AX904" s="203">
        <f t="shared" si="1229"/>
        <v>0</v>
      </c>
      <c r="AY904" s="108"/>
      <c r="AZ904" s="203"/>
      <c r="BA904" s="203"/>
      <c r="BB904" s="203"/>
      <c r="BC904" s="203">
        <f t="shared" si="1230"/>
        <v>0</v>
      </c>
      <c r="BD904" s="108"/>
      <c r="BE904" s="108"/>
      <c r="BF904" s="108"/>
      <c r="BG904" s="108"/>
      <c r="BH904" s="351"/>
    </row>
    <row r="905" spans="1:60" s="60" customFormat="1" hidden="1" outlineLevel="1" x14ac:dyDescent="0.35">
      <c r="A905" s="350" t="s">
        <v>119</v>
      </c>
      <c r="B905" s="317"/>
      <c r="C905" s="46">
        <v>217</v>
      </c>
      <c r="D905" s="46">
        <v>274</v>
      </c>
      <c r="E905" s="46">
        <v>253</v>
      </c>
      <c r="F905" s="46">
        <v>223</v>
      </c>
      <c r="G905" s="351">
        <v>103</v>
      </c>
      <c r="H905" s="351">
        <v>150</v>
      </c>
      <c r="I905" s="351">
        <v>197</v>
      </c>
      <c r="J905" s="351">
        <f>K905</f>
        <v>240</v>
      </c>
      <c r="K905" s="46">
        <v>240</v>
      </c>
      <c r="L905" s="351">
        <v>122</v>
      </c>
      <c r="M905" s="351">
        <v>174</v>
      </c>
      <c r="N905" s="351">
        <v>221</v>
      </c>
      <c r="O905" s="351">
        <f>P905</f>
        <v>280</v>
      </c>
      <c r="P905" s="46">
        <v>280</v>
      </c>
      <c r="Q905" s="351">
        <v>138</v>
      </c>
      <c r="R905" s="351">
        <v>187</v>
      </c>
      <c r="S905" s="351">
        <v>233</v>
      </c>
      <c r="T905" s="351">
        <f>U905</f>
        <v>276</v>
      </c>
      <c r="U905" s="46">
        <v>276</v>
      </c>
      <c r="V905" s="351">
        <v>144</v>
      </c>
      <c r="W905" s="351">
        <v>193</v>
      </c>
      <c r="X905" s="351">
        <v>244</v>
      </c>
      <c r="Y905" s="351">
        <f>Z905</f>
        <v>298</v>
      </c>
      <c r="Z905" s="46">
        <v>298</v>
      </c>
      <c r="AA905" s="351">
        <v>147</v>
      </c>
      <c r="AB905" s="351">
        <v>206</v>
      </c>
      <c r="AC905" s="351">
        <v>266</v>
      </c>
      <c r="AD905" s="351">
        <f t="shared" si="1225"/>
        <v>324</v>
      </c>
      <c r="AE905" s="46">
        <v>324</v>
      </c>
      <c r="AF905" s="351">
        <v>159</v>
      </c>
      <c r="AG905" s="351">
        <v>208</v>
      </c>
      <c r="AH905" s="351">
        <v>258</v>
      </c>
      <c r="AI905" s="351">
        <f t="shared" si="1226"/>
        <v>302</v>
      </c>
      <c r="AJ905" s="46">
        <v>302</v>
      </c>
      <c r="AK905" s="351">
        <v>130</v>
      </c>
      <c r="AL905" s="351">
        <v>182</v>
      </c>
      <c r="AM905" s="351">
        <v>230</v>
      </c>
      <c r="AN905" s="351">
        <f t="shared" si="1227"/>
        <v>278</v>
      </c>
      <c r="AO905" s="46">
        <v>278</v>
      </c>
      <c r="AP905" s="351">
        <v>120</v>
      </c>
      <c r="AQ905" s="351">
        <v>172</v>
      </c>
      <c r="AR905" s="351">
        <v>216</v>
      </c>
      <c r="AS905" s="351">
        <f t="shared" si="1228"/>
        <v>262</v>
      </c>
      <c r="AT905" s="46">
        <v>262</v>
      </c>
      <c r="AU905" s="790">
        <v>131</v>
      </c>
      <c r="AV905" s="203"/>
      <c r="AW905" s="203"/>
      <c r="AX905" s="203">
        <f t="shared" si="1229"/>
        <v>0</v>
      </c>
      <c r="AY905" s="108"/>
      <c r="AZ905" s="203"/>
      <c r="BA905" s="203"/>
      <c r="BB905" s="203"/>
      <c r="BC905" s="203">
        <f t="shared" si="1230"/>
        <v>0</v>
      </c>
      <c r="BD905" s="108"/>
      <c r="BE905" s="108"/>
      <c r="BF905" s="108"/>
      <c r="BG905" s="108"/>
      <c r="BH905" s="351"/>
    </row>
    <row r="906" spans="1:60" s="60" customFormat="1" hidden="1" outlineLevel="1" x14ac:dyDescent="0.35">
      <c r="A906" s="350" t="s">
        <v>120</v>
      </c>
      <c r="B906" s="317"/>
      <c r="C906" s="108"/>
      <c r="D906" s="108"/>
      <c r="E906" s="108"/>
      <c r="F906" s="108"/>
      <c r="G906" s="203"/>
      <c r="H906" s="203"/>
      <c r="I906" s="203"/>
      <c r="J906" s="203"/>
      <c r="K906" s="108"/>
      <c r="L906" s="203"/>
      <c r="M906" s="203"/>
      <c r="N906" s="203"/>
      <c r="O906" s="203"/>
      <c r="P906" s="108"/>
      <c r="Q906" s="203"/>
      <c r="R906" s="203"/>
      <c r="S906" s="203"/>
      <c r="T906" s="203"/>
      <c r="U906" s="108"/>
      <c r="V906" s="203"/>
      <c r="W906" s="203"/>
      <c r="X906" s="203"/>
      <c r="Y906" s="203"/>
      <c r="Z906" s="108"/>
      <c r="AA906" s="351">
        <v>-29</v>
      </c>
      <c r="AB906" s="351">
        <v>-490</v>
      </c>
      <c r="AC906" s="351">
        <v>-490</v>
      </c>
      <c r="AD906" s="351">
        <f t="shared" si="1225"/>
        <v>-586</v>
      </c>
      <c r="AE906" s="46">
        <v>-586</v>
      </c>
      <c r="AF906" s="351">
        <v>-24</v>
      </c>
      <c r="AG906" s="351">
        <v>-530</v>
      </c>
      <c r="AH906" s="351">
        <v>-530</v>
      </c>
      <c r="AI906" s="351">
        <f t="shared" si="1226"/>
        <v>-545</v>
      </c>
      <c r="AJ906" s="46">
        <v>-545</v>
      </c>
      <c r="AK906" s="351">
        <v>-5</v>
      </c>
      <c r="AL906" s="351">
        <v>-5</v>
      </c>
      <c r="AM906" s="351">
        <v>-111</v>
      </c>
      <c r="AN906" s="351">
        <f t="shared" si="1227"/>
        <v>-111</v>
      </c>
      <c r="AO906" s="46">
        <v>-111</v>
      </c>
      <c r="AP906" s="351">
        <v>-2</v>
      </c>
      <c r="AQ906" s="351">
        <v>-389</v>
      </c>
      <c r="AR906" s="351">
        <v>-389</v>
      </c>
      <c r="AS906" s="351">
        <f t="shared" si="1228"/>
        <v>-389</v>
      </c>
      <c r="AT906" s="46">
        <v>-389</v>
      </c>
      <c r="AU906" s="790"/>
      <c r="AV906" s="203"/>
      <c r="AW906" s="203"/>
      <c r="AX906" s="203">
        <f t="shared" si="1229"/>
        <v>0</v>
      </c>
      <c r="AY906" s="108"/>
      <c r="AZ906" s="203"/>
      <c r="BA906" s="203"/>
      <c r="BB906" s="203"/>
      <c r="BC906" s="203">
        <f t="shared" si="1230"/>
        <v>0</v>
      </c>
      <c r="BD906" s="108"/>
      <c r="BE906" s="108"/>
      <c r="BF906" s="108"/>
      <c r="BG906" s="108"/>
      <c r="BH906" s="351"/>
    </row>
    <row r="907" spans="1:60" s="60" customFormat="1" hidden="1" outlineLevel="1" x14ac:dyDescent="0.35">
      <c r="A907" s="350" t="s">
        <v>121</v>
      </c>
      <c r="B907" s="317"/>
      <c r="C907" s="46">
        <v>701</v>
      </c>
      <c r="D907" s="46">
        <v>-170</v>
      </c>
      <c r="E907" s="46">
        <v>177</v>
      </c>
      <c r="F907" s="46">
        <v>33</v>
      </c>
      <c r="G907" s="351">
        <v>61</v>
      </c>
      <c r="H907" s="351">
        <v>37</v>
      </c>
      <c r="I907" s="351">
        <v>-54</v>
      </c>
      <c r="J907" s="351">
        <f>K907</f>
        <v>-167</v>
      </c>
      <c r="K907" s="46">
        <v>-167</v>
      </c>
      <c r="L907" s="351">
        <v>-83</v>
      </c>
      <c r="M907" s="351">
        <v>-36</v>
      </c>
      <c r="N907" s="351">
        <v>-61</v>
      </c>
      <c r="O907" s="351">
        <f>P907</f>
        <v>-146</v>
      </c>
      <c r="P907" s="46">
        <v>-146</v>
      </c>
      <c r="Q907" s="351">
        <v>44</v>
      </c>
      <c r="R907" s="351">
        <v>295</v>
      </c>
      <c r="S907" s="351">
        <v>393</v>
      </c>
      <c r="T907" s="351">
        <f>U907</f>
        <v>395</v>
      </c>
      <c r="U907" s="46">
        <v>395</v>
      </c>
      <c r="V907" s="351">
        <v>-38</v>
      </c>
      <c r="W907" s="351">
        <v>-134</v>
      </c>
      <c r="X907" s="351">
        <v>-100</v>
      </c>
      <c r="Y907" s="351">
        <f>Z907</f>
        <v>7</v>
      </c>
      <c r="Z907" s="46">
        <v>7</v>
      </c>
      <c r="AA907" s="351">
        <v>-84</v>
      </c>
      <c r="AB907" s="351">
        <v>-120</v>
      </c>
      <c r="AC907" s="351">
        <v>-105</v>
      </c>
      <c r="AD907" s="351">
        <f t="shared" si="1225"/>
        <v>107</v>
      </c>
      <c r="AE907" s="46">
        <v>107</v>
      </c>
      <c r="AF907" s="351">
        <v>-103</v>
      </c>
      <c r="AG907" s="351">
        <v>-1</v>
      </c>
      <c r="AH907" s="351">
        <v>-73</v>
      </c>
      <c r="AI907" s="351">
        <f t="shared" si="1226"/>
        <v>-57</v>
      </c>
      <c r="AJ907" s="46">
        <v>-57</v>
      </c>
      <c r="AK907" s="351">
        <v>-56</v>
      </c>
      <c r="AL907" s="351">
        <v>-74</v>
      </c>
      <c r="AM907" s="351">
        <v>-88</v>
      </c>
      <c r="AN907" s="351">
        <f t="shared" si="1227"/>
        <v>-273</v>
      </c>
      <c r="AO907" s="46">
        <v>-273</v>
      </c>
      <c r="AP907" s="351">
        <v>29</v>
      </c>
      <c r="AQ907" s="351">
        <v>41</v>
      </c>
      <c r="AR907" s="351">
        <v>-57</v>
      </c>
      <c r="AS907" s="351">
        <f t="shared" si="1228"/>
        <v>-165</v>
      </c>
      <c r="AT907" s="46">
        <v>-165</v>
      </c>
      <c r="AU907" s="790">
        <v>16</v>
      </c>
      <c r="AV907" s="203"/>
      <c r="AW907" s="203"/>
      <c r="AX907" s="203">
        <f t="shared" si="1229"/>
        <v>0</v>
      </c>
      <c r="AY907" s="108"/>
      <c r="AZ907" s="203"/>
      <c r="BA907" s="203"/>
      <c r="BB907" s="203"/>
      <c r="BC907" s="203">
        <f t="shared" si="1230"/>
        <v>0</v>
      </c>
      <c r="BD907" s="108"/>
      <c r="BE907" s="108"/>
      <c r="BF907" s="108"/>
      <c r="BG907" s="108"/>
      <c r="BH907" s="351"/>
    </row>
    <row r="908" spans="1:60" s="60" customFormat="1" hidden="1" outlineLevel="1" x14ac:dyDescent="0.35">
      <c r="A908" s="350" t="s">
        <v>385</v>
      </c>
      <c r="B908" s="317"/>
      <c r="C908" s="108"/>
      <c r="D908" s="108"/>
      <c r="E908" s="108"/>
      <c r="F908" s="108"/>
      <c r="G908" s="203"/>
      <c r="H908" s="203"/>
      <c r="I908" s="203"/>
      <c r="J908" s="203"/>
      <c r="K908" s="108"/>
      <c r="L908" s="203"/>
      <c r="M908" s="203"/>
      <c r="N908" s="203"/>
      <c r="O908" s="203"/>
      <c r="P908" s="108"/>
      <c r="Q908" s="203"/>
      <c r="R908" s="203"/>
      <c r="S908" s="203"/>
      <c r="T908" s="203"/>
      <c r="U908" s="108"/>
      <c r="V908" s="203"/>
      <c r="W908" s="203"/>
      <c r="X908" s="203"/>
      <c r="Y908" s="203"/>
      <c r="Z908" s="108"/>
      <c r="AA908" s="203"/>
      <c r="AB908" s="203"/>
      <c r="AC908" s="203"/>
      <c r="AD908" s="203"/>
      <c r="AE908" s="108"/>
      <c r="AF908" s="203"/>
      <c r="AG908" s="203"/>
      <c r="AH908" s="203"/>
      <c r="AI908" s="203"/>
      <c r="AJ908" s="108"/>
      <c r="AK908" s="203"/>
      <c r="AL908" s="351">
        <v>162</v>
      </c>
      <c r="AM908" s="351">
        <v>162</v>
      </c>
      <c r="AN908" s="351">
        <f t="shared" si="1227"/>
        <v>162</v>
      </c>
      <c r="AO908" s="46">
        <v>162</v>
      </c>
      <c r="AP908" s="203"/>
      <c r="AQ908" s="203"/>
      <c r="AR908" s="203"/>
      <c r="AS908" s="351">
        <f t="shared" si="1228"/>
        <v>0</v>
      </c>
      <c r="AT908" s="108"/>
      <c r="AU908" s="790"/>
      <c r="AV908" s="203"/>
      <c r="AW908" s="203"/>
      <c r="AX908" s="203">
        <f t="shared" si="1229"/>
        <v>0</v>
      </c>
      <c r="AY908" s="108"/>
      <c r="AZ908" s="203"/>
      <c r="BA908" s="203"/>
      <c r="BB908" s="203"/>
      <c r="BC908" s="203">
        <f t="shared" si="1230"/>
        <v>0</v>
      </c>
      <c r="BD908" s="108"/>
      <c r="BE908" s="108"/>
      <c r="BF908" s="108"/>
      <c r="BG908" s="108"/>
      <c r="BH908" s="351"/>
    </row>
    <row r="909" spans="1:60" s="60" customFormat="1" hidden="1" outlineLevel="1" x14ac:dyDescent="0.35">
      <c r="A909" s="350" t="s">
        <v>122</v>
      </c>
      <c r="B909" s="317"/>
      <c r="C909" s="46">
        <v>-14</v>
      </c>
      <c r="D909" s="46">
        <v>-53</v>
      </c>
      <c r="E909" s="46">
        <v>-53</v>
      </c>
      <c r="F909" s="46">
        <v>-62</v>
      </c>
      <c r="G909" s="351">
        <v>-34</v>
      </c>
      <c r="H909" s="351">
        <v>-51</v>
      </c>
      <c r="I909" s="351">
        <v>-68</v>
      </c>
      <c r="J909" s="351">
        <f>K909</f>
        <v>-92</v>
      </c>
      <c r="K909" s="46">
        <v>-92</v>
      </c>
      <c r="L909" s="351">
        <v>-51</v>
      </c>
      <c r="M909" s="351">
        <v>-97</v>
      </c>
      <c r="N909" s="351">
        <v>-121</v>
      </c>
      <c r="O909" s="351">
        <f>P909</f>
        <v>-167</v>
      </c>
      <c r="P909" s="46">
        <v>-167</v>
      </c>
      <c r="Q909" s="351">
        <v>-101</v>
      </c>
      <c r="R909" s="351">
        <v>-129</v>
      </c>
      <c r="S909" s="351">
        <v>-137</v>
      </c>
      <c r="T909" s="351">
        <f>U909</f>
        <v>-154</v>
      </c>
      <c r="U909" s="46">
        <v>-154</v>
      </c>
      <c r="V909" s="203"/>
      <c r="W909" s="203"/>
      <c r="X909" s="351">
        <v>0</v>
      </c>
      <c r="Y909" s="351">
        <f>Z909</f>
        <v>0</v>
      </c>
      <c r="Z909" s="108"/>
      <c r="AA909" s="203"/>
      <c r="AB909" s="203"/>
      <c r="AC909" s="203"/>
      <c r="AD909" s="351">
        <f>AE909</f>
        <v>0</v>
      </c>
      <c r="AE909" s="108"/>
      <c r="AF909" s="203"/>
      <c r="AG909" s="203"/>
      <c r="AH909" s="203"/>
      <c r="AI909" s="351">
        <f>AJ909</f>
        <v>0</v>
      </c>
      <c r="AJ909" s="108"/>
      <c r="AK909" s="203"/>
      <c r="AL909" s="203"/>
      <c r="AM909" s="203"/>
      <c r="AN909" s="351">
        <f t="shared" si="1227"/>
        <v>0</v>
      </c>
      <c r="AO909" s="108"/>
      <c r="AP909" s="203"/>
      <c r="AQ909" s="203"/>
      <c r="AR909" s="203"/>
      <c r="AS909" s="351">
        <f t="shared" si="1228"/>
        <v>0</v>
      </c>
      <c r="AT909" s="108"/>
      <c r="AU909" s="790"/>
      <c r="AV909" s="203"/>
      <c r="AW909" s="203"/>
      <c r="AX909" s="203">
        <f t="shared" si="1229"/>
        <v>0</v>
      </c>
      <c r="AY909" s="108"/>
      <c r="AZ909" s="203"/>
      <c r="BA909" s="203"/>
      <c r="BB909" s="203"/>
      <c r="BC909" s="203">
        <f t="shared" si="1230"/>
        <v>0</v>
      </c>
      <c r="BD909" s="108"/>
      <c r="BE909" s="108"/>
      <c r="BF909" s="108"/>
      <c r="BG909" s="108"/>
      <c r="BH909" s="351"/>
    </row>
    <row r="910" spans="1:60" s="69" customFormat="1" hidden="1" outlineLevel="1" x14ac:dyDescent="0.35">
      <c r="A910" s="89" t="s">
        <v>123</v>
      </c>
      <c r="B910" s="319"/>
      <c r="C910" s="68">
        <f t="shared" ref="C910:AH910" si="1231">SUM(C901:C909)</f>
        <v>4736</v>
      </c>
      <c r="D910" s="68">
        <f t="shared" si="1231"/>
        <v>5038</v>
      </c>
      <c r="E910" s="68">
        <f t="shared" si="1231"/>
        <v>5943</v>
      </c>
      <c r="F910" s="68">
        <f t="shared" si="1231"/>
        <v>5497</v>
      </c>
      <c r="G910" s="76">
        <f t="shared" si="1231"/>
        <v>1683</v>
      </c>
      <c r="H910" s="76">
        <f t="shared" si="1231"/>
        <v>3271</v>
      </c>
      <c r="I910" s="76">
        <f t="shared" si="1231"/>
        <v>4723</v>
      </c>
      <c r="J910" s="76">
        <f t="shared" si="1231"/>
        <v>6144</v>
      </c>
      <c r="K910" s="68">
        <f t="shared" si="1231"/>
        <v>6144</v>
      </c>
      <c r="L910" s="76">
        <f t="shared" si="1231"/>
        <v>1619</v>
      </c>
      <c r="M910" s="76">
        <f t="shared" si="1231"/>
        <v>3376</v>
      </c>
      <c r="N910" s="76">
        <f t="shared" si="1231"/>
        <v>5097</v>
      </c>
      <c r="O910" s="76">
        <f t="shared" si="1231"/>
        <v>6549</v>
      </c>
      <c r="P910" s="68">
        <f t="shared" si="1231"/>
        <v>6549</v>
      </c>
      <c r="Q910" s="76">
        <f t="shared" si="1231"/>
        <v>1664</v>
      </c>
      <c r="R910" s="76">
        <f t="shared" si="1231"/>
        <v>3638</v>
      </c>
      <c r="S910" s="76">
        <f t="shared" si="1231"/>
        <v>5531</v>
      </c>
      <c r="T910" s="76">
        <f t="shared" si="1231"/>
        <v>7082</v>
      </c>
      <c r="U910" s="68">
        <f t="shared" si="1231"/>
        <v>7082</v>
      </c>
      <c r="V910" s="76">
        <f t="shared" si="1231"/>
        <v>1743</v>
      </c>
      <c r="W910" s="76">
        <f t="shared" si="1231"/>
        <v>3373</v>
      </c>
      <c r="X910" s="76">
        <f t="shared" si="1231"/>
        <v>4993</v>
      </c>
      <c r="Y910" s="76">
        <f t="shared" si="1231"/>
        <v>6705</v>
      </c>
      <c r="Z910" s="68">
        <f t="shared" si="1231"/>
        <v>6705</v>
      </c>
      <c r="AA910" s="76">
        <f t="shared" si="1231"/>
        <v>1631</v>
      </c>
      <c r="AB910" s="76">
        <f t="shared" si="1231"/>
        <v>3209</v>
      </c>
      <c r="AC910" s="76">
        <f t="shared" si="1231"/>
        <v>5139</v>
      </c>
      <c r="AD910" s="76">
        <f t="shared" si="1231"/>
        <v>5625</v>
      </c>
      <c r="AE910" s="68">
        <f t="shared" si="1231"/>
        <v>5625</v>
      </c>
      <c r="AF910" s="76">
        <f t="shared" si="1231"/>
        <v>890</v>
      </c>
      <c r="AG910" s="76">
        <f t="shared" si="1231"/>
        <v>2850</v>
      </c>
      <c r="AH910" s="76">
        <f t="shared" si="1231"/>
        <v>4789</v>
      </c>
      <c r="AI910" s="76">
        <f t="shared" ref="AI910:AY910" si="1232">SUM(AI901:AI909)</f>
        <v>6591</v>
      </c>
      <c r="AJ910" s="68">
        <f t="shared" si="1232"/>
        <v>6591</v>
      </c>
      <c r="AK910" s="76">
        <f t="shared" si="1232"/>
        <v>1360</v>
      </c>
      <c r="AL910" s="76">
        <f t="shared" si="1232"/>
        <v>3128</v>
      </c>
      <c r="AM910" s="76">
        <f t="shared" si="1232"/>
        <v>5048</v>
      </c>
      <c r="AN910" s="76">
        <f t="shared" si="1232"/>
        <v>6378</v>
      </c>
      <c r="AO910" s="68">
        <f t="shared" si="1232"/>
        <v>6378</v>
      </c>
      <c r="AP910" s="76">
        <f t="shared" si="1232"/>
        <v>1940</v>
      </c>
      <c r="AQ910" s="76">
        <f t="shared" si="1232"/>
        <v>3457</v>
      </c>
      <c r="AR910" s="76">
        <f t="shared" si="1232"/>
        <v>5354</v>
      </c>
      <c r="AS910" s="76">
        <f t="shared" ref="AS910" si="1233">SUM(AS901:AS909)</f>
        <v>7257</v>
      </c>
      <c r="AT910" s="68">
        <f t="shared" si="1232"/>
        <v>7257</v>
      </c>
      <c r="AU910" s="812">
        <f t="shared" si="1232"/>
        <v>2234</v>
      </c>
      <c r="AV910" s="109">
        <f t="shared" si="1232"/>
        <v>0</v>
      </c>
      <c r="AW910" s="109">
        <f t="shared" si="1232"/>
        <v>0</v>
      </c>
      <c r="AX910" s="109">
        <f t="shared" si="1232"/>
        <v>0</v>
      </c>
      <c r="AY910" s="110">
        <f t="shared" si="1232"/>
        <v>0</v>
      </c>
      <c r="AZ910" s="109">
        <f t="shared" ref="AZ910:BG910" si="1234">SUM(AZ901:AZ909)</f>
        <v>0</v>
      </c>
      <c r="BA910" s="109">
        <f t="shared" si="1234"/>
        <v>0</v>
      </c>
      <c r="BB910" s="109">
        <f t="shared" si="1234"/>
        <v>0</v>
      </c>
      <c r="BC910" s="109">
        <f t="shared" si="1234"/>
        <v>0</v>
      </c>
      <c r="BD910" s="110">
        <f t="shared" si="1234"/>
        <v>0</v>
      </c>
      <c r="BE910" s="110">
        <f t="shared" si="1234"/>
        <v>0</v>
      </c>
      <c r="BF910" s="110">
        <f t="shared" si="1234"/>
        <v>0</v>
      </c>
      <c r="BG910" s="110">
        <f t="shared" si="1234"/>
        <v>0</v>
      </c>
      <c r="BH910" s="79"/>
    </row>
    <row r="911" spans="1:60" s="60" customFormat="1" hidden="1" outlineLevel="1" x14ac:dyDescent="0.35">
      <c r="A911" s="350" t="s">
        <v>124</v>
      </c>
      <c r="B911" s="317"/>
      <c r="C911" s="46">
        <v>55</v>
      </c>
      <c r="D911" s="46">
        <v>-189</v>
      </c>
      <c r="E911" s="46">
        <v>-205</v>
      </c>
      <c r="F911" s="46">
        <v>-133</v>
      </c>
      <c r="G911" s="351">
        <v>-447</v>
      </c>
      <c r="H911" s="351">
        <v>-628</v>
      </c>
      <c r="I911" s="351">
        <v>-643</v>
      </c>
      <c r="J911" s="351">
        <f t="shared" ref="J911:J916" si="1235">K911</f>
        <v>-337</v>
      </c>
      <c r="K911" s="46">
        <v>-337</v>
      </c>
      <c r="L911" s="351">
        <v>-347</v>
      </c>
      <c r="M911" s="351">
        <v>-484</v>
      </c>
      <c r="N911" s="351">
        <v>-587</v>
      </c>
      <c r="O911" s="351">
        <f t="shared" ref="O911:O916" si="1236">P911</f>
        <v>-268</v>
      </c>
      <c r="P911" s="46">
        <v>-268</v>
      </c>
      <c r="Q911" s="351">
        <v>-296</v>
      </c>
      <c r="R911" s="351">
        <v>-446</v>
      </c>
      <c r="S911" s="351">
        <v>-478</v>
      </c>
      <c r="T911" s="351">
        <f t="shared" ref="T911:T916" si="1237">U911</f>
        <v>-58</v>
      </c>
      <c r="U911" s="46">
        <v>-58</v>
      </c>
      <c r="V911" s="351">
        <v>-245</v>
      </c>
      <c r="W911" s="351">
        <v>-419</v>
      </c>
      <c r="X911" s="351">
        <v>-469</v>
      </c>
      <c r="Y911" s="351">
        <f t="shared" ref="Y911:Y916" si="1238">Z911</f>
        <v>-313</v>
      </c>
      <c r="Z911" s="46">
        <v>-313</v>
      </c>
      <c r="AA911" s="351">
        <v>-237</v>
      </c>
      <c r="AB911" s="351">
        <v>-412</v>
      </c>
      <c r="AC911" s="351">
        <v>-595</v>
      </c>
      <c r="AD911" s="351">
        <f t="shared" ref="AD911:AD916" si="1239">AE911</f>
        <v>-245</v>
      </c>
      <c r="AE911" s="46">
        <v>-245</v>
      </c>
      <c r="AF911" s="351">
        <v>-260</v>
      </c>
      <c r="AG911" s="351">
        <v>-606</v>
      </c>
      <c r="AH911" s="351">
        <v>-596</v>
      </c>
      <c r="AI911" s="351">
        <f t="shared" ref="AI911:AI916" si="1240">AJ911</f>
        <v>-305</v>
      </c>
      <c r="AJ911" s="46">
        <v>-305</v>
      </c>
      <c r="AK911" s="351">
        <v>-78</v>
      </c>
      <c r="AL911" s="351">
        <v>-258</v>
      </c>
      <c r="AM911" s="351">
        <v>-14</v>
      </c>
      <c r="AN911" s="351">
        <f t="shared" ref="AN911:AN916" si="1241">AO911</f>
        <v>345</v>
      </c>
      <c r="AO911" s="46">
        <v>345</v>
      </c>
      <c r="AP911" s="351">
        <v>-143</v>
      </c>
      <c r="AQ911" s="351">
        <v>241</v>
      </c>
      <c r="AR911" s="351">
        <v>113</v>
      </c>
      <c r="AS911" s="351">
        <f t="shared" ref="AS911:AS916" si="1242">AT911</f>
        <v>165</v>
      </c>
      <c r="AT911" s="46">
        <v>165</v>
      </c>
      <c r="AU911" s="790">
        <v>-205</v>
      </c>
      <c r="AV911" s="203"/>
      <c r="AW911" s="203"/>
      <c r="AX911" s="203">
        <f t="shared" ref="AX911:AX916" si="1243">AY911</f>
        <v>0</v>
      </c>
      <c r="AY911" s="108"/>
      <c r="AZ911" s="203"/>
      <c r="BA911" s="203"/>
      <c r="BB911" s="203"/>
      <c r="BC911" s="203">
        <f t="shared" ref="BC911:BC916" si="1244">BD911</f>
        <v>0</v>
      </c>
      <c r="BD911" s="108"/>
      <c r="BE911" s="108"/>
      <c r="BF911" s="108"/>
      <c r="BG911" s="108"/>
      <c r="BH911" s="351"/>
    </row>
    <row r="912" spans="1:60" s="60" customFormat="1" hidden="1" outlineLevel="1" x14ac:dyDescent="0.35">
      <c r="A912" s="350" t="s">
        <v>125</v>
      </c>
      <c r="B912" s="317"/>
      <c r="C912" s="46">
        <v>453</v>
      </c>
      <c r="D912" s="46">
        <v>-404</v>
      </c>
      <c r="E912" s="46">
        <v>-196</v>
      </c>
      <c r="F912" s="46">
        <v>-251</v>
      </c>
      <c r="G912" s="351">
        <v>-28</v>
      </c>
      <c r="H912" s="351">
        <v>-167</v>
      </c>
      <c r="I912" s="351">
        <v>-155</v>
      </c>
      <c r="J912" s="351">
        <f t="shared" si="1235"/>
        <v>-86</v>
      </c>
      <c r="K912" s="46">
        <v>-86</v>
      </c>
      <c r="L912" s="351">
        <v>-131</v>
      </c>
      <c r="M912" s="351">
        <v>-242</v>
      </c>
      <c r="N912" s="351">
        <v>-232</v>
      </c>
      <c r="O912" s="351">
        <f t="shared" si="1236"/>
        <v>-113</v>
      </c>
      <c r="P912" s="46">
        <v>-113</v>
      </c>
      <c r="Q912" s="351">
        <v>-131</v>
      </c>
      <c r="R912" s="351">
        <v>-269</v>
      </c>
      <c r="S912" s="351">
        <v>-139</v>
      </c>
      <c r="T912" s="351">
        <f t="shared" si="1237"/>
        <v>3</v>
      </c>
      <c r="U912" s="46">
        <v>3</v>
      </c>
      <c r="V912" s="351">
        <v>-37</v>
      </c>
      <c r="W912" s="351">
        <v>-42</v>
      </c>
      <c r="X912" s="351">
        <v>-15</v>
      </c>
      <c r="Y912" s="351">
        <f t="shared" si="1238"/>
        <v>57</v>
      </c>
      <c r="Z912" s="46">
        <v>57</v>
      </c>
      <c r="AA912" s="351">
        <v>-149</v>
      </c>
      <c r="AB912" s="351">
        <v>-347</v>
      </c>
      <c r="AC912" s="351">
        <v>-436</v>
      </c>
      <c r="AD912" s="351">
        <f t="shared" si="1239"/>
        <v>-387</v>
      </c>
      <c r="AE912" s="46">
        <v>-387</v>
      </c>
      <c r="AF912" s="351">
        <v>-209</v>
      </c>
      <c r="AG912" s="351">
        <v>-337</v>
      </c>
      <c r="AH912" s="351">
        <v>-562</v>
      </c>
      <c r="AI912" s="351">
        <f t="shared" si="1240"/>
        <v>-509</v>
      </c>
      <c r="AJ912" s="46">
        <v>-509</v>
      </c>
      <c r="AK912" s="351">
        <v>-178</v>
      </c>
      <c r="AL912" s="351">
        <v>75</v>
      </c>
      <c r="AM912" s="351">
        <v>255</v>
      </c>
      <c r="AN912" s="351">
        <f t="shared" si="1241"/>
        <v>370</v>
      </c>
      <c r="AO912" s="46">
        <v>370</v>
      </c>
      <c r="AP912" s="351">
        <v>-207</v>
      </c>
      <c r="AQ912" s="351">
        <v>-198</v>
      </c>
      <c r="AR912" s="351">
        <v>43</v>
      </c>
      <c r="AS912" s="351">
        <f t="shared" si="1242"/>
        <v>-91</v>
      </c>
      <c r="AT912" s="46">
        <v>-91</v>
      </c>
      <c r="AU912" s="790">
        <v>-304</v>
      </c>
      <c r="AV912" s="203"/>
      <c r="AW912" s="203"/>
      <c r="AX912" s="203">
        <f t="shared" si="1243"/>
        <v>0</v>
      </c>
      <c r="AY912" s="108"/>
      <c r="AZ912" s="203"/>
      <c r="BA912" s="203"/>
      <c r="BB912" s="203"/>
      <c r="BC912" s="203">
        <f t="shared" si="1244"/>
        <v>0</v>
      </c>
      <c r="BD912" s="108"/>
      <c r="BE912" s="108"/>
      <c r="BF912" s="108"/>
      <c r="BG912" s="108"/>
      <c r="BH912" s="351"/>
    </row>
    <row r="913" spans="1:60" s="60" customFormat="1" hidden="1" outlineLevel="1" x14ac:dyDescent="0.35">
      <c r="A913" s="350" t="s">
        <v>126</v>
      </c>
      <c r="B913" s="317"/>
      <c r="C913" s="46">
        <v>109</v>
      </c>
      <c r="D913" s="46">
        <v>146</v>
      </c>
      <c r="E913" s="46">
        <v>-83</v>
      </c>
      <c r="F913" s="46">
        <v>72</v>
      </c>
      <c r="G913" s="351">
        <v>97</v>
      </c>
      <c r="H913" s="351">
        <v>199</v>
      </c>
      <c r="I913" s="351">
        <v>-26</v>
      </c>
      <c r="J913" s="351">
        <f t="shared" si="1235"/>
        <v>16</v>
      </c>
      <c r="K913" s="46">
        <v>16</v>
      </c>
      <c r="L913" s="351">
        <v>84</v>
      </c>
      <c r="M913" s="351">
        <v>57</v>
      </c>
      <c r="N913" s="351">
        <v>55</v>
      </c>
      <c r="O913" s="351">
        <f t="shared" si="1236"/>
        <v>75</v>
      </c>
      <c r="P913" s="46">
        <v>75</v>
      </c>
      <c r="Q913" s="351">
        <v>56</v>
      </c>
      <c r="R913" s="351">
        <v>-34</v>
      </c>
      <c r="S913" s="351">
        <v>-112</v>
      </c>
      <c r="T913" s="351">
        <f t="shared" si="1237"/>
        <v>9</v>
      </c>
      <c r="U913" s="46">
        <v>9</v>
      </c>
      <c r="V913" s="351">
        <v>-116</v>
      </c>
      <c r="W913" s="351">
        <v>-57</v>
      </c>
      <c r="X913" s="351">
        <v>-107</v>
      </c>
      <c r="Y913" s="351">
        <f t="shared" si="1238"/>
        <v>148</v>
      </c>
      <c r="Z913" s="46">
        <v>148</v>
      </c>
      <c r="AA913" s="351">
        <v>-124</v>
      </c>
      <c r="AB913" s="351">
        <v>-60</v>
      </c>
      <c r="AC913" s="351">
        <v>-25</v>
      </c>
      <c r="AD913" s="351">
        <f t="shared" si="1239"/>
        <v>24</v>
      </c>
      <c r="AE913" s="46">
        <v>24</v>
      </c>
      <c r="AF913" s="351">
        <v>-88</v>
      </c>
      <c r="AG913" s="351">
        <v>-12</v>
      </c>
      <c r="AH913" s="351">
        <v>148</v>
      </c>
      <c r="AI913" s="351">
        <f t="shared" si="1240"/>
        <v>408</v>
      </c>
      <c r="AJ913" s="46">
        <v>408</v>
      </c>
      <c r="AK913" s="351">
        <v>-3</v>
      </c>
      <c r="AL913" s="351">
        <v>-173</v>
      </c>
      <c r="AM913" s="351">
        <v>-222</v>
      </c>
      <c r="AN913" s="351">
        <f t="shared" si="1241"/>
        <v>-117</v>
      </c>
      <c r="AO913" s="46">
        <v>-117</v>
      </c>
      <c r="AP913" s="351">
        <v>12</v>
      </c>
      <c r="AQ913" s="351">
        <v>-269</v>
      </c>
      <c r="AR913" s="351">
        <v>-48</v>
      </c>
      <c r="AS913" s="351">
        <f t="shared" si="1242"/>
        <v>252</v>
      </c>
      <c r="AT913" s="46">
        <v>252</v>
      </c>
      <c r="AU913" s="790">
        <v>155</v>
      </c>
      <c r="AV913" s="203"/>
      <c r="AW913" s="203"/>
      <c r="AX913" s="203">
        <f t="shared" si="1243"/>
        <v>0</v>
      </c>
      <c r="AY913" s="108"/>
      <c r="AZ913" s="203"/>
      <c r="BA913" s="203"/>
      <c r="BB913" s="203"/>
      <c r="BC913" s="203">
        <f t="shared" si="1244"/>
        <v>0</v>
      </c>
      <c r="BD913" s="108"/>
      <c r="BE913" s="108"/>
      <c r="BF913" s="108"/>
      <c r="BG913" s="108"/>
      <c r="BH913" s="351"/>
    </row>
    <row r="914" spans="1:60" s="60" customFormat="1" hidden="1" outlineLevel="1" x14ac:dyDescent="0.35">
      <c r="A914" s="350" t="s">
        <v>127</v>
      </c>
      <c r="B914" s="317"/>
      <c r="C914" s="46">
        <v>-147</v>
      </c>
      <c r="D914" s="46">
        <v>255</v>
      </c>
      <c r="E914" s="46">
        <v>-45</v>
      </c>
      <c r="F914" s="46">
        <v>90</v>
      </c>
      <c r="G914" s="351">
        <v>99</v>
      </c>
      <c r="H914" s="351">
        <v>166</v>
      </c>
      <c r="I914" s="351">
        <v>25</v>
      </c>
      <c r="J914" s="351">
        <f t="shared" si="1235"/>
        <v>206</v>
      </c>
      <c r="K914" s="46">
        <v>206</v>
      </c>
      <c r="L914" s="351">
        <v>135</v>
      </c>
      <c r="M914" s="351">
        <v>16</v>
      </c>
      <c r="N914" s="351">
        <v>36</v>
      </c>
      <c r="O914" s="351">
        <f t="shared" si="1236"/>
        <v>206</v>
      </c>
      <c r="P914" s="46">
        <v>206</v>
      </c>
      <c r="Q914" s="351">
        <v>100</v>
      </c>
      <c r="R914" s="351">
        <v>-421</v>
      </c>
      <c r="S914" s="351">
        <v>-588</v>
      </c>
      <c r="T914" s="351">
        <f t="shared" si="1237"/>
        <v>-744</v>
      </c>
      <c r="U914" s="46">
        <v>-744</v>
      </c>
      <c r="V914" s="351">
        <v>334</v>
      </c>
      <c r="W914" s="351">
        <v>-102</v>
      </c>
      <c r="X914" s="351">
        <v>155</v>
      </c>
      <c r="Y914" s="351">
        <f t="shared" si="1238"/>
        <v>101</v>
      </c>
      <c r="Z914" s="46">
        <v>101</v>
      </c>
      <c r="AA914" s="351">
        <v>225</v>
      </c>
      <c r="AB914" s="351">
        <v>257</v>
      </c>
      <c r="AC914" s="351">
        <v>249</v>
      </c>
      <c r="AD914" s="351">
        <f t="shared" si="1239"/>
        <v>967</v>
      </c>
      <c r="AE914" s="46">
        <v>967</v>
      </c>
      <c r="AF914" s="351">
        <v>212</v>
      </c>
      <c r="AG914" s="351">
        <v>234</v>
      </c>
      <c r="AH914" s="351">
        <v>122</v>
      </c>
      <c r="AI914" s="351">
        <f t="shared" si="1240"/>
        <v>134</v>
      </c>
      <c r="AJ914" s="46">
        <v>134</v>
      </c>
      <c r="AK914" s="203"/>
      <c r="AL914" s="351">
        <v>-163</v>
      </c>
      <c r="AM914" s="351">
        <v>-53</v>
      </c>
      <c r="AN914" s="351">
        <f t="shared" si="1241"/>
        <v>205</v>
      </c>
      <c r="AO914" s="46">
        <v>205</v>
      </c>
      <c r="AP914" s="351">
        <v>68</v>
      </c>
      <c r="AQ914" s="351">
        <v>273</v>
      </c>
      <c r="AR914" s="351">
        <v>146</v>
      </c>
      <c r="AS914" s="351">
        <f t="shared" si="1242"/>
        <v>132</v>
      </c>
      <c r="AT914" s="46">
        <v>132</v>
      </c>
      <c r="AU914" s="790">
        <v>42</v>
      </c>
      <c r="AV914" s="203"/>
      <c r="AW914" s="203"/>
      <c r="AX914" s="203">
        <f t="shared" si="1243"/>
        <v>0</v>
      </c>
      <c r="AY914" s="108"/>
      <c r="AZ914" s="203"/>
      <c r="BA914" s="203"/>
      <c r="BB914" s="203"/>
      <c r="BC914" s="203">
        <f t="shared" si="1244"/>
        <v>0</v>
      </c>
      <c r="BD914" s="108"/>
      <c r="BE914" s="108"/>
      <c r="BF914" s="108"/>
      <c r="BG914" s="108"/>
      <c r="BH914" s="351"/>
    </row>
    <row r="915" spans="1:60" s="60" customFormat="1" hidden="1" outlineLevel="1" x14ac:dyDescent="0.35">
      <c r="A915" s="350" t="s">
        <v>128</v>
      </c>
      <c r="B915" s="317"/>
      <c r="C915" s="46">
        <v>64</v>
      </c>
      <c r="D915" s="46">
        <v>49</v>
      </c>
      <c r="E915" s="46">
        <v>9</v>
      </c>
      <c r="F915" s="46">
        <v>-32</v>
      </c>
      <c r="G915" s="351">
        <v>-8</v>
      </c>
      <c r="H915" s="351">
        <v>19</v>
      </c>
      <c r="I915" s="351">
        <v>37</v>
      </c>
      <c r="J915" s="351">
        <f t="shared" si="1235"/>
        <v>0</v>
      </c>
      <c r="K915" s="108"/>
      <c r="L915" s="203"/>
      <c r="M915" s="203"/>
      <c r="N915" s="203"/>
      <c r="O915" s="351">
        <f t="shared" si="1236"/>
        <v>0</v>
      </c>
      <c r="P915" s="108"/>
      <c r="Q915" s="203"/>
      <c r="R915" s="203"/>
      <c r="S915" s="203"/>
      <c r="T915" s="351">
        <f t="shared" si="1237"/>
        <v>0</v>
      </c>
      <c r="U915" s="108"/>
      <c r="V915" s="203"/>
      <c r="W915" s="203"/>
      <c r="X915" s="203"/>
      <c r="Y915" s="351">
        <f t="shared" si="1238"/>
        <v>0</v>
      </c>
      <c r="Z915" s="108"/>
      <c r="AA915" s="203"/>
      <c r="AB915" s="203"/>
      <c r="AC915" s="203"/>
      <c r="AD915" s="351">
        <f t="shared" si="1239"/>
        <v>0</v>
      </c>
      <c r="AE915" s="108"/>
      <c r="AF915" s="203"/>
      <c r="AG915" s="203"/>
      <c r="AH915" s="203"/>
      <c r="AI915" s="351">
        <f t="shared" si="1240"/>
        <v>0</v>
      </c>
      <c r="AJ915" s="108"/>
      <c r="AK915" s="203"/>
      <c r="AL915" s="203"/>
      <c r="AM915" s="203"/>
      <c r="AN915" s="351">
        <f t="shared" si="1241"/>
        <v>0</v>
      </c>
      <c r="AO915" s="108"/>
      <c r="AP915" s="203"/>
      <c r="AQ915" s="203"/>
      <c r="AR915" s="203"/>
      <c r="AS915" s="351">
        <f t="shared" si="1242"/>
        <v>0</v>
      </c>
      <c r="AT915" s="108"/>
      <c r="AU915" s="790"/>
      <c r="AV915" s="203"/>
      <c r="AW915" s="203"/>
      <c r="AX915" s="203">
        <f t="shared" si="1243"/>
        <v>0</v>
      </c>
      <c r="AY915" s="108"/>
      <c r="AZ915" s="203"/>
      <c r="BA915" s="203"/>
      <c r="BB915" s="203"/>
      <c r="BC915" s="203">
        <f t="shared" si="1244"/>
        <v>0</v>
      </c>
      <c r="BD915" s="108"/>
      <c r="BE915" s="108"/>
      <c r="BF915" s="108"/>
      <c r="BG915" s="108"/>
      <c r="BH915" s="351"/>
    </row>
    <row r="916" spans="1:60" s="60" customFormat="1" hidden="1" outlineLevel="1" x14ac:dyDescent="0.35">
      <c r="A916" s="350" t="s">
        <v>129</v>
      </c>
      <c r="B916" s="317"/>
      <c r="C916" s="46">
        <v>-329</v>
      </c>
      <c r="D916" s="46">
        <v>279</v>
      </c>
      <c r="E916" s="46">
        <v>-139</v>
      </c>
      <c r="F916" s="46">
        <v>57</v>
      </c>
      <c r="G916" s="351">
        <v>-402</v>
      </c>
      <c r="H916" s="351">
        <v>-187</v>
      </c>
      <c r="I916" s="351">
        <v>-137</v>
      </c>
      <c r="J916" s="351">
        <f t="shared" si="1235"/>
        <v>-126</v>
      </c>
      <c r="K916" s="46">
        <v>-126</v>
      </c>
      <c r="L916" s="351">
        <v>-268</v>
      </c>
      <c r="M916" s="351">
        <v>9</v>
      </c>
      <c r="N916" s="351">
        <v>74</v>
      </c>
      <c r="O916" s="351">
        <f t="shared" si="1236"/>
        <v>177</v>
      </c>
      <c r="P916" s="46">
        <v>177</v>
      </c>
      <c r="Q916" s="351">
        <v>-313</v>
      </c>
      <c r="R916" s="351">
        <v>-50</v>
      </c>
      <c r="S916" s="351">
        <v>-132</v>
      </c>
      <c r="T916" s="351">
        <f t="shared" si="1237"/>
        <v>128</v>
      </c>
      <c r="U916" s="46">
        <v>128</v>
      </c>
      <c r="V916" s="351">
        <v>-419</v>
      </c>
      <c r="W916" s="351">
        <v>-208</v>
      </c>
      <c r="X916" s="351">
        <v>-104</v>
      </c>
      <c r="Y916" s="351">
        <f t="shared" si="1238"/>
        <v>-36</v>
      </c>
      <c r="Z916" s="46">
        <v>-36</v>
      </c>
      <c r="AA916" s="351">
        <v>-358</v>
      </c>
      <c r="AB916" s="351">
        <v>-17</v>
      </c>
      <c r="AC916" s="351">
        <v>48</v>
      </c>
      <c r="AD916" s="351">
        <f t="shared" si="1239"/>
        <v>256</v>
      </c>
      <c r="AE916" s="46">
        <v>256</v>
      </c>
      <c r="AF916" s="351">
        <v>-402</v>
      </c>
      <c r="AG916" s="351">
        <v>-87</v>
      </c>
      <c r="AH916" s="351">
        <v>280</v>
      </c>
      <c r="AI916" s="351">
        <f t="shared" si="1240"/>
        <v>120</v>
      </c>
      <c r="AJ916" s="46">
        <v>120</v>
      </c>
      <c r="AK916" s="351">
        <v>-53</v>
      </c>
      <c r="AL916" s="351">
        <v>101</v>
      </c>
      <c r="AM916" s="351">
        <v>-282</v>
      </c>
      <c r="AN916" s="351">
        <f t="shared" si="1241"/>
        <v>-111</v>
      </c>
      <c r="AO916" s="46">
        <v>-111</v>
      </c>
      <c r="AP916" s="351">
        <v>-457</v>
      </c>
      <c r="AQ916" s="351">
        <v>-386</v>
      </c>
      <c r="AR916" s="351">
        <v>-10</v>
      </c>
      <c r="AS916" s="351">
        <f t="shared" si="1242"/>
        <v>398</v>
      </c>
      <c r="AT916" s="46">
        <v>398</v>
      </c>
      <c r="AU916" s="790">
        <v>-234</v>
      </c>
      <c r="AV916" s="203"/>
      <c r="AW916" s="203"/>
      <c r="AX916" s="203">
        <f t="shared" si="1243"/>
        <v>0</v>
      </c>
      <c r="AY916" s="108"/>
      <c r="AZ916" s="203"/>
      <c r="BA916" s="203"/>
      <c r="BB916" s="203"/>
      <c r="BC916" s="203">
        <f t="shared" si="1244"/>
        <v>0</v>
      </c>
      <c r="BD916" s="108"/>
      <c r="BE916" s="108"/>
      <c r="BF916" s="108"/>
      <c r="BG916" s="108"/>
      <c r="BH916" s="351"/>
    </row>
    <row r="917" spans="1:60" s="69" customFormat="1" hidden="1" outlineLevel="1" x14ac:dyDescent="0.35">
      <c r="A917" s="318" t="s">
        <v>130</v>
      </c>
      <c r="B917" s="319"/>
      <c r="C917" s="110">
        <f t="shared" ref="C917:AH917" si="1245">SUM(C910:C916)</f>
        <v>4941</v>
      </c>
      <c r="D917" s="110">
        <f t="shared" si="1245"/>
        <v>5174</v>
      </c>
      <c r="E917" s="110">
        <f t="shared" si="1245"/>
        <v>5284</v>
      </c>
      <c r="F917" s="110">
        <f t="shared" si="1245"/>
        <v>5300</v>
      </c>
      <c r="G917" s="109">
        <f t="shared" si="1245"/>
        <v>994</v>
      </c>
      <c r="H917" s="109">
        <f t="shared" si="1245"/>
        <v>2673</v>
      </c>
      <c r="I917" s="109">
        <f t="shared" si="1245"/>
        <v>3824</v>
      </c>
      <c r="J917" s="109">
        <f t="shared" si="1245"/>
        <v>5817</v>
      </c>
      <c r="K917" s="110">
        <f t="shared" si="1245"/>
        <v>5817</v>
      </c>
      <c r="L917" s="109">
        <f t="shared" si="1245"/>
        <v>1092</v>
      </c>
      <c r="M917" s="109">
        <f t="shared" si="1245"/>
        <v>2732</v>
      </c>
      <c r="N917" s="109">
        <f t="shared" si="1245"/>
        <v>4443</v>
      </c>
      <c r="O917" s="109">
        <f t="shared" si="1245"/>
        <v>6626</v>
      </c>
      <c r="P917" s="110">
        <f t="shared" si="1245"/>
        <v>6626</v>
      </c>
      <c r="Q917" s="109">
        <f t="shared" si="1245"/>
        <v>1080</v>
      </c>
      <c r="R917" s="109">
        <f t="shared" si="1245"/>
        <v>2418</v>
      </c>
      <c r="S917" s="109">
        <f t="shared" si="1245"/>
        <v>4082</v>
      </c>
      <c r="T917" s="109">
        <f t="shared" si="1245"/>
        <v>6420</v>
      </c>
      <c r="U917" s="110">
        <f t="shared" si="1245"/>
        <v>6420</v>
      </c>
      <c r="V917" s="109">
        <f t="shared" si="1245"/>
        <v>1260</v>
      </c>
      <c r="W917" s="109">
        <f t="shared" si="1245"/>
        <v>2545</v>
      </c>
      <c r="X917" s="109">
        <f t="shared" si="1245"/>
        <v>4453</v>
      </c>
      <c r="Y917" s="109">
        <f t="shared" si="1245"/>
        <v>6662</v>
      </c>
      <c r="Z917" s="110">
        <f t="shared" si="1245"/>
        <v>6662</v>
      </c>
      <c r="AA917" s="109">
        <f t="shared" si="1245"/>
        <v>988</v>
      </c>
      <c r="AB917" s="109">
        <f t="shared" si="1245"/>
        <v>2630</v>
      </c>
      <c r="AC917" s="109">
        <f t="shared" si="1245"/>
        <v>4380</v>
      </c>
      <c r="AD917" s="109">
        <f t="shared" si="1245"/>
        <v>6240</v>
      </c>
      <c r="AE917" s="110">
        <f t="shared" si="1245"/>
        <v>6240</v>
      </c>
      <c r="AF917" s="109">
        <f t="shared" si="1245"/>
        <v>143</v>
      </c>
      <c r="AG917" s="109">
        <f t="shared" si="1245"/>
        <v>2042</v>
      </c>
      <c r="AH917" s="109">
        <f t="shared" si="1245"/>
        <v>4181</v>
      </c>
      <c r="AI917" s="109">
        <f t="shared" ref="AI917:AY917" si="1246">SUM(AI910:AI916)</f>
        <v>6439</v>
      </c>
      <c r="AJ917" s="110">
        <f t="shared" si="1246"/>
        <v>6439</v>
      </c>
      <c r="AK917" s="109">
        <f t="shared" si="1246"/>
        <v>1048</v>
      </c>
      <c r="AL917" s="109">
        <f t="shared" si="1246"/>
        <v>2710</v>
      </c>
      <c r="AM917" s="109">
        <f t="shared" si="1246"/>
        <v>4732</v>
      </c>
      <c r="AN917" s="109">
        <f t="shared" si="1246"/>
        <v>7070</v>
      </c>
      <c r="AO917" s="110">
        <f t="shared" si="1246"/>
        <v>7070</v>
      </c>
      <c r="AP917" s="109">
        <f t="shared" si="1246"/>
        <v>1213</v>
      </c>
      <c r="AQ917" s="109">
        <f t="shared" si="1246"/>
        <v>3118</v>
      </c>
      <c r="AR917" s="109">
        <f t="shared" si="1246"/>
        <v>5598</v>
      </c>
      <c r="AS917" s="109">
        <f t="shared" ref="AS917:AU917" si="1247">SUM(AS910:AS916)</f>
        <v>8113</v>
      </c>
      <c r="AT917" s="110">
        <f t="shared" si="1247"/>
        <v>8113</v>
      </c>
      <c r="AU917" s="796">
        <f t="shared" si="1247"/>
        <v>1688</v>
      </c>
      <c r="AV917" s="109">
        <f t="shared" si="1246"/>
        <v>0</v>
      </c>
      <c r="AW917" s="109">
        <f t="shared" si="1246"/>
        <v>0</v>
      </c>
      <c r="AX917" s="109">
        <f t="shared" si="1246"/>
        <v>0</v>
      </c>
      <c r="AY917" s="110">
        <f t="shared" si="1246"/>
        <v>0</v>
      </c>
      <c r="AZ917" s="109">
        <f t="shared" ref="AZ917:BG917" si="1248">SUM(AZ910:AZ916)</f>
        <v>0</v>
      </c>
      <c r="BA917" s="109">
        <f t="shared" si="1248"/>
        <v>0</v>
      </c>
      <c r="BB917" s="109">
        <f t="shared" si="1248"/>
        <v>0</v>
      </c>
      <c r="BC917" s="109">
        <f t="shared" si="1248"/>
        <v>0</v>
      </c>
      <c r="BD917" s="110">
        <f t="shared" si="1248"/>
        <v>0</v>
      </c>
      <c r="BE917" s="110">
        <f t="shared" si="1248"/>
        <v>0</v>
      </c>
      <c r="BF917" s="110">
        <f t="shared" si="1248"/>
        <v>0</v>
      </c>
      <c r="BG917" s="110">
        <f t="shared" si="1248"/>
        <v>0</v>
      </c>
      <c r="BH917" s="79"/>
    </row>
    <row r="918" spans="1:60" s="21" customFormat="1" hidden="1" outlineLevel="1" x14ac:dyDescent="0.35">
      <c r="A918" s="428"/>
      <c r="B918" s="429"/>
      <c r="C918" s="879"/>
      <c r="D918" s="879"/>
      <c r="E918" s="879"/>
      <c r="F918" s="879"/>
      <c r="G918" s="880"/>
      <c r="H918" s="880"/>
      <c r="I918" s="880"/>
      <c r="J918" s="880"/>
      <c r="K918" s="879"/>
      <c r="L918" s="880"/>
      <c r="M918" s="880"/>
      <c r="N918" s="880"/>
      <c r="O918" s="880"/>
      <c r="P918" s="879"/>
      <c r="Q918" s="880"/>
      <c r="R918" s="880"/>
      <c r="S918" s="880"/>
      <c r="T918" s="880"/>
      <c r="U918" s="879"/>
      <c r="V918" s="880"/>
      <c r="W918" s="880"/>
      <c r="X918" s="880"/>
      <c r="Y918" s="880"/>
      <c r="Z918" s="879"/>
      <c r="AA918" s="880"/>
      <c r="AB918" s="880"/>
      <c r="AC918" s="880"/>
      <c r="AD918" s="880"/>
      <c r="AE918" s="879"/>
      <c r="AF918" s="880"/>
      <c r="AG918" s="880"/>
      <c r="AH918" s="880"/>
      <c r="AI918" s="880"/>
      <c r="AJ918" s="879"/>
      <c r="AK918" s="880"/>
      <c r="AL918" s="880"/>
      <c r="AM918" s="880"/>
      <c r="AN918" s="880"/>
      <c r="AO918" s="879"/>
      <c r="AP918" s="880"/>
      <c r="AQ918" s="880"/>
      <c r="AR918" s="880"/>
      <c r="AS918" s="880"/>
      <c r="AT918" s="879"/>
      <c r="AU918" s="881"/>
      <c r="AV918" s="880"/>
      <c r="AW918" s="880"/>
      <c r="AX918" s="880"/>
      <c r="AY918" s="879"/>
      <c r="AZ918" s="880"/>
      <c r="BA918" s="880"/>
      <c r="BB918" s="880"/>
      <c r="BC918" s="880"/>
      <c r="BD918" s="879"/>
      <c r="BE918" s="879"/>
      <c r="BF918" s="879"/>
      <c r="BG918" s="879"/>
      <c r="BH918" s="651"/>
    </row>
    <row r="919" spans="1:60" s="21" customFormat="1" hidden="1" outlineLevel="1" x14ac:dyDescent="0.35">
      <c r="A919" s="93" t="s">
        <v>131</v>
      </c>
      <c r="B919" s="429"/>
      <c r="C919" s="879"/>
      <c r="D919" s="879"/>
      <c r="E919" s="879"/>
      <c r="F919" s="879"/>
      <c r="G919" s="880"/>
      <c r="H919" s="880"/>
      <c r="I919" s="880"/>
      <c r="J919" s="880"/>
      <c r="K919" s="879"/>
      <c r="L919" s="880"/>
      <c r="M919" s="880"/>
      <c r="N919" s="880"/>
      <c r="O919" s="880"/>
      <c r="P919" s="879"/>
      <c r="Q919" s="880"/>
      <c r="R919" s="880"/>
      <c r="S919" s="880"/>
      <c r="T919" s="880"/>
      <c r="U919" s="879"/>
      <c r="V919" s="880"/>
      <c r="W919" s="880"/>
      <c r="X919" s="880"/>
      <c r="Y919" s="880"/>
      <c r="Z919" s="879"/>
      <c r="AA919" s="880"/>
      <c r="AB919" s="880"/>
      <c r="AC919" s="880"/>
      <c r="AD919" s="880"/>
      <c r="AE919" s="879"/>
      <c r="AF919" s="880"/>
      <c r="AG919" s="880"/>
      <c r="AH919" s="880"/>
      <c r="AI919" s="880"/>
      <c r="AJ919" s="879"/>
      <c r="AK919" s="880"/>
      <c r="AL919" s="880"/>
      <c r="AM919" s="880"/>
      <c r="AN919" s="880"/>
      <c r="AO919" s="879"/>
      <c r="AP919" s="880"/>
      <c r="AQ919" s="880"/>
      <c r="AR919" s="880"/>
      <c r="AS919" s="880"/>
      <c r="AT919" s="879"/>
      <c r="AU919" s="881"/>
      <c r="AV919" s="880"/>
      <c r="AW919" s="880"/>
      <c r="AX919" s="880"/>
      <c r="AY919" s="879"/>
      <c r="AZ919" s="880"/>
      <c r="BA919" s="880"/>
      <c r="BB919" s="880"/>
      <c r="BC919" s="880"/>
      <c r="BD919" s="879"/>
      <c r="BE919" s="879"/>
      <c r="BF919" s="879"/>
      <c r="BG919" s="879"/>
      <c r="BH919" s="651"/>
    </row>
    <row r="920" spans="1:60" s="60" customFormat="1" hidden="1" outlineLevel="1" x14ac:dyDescent="0.35">
      <c r="A920" s="350" t="s">
        <v>132</v>
      </c>
      <c r="B920" s="317"/>
      <c r="C920" s="46">
        <v>-903</v>
      </c>
      <c r="D920" s="46">
        <v>-1091</v>
      </c>
      <c r="E920" s="46">
        <v>-1379</v>
      </c>
      <c r="F920" s="46">
        <v>-1484</v>
      </c>
      <c r="G920" s="351">
        <v>-324</v>
      </c>
      <c r="H920" s="351">
        <v>-718</v>
      </c>
      <c r="I920" s="351">
        <v>-1122</v>
      </c>
      <c r="J920" s="351">
        <f t="shared" ref="J920:J927" si="1249">K920</f>
        <v>-1665</v>
      </c>
      <c r="K920" s="46">
        <v>-1665</v>
      </c>
      <c r="L920" s="351">
        <v>-293</v>
      </c>
      <c r="M920" s="351">
        <v>-634</v>
      </c>
      <c r="N920" s="351">
        <v>-1003</v>
      </c>
      <c r="O920" s="351">
        <f t="shared" ref="O920:O927" si="1250">P920</f>
        <v>-1493</v>
      </c>
      <c r="P920" s="46">
        <v>-1493</v>
      </c>
      <c r="Q920" s="351">
        <v>-291</v>
      </c>
      <c r="R920" s="351">
        <v>-661</v>
      </c>
      <c r="S920" s="351">
        <v>-1015</v>
      </c>
      <c r="T920" s="351">
        <f t="shared" ref="T920:T927" si="1251">U920</f>
        <v>-1461</v>
      </c>
      <c r="U920" s="46">
        <v>-1461</v>
      </c>
      <c r="V920" s="351">
        <v>-314</v>
      </c>
      <c r="W920" s="351">
        <v>-637</v>
      </c>
      <c r="X920" s="351">
        <v>-984</v>
      </c>
      <c r="Y920" s="351">
        <f t="shared" ref="Y920:Y927" si="1252">Z920</f>
        <v>-1420</v>
      </c>
      <c r="Z920" s="46">
        <v>-1420</v>
      </c>
      <c r="AA920" s="351">
        <v>-287</v>
      </c>
      <c r="AB920" s="351">
        <v>-589</v>
      </c>
      <c r="AC920" s="351">
        <v>-914</v>
      </c>
      <c r="AD920" s="351">
        <f t="shared" ref="AD920:AD927" si="1253">AE920</f>
        <v>-1373</v>
      </c>
      <c r="AE920" s="46">
        <v>-1373</v>
      </c>
      <c r="AF920" s="351">
        <v>-304</v>
      </c>
      <c r="AG920" s="351">
        <v>-669</v>
      </c>
      <c r="AH920" s="351">
        <v>-1046</v>
      </c>
      <c r="AI920" s="351">
        <f t="shared" ref="AI920:AI927" si="1254">AJ920</f>
        <v>-1577</v>
      </c>
      <c r="AJ920" s="46">
        <v>-1577</v>
      </c>
      <c r="AK920" s="351">
        <v>-391</v>
      </c>
      <c r="AL920" s="351">
        <v>-812</v>
      </c>
      <c r="AM920" s="351">
        <v>-1161</v>
      </c>
      <c r="AN920" s="351">
        <f t="shared" ref="AN920:AN927" si="1255">AO920</f>
        <v>-1699</v>
      </c>
      <c r="AO920" s="46">
        <v>-1699</v>
      </c>
      <c r="AP920" s="351">
        <v>-332</v>
      </c>
      <c r="AQ920" s="351">
        <v>-711</v>
      </c>
      <c r="AR920" s="351">
        <v>-1079</v>
      </c>
      <c r="AS920" s="351">
        <f t="shared" ref="AS920:AS927" si="1256">AT920</f>
        <v>-1501</v>
      </c>
      <c r="AT920" s="46">
        <v>-1501</v>
      </c>
      <c r="AU920" s="805">
        <v>-310</v>
      </c>
      <c r="AV920" s="203"/>
      <c r="AW920" s="203"/>
      <c r="AX920" s="203">
        <f t="shared" ref="AX920:AX927" si="1257">AY920</f>
        <v>0</v>
      </c>
      <c r="AY920" s="108"/>
      <c r="AZ920" s="203"/>
      <c r="BA920" s="203"/>
      <c r="BB920" s="203"/>
      <c r="BC920" s="203">
        <f t="shared" ref="BC920:BC927" si="1258">BD920</f>
        <v>0</v>
      </c>
      <c r="BD920" s="108"/>
      <c r="BE920" s="108"/>
      <c r="BF920" s="108"/>
      <c r="BG920" s="108"/>
      <c r="BH920" s="351"/>
    </row>
    <row r="921" spans="1:60" s="60" customFormat="1" hidden="1" outlineLevel="1" x14ac:dyDescent="0.35">
      <c r="A921" s="316" t="s">
        <v>133</v>
      </c>
      <c r="B921" s="317"/>
      <c r="C921" s="108">
        <v>74</v>
      </c>
      <c r="D921" s="108">
        <v>25</v>
      </c>
      <c r="E921" s="108">
        <v>55</v>
      </c>
      <c r="F921" s="108">
        <v>41</v>
      </c>
      <c r="G921" s="203">
        <v>10</v>
      </c>
      <c r="H921" s="203">
        <v>18</v>
      </c>
      <c r="I921" s="203">
        <v>86</v>
      </c>
      <c r="J921" s="203">
        <f t="shared" si="1249"/>
        <v>128</v>
      </c>
      <c r="K921" s="108">
        <v>128</v>
      </c>
      <c r="L921" s="203">
        <v>3</v>
      </c>
      <c r="M921" s="203">
        <v>38</v>
      </c>
      <c r="N921" s="203">
        <v>116</v>
      </c>
      <c r="O921" s="203">
        <f t="shared" si="1250"/>
        <v>135</v>
      </c>
      <c r="P921" s="108">
        <v>135</v>
      </c>
      <c r="Q921" s="203">
        <v>4</v>
      </c>
      <c r="R921" s="203">
        <v>14</v>
      </c>
      <c r="S921" s="203">
        <v>17</v>
      </c>
      <c r="T921" s="203">
        <f t="shared" si="1251"/>
        <v>33</v>
      </c>
      <c r="U921" s="108">
        <v>33</v>
      </c>
      <c r="V921" s="203">
        <v>18</v>
      </c>
      <c r="W921" s="203">
        <v>18</v>
      </c>
      <c r="X921" s="203">
        <v>18</v>
      </c>
      <c r="Y921" s="203">
        <f t="shared" si="1252"/>
        <v>58</v>
      </c>
      <c r="Z921" s="108">
        <v>58</v>
      </c>
      <c r="AA921" s="203">
        <v>1</v>
      </c>
      <c r="AB921" s="203">
        <v>13</v>
      </c>
      <c r="AC921" s="203">
        <v>18</v>
      </c>
      <c r="AD921" s="203">
        <f t="shared" si="1253"/>
        <v>49</v>
      </c>
      <c r="AE921" s="108">
        <v>49</v>
      </c>
      <c r="AF921" s="203">
        <v>83</v>
      </c>
      <c r="AG921" s="203">
        <v>96</v>
      </c>
      <c r="AH921" s="203">
        <v>143</v>
      </c>
      <c r="AI921" s="203">
        <f t="shared" si="1254"/>
        <v>262</v>
      </c>
      <c r="AJ921" s="108">
        <v>262</v>
      </c>
      <c r="AK921" s="203">
        <v>1</v>
      </c>
      <c r="AL921" s="203">
        <v>3</v>
      </c>
      <c r="AM921" s="203">
        <v>91</v>
      </c>
      <c r="AN921" s="203">
        <f t="shared" si="1255"/>
        <v>123</v>
      </c>
      <c r="AO921" s="108">
        <v>123</v>
      </c>
      <c r="AP921" s="203">
        <v>7</v>
      </c>
      <c r="AQ921" s="203">
        <v>16</v>
      </c>
      <c r="AR921" s="203">
        <v>29</v>
      </c>
      <c r="AS921" s="203">
        <f t="shared" si="1256"/>
        <v>128</v>
      </c>
      <c r="AT921" s="108">
        <v>128</v>
      </c>
      <c r="AU921" s="790"/>
      <c r="AV921" s="203"/>
      <c r="AW921" s="203"/>
      <c r="AX921" s="203">
        <f t="shared" si="1257"/>
        <v>0</v>
      </c>
      <c r="AY921" s="108"/>
      <c r="AZ921" s="203"/>
      <c r="BA921" s="203"/>
      <c r="BB921" s="203"/>
      <c r="BC921" s="203">
        <f t="shared" si="1258"/>
        <v>0</v>
      </c>
      <c r="BD921" s="108"/>
      <c r="BE921" s="108"/>
      <c r="BF921" s="108"/>
      <c r="BG921" s="108"/>
      <c r="BH921" s="351"/>
    </row>
    <row r="922" spans="1:60" s="60" customFormat="1" hidden="1" outlineLevel="1" x14ac:dyDescent="0.35">
      <c r="A922" s="316" t="s">
        <v>134</v>
      </c>
      <c r="B922" s="317"/>
      <c r="C922" s="108">
        <v>-69</v>
      </c>
      <c r="D922" s="108">
        <v>-1830</v>
      </c>
      <c r="E922" s="108">
        <v>-649</v>
      </c>
      <c r="F922" s="108">
        <v>-1046</v>
      </c>
      <c r="G922" s="203"/>
      <c r="H922" s="203">
        <v>0</v>
      </c>
      <c r="I922" s="203">
        <v>0</v>
      </c>
      <c r="J922" s="203">
        <f t="shared" si="1249"/>
        <v>0</v>
      </c>
      <c r="K922" s="108">
        <v>0</v>
      </c>
      <c r="L922" s="203">
        <v>0</v>
      </c>
      <c r="M922" s="203">
        <v>-94</v>
      </c>
      <c r="N922" s="203">
        <v>-94</v>
      </c>
      <c r="O922" s="203">
        <f t="shared" si="1250"/>
        <v>-94</v>
      </c>
      <c r="P922" s="108">
        <v>-94</v>
      </c>
      <c r="Q922" s="203">
        <v>-150</v>
      </c>
      <c r="R922" s="203">
        <v>-153</v>
      </c>
      <c r="S922" s="203">
        <v>-2910</v>
      </c>
      <c r="T922" s="203">
        <f t="shared" si="1251"/>
        <v>-2914</v>
      </c>
      <c r="U922" s="108">
        <v>-2914</v>
      </c>
      <c r="V922" s="203">
        <v>-4</v>
      </c>
      <c r="W922" s="203">
        <v>-4</v>
      </c>
      <c r="X922" s="203">
        <v>-17</v>
      </c>
      <c r="Y922" s="203">
        <f t="shared" si="1252"/>
        <v>-16</v>
      </c>
      <c r="Z922" s="108">
        <v>-16</v>
      </c>
      <c r="AA922" s="203"/>
      <c r="AB922" s="203"/>
      <c r="AC922" s="203">
        <v>-12</v>
      </c>
      <c r="AD922" s="203">
        <f t="shared" si="1253"/>
        <v>-2023</v>
      </c>
      <c r="AE922" s="108">
        <v>-2023</v>
      </c>
      <c r="AF922" s="203"/>
      <c r="AG922" s="203">
        <v>13</v>
      </c>
      <c r="AH922" s="203">
        <v>13</v>
      </c>
      <c r="AI922" s="203">
        <f t="shared" si="1254"/>
        <v>13</v>
      </c>
      <c r="AJ922" s="108">
        <v>13</v>
      </c>
      <c r="AK922" s="203">
        <v>-704</v>
      </c>
      <c r="AL922" s="203">
        <v>-704</v>
      </c>
      <c r="AM922" s="203">
        <v>-704</v>
      </c>
      <c r="AN922" s="203">
        <f t="shared" si="1255"/>
        <v>-4984</v>
      </c>
      <c r="AO922" s="108">
        <v>-4984</v>
      </c>
      <c r="AP922" s="203">
        <v>-25</v>
      </c>
      <c r="AQ922" s="203">
        <v>-25</v>
      </c>
      <c r="AR922" s="203">
        <v>-25</v>
      </c>
      <c r="AS922" s="203">
        <f t="shared" si="1256"/>
        <v>-25</v>
      </c>
      <c r="AT922" s="108">
        <v>-25</v>
      </c>
      <c r="AU922" s="790"/>
      <c r="AV922" s="203"/>
      <c r="AW922" s="203"/>
      <c r="AX922" s="203">
        <f t="shared" si="1257"/>
        <v>0</v>
      </c>
      <c r="AY922" s="108"/>
      <c r="AZ922" s="203"/>
      <c r="BA922" s="203"/>
      <c r="BB922" s="203"/>
      <c r="BC922" s="203">
        <f t="shared" si="1258"/>
        <v>0</v>
      </c>
      <c r="BD922" s="108"/>
      <c r="BE922" s="108"/>
      <c r="BF922" s="108"/>
      <c r="BG922" s="108"/>
      <c r="BH922" s="351"/>
    </row>
    <row r="923" spans="1:60" s="60" customFormat="1" hidden="1" outlineLevel="1" x14ac:dyDescent="0.35">
      <c r="A923" s="316" t="s">
        <v>135</v>
      </c>
      <c r="B923" s="317"/>
      <c r="C923" s="108">
        <v>-2240</v>
      </c>
      <c r="D923" s="108">
        <v>-3287</v>
      </c>
      <c r="E923" s="108">
        <v>-4162</v>
      </c>
      <c r="F923" s="108">
        <v>-5492</v>
      </c>
      <c r="G923" s="203">
        <v>-1767</v>
      </c>
      <c r="H923" s="203">
        <v>-3000</v>
      </c>
      <c r="I923" s="203">
        <v>-3589</v>
      </c>
      <c r="J923" s="203">
        <f t="shared" si="1249"/>
        <v>-4040</v>
      </c>
      <c r="K923" s="108">
        <v>-4040</v>
      </c>
      <c r="L923" s="203">
        <v>-601</v>
      </c>
      <c r="M923" s="203">
        <v>-849</v>
      </c>
      <c r="N923" s="203">
        <v>-1028</v>
      </c>
      <c r="O923" s="203">
        <f t="shared" si="1250"/>
        <v>-1280</v>
      </c>
      <c r="P923" s="108">
        <v>-1280</v>
      </c>
      <c r="Q923" s="203">
        <v>-191</v>
      </c>
      <c r="R923" s="203">
        <v>-341</v>
      </c>
      <c r="S923" s="203">
        <v>-486</v>
      </c>
      <c r="T923" s="203">
        <f t="shared" si="1251"/>
        <v>-652</v>
      </c>
      <c r="U923" s="108">
        <v>-652</v>
      </c>
      <c r="V923" s="203">
        <v>-225</v>
      </c>
      <c r="W923" s="203">
        <v>-510</v>
      </c>
      <c r="X923" s="203">
        <v>-1036</v>
      </c>
      <c r="Y923" s="203">
        <f t="shared" si="1252"/>
        <v>-1410</v>
      </c>
      <c r="Z923" s="108">
        <v>-1410</v>
      </c>
      <c r="AA923" s="203">
        <v>-213</v>
      </c>
      <c r="AB923" s="203">
        <v>-407</v>
      </c>
      <c r="AC923" s="203">
        <v>-1055</v>
      </c>
      <c r="AD923" s="203">
        <f t="shared" si="1253"/>
        <v>-2152</v>
      </c>
      <c r="AE923" s="108">
        <v>-2152</v>
      </c>
      <c r="AF923" s="203">
        <v>-517</v>
      </c>
      <c r="AG923" s="203">
        <v>-964</v>
      </c>
      <c r="AH923" s="203">
        <v>-1352</v>
      </c>
      <c r="AI923" s="203">
        <f t="shared" si="1254"/>
        <v>-1828</v>
      </c>
      <c r="AJ923" s="108">
        <v>-1828</v>
      </c>
      <c r="AK923" s="203">
        <v>-511</v>
      </c>
      <c r="AL923" s="203">
        <v>-751</v>
      </c>
      <c r="AM923" s="203">
        <v>-917</v>
      </c>
      <c r="AN923" s="203">
        <f t="shared" si="1255"/>
        <v>-1635</v>
      </c>
      <c r="AO923" s="108">
        <v>-1635</v>
      </c>
      <c r="AP923" s="203">
        <v>-318</v>
      </c>
      <c r="AQ923" s="203">
        <v>-634</v>
      </c>
      <c r="AR923" s="203">
        <v>-1069</v>
      </c>
      <c r="AS923" s="203">
        <f t="shared" si="1256"/>
        <v>-1579</v>
      </c>
      <c r="AT923" s="108">
        <v>-1579</v>
      </c>
      <c r="AU923" s="790">
        <v>-110</v>
      </c>
      <c r="AV923" s="203"/>
      <c r="AW923" s="203"/>
      <c r="AX923" s="203">
        <f t="shared" si="1257"/>
        <v>0</v>
      </c>
      <c r="AY923" s="108"/>
      <c r="AZ923" s="203"/>
      <c r="BA923" s="203"/>
      <c r="BB923" s="203"/>
      <c r="BC923" s="203">
        <f t="shared" si="1258"/>
        <v>0</v>
      </c>
      <c r="BD923" s="108"/>
      <c r="BE923" s="108"/>
      <c r="BF923" s="108"/>
      <c r="BG923" s="108"/>
      <c r="BH923" s="351"/>
    </row>
    <row r="924" spans="1:60" s="60" customFormat="1" hidden="1" outlineLevel="1" x14ac:dyDescent="0.35">
      <c r="A924" s="316" t="s">
        <v>136</v>
      </c>
      <c r="B924" s="317"/>
      <c r="C924" s="108">
        <v>718</v>
      </c>
      <c r="D924" s="108">
        <v>1995</v>
      </c>
      <c r="E924" s="108">
        <v>1679</v>
      </c>
      <c r="F924" s="108">
        <v>5281</v>
      </c>
      <c r="G924" s="203">
        <v>1671</v>
      </c>
      <c r="H924" s="203">
        <v>2948</v>
      </c>
      <c r="I924" s="203">
        <v>3902</v>
      </c>
      <c r="J924" s="203">
        <f t="shared" si="1249"/>
        <v>4667</v>
      </c>
      <c r="K924" s="108">
        <v>4667</v>
      </c>
      <c r="L924" s="203">
        <v>599</v>
      </c>
      <c r="M924" s="203">
        <v>982</v>
      </c>
      <c r="N924" s="203">
        <v>1411</v>
      </c>
      <c r="O924" s="203">
        <f t="shared" si="1250"/>
        <v>2034</v>
      </c>
      <c r="P924" s="108">
        <v>2034</v>
      </c>
      <c r="Q924" s="203">
        <v>605</v>
      </c>
      <c r="R924" s="203">
        <v>1269</v>
      </c>
      <c r="S924" s="203">
        <v>1742</v>
      </c>
      <c r="T924" s="203">
        <f t="shared" si="1251"/>
        <v>1952</v>
      </c>
      <c r="U924" s="108">
        <v>1952</v>
      </c>
      <c r="V924" s="203">
        <v>164</v>
      </c>
      <c r="W924" s="203">
        <v>449</v>
      </c>
      <c r="X924" s="203">
        <v>794</v>
      </c>
      <c r="Y924" s="203">
        <f t="shared" si="1252"/>
        <v>1247</v>
      </c>
      <c r="Z924" s="108">
        <v>1247</v>
      </c>
      <c r="AA924" s="203">
        <v>351</v>
      </c>
      <c r="AB924" s="203">
        <v>543</v>
      </c>
      <c r="AC924" s="203">
        <v>745</v>
      </c>
      <c r="AD924" s="203">
        <f t="shared" si="1253"/>
        <v>1354</v>
      </c>
      <c r="AE924" s="108">
        <v>1354</v>
      </c>
      <c r="AF924" s="203">
        <v>990</v>
      </c>
      <c r="AG924" s="203">
        <v>1636</v>
      </c>
      <c r="AH924" s="203">
        <v>2066</v>
      </c>
      <c r="AI924" s="203">
        <f t="shared" si="1254"/>
        <v>2497</v>
      </c>
      <c r="AJ924" s="108">
        <v>2497</v>
      </c>
      <c r="AK924" s="203">
        <v>369</v>
      </c>
      <c r="AL924" s="203">
        <v>1005</v>
      </c>
      <c r="AM924" s="203">
        <v>1265</v>
      </c>
      <c r="AN924" s="203">
        <f t="shared" si="1255"/>
        <v>1443</v>
      </c>
      <c r="AO924" s="108">
        <v>1443</v>
      </c>
      <c r="AP924" s="203">
        <v>207</v>
      </c>
      <c r="AQ924" s="203">
        <v>976</v>
      </c>
      <c r="AR924" s="203">
        <v>1239</v>
      </c>
      <c r="AS924" s="203">
        <f t="shared" si="1256"/>
        <v>1811</v>
      </c>
      <c r="AT924" s="108">
        <v>1811</v>
      </c>
      <c r="AU924" s="790"/>
      <c r="AV924" s="203"/>
      <c r="AW924" s="203"/>
      <c r="AX924" s="203">
        <f t="shared" si="1257"/>
        <v>0</v>
      </c>
      <c r="AY924" s="108"/>
      <c r="AZ924" s="203"/>
      <c r="BA924" s="203"/>
      <c r="BB924" s="203"/>
      <c r="BC924" s="203">
        <f t="shared" si="1258"/>
        <v>0</v>
      </c>
      <c r="BD924" s="108"/>
      <c r="BE924" s="108"/>
      <c r="BF924" s="108"/>
      <c r="BG924" s="108"/>
      <c r="BH924" s="351"/>
    </row>
    <row r="925" spans="1:60" s="60" customFormat="1" hidden="1" outlineLevel="1" x14ac:dyDescent="0.35">
      <c r="A925" s="316" t="s">
        <v>137</v>
      </c>
      <c r="B925" s="317"/>
      <c r="C925" s="108">
        <v>683</v>
      </c>
      <c r="D925" s="108">
        <v>1565</v>
      </c>
      <c r="E925" s="108">
        <v>1738</v>
      </c>
      <c r="F925" s="108"/>
      <c r="G925" s="203"/>
      <c r="H925" s="203"/>
      <c r="I925" s="203"/>
      <c r="J925" s="203">
        <f t="shared" si="1249"/>
        <v>0</v>
      </c>
      <c r="K925" s="108"/>
      <c r="L925" s="203"/>
      <c r="M925" s="203"/>
      <c r="N925" s="203"/>
      <c r="O925" s="203">
        <f t="shared" si="1250"/>
        <v>0</v>
      </c>
      <c r="P925" s="108"/>
      <c r="Q925" s="203"/>
      <c r="R925" s="203"/>
      <c r="S925" s="203"/>
      <c r="T925" s="203">
        <f t="shared" si="1251"/>
        <v>0</v>
      </c>
      <c r="U925" s="108"/>
      <c r="V925" s="203"/>
      <c r="W925" s="203"/>
      <c r="X925" s="203"/>
      <c r="Y925" s="203">
        <f t="shared" si="1252"/>
        <v>0</v>
      </c>
      <c r="Z925" s="108"/>
      <c r="AA925" s="203"/>
      <c r="AB925" s="203"/>
      <c r="AC925" s="203"/>
      <c r="AD925" s="203">
        <f t="shared" si="1253"/>
        <v>0</v>
      </c>
      <c r="AE925" s="108"/>
      <c r="AF925" s="203"/>
      <c r="AG925" s="203"/>
      <c r="AH925" s="203"/>
      <c r="AI925" s="203">
        <f t="shared" si="1254"/>
        <v>0</v>
      </c>
      <c r="AJ925" s="108"/>
      <c r="AK925" s="203"/>
      <c r="AL925" s="203"/>
      <c r="AM925" s="203"/>
      <c r="AN925" s="203">
        <f t="shared" si="1255"/>
        <v>0</v>
      </c>
      <c r="AO925" s="108"/>
      <c r="AP925" s="203"/>
      <c r="AQ925" s="203"/>
      <c r="AR925" s="203"/>
      <c r="AS925" s="203">
        <f t="shared" si="1256"/>
        <v>0</v>
      </c>
      <c r="AT925" s="108"/>
      <c r="AU925" s="790"/>
      <c r="AV925" s="203"/>
      <c r="AW925" s="203"/>
      <c r="AX925" s="203">
        <f t="shared" si="1257"/>
        <v>0</v>
      </c>
      <c r="AY925" s="108"/>
      <c r="AZ925" s="203"/>
      <c r="BA925" s="203"/>
      <c r="BB925" s="203"/>
      <c r="BC925" s="203">
        <f t="shared" si="1258"/>
        <v>0</v>
      </c>
      <c r="BD925" s="108"/>
      <c r="BE925" s="108"/>
      <c r="BF925" s="108"/>
      <c r="BG925" s="108"/>
      <c r="BH925" s="351"/>
    </row>
    <row r="926" spans="1:60" s="60" customFormat="1" hidden="1" outlineLevel="1" x14ac:dyDescent="0.35">
      <c r="A926" s="316" t="s">
        <v>138</v>
      </c>
      <c r="B926" s="317"/>
      <c r="C926" s="108">
        <v>5</v>
      </c>
      <c r="D926" s="108"/>
      <c r="E926" s="108"/>
      <c r="F926" s="108">
        <v>0</v>
      </c>
      <c r="G926" s="203"/>
      <c r="H926" s="203">
        <v>8</v>
      </c>
      <c r="I926" s="203">
        <v>8</v>
      </c>
      <c r="J926" s="203">
        <f t="shared" si="1249"/>
        <v>8</v>
      </c>
      <c r="K926" s="108">
        <v>8</v>
      </c>
      <c r="L926" s="203">
        <v>0</v>
      </c>
      <c r="M926" s="203">
        <v>0</v>
      </c>
      <c r="N926" s="203">
        <v>0</v>
      </c>
      <c r="O926" s="203">
        <f t="shared" si="1250"/>
        <v>0</v>
      </c>
      <c r="P926" s="108">
        <v>0</v>
      </c>
      <c r="Q926" s="203">
        <v>19</v>
      </c>
      <c r="R926" s="203">
        <v>19</v>
      </c>
      <c r="S926" s="203">
        <v>19</v>
      </c>
      <c r="T926" s="203">
        <f t="shared" si="1251"/>
        <v>123</v>
      </c>
      <c r="U926" s="108">
        <v>123</v>
      </c>
      <c r="V926" s="203">
        <v>56</v>
      </c>
      <c r="W926" s="203">
        <v>56</v>
      </c>
      <c r="X926" s="203">
        <v>56</v>
      </c>
      <c r="Y926" s="203">
        <f t="shared" si="1252"/>
        <v>142</v>
      </c>
      <c r="Z926" s="108">
        <v>142</v>
      </c>
      <c r="AA926" s="203">
        <v>53</v>
      </c>
      <c r="AB926" s="203">
        <v>862</v>
      </c>
      <c r="AC926" s="203">
        <v>862</v>
      </c>
      <c r="AD926" s="203">
        <f t="shared" si="1253"/>
        <v>1065</v>
      </c>
      <c r="AE926" s="108">
        <v>1065</v>
      </c>
      <c r="AF926" s="203">
        <v>40</v>
      </c>
      <c r="AG926" s="203">
        <v>806</v>
      </c>
      <c r="AH926" s="203">
        <v>806</v>
      </c>
      <c r="AI926" s="203">
        <f t="shared" si="1254"/>
        <v>846</v>
      </c>
      <c r="AJ926" s="108">
        <v>846</v>
      </c>
      <c r="AK926" s="203">
        <v>6</v>
      </c>
      <c r="AL926" s="203">
        <v>6</v>
      </c>
      <c r="AM926" s="203">
        <v>236</v>
      </c>
      <c r="AN926" s="203">
        <f t="shared" si="1255"/>
        <v>236</v>
      </c>
      <c r="AO926" s="108">
        <v>236</v>
      </c>
      <c r="AP926" s="203">
        <v>86</v>
      </c>
      <c r="AQ926" s="203">
        <v>573</v>
      </c>
      <c r="AR926" s="203">
        <v>576</v>
      </c>
      <c r="AS926" s="203">
        <f t="shared" si="1256"/>
        <v>576</v>
      </c>
      <c r="AT926" s="108">
        <v>576</v>
      </c>
      <c r="AU926" s="790"/>
      <c r="AV926" s="203"/>
      <c r="AW926" s="203"/>
      <c r="AX926" s="203">
        <f t="shared" si="1257"/>
        <v>0</v>
      </c>
      <c r="AY926" s="108"/>
      <c r="AZ926" s="203"/>
      <c r="BA926" s="203"/>
      <c r="BB926" s="203"/>
      <c r="BC926" s="203">
        <f t="shared" si="1258"/>
        <v>0</v>
      </c>
      <c r="BD926" s="108"/>
      <c r="BE926" s="108"/>
      <c r="BF926" s="108"/>
      <c r="BG926" s="108"/>
      <c r="BH926" s="351"/>
    </row>
    <row r="927" spans="1:60" s="60" customFormat="1" hidden="1" outlineLevel="1" x14ac:dyDescent="0.35">
      <c r="A927" s="316" t="s">
        <v>139</v>
      </c>
      <c r="B927" s="317"/>
      <c r="C927" s="108"/>
      <c r="D927" s="108">
        <v>-3</v>
      </c>
      <c r="E927" s="108">
        <v>0</v>
      </c>
      <c r="F927" s="108">
        <v>14</v>
      </c>
      <c r="G927" s="203">
        <v>5</v>
      </c>
      <c r="H927" s="203">
        <v>4</v>
      </c>
      <c r="I927" s="203">
        <v>13</v>
      </c>
      <c r="J927" s="203">
        <f t="shared" si="1249"/>
        <v>46</v>
      </c>
      <c r="K927" s="108">
        <v>46</v>
      </c>
      <c r="L927" s="203">
        <v>5</v>
      </c>
      <c r="M927" s="203">
        <v>-22</v>
      </c>
      <c r="N927" s="203">
        <v>20</v>
      </c>
      <c r="O927" s="203">
        <f t="shared" si="1250"/>
        <v>102</v>
      </c>
      <c r="P927" s="108">
        <v>102</v>
      </c>
      <c r="Q927" s="203">
        <v>4</v>
      </c>
      <c r="R927" s="203">
        <v>19</v>
      </c>
      <c r="S927" s="203">
        <v>22</v>
      </c>
      <c r="T927" s="203">
        <f t="shared" si="1251"/>
        <v>102</v>
      </c>
      <c r="U927" s="108">
        <v>102</v>
      </c>
      <c r="V927" s="203">
        <v>25</v>
      </c>
      <c r="W927" s="203">
        <v>-2</v>
      </c>
      <c r="X927" s="203">
        <v>-4</v>
      </c>
      <c r="Y927" s="203">
        <f t="shared" si="1252"/>
        <v>-4</v>
      </c>
      <c r="Z927" s="108">
        <v>-4</v>
      </c>
      <c r="AA927" s="203">
        <v>5</v>
      </c>
      <c r="AB927" s="203">
        <v>5</v>
      </c>
      <c r="AC927" s="203">
        <v>2</v>
      </c>
      <c r="AD927" s="203">
        <f t="shared" si="1253"/>
        <v>-6</v>
      </c>
      <c r="AE927" s="108">
        <v>-6</v>
      </c>
      <c r="AF927" s="203">
        <v>-11</v>
      </c>
      <c r="AG927" s="203">
        <v>-11</v>
      </c>
      <c r="AH927" s="203">
        <v>8</v>
      </c>
      <c r="AI927" s="203">
        <f t="shared" si="1254"/>
        <v>9</v>
      </c>
      <c r="AJ927" s="108">
        <v>9</v>
      </c>
      <c r="AK927" s="203">
        <v>5</v>
      </c>
      <c r="AL927" s="203">
        <v>18</v>
      </c>
      <c r="AM927" s="203">
        <v>45</v>
      </c>
      <c r="AN927" s="203">
        <f t="shared" si="1255"/>
        <v>72</v>
      </c>
      <c r="AO927" s="108">
        <v>72</v>
      </c>
      <c r="AP927" s="203"/>
      <c r="AQ927" s="203">
        <v>7</v>
      </c>
      <c r="AR927" s="203">
        <v>8</v>
      </c>
      <c r="AS927" s="203">
        <f t="shared" si="1256"/>
        <v>10</v>
      </c>
      <c r="AT927" s="108">
        <v>10</v>
      </c>
      <c r="AU927" s="790">
        <v>51</v>
      </c>
      <c r="AV927" s="203"/>
      <c r="AW927" s="203"/>
      <c r="AX927" s="203">
        <f t="shared" si="1257"/>
        <v>0</v>
      </c>
      <c r="AY927" s="108"/>
      <c r="AZ927" s="203"/>
      <c r="BA927" s="203"/>
      <c r="BB927" s="203"/>
      <c r="BC927" s="203">
        <f t="shared" si="1258"/>
        <v>0</v>
      </c>
      <c r="BD927" s="108"/>
      <c r="BE927" s="108"/>
      <c r="BF927" s="108"/>
      <c r="BG927" s="108"/>
      <c r="BH927" s="351"/>
    </row>
    <row r="928" spans="1:60" s="69" customFormat="1" hidden="1" outlineLevel="1" x14ac:dyDescent="0.35">
      <c r="A928" s="89" t="s">
        <v>140</v>
      </c>
      <c r="B928" s="319"/>
      <c r="C928" s="68">
        <f t="shared" ref="C928:AH928" si="1259">SUM(C920:C927)</f>
        <v>-1732</v>
      </c>
      <c r="D928" s="68">
        <f t="shared" si="1259"/>
        <v>-2626</v>
      </c>
      <c r="E928" s="68">
        <f t="shared" si="1259"/>
        <v>-2718</v>
      </c>
      <c r="F928" s="68">
        <f t="shared" si="1259"/>
        <v>-2686</v>
      </c>
      <c r="G928" s="76">
        <f t="shared" si="1259"/>
        <v>-405</v>
      </c>
      <c r="H928" s="76">
        <f t="shared" si="1259"/>
        <v>-740</v>
      </c>
      <c r="I928" s="76">
        <f t="shared" si="1259"/>
        <v>-702</v>
      </c>
      <c r="J928" s="76">
        <f t="shared" si="1259"/>
        <v>-856</v>
      </c>
      <c r="K928" s="68">
        <f t="shared" si="1259"/>
        <v>-856</v>
      </c>
      <c r="L928" s="76">
        <f t="shared" si="1259"/>
        <v>-287</v>
      </c>
      <c r="M928" s="76">
        <f t="shared" si="1259"/>
        <v>-579</v>
      </c>
      <c r="N928" s="76">
        <f t="shared" si="1259"/>
        <v>-578</v>
      </c>
      <c r="O928" s="76">
        <f t="shared" si="1259"/>
        <v>-596</v>
      </c>
      <c r="P928" s="68">
        <f t="shared" si="1259"/>
        <v>-596</v>
      </c>
      <c r="Q928" s="76">
        <f t="shared" si="1259"/>
        <v>0</v>
      </c>
      <c r="R928" s="76">
        <f t="shared" si="1259"/>
        <v>166</v>
      </c>
      <c r="S928" s="76">
        <f t="shared" si="1259"/>
        <v>-2611</v>
      </c>
      <c r="T928" s="76">
        <f t="shared" si="1259"/>
        <v>-2817</v>
      </c>
      <c r="U928" s="68">
        <f t="shared" si="1259"/>
        <v>-2817</v>
      </c>
      <c r="V928" s="76">
        <f t="shared" si="1259"/>
        <v>-280</v>
      </c>
      <c r="W928" s="76">
        <f t="shared" si="1259"/>
        <v>-630</v>
      </c>
      <c r="X928" s="76">
        <f t="shared" si="1259"/>
        <v>-1173</v>
      </c>
      <c r="Y928" s="76">
        <f t="shared" si="1259"/>
        <v>-1403</v>
      </c>
      <c r="Z928" s="68">
        <f t="shared" si="1259"/>
        <v>-1403</v>
      </c>
      <c r="AA928" s="76">
        <f t="shared" si="1259"/>
        <v>-90</v>
      </c>
      <c r="AB928" s="76">
        <f t="shared" si="1259"/>
        <v>427</v>
      </c>
      <c r="AC928" s="76">
        <f t="shared" si="1259"/>
        <v>-354</v>
      </c>
      <c r="AD928" s="76">
        <f t="shared" si="1259"/>
        <v>-3086</v>
      </c>
      <c r="AE928" s="68">
        <f t="shared" si="1259"/>
        <v>-3086</v>
      </c>
      <c r="AF928" s="76">
        <f t="shared" si="1259"/>
        <v>281</v>
      </c>
      <c r="AG928" s="76">
        <f t="shared" si="1259"/>
        <v>907</v>
      </c>
      <c r="AH928" s="76">
        <f t="shared" si="1259"/>
        <v>638</v>
      </c>
      <c r="AI928" s="76">
        <f t="shared" ref="AI928:AY928" si="1260">SUM(AI920:AI927)</f>
        <v>222</v>
      </c>
      <c r="AJ928" s="68">
        <f t="shared" si="1260"/>
        <v>222</v>
      </c>
      <c r="AK928" s="76">
        <f t="shared" si="1260"/>
        <v>-1225</v>
      </c>
      <c r="AL928" s="76">
        <f t="shared" si="1260"/>
        <v>-1235</v>
      </c>
      <c r="AM928" s="76">
        <f t="shared" si="1260"/>
        <v>-1145</v>
      </c>
      <c r="AN928" s="76">
        <f t="shared" si="1260"/>
        <v>-6444</v>
      </c>
      <c r="AO928" s="68">
        <f t="shared" si="1260"/>
        <v>-6444</v>
      </c>
      <c r="AP928" s="76">
        <f t="shared" si="1260"/>
        <v>-375</v>
      </c>
      <c r="AQ928" s="76">
        <f t="shared" si="1260"/>
        <v>202</v>
      </c>
      <c r="AR928" s="76">
        <f>SUM(AR920:AR927)</f>
        <v>-321</v>
      </c>
      <c r="AS928" s="76">
        <f>SUM(AS920:AS927)</f>
        <v>-580</v>
      </c>
      <c r="AT928" s="68">
        <f>SUM(AT920:AT927)</f>
        <v>-580</v>
      </c>
      <c r="AU928" s="812">
        <f t="shared" ref="AU928" si="1261">SUM(AU920:AU927)</f>
        <v>-369</v>
      </c>
      <c r="AV928" s="109">
        <f t="shared" si="1260"/>
        <v>0</v>
      </c>
      <c r="AW928" s="109">
        <f t="shared" si="1260"/>
        <v>0</v>
      </c>
      <c r="AX928" s="109">
        <f t="shared" si="1260"/>
        <v>0</v>
      </c>
      <c r="AY928" s="110">
        <f t="shared" si="1260"/>
        <v>0</v>
      </c>
      <c r="AZ928" s="109">
        <f t="shared" ref="AZ928:BG928" si="1262">SUM(AZ920:AZ927)</f>
        <v>0</v>
      </c>
      <c r="BA928" s="109">
        <f t="shared" si="1262"/>
        <v>0</v>
      </c>
      <c r="BB928" s="109">
        <f t="shared" si="1262"/>
        <v>0</v>
      </c>
      <c r="BC928" s="109">
        <f t="shared" si="1262"/>
        <v>0</v>
      </c>
      <c r="BD928" s="110">
        <f t="shared" si="1262"/>
        <v>0</v>
      </c>
      <c r="BE928" s="110">
        <f t="shared" si="1262"/>
        <v>0</v>
      </c>
      <c r="BF928" s="110">
        <f t="shared" si="1262"/>
        <v>0</v>
      </c>
      <c r="BG928" s="110">
        <f t="shared" si="1262"/>
        <v>0</v>
      </c>
      <c r="BH928" s="79"/>
    </row>
    <row r="929" spans="1:60" s="21" customFormat="1" hidden="1" outlineLevel="1" x14ac:dyDescent="0.35">
      <c r="A929" s="428"/>
      <c r="B929" s="429"/>
      <c r="C929" s="879"/>
      <c r="D929" s="879"/>
      <c r="E929" s="879"/>
      <c r="F929" s="879"/>
      <c r="G929" s="880"/>
      <c r="H929" s="880"/>
      <c r="I929" s="880"/>
      <c r="J929" s="880"/>
      <c r="K929" s="879"/>
      <c r="L929" s="880"/>
      <c r="M929" s="880"/>
      <c r="N929" s="880"/>
      <c r="O929" s="880"/>
      <c r="P929" s="879"/>
      <c r="Q929" s="880"/>
      <c r="R929" s="880"/>
      <c r="S929" s="880"/>
      <c r="T929" s="880"/>
      <c r="U929" s="879"/>
      <c r="V929" s="880"/>
      <c r="W929" s="880"/>
      <c r="X929" s="880"/>
      <c r="Y929" s="880"/>
      <c r="Z929" s="879"/>
      <c r="AA929" s="880"/>
      <c r="AB929" s="880"/>
      <c r="AC929" s="880"/>
      <c r="AD929" s="880"/>
      <c r="AE929" s="879"/>
      <c r="AF929" s="880"/>
      <c r="AG929" s="880"/>
      <c r="AH929" s="880"/>
      <c r="AI929" s="880"/>
      <c r="AJ929" s="879"/>
      <c r="AK929" s="880"/>
      <c r="AL929" s="880"/>
      <c r="AM929" s="880"/>
      <c r="AN929" s="880"/>
      <c r="AO929" s="879"/>
      <c r="AP929" s="880"/>
      <c r="AQ929" s="880"/>
      <c r="AR929" s="880"/>
      <c r="AS929" s="880"/>
      <c r="AT929" s="879"/>
      <c r="AU929" s="881"/>
      <c r="AV929" s="880"/>
      <c r="AW929" s="880"/>
      <c r="AX929" s="880"/>
      <c r="AY929" s="879"/>
      <c r="AZ929" s="880"/>
      <c r="BA929" s="880"/>
      <c r="BB929" s="880"/>
      <c r="BC929" s="880"/>
      <c r="BD929" s="879"/>
      <c r="BE929" s="879"/>
      <c r="BF929" s="879"/>
      <c r="BG929" s="879"/>
      <c r="BH929" s="651"/>
    </row>
    <row r="930" spans="1:60" s="21" customFormat="1" hidden="1" outlineLevel="1" x14ac:dyDescent="0.35">
      <c r="A930" s="428" t="s">
        <v>141</v>
      </c>
      <c r="B930" s="429"/>
      <c r="C930" s="879"/>
      <c r="D930" s="879"/>
      <c r="E930" s="879"/>
      <c r="F930" s="879"/>
      <c r="G930" s="880"/>
      <c r="H930" s="880"/>
      <c r="I930" s="880"/>
      <c r="J930" s="880"/>
      <c r="K930" s="879"/>
      <c r="L930" s="880"/>
      <c r="M930" s="880"/>
      <c r="N930" s="880"/>
      <c r="O930" s="880"/>
      <c r="P930" s="879"/>
      <c r="Q930" s="880"/>
      <c r="R930" s="880"/>
      <c r="S930" s="880"/>
      <c r="T930" s="880"/>
      <c r="U930" s="879"/>
      <c r="V930" s="880"/>
      <c r="W930" s="880"/>
      <c r="X930" s="880"/>
      <c r="Y930" s="880"/>
      <c r="Z930" s="879"/>
      <c r="AA930" s="880"/>
      <c r="AB930" s="880"/>
      <c r="AC930" s="880"/>
      <c r="AD930" s="880"/>
      <c r="AE930" s="879"/>
      <c r="AF930" s="880"/>
      <c r="AG930" s="880"/>
      <c r="AH930" s="880"/>
      <c r="AI930" s="880"/>
      <c r="AJ930" s="879"/>
      <c r="AK930" s="880"/>
      <c r="AL930" s="880"/>
      <c r="AM930" s="880"/>
      <c r="AN930" s="880"/>
      <c r="AO930" s="879"/>
      <c r="AP930" s="880"/>
      <c r="AQ930" s="880"/>
      <c r="AR930" s="880"/>
      <c r="AS930" s="880"/>
      <c r="AT930" s="879"/>
      <c r="AU930" s="881"/>
      <c r="AV930" s="880"/>
      <c r="AW930" s="880"/>
      <c r="AX930" s="880"/>
      <c r="AY930" s="879"/>
      <c r="AZ930" s="880"/>
      <c r="BA930" s="880"/>
      <c r="BB930" s="880"/>
      <c r="BC930" s="880"/>
      <c r="BD930" s="879"/>
      <c r="BE930" s="879"/>
      <c r="BF930" s="879"/>
      <c r="BG930" s="879"/>
      <c r="BH930" s="651"/>
    </row>
    <row r="931" spans="1:60" s="60" customFormat="1" hidden="1" outlineLevel="1" x14ac:dyDescent="0.35">
      <c r="A931" s="316" t="s">
        <v>142</v>
      </c>
      <c r="B931" s="317"/>
      <c r="C931" s="108">
        <v>-536</v>
      </c>
      <c r="D931" s="108">
        <v>-24</v>
      </c>
      <c r="E931" s="108">
        <v>11</v>
      </c>
      <c r="F931" s="108">
        <v>-36</v>
      </c>
      <c r="G931" s="203">
        <v>-13</v>
      </c>
      <c r="H931" s="203">
        <v>-12</v>
      </c>
      <c r="I931" s="203">
        <v>607</v>
      </c>
      <c r="J931" s="203">
        <f t="shared" ref="J931:J939" si="1263">K931</f>
        <v>-2</v>
      </c>
      <c r="K931" s="108">
        <v>-2</v>
      </c>
      <c r="L931" s="203">
        <v>466</v>
      </c>
      <c r="M931" s="203">
        <v>62</v>
      </c>
      <c r="N931" s="203">
        <v>1935</v>
      </c>
      <c r="O931" s="203">
        <f t="shared" ref="O931:O939" si="1264">P931</f>
        <v>27</v>
      </c>
      <c r="P931" s="108">
        <v>27</v>
      </c>
      <c r="Q931" s="203">
        <v>-4</v>
      </c>
      <c r="R931" s="203">
        <v>-39</v>
      </c>
      <c r="S931" s="203">
        <v>1160</v>
      </c>
      <c r="T931" s="203">
        <f t="shared" ref="T931:T939" si="1265">U931</f>
        <v>860</v>
      </c>
      <c r="U931" s="108">
        <v>860</v>
      </c>
      <c r="V931" s="203">
        <v>138</v>
      </c>
      <c r="W931" s="203">
        <v>-337</v>
      </c>
      <c r="X931" s="203">
        <v>-498</v>
      </c>
      <c r="Y931" s="203">
        <f t="shared" ref="Y931:Y939" si="1266">Z931</f>
        <v>-797</v>
      </c>
      <c r="Z931" s="108">
        <v>-797</v>
      </c>
      <c r="AA931" s="203">
        <v>-68</v>
      </c>
      <c r="AB931" s="203">
        <v>-113</v>
      </c>
      <c r="AC931" s="203">
        <v>60</v>
      </c>
      <c r="AD931" s="203">
        <f t="shared" ref="AD931:AD939" si="1267">AE931</f>
        <v>578</v>
      </c>
      <c r="AE931" s="108">
        <v>578</v>
      </c>
      <c r="AF931" s="203">
        <v>1581</v>
      </c>
      <c r="AG931" s="203">
        <v>774</v>
      </c>
      <c r="AH931" s="203">
        <v>-698</v>
      </c>
      <c r="AI931" s="203">
        <f t="shared" ref="AI931:AI939" si="1268">AJ931</f>
        <v>-284</v>
      </c>
      <c r="AJ931" s="108">
        <v>-284</v>
      </c>
      <c r="AK931" s="203">
        <v>-428</v>
      </c>
      <c r="AL931" s="203">
        <v>-441</v>
      </c>
      <c r="AM931" s="203">
        <v>-466</v>
      </c>
      <c r="AN931" s="203">
        <f t="shared" ref="AN931:AN939" si="1269">AO931</f>
        <v>-316</v>
      </c>
      <c r="AO931" s="108">
        <v>-316</v>
      </c>
      <c r="AP931" s="203">
        <v>462</v>
      </c>
      <c r="AQ931" s="203">
        <v>-132</v>
      </c>
      <c r="AR931" s="203">
        <v>-138</v>
      </c>
      <c r="AS931" s="203">
        <f t="shared" ref="AS931:AS939" si="1270">AT931</f>
        <v>-143</v>
      </c>
      <c r="AT931" s="108">
        <v>-143</v>
      </c>
      <c r="AU931" s="790">
        <v>6</v>
      </c>
      <c r="AV931" s="203"/>
      <c r="AW931" s="203"/>
      <c r="AX931" s="203">
        <f t="shared" ref="AX931:AX939" si="1271">AY931</f>
        <v>0</v>
      </c>
      <c r="AY931" s="108"/>
      <c r="AZ931" s="203"/>
      <c r="BA931" s="203"/>
      <c r="BB931" s="203"/>
      <c r="BC931" s="203">
        <f t="shared" ref="BC931:BC939" si="1272">BD931</f>
        <v>0</v>
      </c>
      <c r="BD931" s="108"/>
      <c r="BE931" s="108"/>
      <c r="BF931" s="108"/>
      <c r="BG931" s="108"/>
      <c r="BH931" s="351"/>
    </row>
    <row r="932" spans="1:60" s="60" customFormat="1" hidden="1" outlineLevel="1" x14ac:dyDescent="0.35">
      <c r="A932" s="316" t="s">
        <v>143</v>
      </c>
      <c r="B932" s="317"/>
      <c r="C932" s="108">
        <v>-519</v>
      </c>
      <c r="D932" s="108">
        <v>-556</v>
      </c>
      <c r="E932" s="108">
        <v>-1429</v>
      </c>
      <c r="F932" s="108">
        <v>-612</v>
      </c>
      <c r="G932" s="203">
        <v>-5</v>
      </c>
      <c r="H932" s="203">
        <v>-12</v>
      </c>
      <c r="I932" s="203">
        <v>-853</v>
      </c>
      <c r="J932" s="203">
        <f t="shared" si="1263"/>
        <v>-859</v>
      </c>
      <c r="K932" s="108">
        <v>-859</v>
      </c>
      <c r="L932" s="203">
        <v>-64</v>
      </c>
      <c r="M932" s="203">
        <v>-119</v>
      </c>
      <c r="N932" s="203">
        <v>-1551</v>
      </c>
      <c r="O932" s="203">
        <f t="shared" si="1264"/>
        <v>-1625</v>
      </c>
      <c r="P932" s="108">
        <v>-1625</v>
      </c>
      <c r="Q932" s="203"/>
      <c r="R932" s="203">
        <v>-10</v>
      </c>
      <c r="S932" s="203">
        <v>-793</v>
      </c>
      <c r="T932" s="203">
        <f t="shared" si="1265"/>
        <v>-800</v>
      </c>
      <c r="U932" s="108">
        <v>-800</v>
      </c>
      <c r="V932" s="203"/>
      <c r="W932" s="203">
        <v>0</v>
      </c>
      <c r="X932" s="203">
        <v>-992</v>
      </c>
      <c r="Y932" s="203">
        <f t="shared" si="1266"/>
        <v>-992</v>
      </c>
      <c r="Z932" s="108">
        <v>-992</v>
      </c>
      <c r="AA932" s="203"/>
      <c r="AB932" s="203">
        <v>-650</v>
      </c>
      <c r="AC932" s="203">
        <v>-650</v>
      </c>
      <c r="AD932" s="203">
        <f t="shared" si="1267"/>
        <v>-962</v>
      </c>
      <c r="AE932" s="108">
        <v>-962</v>
      </c>
      <c r="AF932" s="203">
        <v>-6</v>
      </c>
      <c r="AG932" s="203">
        <v>-6</v>
      </c>
      <c r="AH932" s="203">
        <v>-456</v>
      </c>
      <c r="AI932" s="203">
        <f t="shared" si="1268"/>
        <v>-1034</v>
      </c>
      <c r="AJ932" s="108">
        <v>-1034</v>
      </c>
      <c r="AK932" s="203">
        <v>-246</v>
      </c>
      <c r="AL932" s="203">
        <v>-871</v>
      </c>
      <c r="AM932" s="203">
        <v>-871</v>
      </c>
      <c r="AN932" s="203">
        <f t="shared" si="1269"/>
        <v>-2716</v>
      </c>
      <c r="AO932" s="108">
        <v>-2716</v>
      </c>
      <c r="AP932" s="203"/>
      <c r="AQ932" s="203">
        <v>-1146</v>
      </c>
      <c r="AR932" s="203">
        <v>-2477</v>
      </c>
      <c r="AS932" s="203">
        <f t="shared" si="1270"/>
        <v>-3482</v>
      </c>
      <c r="AT932" s="108">
        <v>-3482</v>
      </c>
      <c r="AU932" s="790">
        <v>-450</v>
      </c>
      <c r="AV932" s="203"/>
      <c r="AW932" s="203"/>
      <c r="AX932" s="203">
        <f t="shared" si="1271"/>
        <v>0</v>
      </c>
      <c r="AY932" s="108"/>
      <c r="AZ932" s="203"/>
      <c r="BA932" s="203"/>
      <c r="BB932" s="203"/>
      <c r="BC932" s="203">
        <f t="shared" si="1272"/>
        <v>0</v>
      </c>
      <c r="BD932" s="108"/>
      <c r="BE932" s="108"/>
      <c r="BF932" s="108"/>
      <c r="BG932" s="108"/>
      <c r="BH932" s="351"/>
    </row>
    <row r="933" spans="1:60" s="60" customFormat="1" hidden="1" outlineLevel="1" x14ac:dyDescent="0.35">
      <c r="A933" s="316" t="s">
        <v>144</v>
      </c>
      <c r="B933" s="317"/>
      <c r="C933" s="108">
        <v>41</v>
      </c>
      <c r="D933" s="108">
        <v>108</v>
      </c>
      <c r="E933" s="108">
        <v>1111</v>
      </c>
      <c r="F933" s="108">
        <v>1370</v>
      </c>
      <c r="G933" s="203">
        <v>9</v>
      </c>
      <c r="H933" s="203">
        <v>11</v>
      </c>
      <c r="I933" s="203">
        <v>12</v>
      </c>
      <c r="J933" s="203">
        <f t="shared" si="1263"/>
        <v>824</v>
      </c>
      <c r="K933" s="108">
        <v>824</v>
      </c>
      <c r="L933" s="203">
        <v>172</v>
      </c>
      <c r="M933" s="203">
        <v>1078</v>
      </c>
      <c r="N933" s="203">
        <v>1064</v>
      </c>
      <c r="O933" s="203">
        <f t="shared" si="1264"/>
        <v>2608</v>
      </c>
      <c r="P933" s="108">
        <v>2608</v>
      </c>
      <c r="Q933" s="203"/>
      <c r="R933" s="203">
        <v>1925</v>
      </c>
      <c r="S933" s="203">
        <v>3420</v>
      </c>
      <c r="T933" s="203">
        <f t="shared" si="1265"/>
        <v>3422</v>
      </c>
      <c r="U933" s="108">
        <v>3422</v>
      </c>
      <c r="V933" s="203"/>
      <c r="W933" s="203">
        <v>1112</v>
      </c>
      <c r="X933" s="203">
        <v>2832</v>
      </c>
      <c r="Y933" s="203">
        <f t="shared" si="1266"/>
        <v>2832</v>
      </c>
      <c r="Z933" s="108">
        <v>2832</v>
      </c>
      <c r="AA933" s="203"/>
      <c r="AB933" s="203"/>
      <c r="AC933" s="203"/>
      <c r="AD933" s="203">
        <f t="shared" si="1267"/>
        <v>1987</v>
      </c>
      <c r="AE933" s="108">
        <v>1987</v>
      </c>
      <c r="AF933" s="203">
        <v>6</v>
      </c>
      <c r="AG933" s="203">
        <v>6</v>
      </c>
      <c r="AH933" s="203">
        <v>2247</v>
      </c>
      <c r="AI933" s="203">
        <f t="shared" si="1268"/>
        <v>2251</v>
      </c>
      <c r="AJ933" s="108">
        <v>2251</v>
      </c>
      <c r="AK933" s="203">
        <v>2265</v>
      </c>
      <c r="AL933" s="203">
        <v>2265</v>
      </c>
      <c r="AM933" s="203">
        <v>6116</v>
      </c>
      <c r="AN933" s="203">
        <f t="shared" si="1269"/>
        <v>6281</v>
      </c>
      <c r="AO933" s="108">
        <v>6281</v>
      </c>
      <c r="AP933" s="203">
        <v>1745</v>
      </c>
      <c r="AQ933" s="203">
        <v>1745</v>
      </c>
      <c r="AR933" s="203">
        <v>1745</v>
      </c>
      <c r="AS933" s="203">
        <f t="shared" si="1270"/>
        <v>1750</v>
      </c>
      <c r="AT933" s="108">
        <v>1750</v>
      </c>
      <c r="AU933" s="790"/>
      <c r="AV933" s="203"/>
      <c r="AW933" s="203"/>
      <c r="AX933" s="203">
        <f t="shared" si="1271"/>
        <v>0</v>
      </c>
      <c r="AY933" s="108"/>
      <c r="AZ933" s="203"/>
      <c r="BA933" s="203"/>
      <c r="BB933" s="203"/>
      <c r="BC933" s="203">
        <f t="shared" si="1272"/>
        <v>0</v>
      </c>
      <c r="BD933" s="108"/>
      <c r="BE933" s="108"/>
      <c r="BF933" s="108"/>
      <c r="BG933" s="108"/>
      <c r="BH933" s="351"/>
    </row>
    <row r="934" spans="1:60" s="60" customFormat="1" hidden="1" outlineLevel="1" x14ac:dyDescent="0.35">
      <c r="A934" s="350" t="s">
        <v>145</v>
      </c>
      <c r="B934" s="317"/>
      <c r="C934" s="46">
        <v>-17</v>
      </c>
      <c r="D934" s="46">
        <v>-854</v>
      </c>
      <c r="E934" s="46">
        <v>-2701</v>
      </c>
      <c r="F934" s="46">
        <v>-2204</v>
      </c>
      <c r="G934" s="351">
        <v>-805</v>
      </c>
      <c r="H934" s="351">
        <v>-1995</v>
      </c>
      <c r="I934" s="351">
        <v>-3538</v>
      </c>
      <c r="J934" s="351">
        <f t="shared" si="1263"/>
        <v>-5212</v>
      </c>
      <c r="K934" s="46">
        <v>-5212</v>
      </c>
      <c r="L934" s="351">
        <v>-1708</v>
      </c>
      <c r="M934" s="351">
        <v>-3134</v>
      </c>
      <c r="N934" s="351">
        <v>-4373</v>
      </c>
      <c r="O934" s="351">
        <f t="shared" si="1264"/>
        <v>-5652</v>
      </c>
      <c r="P934" s="46">
        <v>-5652</v>
      </c>
      <c r="Q934" s="351">
        <v>-886</v>
      </c>
      <c r="R934" s="351">
        <v>-2581</v>
      </c>
      <c r="S934" s="351">
        <v>-4104</v>
      </c>
      <c r="T934" s="351">
        <f t="shared" si="1265"/>
        <v>-5238</v>
      </c>
      <c r="U934" s="46">
        <v>-5238</v>
      </c>
      <c r="V934" s="351">
        <v>-1227</v>
      </c>
      <c r="W934" s="351">
        <v>-2055</v>
      </c>
      <c r="X934" s="351">
        <v>-2829</v>
      </c>
      <c r="Y934" s="351">
        <f t="shared" si="1266"/>
        <v>-3753</v>
      </c>
      <c r="Z934" s="46">
        <v>-3753</v>
      </c>
      <c r="AA934" s="351">
        <v>-690</v>
      </c>
      <c r="AB934" s="351">
        <v>-1184</v>
      </c>
      <c r="AC934" s="351">
        <v>-1564</v>
      </c>
      <c r="AD934" s="351">
        <f t="shared" si="1267"/>
        <v>-2068</v>
      </c>
      <c r="AE934" s="46">
        <v>-2068</v>
      </c>
      <c r="AF934" s="351">
        <v>-937</v>
      </c>
      <c r="AG934" s="351">
        <v>-2537</v>
      </c>
      <c r="AH934" s="351">
        <v>-3601</v>
      </c>
      <c r="AI934" s="351">
        <f t="shared" si="1268"/>
        <v>-4870</v>
      </c>
      <c r="AJ934" s="46">
        <v>-4870</v>
      </c>
      <c r="AK934" s="351">
        <v>-701</v>
      </c>
      <c r="AL934" s="351">
        <v>-1101</v>
      </c>
      <c r="AM934" s="351">
        <v>-1243</v>
      </c>
      <c r="AN934" s="351">
        <f t="shared" si="1269"/>
        <v>-1407</v>
      </c>
      <c r="AO934" s="46">
        <v>-1407</v>
      </c>
      <c r="AP934" s="351">
        <v>-365</v>
      </c>
      <c r="AQ934" s="351">
        <v>-366</v>
      </c>
      <c r="AR934" s="351">
        <v>-366</v>
      </c>
      <c r="AS934" s="351">
        <f t="shared" si="1270"/>
        <v>-368</v>
      </c>
      <c r="AT934" s="46">
        <v>-368</v>
      </c>
      <c r="AU934" s="805">
        <v>-231</v>
      </c>
      <c r="AV934" s="203"/>
      <c r="AW934" s="203"/>
      <c r="AX934" s="203">
        <f t="shared" si="1271"/>
        <v>0</v>
      </c>
      <c r="AY934" s="108"/>
      <c r="AZ934" s="203"/>
      <c r="BA934" s="203"/>
      <c r="BB934" s="203"/>
      <c r="BC934" s="203">
        <f t="shared" si="1272"/>
        <v>0</v>
      </c>
      <c r="BD934" s="108"/>
      <c r="BE934" s="108"/>
      <c r="BF934" s="108"/>
      <c r="BG934" s="108"/>
      <c r="BH934" s="351"/>
    </row>
    <row r="935" spans="1:60" s="60" customFormat="1" hidden="1" outlineLevel="1" x14ac:dyDescent="0.35">
      <c r="A935" s="350" t="s">
        <v>146</v>
      </c>
      <c r="B935" s="317"/>
      <c r="C935" s="46">
        <v>431</v>
      </c>
      <c r="D935" s="46">
        <v>666</v>
      </c>
      <c r="E935" s="46">
        <v>902</v>
      </c>
      <c r="F935" s="46">
        <v>1012</v>
      </c>
      <c r="G935" s="351">
        <v>738</v>
      </c>
      <c r="H935" s="351">
        <v>1103</v>
      </c>
      <c r="I935" s="351">
        <v>1372</v>
      </c>
      <c r="J935" s="351">
        <f t="shared" si="1263"/>
        <v>1609</v>
      </c>
      <c r="K935" s="46">
        <v>1609</v>
      </c>
      <c r="L935" s="351">
        <v>267</v>
      </c>
      <c r="M935" s="351">
        <v>585</v>
      </c>
      <c r="N935" s="351">
        <v>739</v>
      </c>
      <c r="O935" s="351">
        <f t="shared" si="1264"/>
        <v>968</v>
      </c>
      <c r="P935" s="46">
        <v>968</v>
      </c>
      <c r="Q935" s="351">
        <v>309</v>
      </c>
      <c r="R935" s="351">
        <v>450</v>
      </c>
      <c r="S935" s="351">
        <v>518</v>
      </c>
      <c r="T935" s="351">
        <f t="shared" si="1265"/>
        <v>635</v>
      </c>
      <c r="U935" s="46">
        <v>635</v>
      </c>
      <c r="V935" s="351">
        <v>357</v>
      </c>
      <c r="W935" s="351">
        <v>612</v>
      </c>
      <c r="X935" s="351">
        <v>741</v>
      </c>
      <c r="Y935" s="351">
        <f t="shared" si="1266"/>
        <v>804</v>
      </c>
      <c r="Z935" s="46">
        <v>804</v>
      </c>
      <c r="AA935" s="351">
        <v>315</v>
      </c>
      <c r="AB935" s="351">
        <v>496</v>
      </c>
      <c r="AC935" s="351">
        <v>582</v>
      </c>
      <c r="AD935" s="351">
        <f t="shared" si="1267"/>
        <v>734</v>
      </c>
      <c r="AE935" s="46">
        <v>734</v>
      </c>
      <c r="AF935" s="351">
        <v>219</v>
      </c>
      <c r="AG935" s="351">
        <v>305</v>
      </c>
      <c r="AH935" s="351">
        <v>401</v>
      </c>
      <c r="AI935" s="351">
        <f t="shared" si="1268"/>
        <v>485</v>
      </c>
      <c r="AJ935" s="46">
        <v>485</v>
      </c>
      <c r="AK935" s="351">
        <v>215</v>
      </c>
      <c r="AL935" s="351">
        <v>365</v>
      </c>
      <c r="AM935" s="351">
        <v>437</v>
      </c>
      <c r="AN935" s="351">
        <f t="shared" si="1269"/>
        <v>547</v>
      </c>
      <c r="AO935" s="46">
        <v>547</v>
      </c>
      <c r="AP935" s="351">
        <v>149</v>
      </c>
      <c r="AQ935" s="351">
        <v>236</v>
      </c>
      <c r="AR935" s="351">
        <v>325</v>
      </c>
      <c r="AS935" s="351">
        <f t="shared" si="1270"/>
        <v>429</v>
      </c>
      <c r="AT935" s="46">
        <v>429</v>
      </c>
      <c r="AU935" s="805">
        <v>293</v>
      </c>
      <c r="AV935" s="203"/>
      <c r="AW935" s="203"/>
      <c r="AX935" s="203">
        <f t="shared" si="1271"/>
        <v>0</v>
      </c>
      <c r="AY935" s="108"/>
      <c r="AZ935" s="203"/>
      <c r="BA935" s="203"/>
      <c r="BB935" s="203"/>
      <c r="BC935" s="203">
        <f t="shared" si="1272"/>
        <v>0</v>
      </c>
      <c r="BD935" s="108"/>
      <c r="BE935" s="108"/>
      <c r="BF935" s="108"/>
      <c r="BG935" s="108"/>
      <c r="BH935" s="351"/>
    </row>
    <row r="936" spans="1:60" s="60" customFormat="1" hidden="1" outlineLevel="1" x14ac:dyDescent="0.35">
      <c r="A936" s="350" t="s">
        <v>147</v>
      </c>
      <c r="B936" s="317"/>
      <c r="C936" s="46">
        <v>-1431</v>
      </c>
      <c r="D936" s="46">
        <v>-1500</v>
      </c>
      <c r="E936" s="46">
        <v>-1555</v>
      </c>
      <c r="F936" s="46">
        <v>-1635</v>
      </c>
      <c r="G936" s="351">
        <v>-440</v>
      </c>
      <c r="H936" s="351">
        <v>-876</v>
      </c>
      <c r="I936" s="351">
        <v>-1307</v>
      </c>
      <c r="J936" s="351">
        <f t="shared" si="1263"/>
        <v>-1730</v>
      </c>
      <c r="K936" s="46">
        <v>-1730</v>
      </c>
      <c r="L936" s="351">
        <v>-566</v>
      </c>
      <c r="M936" s="351">
        <v>-1122</v>
      </c>
      <c r="N936" s="351">
        <v>-1672</v>
      </c>
      <c r="O936" s="351">
        <f t="shared" si="1264"/>
        <v>-2216</v>
      </c>
      <c r="P936" s="46">
        <v>-2216</v>
      </c>
      <c r="Q936" s="351">
        <v>-652</v>
      </c>
      <c r="R936" s="351">
        <v>-1298</v>
      </c>
      <c r="S936" s="351">
        <v>-1933</v>
      </c>
      <c r="T936" s="351">
        <f t="shared" si="1265"/>
        <v>-2561</v>
      </c>
      <c r="U936" s="46">
        <v>-2561</v>
      </c>
      <c r="V936" s="351">
        <v>-672</v>
      </c>
      <c r="W936" s="351">
        <v>-1344</v>
      </c>
      <c r="X936" s="351">
        <v>-2014</v>
      </c>
      <c r="Y936" s="351">
        <f t="shared" si="1266"/>
        <v>-2678</v>
      </c>
      <c r="Z936" s="46">
        <v>-2678</v>
      </c>
      <c r="AA936" s="351">
        <v>-702</v>
      </c>
      <c r="AB936" s="351">
        <v>-1403</v>
      </c>
      <c r="AC936" s="351">
        <v>-2104</v>
      </c>
      <c r="AD936" s="351">
        <f t="shared" si="1267"/>
        <v>-2803</v>
      </c>
      <c r="AE936" s="46">
        <v>-2803</v>
      </c>
      <c r="AF936" s="351">
        <v>-810</v>
      </c>
      <c r="AG936" s="351">
        <v>-1612</v>
      </c>
      <c r="AH936" s="351">
        <v>-2406</v>
      </c>
      <c r="AI936" s="351">
        <f t="shared" si="1268"/>
        <v>-3193</v>
      </c>
      <c r="AJ936" s="46">
        <v>-3193</v>
      </c>
      <c r="AK936" s="351">
        <v>-830</v>
      </c>
      <c r="AL936" s="351">
        <v>-1660</v>
      </c>
      <c r="AM936" s="351">
        <v>-2488</v>
      </c>
      <c r="AN936" s="351">
        <f t="shared" si="1269"/>
        <v>-3316</v>
      </c>
      <c r="AO936" s="46">
        <v>-3316</v>
      </c>
      <c r="AP936" s="351">
        <v>-847</v>
      </c>
      <c r="AQ936" s="351">
        <v>-1693</v>
      </c>
      <c r="AR936" s="351">
        <v>-2540</v>
      </c>
      <c r="AS936" s="351">
        <f t="shared" si="1270"/>
        <v>-3388</v>
      </c>
      <c r="AT936" s="46">
        <v>-3388</v>
      </c>
      <c r="AU936" s="805">
        <v>-858</v>
      </c>
      <c r="AV936" s="203"/>
      <c r="AW936" s="203"/>
      <c r="AX936" s="203">
        <f t="shared" si="1271"/>
        <v>0</v>
      </c>
      <c r="AY936" s="108"/>
      <c r="AZ936" s="203"/>
      <c r="BA936" s="203"/>
      <c r="BB936" s="203"/>
      <c r="BC936" s="203">
        <f t="shared" si="1272"/>
        <v>0</v>
      </c>
      <c r="BD936" s="108"/>
      <c r="BE936" s="108"/>
      <c r="BF936" s="108"/>
      <c r="BG936" s="108"/>
      <c r="BH936" s="351"/>
    </row>
    <row r="937" spans="1:60" s="60" customFormat="1" hidden="1" outlineLevel="1" x14ac:dyDescent="0.35">
      <c r="A937" s="350" t="s">
        <v>122</v>
      </c>
      <c r="B937" s="317"/>
      <c r="C937" s="46">
        <v>14</v>
      </c>
      <c r="D937" s="46">
        <v>53</v>
      </c>
      <c r="E937" s="46">
        <v>53</v>
      </c>
      <c r="F937" s="46">
        <v>62</v>
      </c>
      <c r="G937" s="351">
        <v>34</v>
      </c>
      <c r="H937" s="351">
        <v>51</v>
      </c>
      <c r="I937" s="351">
        <v>68</v>
      </c>
      <c r="J937" s="351">
        <f t="shared" si="1263"/>
        <v>92</v>
      </c>
      <c r="K937" s="46">
        <v>92</v>
      </c>
      <c r="L937" s="351">
        <v>51</v>
      </c>
      <c r="M937" s="351">
        <v>97</v>
      </c>
      <c r="N937" s="351">
        <v>121</v>
      </c>
      <c r="O937" s="351">
        <f t="shared" si="1264"/>
        <v>167</v>
      </c>
      <c r="P937" s="46">
        <v>167</v>
      </c>
      <c r="Q937" s="351">
        <v>101</v>
      </c>
      <c r="R937" s="351">
        <v>129</v>
      </c>
      <c r="S937" s="351">
        <v>137</v>
      </c>
      <c r="T937" s="351">
        <f t="shared" si="1265"/>
        <v>154</v>
      </c>
      <c r="U937" s="46">
        <v>154</v>
      </c>
      <c r="V937" s="203"/>
      <c r="W937" s="351">
        <v>0</v>
      </c>
      <c r="X937" s="203"/>
      <c r="Y937" s="351">
        <f t="shared" si="1266"/>
        <v>0</v>
      </c>
      <c r="Z937" s="108"/>
      <c r="AA937" s="203"/>
      <c r="AB937" s="203"/>
      <c r="AC937" s="203"/>
      <c r="AD937" s="351">
        <f t="shared" si="1267"/>
        <v>0</v>
      </c>
      <c r="AE937" s="108"/>
      <c r="AF937" s="203"/>
      <c r="AG937" s="203"/>
      <c r="AH937" s="203"/>
      <c r="AI937" s="351">
        <f t="shared" si="1268"/>
        <v>0</v>
      </c>
      <c r="AJ937" s="108"/>
      <c r="AK937" s="203"/>
      <c r="AL937" s="203"/>
      <c r="AM937" s="203"/>
      <c r="AN937" s="351">
        <f t="shared" si="1269"/>
        <v>0</v>
      </c>
      <c r="AO937" s="108"/>
      <c r="AP937" s="203"/>
      <c r="AQ937" s="203"/>
      <c r="AR937" s="203"/>
      <c r="AS937" s="351">
        <f t="shared" si="1270"/>
        <v>0</v>
      </c>
      <c r="AT937" s="108"/>
      <c r="AU937" s="790"/>
      <c r="AV937" s="203"/>
      <c r="AW937" s="203"/>
      <c r="AX937" s="203">
        <f t="shared" si="1271"/>
        <v>0</v>
      </c>
      <c r="AY937" s="108"/>
      <c r="AZ937" s="203"/>
      <c r="BA937" s="203"/>
      <c r="BB937" s="203"/>
      <c r="BC937" s="203">
        <f t="shared" si="1272"/>
        <v>0</v>
      </c>
      <c r="BD937" s="108"/>
      <c r="BE937" s="108"/>
      <c r="BF937" s="108"/>
      <c r="BG937" s="108"/>
      <c r="BH937" s="351"/>
    </row>
    <row r="938" spans="1:60" s="60" customFormat="1" hidden="1" outlineLevel="1" x14ac:dyDescent="0.35">
      <c r="A938" s="350" t="s">
        <v>148</v>
      </c>
      <c r="B938" s="317"/>
      <c r="C938" s="108"/>
      <c r="D938" s="108"/>
      <c r="E938" s="108"/>
      <c r="F938" s="108"/>
      <c r="G938" s="203"/>
      <c r="H938" s="203"/>
      <c r="I938" s="351">
        <v>0</v>
      </c>
      <c r="J938" s="351">
        <f t="shared" si="1263"/>
        <v>0</v>
      </c>
      <c r="K938" s="46">
        <v>0</v>
      </c>
      <c r="L938" s="203"/>
      <c r="M938" s="203"/>
      <c r="N938" s="351">
        <v>-699</v>
      </c>
      <c r="O938" s="351">
        <f t="shared" si="1264"/>
        <v>-861</v>
      </c>
      <c r="P938" s="46">
        <v>-861</v>
      </c>
      <c r="Q938" s="203"/>
      <c r="R938" s="203"/>
      <c r="S938" s="203"/>
      <c r="T938" s="351">
        <f t="shared" si="1265"/>
        <v>0</v>
      </c>
      <c r="U938" s="108"/>
      <c r="V938" s="203"/>
      <c r="W938" s="351">
        <v>0</v>
      </c>
      <c r="X938" s="203"/>
      <c r="Y938" s="351">
        <f t="shared" si="1266"/>
        <v>0</v>
      </c>
      <c r="Z938" s="108"/>
      <c r="AA938" s="203"/>
      <c r="AB938" s="203"/>
      <c r="AC938" s="203"/>
      <c r="AD938" s="351">
        <f t="shared" si="1267"/>
        <v>0</v>
      </c>
      <c r="AE938" s="108"/>
      <c r="AF938" s="203"/>
      <c r="AG938" s="203"/>
      <c r="AH938" s="203"/>
      <c r="AI938" s="351">
        <f t="shared" si="1268"/>
        <v>0</v>
      </c>
      <c r="AJ938" s="108"/>
      <c r="AK938" s="203"/>
      <c r="AL938" s="203"/>
      <c r="AM938" s="203"/>
      <c r="AN938" s="351">
        <f t="shared" si="1269"/>
        <v>0</v>
      </c>
      <c r="AO938" s="108"/>
      <c r="AP938" s="203"/>
      <c r="AQ938" s="203"/>
      <c r="AR938" s="203"/>
      <c r="AS938" s="351">
        <f t="shared" si="1270"/>
        <v>0</v>
      </c>
      <c r="AT938" s="108"/>
      <c r="AU938" s="790"/>
      <c r="AV938" s="203"/>
      <c r="AW938" s="203"/>
      <c r="AX938" s="203">
        <f t="shared" si="1271"/>
        <v>0</v>
      </c>
      <c r="AY938" s="108"/>
      <c r="AZ938" s="203"/>
      <c r="BA938" s="203"/>
      <c r="BB938" s="203"/>
      <c r="BC938" s="203">
        <f t="shared" si="1272"/>
        <v>0</v>
      </c>
      <c r="BD938" s="108"/>
      <c r="BE938" s="108"/>
      <c r="BF938" s="108"/>
      <c r="BG938" s="108"/>
      <c r="BH938" s="351"/>
    </row>
    <row r="939" spans="1:60" s="60" customFormat="1" hidden="1" outlineLevel="1" x14ac:dyDescent="0.35">
      <c r="A939" s="350" t="s">
        <v>129</v>
      </c>
      <c r="B939" s="317"/>
      <c r="C939" s="46">
        <v>3</v>
      </c>
      <c r="D939" s="46">
        <v>-77</v>
      </c>
      <c r="E939" s="46">
        <v>-67</v>
      </c>
      <c r="F939" s="46">
        <v>-15</v>
      </c>
      <c r="G939" s="351">
        <v>-4</v>
      </c>
      <c r="H939" s="351">
        <v>3</v>
      </c>
      <c r="I939" s="351">
        <v>-4</v>
      </c>
      <c r="J939" s="351">
        <f t="shared" si="1263"/>
        <v>32</v>
      </c>
      <c r="K939" s="46">
        <v>32</v>
      </c>
      <c r="L939" s="351">
        <v>-17</v>
      </c>
      <c r="M939" s="351">
        <v>-31</v>
      </c>
      <c r="N939" s="351">
        <v>-37</v>
      </c>
      <c r="O939" s="351">
        <f t="shared" si="1264"/>
        <v>-19</v>
      </c>
      <c r="P939" s="46">
        <v>-19</v>
      </c>
      <c r="Q939" s="351">
        <v>-22</v>
      </c>
      <c r="R939" s="351">
        <v>-50</v>
      </c>
      <c r="S939" s="351">
        <v>-99</v>
      </c>
      <c r="T939" s="351">
        <f t="shared" si="1265"/>
        <v>-120</v>
      </c>
      <c r="U939" s="46">
        <v>-120</v>
      </c>
      <c r="V939" s="351">
        <v>-22</v>
      </c>
      <c r="W939" s="351">
        <v>-16</v>
      </c>
      <c r="X939" s="351">
        <v>-20</v>
      </c>
      <c r="Y939" s="351">
        <f t="shared" si="1266"/>
        <v>-42</v>
      </c>
      <c r="Z939" s="46">
        <v>-42</v>
      </c>
      <c r="AA939" s="351">
        <v>-6</v>
      </c>
      <c r="AB939" s="351">
        <v>-2</v>
      </c>
      <c r="AC939" s="351">
        <v>-23</v>
      </c>
      <c r="AD939" s="351">
        <f t="shared" si="1267"/>
        <v>-121</v>
      </c>
      <c r="AE939" s="46">
        <v>-121</v>
      </c>
      <c r="AF939" s="351">
        <v>-7</v>
      </c>
      <c r="AG939" s="351">
        <v>-26</v>
      </c>
      <c r="AH939" s="351">
        <v>-36</v>
      </c>
      <c r="AI939" s="351">
        <f t="shared" si="1268"/>
        <v>-56</v>
      </c>
      <c r="AJ939" s="46">
        <v>-56</v>
      </c>
      <c r="AK939" s="351">
        <v>-17</v>
      </c>
      <c r="AL939" s="351">
        <v>-34</v>
      </c>
      <c r="AM939" s="351">
        <v>-158</v>
      </c>
      <c r="AN939" s="351">
        <f t="shared" si="1269"/>
        <v>-197</v>
      </c>
      <c r="AO939" s="46">
        <v>-197</v>
      </c>
      <c r="AP939" s="351">
        <v>-36</v>
      </c>
      <c r="AQ939" s="351">
        <v>-45</v>
      </c>
      <c r="AR939" s="351">
        <v>-47</v>
      </c>
      <c r="AS939" s="351">
        <f t="shared" si="1270"/>
        <v>-98</v>
      </c>
      <c r="AT939" s="46">
        <v>-98</v>
      </c>
      <c r="AU939" s="805">
        <v>-11</v>
      </c>
      <c r="AV939" s="203"/>
      <c r="AW939" s="203"/>
      <c r="AX939" s="203">
        <f t="shared" si="1271"/>
        <v>0</v>
      </c>
      <c r="AY939" s="108"/>
      <c r="AZ939" s="203"/>
      <c r="BA939" s="203"/>
      <c r="BB939" s="203"/>
      <c r="BC939" s="203">
        <f t="shared" si="1272"/>
        <v>0</v>
      </c>
      <c r="BD939" s="108"/>
      <c r="BE939" s="108"/>
      <c r="BF939" s="108"/>
      <c r="BG939" s="108"/>
      <c r="BH939" s="351"/>
    </row>
    <row r="940" spans="1:60" s="69" customFormat="1" hidden="1" outlineLevel="1" x14ac:dyDescent="0.35">
      <c r="A940" s="89" t="s">
        <v>149</v>
      </c>
      <c r="B940" s="319"/>
      <c r="C940" s="68">
        <f t="shared" ref="C940:AH940" si="1273">SUM(C931:C939)</f>
        <v>-2014</v>
      </c>
      <c r="D940" s="68">
        <f t="shared" si="1273"/>
        <v>-2184</v>
      </c>
      <c r="E940" s="68">
        <f t="shared" si="1273"/>
        <v>-3675</v>
      </c>
      <c r="F940" s="68">
        <f t="shared" si="1273"/>
        <v>-2058</v>
      </c>
      <c r="G940" s="76">
        <f t="shared" si="1273"/>
        <v>-486</v>
      </c>
      <c r="H940" s="76">
        <f t="shared" si="1273"/>
        <v>-1727</v>
      </c>
      <c r="I940" s="76">
        <f t="shared" si="1273"/>
        <v>-3643</v>
      </c>
      <c r="J940" s="76">
        <f t="shared" si="1273"/>
        <v>-5246</v>
      </c>
      <c r="K940" s="68">
        <f t="shared" si="1273"/>
        <v>-5246</v>
      </c>
      <c r="L940" s="76">
        <f t="shared" si="1273"/>
        <v>-1399</v>
      </c>
      <c r="M940" s="76">
        <f t="shared" si="1273"/>
        <v>-2584</v>
      </c>
      <c r="N940" s="76">
        <f t="shared" si="1273"/>
        <v>-4473</v>
      </c>
      <c r="O940" s="76">
        <f t="shared" si="1273"/>
        <v>-6603</v>
      </c>
      <c r="P940" s="68">
        <f t="shared" si="1273"/>
        <v>-6603</v>
      </c>
      <c r="Q940" s="76">
        <f t="shared" si="1273"/>
        <v>-1154</v>
      </c>
      <c r="R940" s="76">
        <f t="shared" si="1273"/>
        <v>-1474</v>
      </c>
      <c r="S940" s="76">
        <f t="shared" si="1273"/>
        <v>-1694</v>
      </c>
      <c r="T940" s="76">
        <f t="shared" si="1273"/>
        <v>-3648</v>
      </c>
      <c r="U940" s="68">
        <f t="shared" si="1273"/>
        <v>-3648</v>
      </c>
      <c r="V940" s="76">
        <f t="shared" si="1273"/>
        <v>-1426</v>
      </c>
      <c r="W940" s="76">
        <f t="shared" si="1273"/>
        <v>-2028</v>
      </c>
      <c r="X940" s="76">
        <f t="shared" si="1273"/>
        <v>-2780</v>
      </c>
      <c r="Y940" s="76">
        <f t="shared" si="1273"/>
        <v>-4626</v>
      </c>
      <c r="Z940" s="68">
        <f t="shared" si="1273"/>
        <v>-4626</v>
      </c>
      <c r="AA940" s="76">
        <f t="shared" si="1273"/>
        <v>-1151</v>
      </c>
      <c r="AB940" s="76">
        <f t="shared" si="1273"/>
        <v>-2856</v>
      </c>
      <c r="AC940" s="76">
        <f t="shared" si="1273"/>
        <v>-3699</v>
      </c>
      <c r="AD940" s="76">
        <f t="shared" si="1273"/>
        <v>-2655</v>
      </c>
      <c r="AE940" s="68">
        <f t="shared" si="1273"/>
        <v>-2655</v>
      </c>
      <c r="AF940" s="76">
        <f t="shared" si="1273"/>
        <v>46</v>
      </c>
      <c r="AG940" s="76">
        <f t="shared" si="1273"/>
        <v>-3096</v>
      </c>
      <c r="AH940" s="76">
        <f t="shared" si="1273"/>
        <v>-4549</v>
      </c>
      <c r="AI940" s="76">
        <f t="shared" ref="AI940:AY940" si="1274">SUM(AI931:AI939)</f>
        <v>-6701</v>
      </c>
      <c r="AJ940" s="68">
        <f t="shared" si="1274"/>
        <v>-6701</v>
      </c>
      <c r="AK940" s="76">
        <f t="shared" si="1274"/>
        <v>258</v>
      </c>
      <c r="AL940" s="76">
        <f t="shared" si="1274"/>
        <v>-1477</v>
      </c>
      <c r="AM940" s="76">
        <f t="shared" si="1274"/>
        <v>1327</v>
      </c>
      <c r="AN940" s="76">
        <f t="shared" si="1274"/>
        <v>-1124</v>
      </c>
      <c r="AO940" s="68">
        <f t="shared" si="1274"/>
        <v>-1124</v>
      </c>
      <c r="AP940" s="76">
        <f t="shared" si="1274"/>
        <v>1108</v>
      </c>
      <c r="AQ940" s="76">
        <f t="shared" si="1274"/>
        <v>-1401</v>
      </c>
      <c r="AR940" s="76">
        <f>SUM(AR931:AR939)</f>
        <v>-3498</v>
      </c>
      <c r="AS940" s="76">
        <f>SUM(AS931:AS939)</f>
        <v>-5300</v>
      </c>
      <c r="AT940" s="68">
        <f>SUM(AT931:AT939)</f>
        <v>-5300</v>
      </c>
      <c r="AU940" s="812">
        <f t="shared" ref="AU940" si="1275">SUM(AU931:AU939)</f>
        <v>-1251</v>
      </c>
      <c r="AV940" s="109">
        <f t="shared" si="1274"/>
        <v>0</v>
      </c>
      <c r="AW940" s="109">
        <f t="shared" si="1274"/>
        <v>0</v>
      </c>
      <c r="AX940" s="109">
        <f t="shared" si="1274"/>
        <v>0</v>
      </c>
      <c r="AY940" s="110">
        <f t="shared" si="1274"/>
        <v>0</v>
      </c>
      <c r="AZ940" s="109">
        <f t="shared" ref="AZ940:BG940" si="1276">SUM(AZ931:AZ939)</f>
        <v>0</v>
      </c>
      <c r="BA940" s="109">
        <f t="shared" si="1276"/>
        <v>0</v>
      </c>
      <c r="BB940" s="109">
        <f t="shared" si="1276"/>
        <v>0</v>
      </c>
      <c r="BC940" s="109">
        <f t="shared" si="1276"/>
        <v>0</v>
      </c>
      <c r="BD940" s="110">
        <f t="shared" si="1276"/>
        <v>0</v>
      </c>
      <c r="BE940" s="110">
        <f t="shared" si="1276"/>
        <v>0</v>
      </c>
      <c r="BF940" s="110">
        <f t="shared" si="1276"/>
        <v>0</v>
      </c>
      <c r="BG940" s="110">
        <f t="shared" si="1276"/>
        <v>0</v>
      </c>
      <c r="BH940" s="79"/>
    </row>
    <row r="941" spans="1:60" s="21" customFormat="1" hidden="1" outlineLevel="1" x14ac:dyDescent="0.35">
      <c r="A941" s="428"/>
      <c r="B941" s="429"/>
      <c r="C941" s="879"/>
      <c r="D941" s="879"/>
      <c r="E941" s="879"/>
      <c r="F941" s="879"/>
      <c r="G941" s="880"/>
      <c r="H941" s="880"/>
      <c r="I941" s="880"/>
      <c r="J941" s="880"/>
      <c r="K941" s="879"/>
      <c r="L941" s="880"/>
      <c r="M941" s="880"/>
      <c r="N941" s="880"/>
      <c r="O941" s="880"/>
      <c r="P941" s="879"/>
      <c r="Q941" s="880"/>
      <c r="R941" s="880"/>
      <c r="S941" s="880"/>
      <c r="T941" s="880"/>
      <c r="U941" s="879"/>
      <c r="V941" s="880"/>
      <c r="W941" s="880"/>
      <c r="X941" s="880"/>
      <c r="Y941" s="880"/>
      <c r="Z941" s="879"/>
      <c r="AA941" s="880"/>
      <c r="AB941" s="880"/>
      <c r="AC941" s="880"/>
      <c r="AD941" s="880"/>
      <c r="AE941" s="879"/>
      <c r="AF941" s="880"/>
      <c r="AG941" s="880"/>
      <c r="AH941" s="880"/>
      <c r="AI941" s="880"/>
      <c r="AJ941" s="879"/>
      <c r="AK941" s="880"/>
      <c r="AL941" s="880"/>
      <c r="AM941" s="880"/>
      <c r="AN941" s="880"/>
      <c r="AO941" s="879"/>
      <c r="AP941" s="880"/>
      <c r="AQ941" s="880"/>
      <c r="AR941" s="880"/>
      <c r="AS941" s="880"/>
      <c r="AT941" s="879"/>
      <c r="AU941" s="881"/>
      <c r="AV941" s="880"/>
      <c r="AW941" s="880"/>
      <c r="AX941" s="880"/>
      <c r="AY941" s="879"/>
      <c r="AZ941" s="880"/>
      <c r="BA941" s="880"/>
      <c r="BB941" s="880"/>
      <c r="BC941" s="880"/>
      <c r="BD941" s="879"/>
      <c r="BE941" s="879"/>
      <c r="BF941" s="879"/>
      <c r="BG941" s="879"/>
      <c r="BH941" s="651"/>
    </row>
    <row r="942" spans="1:60" s="69" customFormat="1" hidden="1" outlineLevel="1" x14ac:dyDescent="0.35">
      <c r="A942" s="90" t="s">
        <v>150</v>
      </c>
      <c r="B942" s="427"/>
      <c r="C942" s="70">
        <v>-4</v>
      </c>
      <c r="D942" s="70">
        <v>-27</v>
      </c>
      <c r="E942" s="70">
        <v>-49</v>
      </c>
      <c r="F942" s="70">
        <v>108</v>
      </c>
      <c r="G942" s="79">
        <v>-58</v>
      </c>
      <c r="H942" s="79">
        <v>-147</v>
      </c>
      <c r="I942" s="79">
        <v>-22</v>
      </c>
      <c r="J942" s="79">
        <f>K942</f>
        <v>-17</v>
      </c>
      <c r="K942" s="70">
        <v>-17</v>
      </c>
      <c r="L942" s="79">
        <v>-33</v>
      </c>
      <c r="M942" s="79">
        <v>-25</v>
      </c>
      <c r="N942" s="79">
        <v>-44</v>
      </c>
      <c r="O942" s="79">
        <f>P942</f>
        <v>-111</v>
      </c>
      <c r="P942" s="70">
        <v>-111</v>
      </c>
      <c r="Q942" s="79">
        <v>-32</v>
      </c>
      <c r="R942" s="79">
        <v>-24</v>
      </c>
      <c r="S942" s="79">
        <v>-69</v>
      </c>
      <c r="T942" s="79">
        <f>U942</f>
        <v>-54</v>
      </c>
      <c r="U942" s="70">
        <v>-54</v>
      </c>
      <c r="V942" s="79">
        <v>-15</v>
      </c>
      <c r="W942" s="79">
        <v>3</v>
      </c>
      <c r="X942" s="79">
        <v>10</v>
      </c>
      <c r="Y942" s="79">
        <f>Z942</f>
        <v>-33</v>
      </c>
      <c r="Z942" s="70">
        <v>-33</v>
      </c>
      <c r="AA942" s="79">
        <v>28</v>
      </c>
      <c r="AB942" s="79">
        <v>55</v>
      </c>
      <c r="AC942" s="79">
        <v>106</v>
      </c>
      <c r="AD942" s="79">
        <f>AE942</f>
        <v>156</v>
      </c>
      <c r="AE942" s="70">
        <v>156</v>
      </c>
      <c r="AF942" s="79">
        <v>-32</v>
      </c>
      <c r="AG942" s="79">
        <v>-105</v>
      </c>
      <c r="AH942" s="79">
        <v>-138</v>
      </c>
      <c r="AI942" s="79">
        <f>AJ942</f>
        <v>-160</v>
      </c>
      <c r="AJ942" s="70">
        <v>-160</v>
      </c>
      <c r="AK942" s="79">
        <v>4</v>
      </c>
      <c r="AL942" s="79">
        <v>-2</v>
      </c>
      <c r="AM942" s="79">
        <v>-36</v>
      </c>
      <c r="AN942" s="79">
        <f>AO942</f>
        <v>-2</v>
      </c>
      <c r="AO942" s="70">
        <v>-2</v>
      </c>
      <c r="AP942" s="79">
        <v>-46</v>
      </c>
      <c r="AQ942" s="79">
        <v>-53</v>
      </c>
      <c r="AR942" s="79">
        <v>-11</v>
      </c>
      <c r="AS942" s="79">
        <f>AT942</f>
        <v>48</v>
      </c>
      <c r="AT942" s="70">
        <v>48</v>
      </c>
      <c r="AU942" s="803">
        <v>-66</v>
      </c>
      <c r="AV942" s="111"/>
      <c r="AW942" s="111"/>
      <c r="AX942" s="111">
        <f>AY942</f>
        <v>0</v>
      </c>
      <c r="AY942" s="112"/>
      <c r="AZ942" s="111"/>
      <c r="BA942" s="111"/>
      <c r="BB942" s="111"/>
      <c r="BC942" s="111">
        <f>BD942</f>
        <v>0</v>
      </c>
      <c r="BD942" s="112"/>
      <c r="BE942" s="112"/>
      <c r="BF942" s="112"/>
      <c r="BG942" s="112"/>
      <c r="BH942" s="79"/>
    </row>
    <row r="943" spans="1:60" s="69" customFormat="1" hidden="1" outlineLevel="1" x14ac:dyDescent="0.35">
      <c r="A943" s="90" t="s">
        <v>151</v>
      </c>
      <c r="B943" s="427"/>
      <c r="C943" s="70">
        <f t="shared" ref="C943:AH943" si="1277">C940+C928+C917+C942</f>
        <v>1191</v>
      </c>
      <c r="D943" s="70">
        <f t="shared" si="1277"/>
        <v>337</v>
      </c>
      <c r="E943" s="70">
        <f t="shared" si="1277"/>
        <v>-1158</v>
      </c>
      <c r="F943" s="70">
        <f t="shared" si="1277"/>
        <v>664</v>
      </c>
      <c r="G943" s="79">
        <f t="shared" si="1277"/>
        <v>45</v>
      </c>
      <c r="H943" s="79">
        <f t="shared" si="1277"/>
        <v>59</v>
      </c>
      <c r="I943" s="79">
        <f t="shared" si="1277"/>
        <v>-543</v>
      </c>
      <c r="J943" s="79">
        <f t="shared" si="1277"/>
        <v>-302</v>
      </c>
      <c r="K943" s="70">
        <f t="shared" si="1277"/>
        <v>-302</v>
      </c>
      <c r="L943" s="79">
        <f t="shared" si="1277"/>
        <v>-627</v>
      </c>
      <c r="M943" s="79">
        <f t="shared" si="1277"/>
        <v>-456</v>
      </c>
      <c r="N943" s="79">
        <f t="shared" si="1277"/>
        <v>-652</v>
      </c>
      <c r="O943" s="79">
        <f t="shared" si="1277"/>
        <v>-684</v>
      </c>
      <c r="P943" s="70">
        <f t="shared" si="1277"/>
        <v>-684</v>
      </c>
      <c r="Q943" s="79">
        <f t="shared" si="1277"/>
        <v>-106</v>
      </c>
      <c r="R943" s="79">
        <f t="shared" si="1277"/>
        <v>1086</v>
      </c>
      <c r="S943" s="79">
        <f t="shared" si="1277"/>
        <v>-292</v>
      </c>
      <c r="T943" s="79">
        <f t="shared" si="1277"/>
        <v>-99</v>
      </c>
      <c r="U943" s="70">
        <f t="shared" si="1277"/>
        <v>-99</v>
      </c>
      <c r="V943" s="79">
        <f t="shared" si="1277"/>
        <v>-461</v>
      </c>
      <c r="W943" s="79">
        <f t="shared" si="1277"/>
        <v>-110</v>
      </c>
      <c r="X943" s="79">
        <f t="shared" si="1277"/>
        <v>510</v>
      </c>
      <c r="Y943" s="79">
        <f t="shared" si="1277"/>
        <v>600</v>
      </c>
      <c r="Z943" s="70">
        <f t="shared" si="1277"/>
        <v>600</v>
      </c>
      <c r="AA943" s="79">
        <f t="shared" si="1277"/>
        <v>-225</v>
      </c>
      <c r="AB943" s="79">
        <f t="shared" si="1277"/>
        <v>256</v>
      </c>
      <c r="AC943" s="79">
        <f t="shared" si="1277"/>
        <v>433</v>
      </c>
      <c r="AD943" s="79">
        <f t="shared" si="1277"/>
        <v>655</v>
      </c>
      <c r="AE943" s="70">
        <f t="shared" si="1277"/>
        <v>655</v>
      </c>
      <c r="AF943" s="79">
        <f t="shared" si="1277"/>
        <v>438</v>
      </c>
      <c r="AG943" s="79">
        <f t="shared" si="1277"/>
        <v>-252</v>
      </c>
      <c r="AH943" s="79">
        <f t="shared" si="1277"/>
        <v>132</v>
      </c>
      <c r="AI943" s="79">
        <f t="shared" ref="AI943:AY943" si="1278">AI940+AI928+AI917+AI942</f>
        <v>-200</v>
      </c>
      <c r="AJ943" s="70">
        <f t="shared" si="1278"/>
        <v>-200</v>
      </c>
      <c r="AK943" s="79">
        <f t="shared" si="1278"/>
        <v>85</v>
      </c>
      <c r="AL943" s="79">
        <f t="shared" si="1278"/>
        <v>-4</v>
      </c>
      <c r="AM943" s="79">
        <f t="shared" si="1278"/>
        <v>4878</v>
      </c>
      <c r="AN943" s="79">
        <f t="shared" si="1278"/>
        <v>-500</v>
      </c>
      <c r="AO943" s="70">
        <f t="shared" si="1278"/>
        <v>-500</v>
      </c>
      <c r="AP943" s="79">
        <f t="shared" si="1278"/>
        <v>1900</v>
      </c>
      <c r="AQ943" s="79">
        <f t="shared" si="1278"/>
        <v>1866</v>
      </c>
      <c r="AR943" s="79">
        <f>AR940+AR928+AR917+AR942</f>
        <v>1768</v>
      </c>
      <c r="AS943" s="79">
        <f>AS940+AS928+AS917+AS942</f>
        <v>2281</v>
      </c>
      <c r="AT943" s="70">
        <f>AT940+AT928+AT917+AT942</f>
        <v>2281</v>
      </c>
      <c r="AU943" s="803">
        <f t="shared" ref="AU943" si="1279">AU940+AU928+AU917+AU942</f>
        <v>2</v>
      </c>
      <c r="AV943" s="111">
        <f t="shared" si="1278"/>
        <v>0</v>
      </c>
      <c r="AW943" s="111">
        <f t="shared" si="1278"/>
        <v>0</v>
      </c>
      <c r="AX943" s="111">
        <f t="shared" si="1278"/>
        <v>0</v>
      </c>
      <c r="AY943" s="112">
        <f t="shared" si="1278"/>
        <v>0</v>
      </c>
      <c r="AZ943" s="111">
        <f t="shared" ref="AZ943:BG943" si="1280">AZ940+AZ928+AZ917+AZ942</f>
        <v>0</v>
      </c>
      <c r="BA943" s="111">
        <f t="shared" si="1280"/>
        <v>0</v>
      </c>
      <c r="BB943" s="111">
        <f t="shared" si="1280"/>
        <v>0</v>
      </c>
      <c r="BC943" s="111">
        <f t="shared" si="1280"/>
        <v>0</v>
      </c>
      <c r="BD943" s="112">
        <f t="shared" si="1280"/>
        <v>0</v>
      </c>
      <c r="BE943" s="112">
        <f t="shared" si="1280"/>
        <v>0</v>
      </c>
      <c r="BF943" s="112">
        <f t="shared" si="1280"/>
        <v>0</v>
      </c>
      <c r="BG943" s="112">
        <f t="shared" si="1280"/>
        <v>0</v>
      </c>
      <c r="BH943" s="79"/>
    </row>
    <row r="944" spans="1:60" s="21" customFormat="1" hidden="1" outlineLevel="1" x14ac:dyDescent="0.35">
      <c r="A944" s="428"/>
      <c r="B944" s="429"/>
      <c r="C944" s="879"/>
      <c r="D944" s="879"/>
      <c r="E944" s="879"/>
      <c r="F944" s="879"/>
      <c r="G944" s="880"/>
      <c r="H944" s="880"/>
      <c r="I944" s="880"/>
      <c r="J944" s="880"/>
      <c r="K944" s="879"/>
      <c r="L944" s="880"/>
      <c r="M944" s="880"/>
      <c r="N944" s="880"/>
      <c r="O944" s="880"/>
      <c r="P944" s="879"/>
      <c r="Q944" s="880"/>
      <c r="R944" s="880"/>
      <c r="S944" s="880"/>
      <c r="T944" s="880"/>
      <c r="U944" s="879"/>
      <c r="V944" s="880"/>
      <c r="W944" s="880"/>
      <c r="X944" s="880"/>
      <c r="Y944" s="880"/>
      <c r="Z944" s="879"/>
      <c r="AA944" s="880"/>
      <c r="AB944" s="880"/>
      <c r="AC944" s="880"/>
      <c r="AD944" s="880"/>
      <c r="AE944" s="879"/>
      <c r="AF944" s="880"/>
      <c r="AG944" s="880"/>
      <c r="AH944" s="880"/>
      <c r="AI944" s="880"/>
      <c r="AJ944" s="879"/>
      <c r="AK944" s="880"/>
      <c r="AL944" s="880"/>
      <c r="AM944" s="880"/>
      <c r="AN944" s="880"/>
      <c r="AO944" s="879"/>
      <c r="AP944" s="880"/>
      <c r="AQ944" s="880"/>
      <c r="AR944" s="880"/>
      <c r="AS944" s="880"/>
      <c r="AT944" s="879"/>
      <c r="AU944" s="881"/>
      <c r="AV944" s="880"/>
      <c r="AW944" s="880"/>
      <c r="AX944" s="880"/>
      <c r="AY944" s="879"/>
      <c r="AZ944" s="880"/>
      <c r="BA944" s="880"/>
      <c r="BB944" s="880"/>
      <c r="BC944" s="880"/>
      <c r="BD944" s="879"/>
      <c r="BE944" s="879"/>
      <c r="BF944" s="879"/>
      <c r="BG944" s="879"/>
      <c r="BH944" s="651"/>
    </row>
    <row r="945" spans="1:60" s="69" customFormat="1" hidden="1" outlineLevel="1" x14ac:dyDescent="0.35">
      <c r="A945" s="90" t="s">
        <v>152</v>
      </c>
      <c r="B945" s="427"/>
      <c r="C945" s="70">
        <v>1849</v>
      </c>
      <c r="D945" s="70">
        <f>C946</f>
        <v>3040</v>
      </c>
      <c r="E945" s="70">
        <f>D946</f>
        <v>3377</v>
      </c>
      <c r="F945" s="70">
        <f>E946</f>
        <v>2219</v>
      </c>
      <c r="G945" s="79">
        <f>F946</f>
        <v>2883</v>
      </c>
      <c r="H945" s="79">
        <f>G945</f>
        <v>2883</v>
      </c>
      <c r="I945" s="79">
        <f>H945</f>
        <v>2883</v>
      </c>
      <c r="J945" s="79">
        <f>I945</f>
        <v>2883</v>
      </c>
      <c r="K945" s="70">
        <f>J945</f>
        <v>2883</v>
      </c>
      <c r="L945" s="79">
        <f>K946</f>
        <v>2581</v>
      </c>
      <c r="M945" s="79">
        <f>L945</f>
        <v>2581</v>
      </c>
      <c r="N945" s="79">
        <f>M945</f>
        <v>2581</v>
      </c>
      <c r="O945" s="79">
        <f>N945</f>
        <v>2581</v>
      </c>
      <c r="P945" s="70">
        <f>O945</f>
        <v>2581</v>
      </c>
      <c r="Q945" s="79">
        <f>P946</f>
        <v>1897</v>
      </c>
      <c r="R945" s="79">
        <f>Q945</f>
        <v>1897</v>
      </c>
      <c r="S945" s="79">
        <f>R945</f>
        <v>1897</v>
      </c>
      <c r="T945" s="79">
        <f>S945</f>
        <v>1897</v>
      </c>
      <c r="U945" s="70">
        <f>T945</f>
        <v>1897</v>
      </c>
      <c r="V945" s="79">
        <f>U946</f>
        <v>1798</v>
      </c>
      <c r="W945" s="79">
        <f>V945</f>
        <v>1798</v>
      </c>
      <c r="X945" s="79">
        <f>W945</f>
        <v>1798</v>
      </c>
      <c r="Y945" s="79">
        <f>X945</f>
        <v>1798</v>
      </c>
      <c r="Z945" s="70">
        <f>Y945</f>
        <v>1798</v>
      </c>
      <c r="AA945" s="79">
        <f>Z946</f>
        <v>2398</v>
      </c>
      <c r="AB945" s="79">
        <f>AA945</f>
        <v>2398</v>
      </c>
      <c r="AC945" s="79">
        <f>AB945</f>
        <v>2398</v>
      </c>
      <c r="AD945" s="79">
        <f>AC945</f>
        <v>2398</v>
      </c>
      <c r="AE945" s="70">
        <f>AD945</f>
        <v>2398</v>
      </c>
      <c r="AF945" s="79">
        <f>AE946</f>
        <v>3053</v>
      </c>
      <c r="AG945" s="79">
        <f>AF945</f>
        <v>3053</v>
      </c>
      <c r="AH945" s="79">
        <f>AG945</f>
        <v>3053</v>
      </c>
      <c r="AI945" s="79">
        <f>AH945</f>
        <v>3053</v>
      </c>
      <c r="AJ945" s="70">
        <f>AI945</f>
        <v>3053</v>
      </c>
      <c r="AK945" s="79">
        <f>AJ946</f>
        <v>2853</v>
      </c>
      <c r="AL945" s="79">
        <f>AK945</f>
        <v>2853</v>
      </c>
      <c r="AM945" s="79">
        <f>AL945</f>
        <v>2853</v>
      </c>
      <c r="AN945" s="79">
        <f>AM945</f>
        <v>2853</v>
      </c>
      <c r="AO945" s="70">
        <f>AN945</f>
        <v>2853</v>
      </c>
      <c r="AP945" s="79">
        <f>AO946</f>
        <v>2353</v>
      </c>
      <c r="AQ945" s="79">
        <f>AP945</f>
        <v>2353</v>
      </c>
      <c r="AR945" s="79">
        <f>AQ945</f>
        <v>2353</v>
      </c>
      <c r="AS945" s="79">
        <f>AR945</f>
        <v>2353</v>
      </c>
      <c r="AT945" s="70">
        <f>AS945</f>
        <v>2353</v>
      </c>
      <c r="AU945" s="803">
        <f>AT946</f>
        <v>4634</v>
      </c>
      <c r="AV945" s="111"/>
      <c r="AW945" s="111"/>
      <c r="AX945" s="111"/>
      <c r="AY945" s="112"/>
      <c r="AZ945" s="111"/>
      <c r="BA945" s="111"/>
      <c r="BB945" s="111"/>
      <c r="BC945" s="111"/>
      <c r="BD945" s="112"/>
      <c r="BE945" s="112"/>
      <c r="BF945" s="112"/>
      <c r="BG945" s="112"/>
      <c r="BH945" s="79"/>
    </row>
    <row r="946" spans="1:60" s="69" customFormat="1" hidden="1" outlineLevel="1" x14ac:dyDescent="0.35">
      <c r="A946" s="90" t="s">
        <v>153</v>
      </c>
      <c r="B946" s="427"/>
      <c r="C946" s="70">
        <f t="shared" ref="C946:AQ946" si="1281">C943+C945</f>
        <v>3040</v>
      </c>
      <c r="D946" s="70">
        <f t="shared" si="1281"/>
        <v>3377</v>
      </c>
      <c r="E946" s="70">
        <f t="shared" si="1281"/>
        <v>2219</v>
      </c>
      <c r="F946" s="70">
        <f t="shared" si="1281"/>
        <v>2883</v>
      </c>
      <c r="G946" s="79">
        <f t="shared" si="1281"/>
        <v>2928</v>
      </c>
      <c r="H946" s="79">
        <f t="shared" si="1281"/>
        <v>2942</v>
      </c>
      <c r="I946" s="79">
        <f t="shared" si="1281"/>
        <v>2340</v>
      </c>
      <c r="J946" s="79">
        <f t="shared" si="1281"/>
        <v>2581</v>
      </c>
      <c r="K946" s="70">
        <f t="shared" si="1281"/>
        <v>2581</v>
      </c>
      <c r="L946" s="79">
        <f t="shared" si="1281"/>
        <v>1954</v>
      </c>
      <c r="M946" s="79">
        <f t="shared" si="1281"/>
        <v>2125</v>
      </c>
      <c r="N946" s="79">
        <f t="shared" si="1281"/>
        <v>1929</v>
      </c>
      <c r="O946" s="79">
        <f t="shared" si="1281"/>
        <v>1897</v>
      </c>
      <c r="P946" s="70">
        <f t="shared" si="1281"/>
        <v>1897</v>
      </c>
      <c r="Q946" s="79">
        <f t="shared" si="1281"/>
        <v>1791</v>
      </c>
      <c r="R946" s="79">
        <f t="shared" si="1281"/>
        <v>2983</v>
      </c>
      <c r="S946" s="79">
        <f t="shared" si="1281"/>
        <v>1605</v>
      </c>
      <c r="T946" s="79">
        <f t="shared" si="1281"/>
        <v>1798</v>
      </c>
      <c r="U946" s="70">
        <f t="shared" si="1281"/>
        <v>1798</v>
      </c>
      <c r="V946" s="79">
        <f t="shared" si="1281"/>
        <v>1337</v>
      </c>
      <c r="W946" s="79">
        <f t="shared" si="1281"/>
        <v>1688</v>
      </c>
      <c r="X946" s="79">
        <f t="shared" si="1281"/>
        <v>2308</v>
      </c>
      <c r="Y946" s="79">
        <f t="shared" si="1281"/>
        <v>2398</v>
      </c>
      <c r="Z946" s="70">
        <f t="shared" si="1281"/>
        <v>2398</v>
      </c>
      <c r="AA946" s="79">
        <f t="shared" si="1281"/>
        <v>2173</v>
      </c>
      <c r="AB946" s="79">
        <f t="shared" si="1281"/>
        <v>2654</v>
      </c>
      <c r="AC946" s="79">
        <f t="shared" si="1281"/>
        <v>2831</v>
      </c>
      <c r="AD946" s="79">
        <f t="shared" si="1281"/>
        <v>3053</v>
      </c>
      <c r="AE946" s="70">
        <f t="shared" si="1281"/>
        <v>3053</v>
      </c>
      <c r="AF946" s="79">
        <f t="shared" si="1281"/>
        <v>3491</v>
      </c>
      <c r="AG946" s="79">
        <f t="shared" si="1281"/>
        <v>2801</v>
      </c>
      <c r="AH946" s="79">
        <f t="shared" si="1281"/>
        <v>3185</v>
      </c>
      <c r="AI946" s="79">
        <f t="shared" si="1281"/>
        <v>2853</v>
      </c>
      <c r="AJ946" s="70">
        <f t="shared" si="1281"/>
        <v>2853</v>
      </c>
      <c r="AK946" s="79">
        <f t="shared" si="1281"/>
        <v>2938</v>
      </c>
      <c r="AL946" s="79">
        <f t="shared" si="1281"/>
        <v>2849</v>
      </c>
      <c r="AM946" s="79">
        <f t="shared" si="1281"/>
        <v>7731</v>
      </c>
      <c r="AN946" s="79">
        <f t="shared" si="1281"/>
        <v>2353</v>
      </c>
      <c r="AO946" s="70">
        <f t="shared" si="1281"/>
        <v>2353</v>
      </c>
      <c r="AP946" s="79">
        <f t="shared" si="1281"/>
        <v>4253</v>
      </c>
      <c r="AQ946" s="79">
        <f t="shared" si="1281"/>
        <v>4219</v>
      </c>
      <c r="AR946" s="79">
        <f>AR943+AR945</f>
        <v>4121</v>
      </c>
      <c r="AS946" s="79">
        <f>AS943+AS945</f>
        <v>4634</v>
      </c>
      <c r="AT946" s="70">
        <f>AT943+AT945</f>
        <v>4634</v>
      </c>
      <c r="AU946" s="803">
        <f t="shared" ref="AU946" si="1282">AU943+AU945</f>
        <v>4636</v>
      </c>
      <c r="AV946" s="111"/>
      <c r="AW946" s="111"/>
      <c r="AX946" s="111"/>
      <c r="AY946" s="112"/>
      <c r="AZ946" s="111"/>
      <c r="BA946" s="111"/>
      <c r="BB946" s="111"/>
      <c r="BC946" s="111"/>
      <c r="BD946" s="112"/>
      <c r="BE946" s="112"/>
      <c r="BF946" s="112"/>
      <c r="BG946" s="112"/>
      <c r="BH946" s="79"/>
    </row>
    <row r="947" spans="1:60" s="21" customFormat="1" collapsed="1" x14ac:dyDescent="0.35">
      <c r="A947" s="428"/>
      <c r="B947" s="429"/>
      <c r="C947" s="879"/>
      <c r="D947" s="879"/>
      <c r="E947" s="879"/>
      <c r="F947" s="879"/>
      <c r="G947" s="880"/>
      <c r="H947" s="880"/>
      <c r="I947" s="880"/>
      <c r="J947" s="880"/>
      <c r="K947" s="879"/>
      <c r="L947" s="880"/>
      <c r="M947" s="880"/>
      <c r="N947" s="880"/>
      <c r="O947" s="880"/>
      <c r="P947" s="879"/>
      <c r="Q947" s="880"/>
      <c r="R947" s="880"/>
      <c r="S947" s="880"/>
      <c r="T947" s="880"/>
      <c r="U947" s="879"/>
      <c r="V947" s="880"/>
      <c r="W947" s="880"/>
      <c r="X947" s="880"/>
      <c r="Y947" s="880"/>
      <c r="Z947" s="879"/>
      <c r="AA947" s="880"/>
      <c r="AB947" s="880"/>
      <c r="AC947" s="880"/>
      <c r="AD947" s="880"/>
      <c r="AE947" s="879"/>
      <c r="AF947" s="880"/>
      <c r="AG947" s="880"/>
      <c r="AH947" s="880"/>
      <c r="AI947" s="880"/>
      <c r="AJ947" s="879"/>
      <c r="AK947" s="880"/>
      <c r="AL947" s="880"/>
      <c r="AM947" s="880"/>
      <c r="AN947" s="880"/>
      <c r="AO947" s="879"/>
      <c r="AP947" s="880"/>
      <c r="AQ947" s="880"/>
      <c r="AR947" s="880"/>
      <c r="AS947" s="880"/>
      <c r="AT947" s="879"/>
      <c r="AU947" s="881"/>
      <c r="AV947" s="880"/>
      <c r="AW947" s="880"/>
      <c r="AX947" s="880"/>
      <c r="AY947" s="879"/>
      <c r="AZ947" s="880"/>
      <c r="BA947" s="880"/>
      <c r="BB947" s="880"/>
      <c r="BC947" s="880"/>
      <c r="BD947" s="879"/>
      <c r="BE947" s="879"/>
      <c r="BF947" s="879"/>
      <c r="BG947" s="879"/>
      <c r="BH947" s="651"/>
    </row>
    <row r="948" spans="1:60" s="21" customFormat="1" x14ac:dyDescent="0.35">
      <c r="A948" s="746" t="s">
        <v>154</v>
      </c>
      <c r="B948" s="746"/>
      <c r="C948" s="874"/>
      <c r="D948" s="874"/>
      <c r="E948" s="874"/>
      <c r="F948" s="874"/>
      <c r="G948" s="874"/>
      <c r="H948" s="874"/>
      <c r="I948" s="874"/>
      <c r="J948" s="874"/>
      <c r="K948" s="874"/>
      <c r="L948" s="874"/>
      <c r="M948" s="874"/>
      <c r="N948" s="874"/>
      <c r="O948" s="874"/>
      <c r="P948" s="874"/>
      <c r="Q948" s="874"/>
      <c r="R948" s="874"/>
      <c r="S948" s="874"/>
      <c r="T948" s="874"/>
      <c r="U948" s="874"/>
      <c r="V948" s="874"/>
      <c r="W948" s="874"/>
      <c r="X948" s="874"/>
      <c r="Y948" s="874"/>
      <c r="Z948" s="874"/>
      <c r="AA948" s="874"/>
      <c r="AB948" s="874"/>
      <c r="AC948" s="874"/>
      <c r="AD948" s="874"/>
      <c r="AE948" s="874"/>
      <c r="AF948" s="874"/>
      <c r="AG948" s="874"/>
      <c r="AH948" s="874"/>
      <c r="AI948" s="874"/>
      <c r="AJ948" s="874"/>
      <c r="AK948" s="874"/>
      <c r="AL948" s="874"/>
      <c r="AM948" s="874"/>
      <c r="AN948" s="874"/>
      <c r="AO948" s="874"/>
      <c r="AP948" s="874"/>
      <c r="AQ948" s="874"/>
      <c r="AR948" s="874"/>
      <c r="AS948" s="874"/>
      <c r="AT948" s="874"/>
      <c r="AU948" s="875"/>
      <c r="AV948" s="874"/>
      <c r="AW948" s="874"/>
      <c r="AX948" s="874"/>
      <c r="AY948" s="874"/>
      <c r="AZ948" s="874"/>
      <c r="BA948" s="874"/>
      <c r="BB948" s="874"/>
      <c r="BC948" s="874"/>
      <c r="BD948" s="874"/>
      <c r="BE948" s="874"/>
      <c r="BF948" s="874"/>
      <c r="BG948" s="874"/>
      <c r="BH948" s="651"/>
    </row>
    <row r="949" spans="1:60" s="21" customFormat="1" x14ac:dyDescent="0.35">
      <c r="A949" s="93" t="str">
        <f t="shared" ref="A949:A966" si="1283">A900</f>
        <v>CFO</v>
      </c>
      <c r="B949" s="429"/>
      <c r="C949" s="879"/>
      <c r="D949" s="879"/>
      <c r="E949" s="879"/>
      <c r="F949" s="879"/>
      <c r="G949" s="880"/>
      <c r="H949" s="880"/>
      <c r="I949" s="880"/>
      <c r="J949" s="880"/>
      <c r="K949" s="879"/>
      <c r="L949" s="880"/>
      <c r="M949" s="880"/>
      <c r="N949" s="880"/>
      <c r="O949" s="880"/>
      <c r="P949" s="879"/>
      <c r="Q949" s="880"/>
      <c r="R949" s="880"/>
      <c r="S949" s="880"/>
      <c r="T949" s="880"/>
      <c r="U949" s="879"/>
      <c r="V949" s="880"/>
      <c r="W949" s="880"/>
      <c r="X949" s="880"/>
      <c r="Y949" s="880"/>
      <c r="Z949" s="879"/>
      <c r="AA949" s="880"/>
      <c r="AB949" s="880"/>
      <c r="AC949" s="880"/>
      <c r="AD949" s="880"/>
      <c r="AE949" s="879"/>
      <c r="AF949" s="880"/>
      <c r="AG949" s="880"/>
      <c r="AH949" s="880"/>
      <c r="AI949" s="880"/>
      <c r="AJ949" s="879"/>
      <c r="AK949" s="880"/>
      <c r="AL949" s="880"/>
      <c r="AM949" s="880"/>
      <c r="AN949" s="880"/>
      <c r="AO949" s="879"/>
      <c r="AP949" s="880"/>
      <c r="AQ949" s="880"/>
      <c r="AR949" s="880"/>
      <c r="AS949" s="880"/>
      <c r="AT949" s="879"/>
      <c r="AU949" s="881"/>
      <c r="AV949" s="880"/>
      <c r="AW949" s="880"/>
      <c r="AX949" s="880"/>
      <c r="AY949" s="879"/>
      <c r="AZ949" s="880"/>
      <c r="BA949" s="880"/>
      <c r="BB949" s="880"/>
      <c r="BC949" s="880"/>
      <c r="BD949" s="879"/>
      <c r="BE949" s="879"/>
      <c r="BF949" s="879"/>
      <c r="BG949" s="879"/>
      <c r="BH949" s="651"/>
    </row>
    <row r="950" spans="1:60" s="60" customFormat="1" x14ac:dyDescent="0.35">
      <c r="A950" s="316" t="str">
        <f t="shared" si="1283"/>
        <v>Net income including noncontrolling interest</v>
      </c>
      <c r="B950" s="317"/>
      <c r="C950" s="108">
        <f t="shared" ref="C950:G958" si="1284">C901</f>
        <v>3244</v>
      </c>
      <c r="D950" s="108">
        <f t="shared" si="1284"/>
        <v>4163</v>
      </c>
      <c r="E950" s="108">
        <f t="shared" si="1284"/>
        <v>4357</v>
      </c>
      <c r="F950" s="108">
        <f t="shared" si="1284"/>
        <v>4511</v>
      </c>
      <c r="G950" s="203">
        <f t="shared" si="1284"/>
        <v>1147</v>
      </c>
      <c r="H950" s="203">
        <f t="shared" ref="H950:J958" si="1285">H901-G901</f>
        <v>1213</v>
      </c>
      <c r="I950" s="203">
        <f t="shared" si="1285"/>
        <v>1245</v>
      </c>
      <c r="J950" s="203">
        <f t="shared" si="1285"/>
        <v>1116</v>
      </c>
      <c r="K950" s="108">
        <f t="shared" ref="K950:L958" si="1286">K901</f>
        <v>4721</v>
      </c>
      <c r="L950" s="203">
        <f t="shared" si="1286"/>
        <v>1225</v>
      </c>
      <c r="M950" s="203">
        <f t="shared" ref="M950:O958" si="1287">M901-L901</f>
        <v>1283</v>
      </c>
      <c r="N950" s="203">
        <f t="shared" si="1287"/>
        <v>1311</v>
      </c>
      <c r="O950" s="203">
        <f t="shared" si="1287"/>
        <v>1179</v>
      </c>
      <c r="P950" s="108">
        <f t="shared" ref="P950:Q958" si="1288">P901</f>
        <v>4998</v>
      </c>
      <c r="Q950" s="203">
        <f t="shared" si="1288"/>
        <v>1201</v>
      </c>
      <c r="R950" s="203">
        <f t="shared" ref="R950:T958" si="1289">R901-Q901</f>
        <v>1303</v>
      </c>
      <c r="S950" s="203">
        <f t="shared" si="1289"/>
        <v>1298</v>
      </c>
      <c r="T950" s="203">
        <f t="shared" si="1289"/>
        <v>1039</v>
      </c>
      <c r="U950" s="108">
        <f t="shared" ref="U950:V958" si="1290">U901</f>
        <v>4841</v>
      </c>
      <c r="V950" s="203">
        <f t="shared" si="1290"/>
        <v>1278</v>
      </c>
      <c r="W950" s="203">
        <f t="shared" ref="W950:Y958" si="1291">W901-V901</f>
        <v>1293</v>
      </c>
      <c r="X950" s="203">
        <f t="shared" si="1291"/>
        <v>1331</v>
      </c>
      <c r="Y950" s="203">
        <f t="shared" si="1291"/>
        <v>1156</v>
      </c>
      <c r="Z950" s="108">
        <f t="shared" ref="Z950:AA958" si="1292">Z901</f>
        <v>5058</v>
      </c>
      <c r="AA950" s="203">
        <f t="shared" si="1292"/>
        <v>1326</v>
      </c>
      <c r="AB950" s="203">
        <f t="shared" ref="AB950:AD958" si="1293">AB901-AA901</f>
        <v>1585</v>
      </c>
      <c r="AC950" s="203">
        <f t="shared" si="1293"/>
        <v>1433</v>
      </c>
      <c r="AD950" s="203">
        <f t="shared" si="1293"/>
        <v>525</v>
      </c>
      <c r="AE950" s="108">
        <f t="shared" ref="AE950:AF958" si="1294">AE901</f>
        <v>4869</v>
      </c>
      <c r="AF950" s="203">
        <f t="shared" si="1294"/>
        <v>606</v>
      </c>
      <c r="AG950" s="203">
        <f t="shared" ref="AG950:AI958" si="1295">AG901-AF901</f>
        <v>1862</v>
      </c>
      <c r="AH950" s="203">
        <f t="shared" si="1295"/>
        <v>1546</v>
      </c>
      <c r="AI950" s="203">
        <f t="shared" si="1295"/>
        <v>1349</v>
      </c>
      <c r="AJ950" s="108">
        <f t="shared" ref="AJ950:AK958" si="1296">AJ901</f>
        <v>5363</v>
      </c>
      <c r="AK950" s="203">
        <f t="shared" si="1296"/>
        <v>893</v>
      </c>
      <c r="AL950" s="203">
        <f t="shared" ref="AL950:AN958" si="1297">AL901-AK901</f>
        <v>1131</v>
      </c>
      <c r="AM950" s="203">
        <f t="shared" si="1297"/>
        <v>1588</v>
      </c>
      <c r="AN950" s="203">
        <f t="shared" si="1297"/>
        <v>970</v>
      </c>
      <c r="AO950" s="108">
        <f t="shared" ref="AO950:AP958" si="1298">AO901</f>
        <v>4582</v>
      </c>
      <c r="AP950" s="203">
        <f t="shared" si="1298"/>
        <v>1294</v>
      </c>
      <c r="AQ950" s="203">
        <f t="shared" ref="AQ950:AR958" si="1299">AQ901-AP901</f>
        <v>1287</v>
      </c>
      <c r="AR950" s="203">
        <f t="shared" si="1299"/>
        <v>1417</v>
      </c>
      <c r="AS950" s="203">
        <f t="shared" ref="AS950:AS958" si="1300">AS901-AR901</f>
        <v>1390</v>
      </c>
      <c r="AT950" s="108">
        <f t="shared" ref="AT950:AU950" si="1301">AT901</f>
        <v>5388</v>
      </c>
      <c r="AU950" s="790">
        <f t="shared" si="1301"/>
        <v>1627</v>
      </c>
      <c r="AV950" s="203">
        <f>AV815</f>
        <v>1242.0097752522743</v>
      </c>
      <c r="AW950" s="203">
        <f>AW815</f>
        <v>1510.1218446881926</v>
      </c>
      <c r="AX950" s="203">
        <f>AX815</f>
        <v>1591.6169221575942</v>
      </c>
      <c r="AY950" s="108">
        <f t="shared" ref="AY950:AY958" si="1302">SUM(AU950,AV950,AW950,AX950)</f>
        <v>5970.7485420980611</v>
      </c>
      <c r="AZ950" s="203">
        <f>AZ815</f>
        <v>1687.9080105357048</v>
      </c>
      <c r="BA950" s="203">
        <f ca="1">BA815</f>
        <v>1463.4520718263889</v>
      </c>
      <c r="BB950" s="203">
        <f ca="1">BB815</f>
        <v>1573.5364517164776</v>
      </c>
      <c r="BC950" s="203">
        <f ca="1">BC815</f>
        <v>1750.7652751190656</v>
      </c>
      <c r="BD950" s="108">
        <f t="shared" ref="BD950:BD958" ca="1" si="1303">SUM(AZ950,BA950,BB950,BC950)</f>
        <v>6475.6618091976361</v>
      </c>
      <c r="BE950" s="108">
        <f ca="1">BE815</f>
        <v>7113.9761434234888</v>
      </c>
      <c r="BF950" s="108">
        <f ca="1">BF815</f>
        <v>7810.4381898482488</v>
      </c>
      <c r="BG950" s="108">
        <f ca="1">BG815</f>
        <v>8568.6901746959811</v>
      </c>
      <c r="BH950" s="351"/>
    </row>
    <row r="951" spans="1:60" s="60" customFormat="1" x14ac:dyDescent="0.35">
      <c r="A951" s="316" t="str">
        <f t="shared" si="1283"/>
        <v>Depreciation and amortization</v>
      </c>
      <c r="B951" s="317"/>
      <c r="C951" s="108">
        <f t="shared" si="1284"/>
        <v>1157</v>
      </c>
      <c r="D951" s="108">
        <f t="shared" si="1284"/>
        <v>1120</v>
      </c>
      <c r="E951" s="108">
        <f t="shared" si="1284"/>
        <v>1236</v>
      </c>
      <c r="F951" s="108">
        <f t="shared" si="1284"/>
        <v>1288</v>
      </c>
      <c r="G951" s="203">
        <f t="shared" si="1284"/>
        <v>336</v>
      </c>
      <c r="H951" s="203">
        <f t="shared" si="1285"/>
        <v>335</v>
      </c>
      <c r="I951" s="203">
        <f t="shared" si="1285"/>
        <v>343</v>
      </c>
      <c r="J951" s="203">
        <f t="shared" si="1285"/>
        <v>357</v>
      </c>
      <c r="K951" s="108">
        <f t="shared" si="1286"/>
        <v>1371</v>
      </c>
      <c r="L951" s="203">
        <f t="shared" si="1286"/>
        <v>350</v>
      </c>
      <c r="M951" s="203">
        <f t="shared" si="1287"/>
        <v>358</v>
      </c>
      <c r="N951" s="203">
        <f t="shared" si="1287"/>
        <v>350</v>
      </c>
      <c r="O951" s="203">
        <f t="shared" si="1287"/>
        <v>350</v>
      </c>
      <c r="P951" s="108">
        <f t="shared" si="1288"/>
        <v>1408</v>
      </c>
      <c r="Q951" s="203">
        <f t="shared" si="1288"/>
        <v>339</v>
      </c>
      <c r="R951" s="203">
        <f t="shared" si="1289"/>
        <v>344</v>
      </c>
      <c r="S951" s="203">
        <f t="shared" si="1289"/>
        <v>355</v>
      </c>
      <c r="T951" s="203">
        <f t="shared" si="1289"/>
        <v>397</v>
      </c>
      <c r="U951" s="108">
        <f t="shared" si="1290"/>
        <v>1435</v>
      </c>
      <c r="V951" s="203">
        <f t="shared" si="1290"/>
        <v>356</v>
      </c>
      <c r="W951" s="203">
        <f t="shared" si="1291"/>
        <v>366</v>
      </c>
      <c r="X951" s="203">
        <f t="shared" si="1291"/>
        <v>368</v>
      </c>
      <c r="Y951" s="203">
        <f t="shared" si="1291"/>
        <v>384</v>
      </c>
      <c r="Z951" s="108">
        <f t="shared" si="1292"/>
        <v>1474</v>
      </c>
      <c r="AA951" s="203">
        <f t="shared" si="1292"/>
        <v>438</v>
      </c>
      <c r="AB951" s="203">
        <f t="shared" si="1293"/>
        <v>380</v>
      </c>
      <c r="AC951" s="203">
        <f t="shared" si="1293"/>
        <v>377</v>
      </c>
      <c r="AD951" s="203">
        <f t="shared" si="1293"/>
        <v>349</v>
      </c>
      <c r="AE951" s="108">
        <f t="shared" si="1294"/>
        <v>1544</v>
      </c>
      <c r="AF951" s="203">
        <f t="shared" si="1294"/>
        <v>382</v>
      </c>
      <c r="AG951" s="203">
        <f t="shared" si="1295"/>
        <v>380</v>
      </c>
      <c r="AH951" s="203">
        <f t="shared" si="1295"/>
        <v>355</v>
      </c>
      <c r="AI951" s="203">
        <f t="shared" si="1295"/>
        <v>371</v>
      </c>
      <c r="AJ951" s="108">
        <f t="shared" si="1296"/>
        <v>1488</v>
      </c>
      <c r="AK951" s="203">
        <f t="shared" si="1296"/>
        <v>375</v>
      </c>
      <c r="AL951" s="203">
        <f t="shared" si="1297"/>
        <v>376</v>
      </c>
      <c r="AM951" s="203">
        <f t="shared" si="1297"/>
        <v>379</v>
      </c>
      <c r="AN951" s="203">
        <f t="shared" si="1297"/>
        <v>463</v>
      </c>
      <c r="AO951" s="108">
        <f t="shared" si="1298"/>
        <v>1593</v>
      </c>
      <c r="AP951" s="203">
        <f t="shared" si="1298"/>
        <v>440</v>
      </c>
      <c r="AQ951" s="203">
        <f t="shared" si="1299"/>
        <v>492</v>
      </c>
      <c r="AR951" s="203">
        <f t="shared" si="1299"/>
        <v>481</v>
      </c>
      <c r="AS951" s="203">
        <f t="shared" si="1300"/>
        <v>498</v>
      </c>
      <c r="AT951" s="108">
        <f t="shared" ref="AT951:AU951" si="1304">AT902</f>
        <v>1911</v>
      </c>
      <c r="AU951" s="790">
        <f t="shared" si="1304"/>
        <v>460</v>
      </c>
      <c r="AV951" s="203">
        <f>+AV799+AV800</f>
        <v>425</v>
      </c>
      <c r="AW951" s="203">
        <f>+AW799+AW800</f>
        <v>425</v>
      </c>
      <c r="AX951" s="203">
        <f>+AX799+AX800</f>
        <v>425</v>
      </c>
      <c r="AY951" s="108">
        <f t="shared" si="1302"/>
        <v>1735</v>
      </c>
      <c r="AZ951" s="203">
        <f>+AZ799+AZ800</f>
        <v>425</v>
      </c>
      <c r="BA951" s="203">
        <f>+BA799+BA800</f>
        <v>425</v>
      </c>
      <c r="BB951" s="203">
        <f>+BB799+BB800</f>
        <v>425</v>
      </c>
      <c r="BC951" s="203">
        <f>+BC799+BC800</f>
        <v>425</v>
      </c>
      <c r="BD951" s="108">
        <f t="shared" si="1303"/>
        <v>1700</v>
      </c>
      <c r="BE951" s="108">
        <f>+BE799+BE800</f>
        <v>1700</v>
      </c>
      <c r="BF951" s="108">
        <f>+BF799+BF800</f>
        <v>1700</v>
      </c>
      <c r="BG951" s="108">
        <f>+BG799+BG800</f>
        <v>1700</v>
      </c>
      <c r="BH951" s="351"/>
    </row>
    <row r="952" spans="1:60" s="60" customFormat="1" x14ac:dyDescent="0.35">
      <c r="A952" s="316" t="str">
        <f t="shared" si="1283"/>
        <v>Company pension and postretirement contributions</v>
      </c>
      <c r="B952" s="317"/>
      <c r="C952" s="108">
        <f t="shared" si="1284"/>
        <v>-792</v>
      </c>
      <c r="D952" s="108">
        <f t="shared" si="1284"/>
        <v>-618</v>
      </c>
      <c r="E952" s="108">
        <f t="shared" si="1284"/>
        <v>-582</v>
      </c>
      <c r="F952" s="108">
        <f t="shared" si="1284"/>
        <v>-1146</v>
      </c>
      <c r="G952" s="203">
        <f t="shared" si="1284"/>
        <v>-68</v>
      </c>
      <c r="H952" s="203">
        <f t="shared" si="1285"/>
        <v>-103</v>
      </c>
      <c r="I952" s="203">
        <f t="shared" si="1285"/>
        <v>-214</v>
      </c>
      <c r="J952" s="203">
        <f t="shared" si="1285"/>
        <v>-97</v>
      </c>
      <c r="K952" s="108">
        <f t="shared" si="1286"/>
        <v>-482</v>
      </c>
      <c r="L952" s="203">
        <f t="shared" si="1286"/>
        <v>-42</v>
      </c>
      <c r="M952" s="203">
        <f t="shared" si="1287"/>
        <v>-35</v>
      </c>
      <c r="N952" s="203">
        <f t="shared" si="1287"/>
        <v>-35</v>
      </c>
      <c r="O952" s="203">
        <f t="shared" si="1287"/>
        <v>-103</v>
      </c>
      <c r="P952" s="108">
        <f t="shared" si="1288"/>
        <v>-215</v>
      </c>
      <c r="Q952" s="203">
        <f t="shared" si="1288"/>
        <v>-91</v>
      </c>
      <c r="R952" s="203">
        <f t="shared" si="1289"/>
        <v>-94</v>
      </c>
      <c r="S952" s="203">
        <f t="shared" si="1289"/>
        <v>-31</v>
      </c>
      <c r="T952" s="203">
        <f t="shared" si="1289"/>
        <v>-51</v>
      </c>
      <c r="U952" s="108">
        <f t="shared" si="1290"/>
        <v>-267</v>
      </c>
      <c r="V952" s="203">
        <f t="shared" si="1290"/>
        <v>-56</v>
      </c>
      <c r="W952" s="203">
        <f t="shared" si="1291"/>
        <v>-41</v>
      </c>
      <c r="X952" s="203">
        <f t="shared" si="1291"/>
        <v>-226</v>
      </c>
      <c r="Y952" s="203">
        <f t="shared" si="1291"/>
        <v>-60</v>
      </c>
      <c r="Z952" s="108">
        <f t="shared" si="1292"/>
        <v>-383</v>
      </c>
      <c r="AA952" s="203">
        <f t="shared" si="1292"/>
        <v>-248</v>
      </c>
      <c r="AB952" s="203">
        <f t="shared" si="1293"/>
        <v>-31</v>
      </c>
      <c r="AC952" s="203">
        <f t="shared" si="1293"/>
        <v>-35</v>
      </c>
      <c r="AD952" s="203">
        <f t="shared" si="1293"/>
        <v>-653</v>
      </c>
      <c r="AE952" s="108">
        <f t="shared" si="1294"/>
        <v>-967</v>
      </c>
      <c r="AF952" s="203">
        <f t="shared" si="1294"/>
        <v>-232</v>
      </c>
      <c r="AG952" s="203">
        <f t="shared" si="1295"/>
        <v>-29</v>
      </c>
      <c r="AH952" s="203">
        <f t="shared" si="1295"/>
        <v>-42</v>
      </c>
      <c r="AI952" s="203">
        <f t="shared" si="1295"/>
        <v>-67</v>
      </c>
      <c r="AJ952" s="108">
        <f t="shared" si="1296"/>
        <v>-370</v>
      </c>
      <c r="AK952" s="203">
        <f t="shared" si="1296"/>
        <v>-47</v>
      </c>
      <c r="AL952" s="203">
        <f t="shared" si="1297"/>
        <v>-41</v>
      </c>
      <c r="AM952" s="203">
        <f t="shared" si="1297"/>
        <v>-41</v>
      </c>
      <c r="AN952" s="203">
        <f t="shared" si="1297"/>
        <v>-81</v>
      </c>
      <c r="AO952" s="108">
        <f t="shared" si="1298"/>
        <v>-210</v>
      </c>
      <c r="AP952" s="203">
        <f t="shared" si="1298"/>
        <v>-39</v>
      </c>
      <c r="AQ952" s="203">
        <f t="shared" si="1299"/>
        <v>-38</v>
      </c>
      <c r="AR952" s="203">
        <f t="shared" si="1299"/>
        <v>-45</v>
      </c>
      <c r="AS952" s="203">
        <f t="shared" si="1300"/>
        <v>-34</v>
      </c>
      <c r="AT952" s="108">
        <f t="shared" ref="AT952:AU952" si="1305">AT903</f>
        <v>-156</v>
      </c>
      <c r="AU952" s="790">
        <f t="shared" si="1305"/>
        <v>-47</v>
      </c>
      <c r="AV952" s="203"/>
      <c r="AW952" s="203"/>
      <c r="AX952" s="203"/>
      <c r="AY952" s="108">
        <f t="shared" si="1302"/>
        <v>-47</v>
      </c>
      <c r="AZ952" s="203"/>
      <c r="BA952" s="203"/>
      <c r="BB952" s="203"/>
      <c r="BC952" s="203"/>
      <c r="BD952" s="108">
        <f t="shared" si="1303"/>
        <v>0</v>
      </c>
      <c r="BE952" s="108"/>
      <c r="BF952" s="108"/>
      <c r="BG952" s="108"/>
      <c r="BH952" s="351"/>
    </row>
    <row r="953" spans="1:60" s="60" customFormat="1" x14ac:dyDescent="0.35">
      <c r="A953" s="316" t="str">
        <f t="shared" si="1283"/>
        <v>Company pension and postretirement expense</v>
      </c>
      <c r="B953" s="317"/>
      <c r="C953" s="108">
        <f t="shared" si="1284"/>
        <v>223</v>
      </c>
      <c r="D953" s="108">
        <f t="shared" si="1284"/>
        <v>322</v>
      </c>
      <c r="E953" s="108">
        <f t="shared" si="1284"/>
        <v>555</v>
      </c>
      <c r="F953" s="108">
        <f t="shared" si="1284"/>
        <v>650</v>
      </c>
      <c r="G953" s="203">
        <f t="shared" si="1284"/>
        <v>138</v>
      </c>
      <c r="H953" s="203">
        <f t="shared" si="1285"/>
        <v>137</v>
      </c>
      <c r="I953" s="203">
        <f t="shared" si="1285"/>
        <v>139</v>
      </c>
      <c r="J953" s="203">
        <f t="shared" si="1285"/>
        <v>139</v>
      </c>
      <c r="K953" s="108">
        <f t="shared" si="1286"/>
        <v>553</v>
      </c>
      <c r="L953" s="203">
        <f t="shared" si="1286"/>
        <v>98</v>
      </c>
      <c r="M953" s="203">
        <f t="shared" si="1287"/>
        <v>98</v>
      </c>
      <c r="N953" s="203">
        <f t="shared" si="1287"/>
        <v>97</v>
      </c>
      <c r="O953" s="203">
        <f t="shared" si="1287"/>
        <v>98</v>
      </c>
      <c r="P953" s="108">
        <f t="shared" si="1288"/>
        <v>391</v>
      </c>
      <c r="Q953" s="203">
        <f t="shared" si="1288"/>
        <v>134</v>
      </c>
      <c r="R953" s="203">
        <f t="shared" si="1289"/>
        <v>149</v>
      </c>
      <c r="S953" s="203">
        <f t="shared" si="1289"/>
        <v>135</v>
      </c>
      <c r="T953" s="203">
        <f t="shared" si="1289"/>
        <v>138</v>
      </c>
      <c r="U953" s="108">
        <f t="shared" si="1290"/>
        <v>556</v>
      </c>
      <c r="V953" s="203">
        <f t="shared" si="1290"/>
        <v>59</v>
      </c>
      <c r="W953" s="203">
        <f t="shared" si="1291"/>
        <v>59</v>
      </c>
      <c r="X953" s="203">
        <f t="shared" si="1291"/>
        <v>62</v>
      </c>
      <c r="Y953" s="203">
        <f t="shared" si="1291"/>
        <v>71</v>
      </c>
      <c r="Z953" s="108">
        <f t="shared" si="1292"/>
        <v>251</v>
      </c>
      <c r="AA953" s="203">
        <f t="shared" si="1292"/>
        <v>81</v>
      </c>
      <c r="AB953" s="203">
        <f t="shared" si="1293"/>
        <v>82</v>
      </c>
      <c r="AC953" s="203">
        <f t="shared" si="1293"/>
        <v>80</v>
      </c>
      <c r="AD953" s="203">
        <f t="shared" si="1293"/>
        <v>91</v>
      </c>
      <c r="AE953" s="108">
        <f t="shared" si="1294"/>
        <v>334</v>
      </c>
      <c r="AF953" s="203">
        <f t="shared" si="1294"/>
        <v>102</v>
      </c>
      <c r="AG953" s="203">
        <f t="shared" si="1295"/>
        <v>102</v>
      </c>
      <c r="AH953" s="203">
        <f t="shared" si="1295"/>
        <v>102</v>
      </c>
      <c r="AI953" s="203">
        <f t="shared" si="1295"/>
        <v>104</v>
      </c>
      <c r="AJ953" s="108">
        <f t="shared" si="1296"/>
        <v>410</v>
      </c>
      <c r="AK953" s="203">
        <f t="shared" si="1296"/>
        <v>70</v>
      </c>
      <c r="AL953" s="203">
        <f t="shared" si="1297"/>
        <v>106</v>
      </c>
      <c r="AM953" s="203">
        <f t="shared" si="1297"/>
        <v>66</v>
      </c>
      <c r="AN953" s="203">
        <f t="shared" si="1297"/>
        <v>115</v>
      </c>
      <c r="AO953" s="108">
        <f t="shared" si="1298"/>
        <v>357</v>
      </c>
      <c r="AP953" s="203">
        <f t="shared" si="1298"/>
        <v>98</v>
      </c>
      <c r="AQ953" s="203">
        <f t="shared" si="1299"/>
        <v>99</v>
      </c>
      <c r="AR953" s="203">
        <f t="shared" si="1299"/>
        <v>98</v>
      </c>
      <c r="AS953" s="203">
        <f t="shared" si="1300"/>
        <v>111</v>
      </c>
      <c r="AT953" s="108">
        <f t="shared" ref="AT953:AU953" si="1306">AT904</f>
        <v>406</v>
      </c>
      <c r="AU953" s="790">
        <f t="shared" si="1306"/>
        <v>47</v>
      </c>
      <c r="AV953" s="203"/>
      <c r="AW953" s="203"/>
      <c r="AX953" s="203"/>
      <c r="AY953" s="108">
        <f t="shared" si="1302"/>
        <v>47</v>
      </c>
      <c r="AZ953" s="203"/>
      <c r="BA953" s="203"/>
      <c r="BB953" s="203"/>
      <c r="BC953" s="203"/>
      <c r="BD953" s="108">
        <f t="shared" si="1303"/>
        <v>0</v>
      </c>
      <c r="BE953" s="108"/>
      <c r="BF953" s="108"/>
      <c r="BG953" s="108"/>
      <c r="BH953" s="351"/>
    </row>
    <row r="954" spans="1:60" s="60" customFormat="1" x14ac:dyDescent="0.35">
      <c r="A954" s="316" t="str">
        <f t="shared" si="1283"/>
        <v>Stock-based compensation expense</v>
      </c>
      <c r="B954" s="317"/>
      <c r="C954" s="108">
        <f t="shared" si="1284"/>
        <v>217</v>
      </c>
      <c r="D954" s="108">
        <f t="shared" si="1284"/>
        <v>274</v>
      </c>
      <c r="E954" s="108">
        <f t="shared" si="1284"/>
        <v>253</v>
      </c>
      <c r="F954" s="108">
        <f t="shared" si="1284"/>
        <v>223</v>
      </c>
      <c r="G954" s="203">
        <f t="shared" si="1284"/>
        <v>103</v>
      </c>
      <c r="H954" s="203">
        <f t="shared" si="1285"/>
        <v>47</v>
      </c>
      <c r="I954" s="203">
        <f t="shared" si="1285"/>
        <v>47</v>
      </c>
      <c r="J954" s="203">
        <f t="shared" si="1285"/>
        <v>43</v>
      </c>
      <c r="K954" s="108">
        <f t="shared" si="1286"/>
        <v>240</v>
      </c>
      <c r="L954" s="203">
        <f t="shared" si="1286"/>
        <v>122</v>
      </c>
      <c r="M954" s="203">
        <f t="shared" si="1287"/>
        <v>52</v>
      </c>
      <c r="N954" s="203">
        <f t="shared" si="1287"/>
        <v>47</v>
      </c>
      <c r="O954" s="203">
        <f t="shared" si="1287"/>
        <v>59</v>
      </c>
      <c r="P954" s="108">
        <f t="shared" si="1288"/>
        <v>280</v>
      </c>
      <c r="Q954" s="203">
        <f t="shared" si="1288"/>
        <v>138</v>
      </c>
      <c r="R954" s="203">
        <f t="shared" si="1289"/>
        <v>49</v>
      </c>
      <c r="S954" s="203">
        <f t="shared" si="1289"/>
        <v>46</v>
      </c>
      <c r="T954" s="203">
        <f t="shared" si="1289"/>
        <v>43</v>
      </c>
      <c r="U954" s="108">
        <f t="shared" si="1290"/>
        <v>276</v>
      </c>
      <c r="V954" s="203">
        <f t="shared" si="1290"/>
        <v>144</v>
      </c>
      <c r="W954" s="203">
        <f t="shared" si="1291"/>
        <v>49</v>
      </c>
      <c r="X954" s="203">
        <f t="shared" si="1291"/>
        <v>51</v>
      </c>
      <c r="Y954" s="203">
        <f t="shared" si="1291"/>
        <v>54</v>
      </c>
      <c r="Z954" s="108">
        <f t="shared" si="1292"/>
        <v>298</v>
      </c>
      <c r="AA954" s="203">
        <f t="shared" si="1292"/>
        <v>147</v>
      </c>
      <c r="AB954" s="203">
        <f t="shared" si="1293"/>
        <v>59</v>
      </c>
      <c r="AC954" s="203">
        <f t="shared" si="1293"/>
        <v>60</v>
      </c>
      <c r="AD954" s="203">
        <f t="shared" si="1293"/>
        <v>58</v>
      </c>
      <c r="AE954" s="108">
        <f t="shared" si="1294"/>
        <v>324</v>
      </c>
      <c r="AF954" s="203">
        <f t="shared" si="1294"/>
        <v>159</v>
      </c>
      <c r="AG954" s="203">
        <f t="shared" si="1295"/>
        <v>49</v>
      </c>
      <c r="AH954" s="203">
        <f t="shared" si="1295"/>
        <v>50</v>
      </c>
      <c r="AI954" s="203">
        <f t="shared" si="1295"/>
        <v>44</v>
      </c>
      <c r="AJ954" s="108">
        <f t="shared" si="1296"/>
        <v>302</v>
      </c>
      <c r="AK954" s="203">
        <f t="shared" si="1296"/>
        <v>130</v>
      </c>
      <c r="AL954" s="203">
        <f t="shared" si="1297"/>
        <v>52</v>
      </c>
      <c r="AM954" s="203">
        <f t="shared" si="1297"/>
        <v>48</v>
      </c>
      <c r="AN954" s="203">
        <f t="shared" si="1297"/>
        <v>48</v>
      </c>
      <c r="AO954" s="108">
        <f t="shared" si="1298"/>
        <v>278</v>
      </c>
      <c r="AP954" s="203">
        <f t="shared" si="1298"/>
        <v>120</v>
      </c>
      <c r="AQ954" s="203">
        <f t="shared" si="1299"/>
        <v>52</v>
      </c>
      <c r="AR954" s="203">
        <f t="shared" si="1299"/>
        <v>44</v>
      </c>
      <c r="AS954" s="203">
        <f t="shared" si="1300"/>
        <v>46</v>
      </c>
      <c r="AT954" s="108">
        <f t="shared" ref="AT954:AU954" si="1307">AT905</f>
        <v>262</v>
      </c>
      <c r="AU954" s="790">
        <f t="shared" si="1307"/>
        <v>131</v>
      </c>
      <c r="AV954" s="203">
        <f>+AV801</f>
        <v>50</v>
      </c>
      <c r="AW954" s="203">
        <f>+AW801</f>
        <v>50</v>
      </c>
      <c r="AX954" s="203">
        <f>+AX801</f>
        <v>50</v>
      </c>
      <c r="AY954" s="108">
        <f t="shared" si="1302"/>
        <v>281</v>
      </c>
      <c r="AZ954" s="203">
        <f>+AZ801</f>
        <v>135</v>
      </c>
      <c r="BA954" s="203">
        <f>+BA801</f>
        <v>50</v>
      </c>
      <c r="BB954" s="203">
        <f>+BB801</f>
        <v>50</v>
      </c>
      <c r="BC954" s="203">
        <f>+BC801</f>
        <v>50</v>
      </c>
      <c r="BD954" s="108">
        <f t="shared" si="1303"/>
        <v>285</v>
      </c>
      <c r="BE954" s="108">
        <f>+BE801</f>
        <v>285</v>
      </c>
      <c r="BF954" s="108">
        <f>+BF801</f>
        <v>285</v>
      </c>
      <c r="BG954" s="108">
        <f>+BG801</f>
        <v>285</v>
      </c>
      <c r="BH954" s="351"/>
    </row>
    <row r="955" spans="1:60" s="60" customFormat="1" x14ac:dyDescent="0.35">
      <c r="A955" s="316" t="str">
        <f t="shared" si="1283"/>
        <v>Gain on sale of businesses</v>
      </c>
      <c r="B955" s="317"/>
      <c r="C955" s="108">
        <f t="shared" si="1284"/>
        <v>0</v>
      </c>
      <c r="D955" s="108">
        <f t="shared" si="1284"/>
        <v>0</v>
      </c>
      <c r="E955" s="108">
        <f t="shared" si="1284"/>
        <v>0</v>
      </c>
      <c r="F955" s="108">
        <f t="shared" si="1284"/>
        <v>0</v>
      </c>
      <c r="G955" s="203">
        <f t="shared" si="1284"/>
        <v>0</v>
      </c>
      <c r="H955" s="203">
        <f t="shared" si="1285"/>
        <v>0</v>
      </c>
      <c r="I955" s="203">
        <f t="shared" si="1285"/>
        <v>0</v>
      </c>
      <c r="J955" s="203">
        <f t="shared" si="1285"/>
        <v>0</v>
      </c>
      <c r="K955" s="108">
        <f t="shared" si="1286"/>
        <v>0</v>
      </c>
      <c r="L955" s="203">
        <f t="shared" si="1286"/>
        <v>0</v>
      </c>
      <c r="M955" s="203">
        <f t="shared" si="1287"/>
        <v>0</v>
      </c>
      <c r="N955" s="203">
        <f t="shared" si="1287"/>
        <v>0</v>
      </c>
      <c r="O955" s="203">
        <f t="shared" si="1287"/>
        <v>0</v>
      </c>
      <c r="P955" s="108">
        <f t="shared" si="1288"/>
        <v>0</v>
      </c>
      <c r="Q955" s="203">
        <f t="shared" si="1288"/>
        <v>0</v>
      </c>
      <c r="R955" s="203">
        <f t="shared" si="1289"/>
        <v>0</v>
      </c>
      <c r="S955" s="203">
        <f t="shared" si="1289"/>
        <v>0</v>
      </c>
      <c r="T955" s="203">
        <f t="shared" si="1289"/>
        <v>0</v>
      </c>
      <c r="U955" s="108">
        <f t="shared" si="1290"/>
        <v>0</v>
      </c>
      <c r="V955" s="203">
        <f t="shared" si="1290"/>
        <v>0</v>
      </c>
      <c r="W955" s="203">
        <f t="shared" si="1291"/>
        <v>0</v>
      </c>
      <c r="X955" s="203">
        <f t="shared" si="1291"/>
        <v>0</v>
      </c>
      <c r="Y955" s="203">
        <f t="shared" si="1291"/>
        <v>0</v>
      </c>
      <c r="Z955" s="108">
        <f t="shared" si="1292"/>
        <v>0</v>
      </c>
      <c r="AA955" s="203">
        <f t="shared" si="1292"/>
        <v>-29</v>
      </c>
      <c r="AB955" s="203">
        <f t="shared" si="1293"/>
        <v>-461</v>
      </c>
      <c r="AC955" s="203">
        <f t="shared" si="1293"/>
        <v>0</v>
      </c>
      <c r="AD955" s="203">
        <f t="shared" si="1293"/>
        <v>-96</v>
      </c>
      <c r="AE955" s="108">
        <f t="shared" si="1294"/>
        <v>-586</v>
      </c>
      <c r="AF955" s="203">
        <f t="shared" si="1294"/>
        <v>-24</v>
      </c>
      <c r="AG955" s="203">
        <f t="shared" si="1295"/>
        <v>-506</v>
      </c>
      <c r="AH955" s="203">
        <f t="shared" si="1295"/>
        <v>0</v>
      </c>
      <c r="AI955" s="203">
        <f t="shared" si="1295"/>
        <v>-15</v>
      </c>
      <c r="AJ955" s="108">
        <f t="shared" si="1296"/>
        <v>-545</v>
      </c>
      <c r="AK955" s="203">
        <f t="shared" si="1296"/>
        <v>-5</v>
      </c>
      <c r="AL955" s="203">
        <f t="shared" si="1297"/>
        <v>0</v>
      </c>
      <c r="AM955" s="203">
        <f t="shared" si="1297"/>
        <v>-106</v>
      </c>
      <c r="AN955" s="203">
        <f t="shared" si="1297"/>
        <v>0</v>
      </c>
      <c r="AO955" s="108">
        <f t="shared" si="1298"/>
        <v>-111</v>
      </c>
      <c r="AP955" s="203">
        <f t="shared" si="1298"/>
        <v>-2</v>
      </c>
      <c r="AQ955" s="203">
        <f t="shared" si="1299"/>
        <v>-387</v>
      </c>
      <c r="AR955" s="203">
        <f t="shared" si="1299"/>
        <v>0</v>
      </c>
      <c r="AS955" s="203">
        <f t="shared" si="1300"/>
        <v>0</v>
      </c>
      <c r="AT955" s="108">
        <f t="shared" ref="AT955:AU955" si="1308">AT906</f>
        <v>-389</v>
      </c>
      <c r="AU955" s="790">
        <f t="shared" si="1308"/>
        <v>0</v>
      </c>
      <c r="AV955" s="203"/>
      <c r="AW955" s="203"/>
      <c r="AX955" s="203"/>
      <c r="AY955" s="108">
        <f t="shared" si="1302"/>
        <v>0</v>
      </c>
      <c r="AZ955" s="203"/>
      <c r="BA955" s="203"/>
      <c r="BB955" s="203"/>
      <c r="BC955" s="203"/>
      <c r="BD955" s="108">
        <f t="shared" si="1303"/>
        <v>0</v>
      </c>
      <c r="BE955" s="108"/>
      <c r="BF955" s="108"/>
      <c r="BG955" s="108"/>
      <c r="BH955" s="351"/>
    </row>
    <row r="956" spans="1:60" s="60" customFormat="1" x14ac:dyDescent="0.35">
      <c r="A956" s="316" t="str">
        <f t="shared" si="1283"/>
        <v>Deferred income taxes</v>
      </c>
      <c r="B956" s="317"/>
      <c r="C956" s="108">
        <f t="shared" si="1284"/>
        <v>701</v>
      </c>
      <c r="D956" s="108">
        <f t="shared" si="1284"/>
        <v>-170</v>
      </c>
      <c r="E956" s="108">
        <f t="shared" si="1284"/>
        <v>177</v>
      </c>
      <c r="F956" s="108">
        <f t="shared" si="1284"/>
        <v>33</v>
      </c>
      <c r="G956" s="203">
        <f t="shared" si="1284"/>
        <v>61</v>
      </c>
      <c r="H956" s="203">
        <f t="shared" si="1285"/>
        <v>-24</v>
      </c>
      <c r="I956" s="203">
        <f t="shared" si="1285"/>
        <v>-91</v>
      </c>
      <c r="J956" s="203">
        <f t="shared" si="1285"/>
        <v>-113</v>
      </c>
      <c r="K956" s="108">
        <f t="shared" si="1286"/>
        <v>-167</v>
      </c>
      <c r="L956" s="203">
        <f t="shared" si="1286"/>
        <v>-83</v>
      </c>
      <c r="M956" s="203">
        <f t="shared" si="1287"/>
        <v>47</v>
      </c>
      <c r="N956" s="203">
        <f t="shared" si="1287"/>
        <v>-25</v>
      </c>
      <c r="O956" s="203">
        <f t="shared" si="1287"/>
        <v>-85</v>
      </c>
      <c r="P956" s="108">
        <f t="shared" si="1288"/>
        <v>-146</v>
      </c>
      <c r="Q956" s="203">
        <f t="shared" si="1288"/>
        <v>44</v>
      </c>
      <c r="R956" s="203">
        <f t="shared" si="1289"/>
        <v>251</v>
      </c>
      <c r="S956" s="203">
        <f t="shared" si="1289"/>
        <v>98</v>
      </c>
      <c r="T956" s="203">
        <f t="shared" si="1289"/>
        <v>2</v>
      </c>
      <c r="U956" s="108">
        <f t="shared" si="1290"/>
        <v>395</v>
      </c>
      <c r="V956" s="203">
        <f t="shared" si="1290"/>
        <v>-38</v>
      </c>
      <c r="W956" s="203">
        <f t="shared" si="1291"/>
        <v>-96</v>
      </c>
      <c r="X956" s="203">
        <f t="shared" si="1291"/>
        <v>34</v>
      </c>
      <c r="Y956" s="203">
        <f t="shared" si="1291"/>
        <v>107</v>
      </c>
      <c r="Z956" s="108">
        <f t="shared" si="1292"/>
        <v>7</v>
      </c>
      <c r="AA956" s="203">
        <f t="shared" si="1292"/>
        <v>-84</v>
      </c>
      <c r="AB956" s="203">
        <f t="shared" si="1293"/>
        <v>-36</v>
      </c>
      <c r="AC956" s="203">
        <f t="shared" si="1293"/>
        <v>15</v>
      </c>
      <c r="AD956" s="203">
        <f t="shared" si="1293"/>
        <v>212</v>
      </c>
      <c r="AE956" s="108">
        <f t="shared" si="1294"/>
        <v>107</v>
      </c>
      <c r="AF956" s="203">
        <f t="shared" si="1294"/>
        <v>-103</v>
      </c>
      <c r="AG956" s="203">
        <f t="shared" si="1295"/>
        <v>102</v>
      </c>
      <c r="AH956" s="203">
        <f t="shared" si="1295"/>
        <v>-72</v>
      </c>
      <c r="AI956" s="203">
        <f t="shared" si="1295"/>
        <v>16</v>
      </c>
      <c r="AJ956" s="108">
        <f t="shared" si="1296"/>
        <v>-57</v>
      </c>
      <c r="AK956" s="203">
        <f t="shared" si="1296"/>
        <v>-56</v>
      </c>
      <c r="AL956" s="203">
        <f t="shared" si="1297"/>
        <v>-18</v>
      </c>
      <c r="AM956" s="203">
        <f t="shared" si="1297"/>
        <v>-14</v>
      </c>
      <c r="AN956" s="203">
        <f t="shared" si="1297"/>
        <v>-185</v>
      </c>
      <c r="AO956" s="108">
        <f t="shared" si="1298"/>
        <v>-273</v>
      </c>
      <c r="AP956" s="203">
        <f t="shared" si="1298"/>
        <v>29</v>
      </c>
      <c r="AQ956" s="203">
        <f t="shared" si="1299"/>
        <v>12</v>
      </c>
      <c r="AR956" s="203">
        <f t="shared" si="1299"/>
        <v>-98</v>
      </c>
      <c r="AS956" s="203">
        <f t="shared" si="1300"/>
        <v>-108</v>
      </c>
      <c r="AT956" s="108">
        <f t="shared" ref="AT956:AU956" si="1309">AT907</f>
        <v>-165</v>
      </c>
      <c r="AU956" s="790">
        <f t="shared" si="1309"/>
        <v>16</v>
      </c>
      <c r="AV956" s="203">
        <f>+AV814</f>
        <v>31.443285449424661</v>
      </c>
      <c r="AW956" s="203">
        <f>+AW814</f>
        <v>38.230932776916269</v>
      </c>
      <c r="AX956" s="203">
        <f>+AX814</f>
        <v>40.294099295128973</v>
      </c>
      <c r="AY956" s="108">
        <f t="shared" si="1302"/>
        <v>125.96831752146991</v>
      </c>
      <c r="AZ956" s="203">
        <f>+AZ814</f>
        <v>42.731848367992527</v>
      </c>
      <c r="BA956" s="203">
        <f ca="1">+BA814</f>
        <v>37.049419539908584</v>
      </c>
      <c r="BB956" s="203">
        <f ca="1">+BB814</f>
        <v>39.836365866239937</v>
      </c>
      <c r="BC956" s="203">
        <f ca="1">+BC814</f>
        <v>44.323171522001658</v>
      </c>
      <c r="BD956" s="108">
        <f t="shared" ca="1" si="1303"/>
        <v>163.94080529614268</v>
      </c>
      <c r="BE956" s="108">
        <f ca="1">+BE814</f>
        <v>180.10066185882246</v>
      </c>
      <c r="BF956" s="108">
        <f ca="1">+BF814</f>
        <v>197.73261240122144</v>
      </c>
      <c r="BG956" s="108">
        <f ca="1">+BG814</f>
        <v>216.92886518217671</v>
      </c>
      <c r="BH956" s="351"/>
    </row>
    <row r="957" spans="1:60" s="60" customFormat="1" x14ac:dyDescent="0.35">
      <c r="A957" s="316" t="str">
        <f t="shared" si="1283"/>
        <v>Loss on deconsolidation of Venezuelan subsidiary</v>
      </c>
      <c r="B957" s="317"/>
      <c r="C957" s="108">
        <f t="shared" si="1284"/>
        <v>0</v>
      </c>
      <c r="D957" s="108">
        <f t="shared" si="1284"/>
        <v>0</v>
      </c>
      <c r="E957" s="108">
        <f t="shared" si="1284"/>
        <v>0</v>
      </c>
      <c r="F957" s="108">
        <f t="shared" si="1284"/>
        <v>0</v>
      </c>
      <c r="G957" s="203">
        <f t="shared" si="1284"/>
        <v>0</v>
      </c>
      <c r="H957" s="203">
        <f t="shared" si="1285"/>
        <v>0</v>
      </c>
      <c r="I957" s="203">
        <f t="shared" si="1285"/>
        <v>0</v>
      </c>
      <c r="J957" s="203">
        <f t="shared" si="1285"/>
        <v>0</v>
      </c>
      <c r="K957" s="108">
        <f t="shared" si="1286"/>
        <v>0</v>
      </c>
      <c r="L957" s="203">
        <f t="shared" si="1286"/>
        <v>0</v>
      </c>
      <c r="M957" s="203">
        <f t="shared" si="1287"/>
        <v>0</v>
      </c>
      <c r="N957" s="203">
        <f t="shared" si="1287"/>
        <v>0</v>
      </c>
      <c r="O957" s="203">
        <f t="shared" si="1287"/>
        <v>0</v>
      </c>
      <c r="P957" s="108">
        <f t="shared" si="1288"/>
        <v>0</v>
      </c>
      <c r="Q957" s="203">
        <f t="shared" si="1288"/>
        <v>0</v>
      </c>
      <c r="R957" s="203">
        <f t="shared" si="1289"/>
        <v>0</v>
      </c>
      <c r="S957" s="203">
        <f t="shared" si="1289"/>
        <v>0</v>
      </c>
      <c r="T957" s="203">
        <f t="shared" si="1289"/>
        <v>0</v>
      </c>
      <c r="U957" s="108">
        <f t="shared" si="1290"/>
        <v>0</v>
      </c>
      <c r="V957" s="203">
        <f t="shared" si="1290"/>
        <v>0</v>
      </c>
      <c r="W957" s="203">
        <f t="shared" si="1291"/>
        <v>0</v>
      </c>
      <c r="X957" s="203">
        <f t="shared" si="1291"/>
        <v>0</v>
      </c>
      <c r="Y957" s="203">
        <f t="shared" si="1291"/>
        <v>0</v>
      </c>
      <c r="Z957" s="108">
        <f t="shared" si="1292"/>
        <v>0</v>
      </c>
      <c r="AA957" s="203">
        <f t="shared" si="1292"/>
        <v>0</v>
      </c>
      <c r="AB957" s="203">
        <f t="shared" si="1293"/>
        <v>0</v>
      </c>
      <c r="AC957" s="203">
        <f t="shared" si="1293"/>
        <v>0</v>
      </c>
      <c r="AD957" s="203">
        <f t="shared" si="1293"/>
        <v>0</v>
      </c>
      <c r="AE957" s="108">
        <f t="shared" si="1294"/>
        <v>0</v>
      </c>
      <c r="AF957" s="203">
        <f t="shared" si="1294"/>
        <v>0</v>
      </c>
      <c r="AG957" s="203">
        <f t="shared" si="1295"/>
        <v>0</v>
      </c>
      <c r="AH957" s="203">
        <f t="shared" si="1295"/>
        <v>0</v>
      </c>
      <c r="AI957" s="203">
        <f t="shared" si="1295"/>
        <v>0</v>
      </c>
      <c r="AJ957" s="108">
        <f t="shared" si="1296"/>
        <v>0</v>
      </c>
      <c r="AK957" s="203">
        <f t="shared" si="1296"/>
        <v>0</v>
      </c>
      <c r="AL957" s="203">
        <f t="shared" si="1297"/>
        <v>162</v>
      </c>
      <c r="AM957" s="203">
        <f t="shared" si="1297"/>
        <v>0</v>
      </c>
      <c r="AN957" s="203">
        <f t="shared" si="1297"/>
        <v>0</v>
      </c>
      <c r="AO957" s="108">
        <f t="shared" si="1298"/>
        <v>162</v>
      </c>
      <c r="AP957" s="203">
        <f t="shared" si="1298"/>
        <v>0</v>
      </c>
      <c r="AQ957" s="203">
        <f t="shared" si="1299"/>
        <v>0</v>
      </c>
      <c r="AR957" s="203">
        <f t="shared" si="1299"/>
        <v>0</v>
      </c>
      <c r="AS957" s="203">
        <f t="shared" si="1300"/>
        <v>0</v>
      </c>
      <c r="AT957" s="108">
        <f t="shared" ref="AT957:AU957" si="1310">AT908</f>
        <v>0</v>
      </c>
      <c r="AU957" s="790">
        <f t="shared" si="1310"/>
        <v>0</v>
      </c>
      <c r="AV957" s="203"/>
      <c r="AW957" s="203"/>
      <c r="AX957" s="203"/>
      <c r="AY957" s="108">
        <f t="shared" si="1302"/>
        <v>0</v>
      </c>
      <c r="AZ957" s="203"/>
      <c r="BA957" s="203"/>
      <c r="BB957" s="203"/>
      <c r="BC957" s="203"/>
      <c r="BD957" s="108">
        <f t="shared" si="1303"/>
        <v>0</v>
      </c>
      <c r="BE957" s="108"/>
      <c r="BF957" s="108"/>
      <c r="BG957" s="108"/>
      <c r="BH957" s="351"/>
    </row>
    <row r="958" spans="1:60" s="60" customFormat="1" x14ac:dyDescent="0.35">
      <c r="A958" s="466" t="str">
        <f t="shared" si="1283"/>
        <v>Excess tax benefits from stock-based compensation</v>
      </c>
      <c r="B958" s="467"/>
      <c r="C958" s="124">
        <f t="shared" si="1284"/>
        <v>-14</v>
      </c>
      <c r="D958" s="124">
        <f t="shared" si="1284"/>
        <v>-53</v>
      </c>
      <c r="E958" s="124">
        <f t="shared" si="1284"/>
        <v>-53</v>
      </c>
      <c r="F958" s="124">
        <f t="shared" si="1284"/>
        <v>-62</v>
      </c>
      <c r="G958" s="123">
        <f t="shared" si="1284"/>
        <v>-34</v>
      </c>
      <c r="H958" s="123">
        <f t="shared" si="1285"/>
        <v>-17</v>
      </c>
      <c r="I958" s="123">
        <f t="shared" si="1285"/>
        <v>-17</v>
      </c>
      <c r="J958" s="123">
        <f t="shared" si="1285"/>
        <v>-24</v>
      </c>
      <c r="K958" s="124">
        <f t="shared" si="1286"/>
        <v>-92</v>
      </c>
      <c r="L958" s="123">
        <f t="shared" si="1286"/>
        <v>-51</v>
      </c>
      <c r="M958" s="123">
        <f t="shared" si="1287"/>
        <v>-46</v>
      </c>
      <c r="N958" s="123">
        <f t="shared" si="1287"/>
        <v>-24</v>
      </c>
      <c r="O958" s="123">
        <f t="shared" si="1287"/>
        <v>-46</v>
      </c>
      <c r="P958" s="124">
        <f t="shared" si="1288"/>
        <v>-167</v>
      </c>
      <c r="Q958" s="123">
        <f t="shared" si="1288"/>
        <v>-101</v>
      </c>
      <c r="R958" s="123">
        <f t="shared" si="1289"/>
        <v>-28</v>
      </c>
      <c r="S958" s="123">
        <f t="shared" si="1289"/>
        <v>-8</v>
      </c>
      <c r="T958" s="123">
        <f t="shared" si="1289"/>
        <v>-17</v>
      </c>
      <c r="U958" s="124">
        <f t="shared" si="1290"/>
        <v>-154</v>
      </c>
      <c r="V958" s="123">
        <f t="shared" si="1290"/>
        <v>0</v>
      </c>
      <c r="W958" s="123">
        <f t="shared" si="1291"/>
        <v>0</v>
      </c>
      <c r="X958" s="123">
        <f t="shared" si="1291"/>
        <v>0</v>
      </c>
      <c r="Y958" s="123">
        <f t="shared" si="1291"/>
        <v>0</v>
      </c>
      <c r="Z958" s="124">
        <f t="shared" si="1292"/>
        <v>0</v>
      </c>
      <c r="AA958" s="123">
        <f t="shared" si="1292"/>
        <v>0</v>
      </c>
      <c r="AB958" s="123">
        <f t="shared" si="1293"/>
        <v>0</v>
      </c>
      <c r="AC958" s="123">
        <f t="shared" si="1293"/>
        <v>0</v>
      </c>
      <c r="AD958" s="123">
        <f t="shared" si="1293"/>
        <v>0</v>
      </c>
      <c r="AE958" s="124">
        <f t="shared" si="1294"/>
        <v>0</v>
      </c>
      <c r="AF958" s="123">
        <f t="shared" si="1294"/>
        <v>0</v>
      </c>
      <c r="AG958" s="123">
        <f t="shared" si="1295"/>
        <v>0</v>
      </c>
      <c r="AH958" s="123">
        <f t="shared" si="1295"/>
        <v>0</v>
      </c>
      <c r="AI958" s="123">
        <f t="shared" si="1295"/>
        <v>0</v>
      </c>
      <c r="AJ958" s="124">
        <f t="shared" si="1296"/>
        <v>0</v>
      </c>
      <c r="AK958" s="123">
        <f t="shared" si="1296"/>
        <v>0</v>
      </c>
      <c r="AL958" s="123">
        <f t="shared" si="1297"/>
        <v>0</v>
      </c>
      <c r="AM958" s="123">
        <f t="shared" si="1297"/>
        <v>0</v>
      </c>
      <c r="AN958" s="123">
        <f t="shared" si="1297"/>
        <v>0</v>
      </c>
      <c r="AO958" s="124">
        <f t="shared" si="1298"/>
        <v>0</v>
      </c>
      <c r="AP958" s="123">
        <f t="shared" si="1298"/>
        <v>0</v>
      </c>
      <c r="AQ958" s="123">
        <f t="shared" si="1299"/>
        <v>0</v>
      </c>
      <c r="AR958" s="123">
        <f t="shared" si="1299"/>
        <v>0</v>
      </c>
      <c r="AS958" s="123">
        <f t="shared" si="1300"/>
        <v>0</v>
      </c>
      <c r="AT958" s="124">
        <f t="shared" ref="AT958:AU958" si="1311">AT909</f>
        <v>0</v>
      </c>
      <c r="AU958" s="791">
        <f t="shared" si="1311"/>
        <v>0</v>
      </c>
      <c r="AV958" s="123"/>
      <c r="AW958" s="123"/>
      <c r="AX958" s="123"/>
      <c r="AY958" s="124">
        <f t="shared" si="1302"/>
        <v>0</v>
      </c>
      <c r="AZ958" s="123"/>
      <c r="BA958" s="123"/>
      <c r="BB958" s="123"/>
      <c r="BC958" s="123"/>
      <c r="BD958" s="124">
        <f t="shared" si="1303"/>
        <v>0</v>
      </c>
      <c r="BE958" s="124"/>
      <c r="BF958" s="124"/>
      <c r="BG958" s="124"/>
      <c r="BH958" s="351"/>
    </row>
    <row r="959" spans="1:60" s="69" customFormat="1" x14ac:dyDescent="0.35">
      <c r="A959" s="318" t="str">
        <f t="shared" si="1283"/>
        <v>CFO before WC</v>
      </c>
      <c r="B959" s="319"/>
      <c r="C959" s="110">
        <f t="shared" ref="C959:AH959" si="1312">SUM(C950:C958)</f>
        <v>4736</v>
      </c>
      <c r="D959" s="110">
        <f t="shared" si="1312"/>
        <v>5038</v>
      </c>
      <c r="E959" s="110">
        <f t="shared" si="1312"/>
        <v>5943</v>
      </c>
      <c r="F959" s="110">
        <f t="shared" si="1312"/>
        <v>5497</v>
      </c>
      <c r="G959" s="109">
        <f t="shared" si="1312"/>
        <v>1683</v>
      </c>
      <c r="H959" s="109">
        <f t="shared" si="1312"/>
        <v>1588</v>
      </c>
      <c r="I959" s="109">
        <f t="shared" si="1312"/>
        <v>1452</v>
      </c>
      <c r="J959" s="109">
        <f t="shared" si="1312"/>
        <v>1421</v>
      </c>
      <c r="K959" s="110">
        <f t="shared" si="1312"/>
        <v>6144</v>
      </c>
      <c r="L959" s="109">
        <f t="shared" si="1312"/>
        <v>1619</v>
      </c>
      <c r="M959" s="109">
        <f t="shared" si="1312"/>
        <v>1757</v>
      </c>
      <c r="N959" s="109">
        <f t="shared" si="1312"/>
        <v>1721</v>
      </c>
      <c r="O959" s="109">
        <f t="shared" si="1312"/>
        <v>1452</v>
      </c>
      <c r="P959" s="110">
        <f t="shared" si="1312"/>
        <v>6549</v>
      </c>
      <c r="Q959" s="109">
        <f t="shared" si="1312"/>
        <v>1664</v>
      </c>
      <c r="R959" s="109">
        <f t="shared" si="1312"/>
        <v>1974</v>
      </c>
      <c r="S959" s="109">
        <f t="shared" si="1312"/>
        <v>1893</v>
      </c>
      <c r="T959" s="109">
        <f t="shared" si="1312"/>
        <v>1551</v>
      </c>
      <c r="U959" s="110">
        <f t="shared" si="1312"/>
        <v>7082</v>
      </c>
      <c r="V959" s="109">
        <f t="shared" si="1312"/>
        <v>1743</v>
      </c>
      <c r="W959" s="109">
        <f t="shared" si="1312"/>
        <v>1630</v>
      </c>
      <c r="X959" s="109">
        <f t="shared" si="1312"/>
        <v>1620</v>
      </c>
      <c r="Y959" s="109">
        <f t="shared" si="1312"/>
        <v>1712</v>
      </c>
      <c r="Z959" s="110">
        <f t="shared" si="1312"/>
        <v>6705</v>
      </c>
      <c r="AA959" s="109">
        <f t="shared" si="1312"/>
        <v>1631</v>
      </c>
      <c r="AB959" s="109">
        <f t="shared" si="1312"/>
        <v>1578</v>
      </c>
      <c r="AC959" s="109">
        <f t="shared" si="1312"/>
        <v>1930</v>
      </c>
      <c r="AD959" s="109">
        <f t="shared" si="1312"/>
        <v>486</v>
      </c>
      <c r="AE959" s="110">
        <f t="shared" si="1312"/>
        <v>5625</v>
      </c>
      <c r="AF959" s="109">
        <f t="shared" si="1312"/>
        <v>890</v>
      </c>
      <c r="AG959" s="109">
        <f t="shared" si="1312"/>
        <v>1960</v>
      </c>
      <c r="AH959" s="109">
        <f t="shared" si="1312"/>
        <v>1939</v>
      </c>
      <c r="AI959" s="109">
        <f t="shared" ref="AI959:BN959" si="1313">SUM(AI950:AI958)</f>
        <v>1802</v>
      </c>
      <c r="AJ959" s="110">
        <f t="shared" si="1313"/>
        <v>6591</v>
      </c>
      <c r="AK959" s="109">
        <f t="shared" si="1313"/>
        <v>1360</v>
      </c>
      <c r="AL959" s="109">
        <f t="shared" si="1313"/>
        <v>1768</v>
      </c>
      <c r="AM959" s="109">
        <f t="shared" si="1313"/>
        <v>1920</v>
      </c>
      <c r="AN959" s="109">
        <f t="shared" si="1313"/>
        <v>1330</v>
      </c>
      <c r="AO959" s="110">
        <f t="shared" si="1313"/>
        <v>6378</v>
      </c>
      <c r="AP959" s="109">
        <f t="shared" si="1313"/>
        <v>1940</v>
      </c>
      <c r="AQ959" s="109">
        <f t="shared" si="1313"/>
        <v>1517</v>
      </c>
      <c r="AR959" s="109">
        <f t="shared" si="1313"/>
        <v>1897</v>
      </c>
      <c r="AS959" s="109">
        <f t="shared" si="1313"/>
        <v>1903</v>
      </c>
      <c r="AT959" s="110">
        <f t="shared" si="1313"/>
        <v>7257</v>
      </c>
      <c r="AU959" s="796">
        <f t="shared" si="1313"/>
        <v>2234</v>
      </c>
      <c r="AV959" s="109">
        <f t="shared" si="1313"/>
        <v>1748.4530607016989</v>
      </c>
      <c r="AW959" s="109">
        <f t="shared" si="1313"/>
        <v>2023.3527774651088</v>
      </c>
      <c r="AX959" s="109">
        <f t="shared" si="1313"/>
        <v>2106.9110214527232</v>
      </c>
      <c r="AY959" s="110">
        <f t="shared" si="1313"/>
        <v>8112.7168596195306</v>
      </c>
      <c r="AZ959" s="109">
        <f t="shared" si="1313"/>
        <v>2290.6398589036971</v>
      </c>
      <c r="BA959" s="109">
        <f t="shared" ca="1" si="1313"/>
        <v>1975.5014913662974</v>
      </c>
      <c r="BB959" s="109">
        <f t="shared" ca="1" si="1313"/>
        <v>2088.3728175827177</v>
      </c>
      <c r="BC959" s="109">
        <f t="shared" ca="1" si="1313"/>
        <v>2270.0884466410671</v>
      </c>
      <c r="BD959" s="110">
        <f t="shared" ca="1" si="1313"/>
        <v>8624.6026144937787</v>
      </c>
      <c r="BE959" s="110">
        <f t="shared" ca="1" si="1313"/>
        <v>9279.0768052823114</v>
      </c>
      <c r="BF959" s="110">
        <f t="shared" ca="1" si="1313"/>
        <v>9993.1708022494713</v>
      </c>
      <c r="BG959" s="110">
        <f t="shared" ca="1" si="1313"/>
        <v>10770.619039878158</v>
      </c>
      <c r="BH959" s="79"/>
    </row>
    <row r="960" spans="1:60" s="60" customFormat="1" x14ac:dyDescent="0.35">
      <c r="A960" s="316" t="str">
        <f t="shared" si="1283"/>
        <v>Accounts receivable</v>
      </c>
      <c r="B960" s="317"/>
      <c r="C960" s="108">
        <f t="shared" ref="C960:G965" si="1314">C911</f>
        <v>55</v>
      </c>
      <c r="D960" s="108">
        <f t="shared" si="1314"/>
        <v>-189</v>
      </c>
      <c r="E960" s="108">
        <f t="shared" si="1314"/>
        <v>-205</v>
      </c>
      <c r="F960" s="108">
        <f t="shared" si="1314"/>
        <v>-133</v>
      </c>
      <c r="G960" s="203">
        <f t="shared" si="1314"/>
        <v>-447</v>
      </c>
      <c r="H960" s="203">
        <f t="shared" ref="H960:J965" si="1315">H911-G911</f>
        <v>-181</v>
      </c>
      <c r="I960" s="203">
        <f t="shared" si="1315"/>
        <v>-15</v>
      </c>
      <c r="J960" s="203">
        <f t="shared" si="1315"/>
        <v>306</v>
      </c>
      <c r="K960" s="108">
        <f t="shared" ref="K960:L965" si="1316">K911</f>
        <v>-337</v>
      </c>
      <c r="L960" s="203">
        <f t="shared" si="1316"/>
        <v>-347</v>
      </c>
      <c r="M960" s="203">
        <f t="shared" ref="M960:O965" si="1317">M911-L911</f>
        <v>-137</v>
      </c>
      <c r="N960" s="203">
        <f t="shared" si="1317"/>
        <v>-103</v>
      </c>
      <c r="O960" s="203">
        <f t="shared" si="1317"/>
        <v>319</v>
      </c>
      <c r="P960" s="108">
        <f t="shared" ref="P960:Q965" si="1318">P911</f>
        <v>-268</v>
      </c>
      <c r="Q960" s="203">
        <f t="shared" si="1318"/>
        <v>-296</v>
      </c>
      <c r="R960" s="203">
        <f t="shared" ref="R960:T965" si="1319">R911-Q911</f>
        <v>-150</v>
      </c>
      <c r="S960" s="203">
        <f t="shared" si="1319"/>
        <v>-32</v>
      </c>
      <c r="T960" s="203">
        <f t="shared" si="1319"/>
        <v>420</v>
      </c>
      <c r="U960" s="108">
        <f t="shared" ref="U960:V965" si="1320">U911</f>
        <v>-58</v>
      </c>
      <c r="V960" s="203">
        <f t="shared" si="1320"/>
        <v>-245</v>
      </c>
      <c r="W960" s="203">
        <f t="shared" ref="W960:Y965" si="1321">W911-V911</f>
        <v>-174</v>
      </c>
      <c r="X960" s="203">
        <f t="shared" si="1321"/>
        <v>-50</v>
      </c>
      <c r="Y960" s="203">
        <f t="shared" si="1321"/>
        <v>156</v>
      </c>
      <c r="Z960" s="108">
        <f t="shared" ref="Z960:AA965" si="1322">Z911</f>
        <v>-313</v>
      </c>
      <c r="AA960" s="203">
        <f t="shared" si="1322"/>
        <v>-237</v>
      </c>
      <c r="AB960" s="203">
        <f t="shared" ref="AB960:AD965" si="1323">AB911-AA911</f>
        <v>-175</v>
      </c>
      <c r="AC960" s="203">
        <f t="shared" si="1323"/>
        <v>-183</v>
      </c>
      <c r="AD960" s="203">
        <f t="shared" si="1323"/>
        <v>350</v>
      </c>
      <c r="AE960" s="108">
        <f t="shared" ref="AE960:AF965" si="1324">AE911</f>
        <v>-245</v>
      </c>
      <c r="AF960" s="203">
        <f t="shared" si="1324"/>
        <v>-260</v>
      </c>
      <c r="AG960" s="203">
        <f t="shared" ref="AG960:AI965" si="1325">AG911-AF911</f>
        <v>-346</v>
      </c>
      <c r="AH960" s="203">
        <f t="shared" si="1325"/>
        <v>10</v>
      </c>
      <c r="AI960" s="203">
        <f t="shared" si="1325"/>
        <v>291</v>
      </c>
      <c r="AJ960" s="108">
        <f t="shared" ref="AJ960:AK965" si="1326">AJ911</f>
        <v>-305</v>
      </c>
      <c r="AK960" s="203">
        <f t="shared" si="1326"/>
        <v>-78</v>
      </c>
      <c r="AL960" s="203">
        <f t="shared" ref="AL960:AN965" si="1327">AL911-AK911</f>
        <v>-180</v>
      </c>
      <c r="AM960" s="203">
        <f t="shared" si="1327"/>
        <v>244</v>
      </c>
      <c r="AN960" s="203">
        <f t="shared" si="1327"/>
        <v>359</v>
      </c>
      <c r="AO960" s="108">
        <f t="shared" ref="AO960:AP965" si="1328">AO911</f>
        <v>345</v>
      </c>
      <c r="AP960" s="203">
        <f t="shared" si="1328"/>
        <v>-143</v>
      </c>
      <c r="AQ960" s="203">
        <f t="shared" ref="AQ960:AR965" si="1329">AQ911-AP911</f>
        <v>384</v>
      </c>
      <c r="AR960" s="203">
        <f t="shared" si="1329"/>
        <v>-128</v>
      </c>
      <c r="AS960" s="203">
        <f t="shared" ref="AS960:AS965" si="1330">AS911-AR911</f>
        <v>52</v>
      </c>
      <c r="AT960" s="108">
        <f t="shared" ref="AT960:AU960" si="1331">AT911</f>
        <v>165</v>
      </c>
      <c r="AU960" s="790">
        <f t="shared" si="1331"/>
        <v>-205</v>
      </c>
      <c r="AV960" s="203">
        <f>AU1036-AV1036</f>
        <v>59.450629515516994</v>
      </c>
      <c r="AW960" s="203">
        <f>AV1036-AW1036</f>
        <v>-176.80793014619303</v>
      </c>
      <c r="AX960" s="203">
        <f>AW1036-AX1036</f>
        <v>98.981243509621891</v>
      </c>
      <c r="AY960" s="108">
        <f t="shared" ref="AY960:AY965" si="1332">SUM(AU960,AV960,AW960,AX960)</f>
        <v>-223.37605712105415</v>
      </c>
      <c r="AZ960" s="203">
        <f>AY1036-AZ1036</f>
        <v>-262.27287083707779</v>
      </c>
      <c r="BA960" s="203">
        <f>AZ1036-BA1036</f>
        <v>67.316135421627223</v>
      </c>
      <c r="BB960" s="203">
        <f>BA1036-BB1036</f>
        <v>-207.96345518275029</v>
      </c>
      <c r="BC960" s="203">
        <f>BB1036-BC1036</f>
        <v>83.421787641331321</v>
      </c>
      <c r="BD960" s="108">
        <f t="shared" ref="BD960:BD965" si="1333">SUM(AZ960,BA960,BB960,BC960)</f>
        <v>-319.49840295686954</v>
      </c>
      <c r="BE960" s="108">
        <f>BD1036-BE1036</f>
        <v>-331.83834733060849</v>
      </c>
      <c r="BF960" s="108">
        <f>BE1036-BF1036</f>
        <v>-354.12488856303207</v>
      </c>
      <c r="BG960" s="108">
        <f>BF1036-BG1036</f>
        <v>-377.96167618378058</v>
      </c>
      <c r="BH960" s="351"/>
    </row>
    <row r="961" spans="1:60" s="60" customFormat="1" x14ac:dyDescent="0.35">
      <c r="A961" s="316" t="str">
        <f t="shared" si="1283"/>
        <v>Inventories</v>
      </c>
      <c r="B961" s="317"/>
      <c r="C961" s="108">
        <f t="shared" si="1314"/>
        <v>453</v>
      </c>
      <c r="D961" s="108">
        <f t="shared" si="1314"/>
        <v>-404</v>
      </c>
      <c r="E961" s="108">
        <f t="shared" si="1314"/>
        <v>-196</v>
      </c>
      <c r="F961" s="108">
        <f t="shared" si="1314"/>
        <v>-251</v>
      </c>
      <c r="G961" s="203">
        <f t="shared" si="1314"/>
        <v>-28</v>
      </c>
      <c r="H961" s="203">
        <f t="shared" si="1315"/>
        <v>-139</v>
      </c>
      <c r="I961" s="203">
        <f t="shared" si="1315"/>
        <v>12</v>
      </c>
      <c r="J961" s="203">
        <f t="shared" si="1315"/>
        <v>69</v>
      </c>
      <c r="K961" s="108">
        <f t="shared" si="1316"/>
        <v>-86</v>
      </c>
      <c r="L961" s="203">
        <f t="shared" si="1316"/>
        <v>-131</v>
      </c>
      <c r="M961" s="203">
        <f t="shared" si="1317"/>
        <v>-111</v>
      </c>
      <c r="N961" s="203">
        <f t="shared" si="1317"/>
        <v>10</v>
      </c>
      <c r="O961" s="203">
        <f t="shared" si="1317"/>
        <v>119</v>
      </c>
      <c r="P961" s="108">
        <f t="shared" si="1318"/>
        <v>-113</v>
      </c>
      <c r="Q961" s="203">
        <f t="shared" si="1318"/>
        <v>-131</v>
      </c>
      <c r="R961" s="203">
        <f t="shared" si="1319"/>
        <v>-138</v>
      </c>
      <c r="S961" s="203">
        <f t="shared" si="1319"/>
        <v>130</v>
      </c>
      <c r="T961" s="203">
        <f t="shared" si="1319"/>
        <v>142</v>
      </c>
      <c r="U961" s="108">
        <f t="shared" si="1320"/>
        <v>3</v>
      </c>
      <c r="V961" s="203">
        <f t="shared" si="1320"/>
        <v>-37</v>
      </c>
      <c r="W961" s="203">
        <f t="shared" si="1321"/>
        <v>-5</v>
      </c>
      <c r="X961" s="203">
        <f t="shared" si="1321"/>
        <v>27</v>
      </c>
      <c r="Y961" s="203">
        <f t="shared" si="1321"/>
        <v>72</v>
      </c>
      <c r="Z961" s="108">
        <f t="shared" si="1322"/>
        <v>57</v>
      </c>
      <c r="AA961" s="203">
        <f t="shared" si="1322"/>
        <v>-149</v>
      </c>
      <c r="AB961" s="203">
        <f t="shared" si="1323"/>
        <v>-198</v>
      </c>
      <c r="AC961" s="203">
        <f t="shared" si="1323"/>
        <v>-89</v>
      </c>
      <c r="AD961" s="203">
        <f t="shared" si="1323"/>
        <v>49</v>
      </c>
      <c r="AE961" s="108">
        <f t="shared" si="1324"/>
        <v>-387</v>
      </c>
      <c r="AF961" s="203">
        <f t="shared" si="1324"/>
        <v>-209</v>
      </c>
      <c r="AG961" s="203">
        <f t="shared" si="1325"/>
        <v>-128</v>
      </c>
      <c r="AH961" s="203">
        <f t="shared" si="1325"/>
        <v>-225</v>
      </c>
      <c r="AI961" s="203">
        <f t="shared" si="1325"/>
        <v>53</v>
      </c>
      <c r="AJ961" s="108">
        <f t="shared" si="1326"/>
        <v>-509</v>
      </c>
      <c r="AK961" s="203">
        <f t="shared" si="1326"/>
        <v>-178</v>
      </c>
      <c r="AL961" s="203">
        <f t="shared" si="1327"/>
        <v>253</v>
      </c>
      <c r="AM961" s="203">
        <f t="shared" si="1327"/>
        <v>180</v>
      </c>
      <c r="AN961" s="203">
        <f t="shared" si="1327"/>
        <v>115</v>
      </c>
      <c r="AO961" s="108">
        <f t="shared" si="1328"/>
        <v>370</v>
      </c>
      <c r="AP961" s="203">
        <f t="shared" si="1328"/>
        <v>-207</v>
      </c>
      <c r="AQ961" s="203">
        <f t="shared" si="1329"/>
        <v>9</v>
      </c>
      <c r="AR961" s="203">
        <f t="shared" si="1329"/>
        <v>241</v>
      </c>
      <c r="AS961" s="203">
        <f t="shared" si="1330"/>
        <v>-134</v>
      </c>
      <c r="AT961" s="108">
        <f t="shared" ref="AT961:AU961" si="1334">AT912</f>
        <v>-91</v>
      </c>
      <c r="AU961" s="790">
        <f t="shared" si="1334"/>
        <v>-304</v>
      </c>
      <c r="AV961" s="203">
        <f>AU1040-AV1040</f>
        <v>10.934340394858737</v>
      </c>
      <c r="AW961" s="203">
        <f>AV1040-AW1040</f>
        <v>194.74476717325433</v>
      </c>
      <c r="AX961" s="203">
        <f>AW1040-AX1040</f>
        <v>-258.4181584070393</v>
      </c>
      <c r="AY961" s="108">
        <f t="shared" si="1332"/>
        <v>-356.73905083892623</v>
      </c>
      <c r="AZ961" s="203">
        <f>AY1040-AZ1040</f>
        <v>-206.99375398510347</v>
      </c>
      <c r="BA961" s="203">
        <f>AZ1040-BA1040</f>
        <v>15.685915545683201</v>
      </c>
      <c r="BB961" s="203">
        <f>BA1040-BB1040</f>
        <v>187.79807878440079</v>
      </c>
      <c r="BC961" s="203">
        <f>BB1040-BC1040</f>
        <v>-294.53819067467794</v>
      </c>
      <c r="BD961" s="108">
        <f t="shared" si="1333"/>
        <v>-298.04795032969741</v>
      </c>
      <c r="BE961" s="108">
        <f>BD1040-BE1040</f>
        <v>-309.5594167211957</v>
      </c>
      <c r="BF961" s="108">
        <f>BE1040-BF1040</f>
        <v>-330.34968632125492</v>
      </c>
      <c r="BG961" s="108">
        <f>BF1040-BG1040</f>
        <v>-352.58612201876895</v>
      </c>
      <c r="BH961" s="351"/>
    </row>
    <row r="962" spans="1:60" s="60" customFormat="1" x14ac:dyDescent="0.35">
      <c r="A962" s="316" t="str">
        <f t="shared" si="1283"/>
        <v>Accounts payable</v>
      </c>
      <c r="B962" s="317"/>
      <c r="C962" s="108">
        <f t="shared" si="1314"/>
        <v>109</v>
      </c>
      <c r="D962" s="108">
        <f t="shared" si="1314"/>
        <v>146</v>
      </c>
      <c r="E962" s="108">
        <f t="shared" si="1314"/>
        <v>-83</v>
      </c>
      <c r="F962" s="108">
        <f t="shared" si="1314"/>
        <v>72</v>
      </c>
      <c r="G962" s="203">
        <f t="shared" si="1314"/>
        <v>97</v>
      </c>
      <c r="H962" s="203">
        <f t="shared" si="1315"/>
        <v>102</v>
      </c>
      <c r="I962" s="203">
        <f t="shared" si="1315"/>
        <v>-225</v>
      </c>
      <c r="J962" s="203">
        <f t="shared" si="1315"/>
        <v>42</v>
      </c>
      <c r="K962" s="108">
        <f t="shared" si="1316"/>
        <v>16</v>
      </c>
      <c r="L962" s="203">
        <f t="shared" si="1316"/>
        <v>84</v>
      </c>
      <c r="M962" s="203">
        <f t="shared" si="1317"/>
        <v>-27</v>
      </c>
      <c r="N962" s="203">
        <f t="shared" si="1317"/>
        <v>-2</v>
      </c>
      <c r="O962" s="203">
        <f t="shared" si="1317"/>
        <v>20</v>
      </c>
      <c r="P962" s="108">
        <f t="shared" si="1318"/>
        <v>75</v>
      </c>
      <c r="Q962" s="203">
        <f t="shared" si="1318"/>
        <v>56</v>
      </c>
      <c r="R962" s="203">
        <f t="shared" si="1319"/>
        <v>-90</v>
      </c>
      <c r="S962" s="203">
        <f t="shared" si="1319"/>
        <v>-78</v>
      </c>
      <c r="T962" s="203">
        <f t="shared" si="1319"/>
        <v>121</v>
      </c>
      <c r="U962" s="108">
        <f t="shared" si="1320"/>
        <v>9</v>
      </c>
      <c r="V962" s="203">
        <f t="shared" si="1320"/>
        <v>-116</v>
      </c>
      <c r="W962" s="203">
        <f t="shared" si="1321"/>
        <v>59</v>
      </c>
      <c r="X962" s="203">
        <f t="shared" si="1321"/>
        <v>-50</v>
      </c>
      <c r="Y962" s="203">
        <f t="shared" si="1321"/>
        <v>255</v>
      </c>
      <c r="Z962" s="108">
        <f t="shared" si="1322"/>
        <v>148</v>
      </c>
      <c r="AA962" s="203">
        <f t="shared" si="1322"/>
        <v>-124</v>
      </c>
      <c r="AB962" s="203">
        <f t="shared" si="1323"/>
        <v>64</v>
      </c>
      <c r="AC962" s="203">
        <f t="shared" si="1323"/>
        <v>35</v>
      </c>
      <c r="AD962" s="203">
        <f t="shared" si="1323"/>
        <v>49</v>
      </c>
      <c r="AE962" s="108">
        <f t="shared" si="1324"/>
        <v>24</v>
      </c>
      <c r="AF962" s="203">
        <f t="shared" si="1324"/>
        <v>-88</v>
      </c>
      <c r="AG962" s="203">
        <f t="shared" si="1325"/>
        <v>76</v>
      </c>
      <c r="AH962" s="203">
        <f t="shared" si="1325"/>
        <v>160</v>
      </c>
      <c r="AI962" s="203">
        <f t="shared" si="1325"/>
        <v>260</v>
      </c>
      <c r="AJ962" s="108">
        <f t="shared" si="1326"/>
        <v>408</v>
      </c>
      <c r="AK962" s="203">
        <f t="shared" si="1326"/>
        <v>-3</v>
      </c>
      <c r="AL962" s="203">
        <f t="shared" si="1327"/>
        <v>-170</v>
      </c>
      <c r="AM962" s="203">
        <f t="shared" si="1327"/>
        <v>-49</v>
      </c>
      <c r="AN962" s="203">
        <f t="shared" si="1327"/>
        <v>105</v>
      </c>
      <c r="AO962" s="108">
        <f t="shared" si="1328"/>
        <v>-117</v>
      </c>
      <c r="AP962" s="203">
        <f t="shared" si="1328"/>
        <v>12</v>
      </c>
      <c r="AQ962" s="203">
        <f t="shared" si="1329"/>
        <v>-281</v>
      </c>
      <c r="AR962" s="203">
        <f t="shared" si="1329"/>
        <v>221</v>
      </c>
      <c r="AS962" s="203">
        <f t="shared" si="1330"/>
        <v>300</v>
      </c>
      <c r="AT962" s="108">
        <f t="shared" ref="AT962:AU962" si="1335">AT913</f>
        <v>252</v>
      </c>
      <c r="AU962" s="790">
        <f t="shared" si="1335"/>
        <v>155</v>
      </c>
      <c r="AV962" s="203">
        <f>AV1061-AU1061</f>
        <v>-562.7651924855677</v>
      </c>
      <c r="AW962" s="203">
        <f>AW1061-AV1061</f>
        <v>249.47315696589067</v>
      </c>
      <c r="AX962" s="203">
        <f>AX1061-AW1061</f>
        <v>368.46370553583438</v>
      </c>
      <c r="AY962" s="108">
        <f t="shared" si="1332"/>
        <v>210.17167001615735</v>
      </c>
      <c r="AZ962" s="203">
        <f>AZ1061-AY1061</f>
        <v>100.38835440738694</v>
      </c>
      <c r="BA962" s="203">
        <f>BA1061-AZ1061</f>
        <v>-597.50277722471128</v>
      </c>
      <c r="BB962" s="203">
        <f>BB1061-BA1061</f>
        <v>273.81558753275112</v>
      </c>
      <c r="BC962" s="203">
        <f>BC1061-BB1061</f>
        <v>403.36507751018189</v>
      </c>
      <c r="BD962" s="108">
        <f t="shared" si="1333"/>
        <v>180.06624222560868</v>
      </c>
      <c r="BE962" s="108">
        <f>BE1061-BD1061</f>
        <v>187.02091677824501</v>
      </c>
      <c r="BF962" s="108">
        <f>BF1061-BE1061</f>
        <v>199.58139812897753</v>
      </c>
      <c r="BG962" s="108">
        <f>BG1061-BF1061</f>
        <v>213.01558350791902</v>
      </c>
      <c r="BH962" s="351"/>
    </row>
    <row r="963" spans="1:60" s="60" customFormat="1" x14ac:dyDescent="0.35">
      <c r="A963" s="316" t="str">
        <f t="shared" si="1283"/>
        <v>Accrued income taxes (current and long-term)</v>
      </c>
      <c r="B963" s="317"/>
      <c r="C963" s="108">
        <f t="shared" si="1314"/>
        <v>-147</v>
      </c>
      <c r="D963" s="108">
        <f t="shared" si="1314"/>
        <v>255</v>
      </c>
      <c r="E963" s="108">
        <f t="shared" si="1314"/>
        <v>-45</v>
      </c>
      <c r="F963" s="108">
        <f t="shared" si="1314"/>
        <v>90</v>
      </c>
      <c r="G963" s="203">
        <f t="shared" si="1314"/>
        <v>99</v>
      </c>
      <c r="H963" s="203">
        <f t="shared" si="1315"/>
        <v>67</v>
      </c>
      <c r="I963" s="203">
        <f t="shared" si="1315"/>
        <v>-141</v>
      </c>
      <c r="J963" s="203">
        <f t="shared" si="1315"/>
        <v>181</v>
      </c>
      <c r="K963" s="108">
        <f t="shared" si="1316"/>
        <v>206</v>
      </c>
      <c r="L963" s="203">
        <f t="shared" si="1316"/>
        <v>135</v>
      </c>
      <c r="M963" s="203">
        <f t="shared" si="1317"/>
        <v>-119</v>
      </c>
      <c r="N963" s="203">
        <f t="shared" si="1317"/>
        <v>20</v>
      </c>
      <c r="O963" s="203">
        <f t="shared" si="1317"/>
        <v>170</v>
      </c>
      <c r="P963" s="108">
        <f t="shared" si="1318"/>
        <v>206</v>
      </c>
      <c r="Q963" s="203">
        <f t="shared" si="1318"/>
        <v>100</v>
      </c>
      <c r="R963" s="203">
        <f t="shared" si="1319"/>
        <v>-521</v>
      </c>
      <c r="S963" s="203">
        <f t="shared" si="1319"/>
        <v>-167</v>
      </c>
      <c r="T963" s="203">
        <f t="shared" si="1319"/>
        <v>-156</v>
      </c>
      <c r="U963" s="108">
        <f t="shared" si="1320"/>
        <v>-744</v>
      </c>
      <c r="V963" s="203">
        <f t="shared" si="1320"/>
        <v>334</v>
      </c>
      <c r="W963" s="203">
        <f t="shared" si="1321"/>
        <v>-436</v>
      </c>
      <c r="X963" s="203">
        <f t="shared" si="1321"/>
        <v>257</v>
      </c>
      <c r="Y963" s="203">
        <f t="shared" si="1321"/>
        <v>-54</v>
      </c>
      <c r="Z963" s="108">
        <f t="shared" si="1322"/>
        <v>101</v>
      </c>
      <c r="AA963" s="203">
        <f t="shared" si="1322"/>
        <v>225</v>
      </c>
      <c r="AB963" s="203">
        <f t="shared" si="1323"/>
        <v>32</v>
      </c>
      <c r="AC963" s="203">
        <f t="shared" si="1323"/>
        <v>-8</v>
      </c>
      <c r="AD963" s="203">
        <f t="shared" si="1323"/>
        <v>718</v>
      </c>
      <c r="AE963" s="108">
        <f t="shared" si="1324"/>
        <v>967</v>
      </c>
      <c r="AF963" s="203">
        <f t="shared" si="1324"/>
        <v>212</v>
      </c>
      <c r="AG963" s="203">
        <f t="shared" si="1325"/>
        <v>22</v>
      </c>
      <c r="AH963" s="203">
        <f t="shared" si="1325"/>
        <v>-112</v>
      </c>
      <c r="AI963" s="203">
        <f t="shared" si="1325"/>
        <v>12</v>
      </c>
      <c r="AJ963" s="108">
        <f t="shared" si="1326"/>
        <v>134</v>
      </c>
      <c r="AK963" s="203">
        <f t="shared" si="1326"/>
        <v>0</v>
      </c>
      <c r="AL963" s="203">
        <f t="shared" si="1327"/>
        <v>-163</v>
      </c>
      <c r="AM963" s="203">
        <f t="shared" si="1327"/>
        <v>110</v>
      </c>
      <c r="AN963" s="203">
        <f t="shared" si="1327"/>
        <v>258</v>
      </c>
      <c r="AO963" s="108">
        <f t="shared" si="1328"/>
        <v>205</v>
      </c>
      <c r="AP963" s="203">
        <f t="shared" si="1328"/>
        <v>68</v>
      </c>
      <c r="AQ963" s="203">
        <f t="shared" si="1329"/>
        <v>205</v>
      </c>
      <c r="AR963" s="203">
        <f t="shared" si="1329"/>
        <v>-127</v>
      </c>
      <c r="AS963" s="203">
        <f t="shared" si="1330"/>
        <v>-14</v>
      </c>
      <c r="AT963" s="108">
        <f t="shared" ref="AT963:AU963" si="1336">AT914</f>
        <v>132</v>
      </c>
      <c r="AU963" s="790">
        <f t="shared" si="1336"/>
        <v>42</v>
      </c>
      <c r="AV963" s="203"/>
      <c r="AW963" s="203"/>
      <c r="AX963" s="203"/>
      <c r="AY963" s="108">
        <f t="shared" si="1332"/>
        <v>42</v>
      </c>
      <c r="AZ963" s="203"/>
      <c r="BA963" s="203"/>
      <c r="BB963" s="203"/>
      <c r="BC963" s="203"/>
      <c r="BD963" s="108">
        <f t="shared" si="1333"/>
        <v>0</v>
      </c>
      <c r="BE963" s="108"/>
      <c r="BF963" s="108"/>
      <c r="BG963" s="108"/>
      <c r="BH963" s="351"/>
    </row>
    <row r="964" spans="1:60" s="60" customFormat="1" x14ac:dyDescent="0.35">
      <c r="A964" s="316" t="str">
        <f t="shared" si="1283"/>
        <v>Product and other insurance receivables and claims</v>
      </c>
      <c r="B964" s="317"/>
      <c r="C964" s="108">
        <f t="shared" si="1314"/>
        <v>64</v>
      </c>
      <c r="D964" s="108">
        <f t="shared" si="1314"/>
        <v>49</v>
      </c>
      <c r="E964" s="108">
        <f t="shared" si="1314"/>
        <v>9</v>
      </c>
      <c r="F964" s="108">
        <f t="shared" si="1314"/>
        <v>-32</v>
      </c>
      <c r="G964" s="203">
        <f t="shared" si="1314"/>
        <v>-8</v>
      </c>
      <c r="H964" s="203">
        <f t="shared" si="1315"/>
        <v>27</v>
      </c>
      <c r="I964" s="203">
        <f t="shared" si="1315"/>
        <v>18</v>
      </c>
      <c r="J964" s="203">
        <f t="shared" si="1315"/>
        <v>-37</v>
      </c>
      <c r="K964" s="108">
        <f t="shared" si="1316"/>
        <v>0</v>
      </c>
      <c r="L964" s="203">
        <f t="shared" si="1316"/>
        <v>0</v>
      </c>
      <c r="M964" s="203">
        <f t="shared" si="1317"/>
        <v>0</v>
      </c>
      <c r="N964" s="203">
        <f t="shared" si="1317"/>
        <v>0</v>
      </c>
      <c r="O964" s="203">
        <f t="shared" si="1317"/>
        <v>0</v>
      </c>
      <c r="P964" s="108">
        <f t="shared" si="1318"/>
        <v>0</v>
      </c>
      <c r="Q964" s="203">
        <f t="shared" si="1318"/>
        <v>0</v>
      </c>
      <c r="R964" s="203">
        <f t="shared" si="1319"/>
        <v>0</v>
      </c>
      <c r="S964" s="203">
        <f t="shared" si="1319"/>
        <v>0</v>
      </c>
      <c r="T964" s="203">
        <f t="shared" si="1319"/>
        <v>0</v>
      </c>
      <c r="U964" s="108">
        <f t="shared" si="1320"/>
        <v>0</v>
      </c>
      <c r="V964" s="203">
        <f t="shared" si="1320"/>
        <v>0</v>
      </c>
      <c r="W964" s="203">
        <f t="shared" si="1321"/>
        <v>0</v>
      </c>
      <c r="X964" s="203">
        <f t="shared" si="1321"/>
        <v>0</v>
      </c>
      <c r="Y964" s="203">
        <f t="shared" si="1321"/>
        <v>0</v>
      </c>
      <c r="Z964" s="108">
        <f t="shared" si="1322"/>
        <v>0</v>
      </c>
      <c r="AA964" s="203">
        <f t="shared" si="1322"/>
        <v>0</v>
      </c>
      <c r="AB964" s="203">
        <f t="shared" si="1323"/>
        <v>0</v>
      </c>
      <c r="AC964" s="203">
        <f t="shared" si="1323"/>
        <v>0</v>
      </c>
      <c r="AD964" s="203">
        <f t="shared" si="1323"/>
        <v>0</v>
      </c>
      <c r="AE964" s="108">
        <f t="shared" si="1324"/>
        <v>0</v>
      </c>
      <c r="AF964" s="203">
        <f t="shared" si="1324"/>
        <v>0</v>
      </c>
      <c r="AG964" s="203">
        <f t="shared" si="1325"/>
        <v>0</v>
      </c>
      <c r="AH964" s="203">
        <f t="shared" si="1325"/>
        <v>0</v>
      </c>
      <c r="AI964" s="203">
        <f t="shared" si="1325"/>
        <v>0</v>
      </c>
      <c r="AJ964" s="108">
        <f t="shared" si="1326"/>
        <v>0</v>
      </c>
      <c r="AK964" s="203">
        <f t="shared" si="1326"/>
        <v>0</v>
      </c>
      <c r="AL964" s="203">
        <f t="shared" si="1327"/>
        <v>0</v>
      </c>
      <c r="AM964" s="203">
        <f t="shared" si="1327"/>
        <v>0</v>
      </c>
      <c r="AN964" s="203">
        <f t="shared" si="1327"/>
        <v>0</v>
      </c>
      <c r="AO964" s="108">
        <f t="shared" si="1328"/>
        <v>0</v>
      </c>
      <c r="AP964" s="203">
        <f t="shared" si="1328"/>
        <v>0</v>
      </c>
      <c r="AQ964" s="203">
        <f t="shared" si="1329"/>
        <v>0</v>
      </c>
      <c r="AR964" s="203">
        <f t="shared" si="1329"/>
        <v>0</v>
      </c>
      <c r="AS964" s="203">
        <f t="shared" si="1330"/>
        <v>0</v>
      </c>
      <c r="AT964" s="108">
        <f t="shared" ref="AT964:AU964" si="1337">AT915</f>
        <v>0</v>
      </c>
      <c r="AU964" s="790">
        <f t="shared" si="1337"/>
        <v>0</v>
      </c>
      <c r="AV964" s="203"/>
      <c r="AW964" s="203"/>
      <c r="AX964" s="203"/>
      <c r="AY964" s="108">
        <f t="shared" si="1332"/>
        <v>0</v>
      </c>
      <c r="AZ964" s="203"/>
      <c r="BA964" s="203"/>
      <c r="BB964" s="203"/>
      <c r="BC964" s="203"/>
      <c r="BD964" s="108">
        <f t="shared" si="1333"/>
        <v>0</v>
      </c>
      <c r="BE964" s="108"/>
      <c r="BF964" s="108"/>
      <c r="BG964" s="108"/>
      <c r="BH964" s="351"/>
    </row>
    <row r="965" spans="1:60" s="60" customFormat="1" x14ac:dyDescent="0.35">
      <c r="A965" s="466" t="str">
        <f t="shared" si="1283"/>
        <v>Other - net</v>
      </c>
      <c r="B965" s="467"/>
      <c r="C965" s="124">
        <f t="shared" si="1314"/>
        <v>-329</v>
      </c>
      <c r="D965" s="124">
        <f t="shared" si="1314"/>
        <v>279</v>
      </c>
      <c r="E965" s="124">
        <f t="shared" si="1314"/>
        <v>-139</v>
      </c>
      <c r="F965" s="124">
        <f t="shared" si="1314"/>
        <v>57</v>
      </c>
      <c r="G965" s="123">
        <f t="shared" si="1314"/>
        <v>-402</v>
      </c>
      <c r="H965" s="123">
        <f t="shared" si="1315"/>
        <v>215</v>
      </c>
      <c r="I965" s="123">
        <f t="shared" si="1315"/>
        <v>50</v>
      </c>
      <c r="J965" s="123">
        <f t="shared" si="1315"/>
        <v>11</v>
      </c>
      <c r="K965" s="124">
        <f t="shared" si="1316"/>
        <v>-126</v>
      </c>
      <c r="L965" s="123">
        <f t="shared" si="1316"/>
        <v>-268</v>
      </c>
      <c r="M965" s="123">
        <f t="shared" si="1317"/>
        <v>277</v>
      </c>
      <c r="N965" s="123">
        <f t="shared" si="1317"/>
        <v>65</v>
      </c>
      <c r="O965" s="123">
        <f t="shared" si="1317"/>
        <v>103</v>
      </c>
      <c r="P965" s="124">
        <f t="shared" si="1318"/>
        <v>177</v>
      </c>
      <c r="Q965" s="123">
        <f t="shared" si="1318"/>
        <v>-313</v>
      </c>
      <c r="R965" s="123">
        <f t="shared" si="1319"/>
        <v>263</v>
      </c>
      <c r="S965" s="123">
        <f t="shared" si="1319"/>
        <v>-82</v>
      </c>
      <c r="T965" s="123">
        <f t="shared" si="1319"/>
        <v>260</v>
      </c>
      <c r="U965" s="124">
        <f t="shared" si="1320"/>
        <v>128</v>
      </c>
      <c r="V965" s="123">
        <f t="shared" si="1320"/>
        <v>-419</v>
      </c>
      <c r="W965" s="123">
        <f t="shared" si="1321"/>
        <v>211</v>
      </c>
      <c r="X965" s="123">
        <f t="shared" si="1321"/>
        <v>104</v>
      </c>
      <c r="Y965" s="123">
        <f t="shared" si="1321"/>
        <v>68</v>
      </c>
      <c r="Z965" s="124">
        <f t="shared" si="1322"/>
        <v>-36</v>
      </c>
      <c r="AA965" s="123">
        <f t="shared" si="1322"/>
        <v>-358</v>
      </c>
      <c r="AB965" s="123">
        <f t="shared" si="1323"/>
        <v>341</v>
      </c>
      <c r="AC965" s="123">
        <f t="shared" si="1323"/>
        <v>65</v>
      </c>
      <c r="AD965" s="123">
        <f t="shared" si="1323"/>
        <v>208</v>
      </c>
      <c r="AE965" s="124">
        <f t="shared" si="1324"/>
        <v>256</v>
      </c>
      <c r="AF965" s="123">
        <f t="shared" si="1324"/>
        <v>-402</v>
      </c>
      <c r="AG965" s="123">
        <f t="shared" si="1325"/>
        <v>315</v>
      </c>
      <c r="AH965" s="123">
        <f t="shared" si="1325"/>
        <v>367</v>
      </c>
      <c r="AI965" s="123">
        <f t="shared" si="1325"/>
        <v>-160</v>
      </c>
      <c r="AJ965" s="124">
        <f t="shared" si="1326"/>
        <v>120</v>
      </c>
      <c r="AK965" s="123">
        <f t="shared" si="1326"/>
        <v>-53</v>
      </c>
      <c r="AL965" s="123">
        <f t="shared" si="1327"/>
        <v>154</v>
      </c>
      <c r="AM965" s="123">
        <f t="shared" si="1327"/>
        <v>-383</v>
      </c>
      <c r="AN965" s="123">
        <f t="shared" si="1327"/>
        <v>171</v>
      </c>
      <c r="AO965" s="124">
        <f t="shared" si="1328"/>
        <v>-111</v>
      </c>
      <c r="AP965" s="123">
        <f t="shared" si="1328"/>
        <v>-457</v>
      </c>
      <c r="AQ965" s="123">
        <f t="shared" si="1329"/>
        <v>71</v>
      </c>
      <c r="AR965" s="123">
        <f t="shared" si="1329"/>
        <v>376</v>
      </c>
      <c r="AS965" s="123">
        <f t="shared" si="1330"/>
        <v>408</v>
      </c>
      <c r="AT965" s="124">
        <f t="shared" ref="AT965:AU965" si="1338">AT916</f>
        <v>398</v>
      </c>
      <c r="AU965" s="791">
        <f t="shared" si="1338"/>
        <v>-234</v>
      </c>
      <c r="AV965" s="123">
        <f>AU1041-AV1041</f>
        <v>-69.963106764902932</v>
      </c>
      <c r="AW965" s="123">
        <f>AV1041-AW1041</f>
        <v>54.210702022218811</v>
      </c>
      <c r="AX965" s="123">
        <f>AW1041-AX1041</f>
        <v>-167.51814475396031</v>
      </c>
      <c r="AY965" s="124">
        <f t="shared" si="1332"/>
        <v>-417.27054949664443</v>
      </c>
      <c r="AZ965" s="123">
        <f>AY1041-AZ1041</f>
        <v>152.10028243050363</v>
      </c>
      <c r="BA965" s="123">
        <f>AZ1041-BA1041</f>
        <v>-73.479585673979841</v>
      </c>
      <c r="BB965" s="123">
        <f>BA1041-BB1041</f>
        <v>54.973048971326421</v>
      </c>
      <c r="BC965" s="123">
        <f>BB1041-BC1041</f>
        <v>-181.05361043003131</v>
      </c>
      <c r="BD965" s="124">
        <f t="shared" si="1333"/>
        <v>-47.459864702181108</v>
      </c>
      <c r="BE965" s="124">
        <f>BD1041-BE1041</f>
        <v>-49.292900751782668</v>
      </c>
      <c r="BF965" s="124">
        <f>BE1041-BF1041</f>
        <v>-52.603453235868756</v>
      </c>
      <c r="BG965" s="124">
        <f>BF1041-BG1041</f>
        <v>-56.144286945663794</v>
      </c>
      <c r="BH965" s="351"/>
    </row>
    <row r="966" spans="1:60" s="69" customFormat="1" x14ac:dyDescent="0.35">
      <c r="A966" s="318" t="str">
        <f t="shared" si="1283"/>
        <v>Net CFO</v>
      </c>
      <c r="B966" s="319"/>
      <c r="C966" s="110">
        <f t="shared" ref="C966:AQ966" si="1339">SUM(C959:C965)</f>
        <v>4941</v>
      </c>
      <c r="D966" s="110">
        <f t="shared" si="1339"/>
        <v>5174</v>
      </c>
      <c r="E966" s="110">
        <f t="shared" si="1339"/>
        <v>5284</v>
      </c>
      <c r="F966" s="110">
        <f t="shared" si="1339"/>
        <v>5300</v>
      </c>
      <c r="G966" s="109">
        <f t="shared" si="1339"/>
        <v>994</v>
      </c>
      <c r="H966" s="109">
        <f t="shared" si="1339"/>
        <v>1679</v>
      </c>
      <c r="I966" s="109">
        <f t="shared" si="1339"/>
        <v>1151</v>
      </c>
      <c r="J966" s="109">
        <f t="shared" si="1339"/>
        <v>1993</v>
      </c>
      <c r="K966" s="110">
        <f t="shared" si="1339"/>
        <v>5817</v>
      </c>
      <c r="L966" s="109">
        <f t="shared" si="1339"/>
        <v>1092</v>
      </c>
      <c r="M966" s="109">
        <f t="shared" si="1339"/>
        <v>1640</v>
      </c>
      <c r="N966" s="109">
        <f t="shared" si="1339"/>
        <v>1711</v>
      </c>
      <c r="O966" s="109">
        <f t="shared" si="1339"/>
        <v>2183</v>
      </c>
      <c r="P966" s="110">
        <f t="shared" si="1339"/>
        <v>6626</v>
      </c>
      <c r="Q966" s="109">
        <f t="shared" si="1339"/>
        <v>1080</v>
      </c>
      <c r="R966" s="109">
        <f t="shared" si="1339"/>
        <v>1338</v>
      </c>
      <c r="S966" s="109">
        <f t="shared" si="1339"/>
        <v>1664</v>
      </c>
      <c r="T966" s="109">
        <f t="shared" si="1339"/>
        <v>2338</v>
      </c>
      <c r="U966" s="110">
        <f t="shared" si="1339"/>
        <v>6420</v>
      </c>
      <c r="V966" s="109">
        <f t="shared" si="1339"/>
        <v>1260</v>
      </c>
      <c r="W966" s="109">
        <f t="shared" si="1339"/>
        <v>1285</v>
      </c>
      <c r="X966" s="109">
        <f t="shared" si="1339"/>
        <v>1908</v>
      </c>
      <c r="Y966" s="109">
        <f t="shared" si="1339"/>
        <v>2209</v>
      </c>
      <c r="Z966" s="110">
        <f t="shared" si="1339"/>
        <v>6662</v>
      </c>
      <c r="AA966" s="109">
        <f t="shared" si="1339"/>
        <v>988</v>
      </c>
      <c r="AB966" s="109">
        <f t="shared" si="1339"/>
        <v>1642</v>
      </c>
      <c r="AC966" s="109">
        <f t="shared" si="1339"/>
        <v>1750</v>
      </c>
      <c r="AD966" s="109">
        <f t="shared" si="1339"/>
        <v>1860</v>
      </c>
      <c r="AE966" s="110">
        <f t="shared" si="1339"/>
        <v>6240</v>
      </c>
      <c r="AF966" s="109">
        <f t="shared" si="1339"/>
        <v>143</v>
      </c>
      <c r="AG966" s="109">
        <f t="shared" si="1339"/>
        <v>1899</v>
      </c>
      <c r="AH966" s="109">
        <f t="shared" si="1339"/>
        <v>2139</v>
      </c>
      <c r="AI966" s="109">
        <f t="shared" si="1339"/>
        <v>2258</v>
      </c>
      <c r="AJ966" s="110">
        <f t="shared" si="1339"/>
        <v>6439</v>
      </c>
      <c r="AK966" s="109">
        <f t="shared" si="1339"/>
        <v>1048</v>
      </c>
      <c r="AL966" s="109">
        <f t="shared" si="1339"/>
        <v>1662</v>
      </c>
      <c r="AM966" s="109">
        <f t="shared" si="1339"/>
        <v>2022</v>
      </c>
      <c r="AN966" s="109">
        <f t="shared" si="1339"/>
        <v>2338</v>
      </c>
      <c r="AO966" s="110">
        <f t="shared" si="1339"/>
        <v>7070</v>
      </c>
      <c r="AP966" s="109">
        <f t="shared" si="1339"/>
        <v>1213</v>
      </c>
      <c r="AQ966" s="109">
        <f t="shared" si="1339"/>
        <v>1905</v>
      </c>
      <c r="AR966" s="109">
        <f t="shared" ref="AR966" si="1340">SUM(AR959:AR965)</f>
        <v>2480</v>
      </c>
      <c r="AS966" s="109">
        <f t="shared" ref="AS966:AT966" si="1341">SUM(AS959:AS965)</f>
        <v>2515</v>
      </c>
      <c r="AT966" s="110">
        <f t="shared" si="1341"/>
        <v>8113</v>
      </c>
      <c r="AU966" s="796">
        <f t="shared" ref="AU966" si="1342">SUM(AU959:AU965)</f>
        <v>1688</v>
      </c>
      <c r="AV966" s="109">
        <f t="shared" ref="AV966:AX966" si="1343">SUM(AV959:AV965)</f>
        <v>1186.109731361604</v>
      </c>
      <c r="AW966" s="109">
        <f t="shared" si="1343"/>
        <v>2344.9734734802796</v>
      </c>
      <c r="AX966" s="109">
        <f t="shared" si="1343"/>
        <v>2148.4196673371798</v>
      </c>
      <c r="AY966" s="110">
        <f>SUM(AU966,AV966,AW966,AX966)</f>
        <v>7367.5028721790632</v>
      </c>
      <c r="AZ966" s="109">
        <f t="shared" ref="AZ966:BG966" si="1344">SUM(AZ959:AZ965)</f>
        <v>2073.8618709194066</v>
      </c>
      <c r="BA966" s="109">
        <f t="shared" ca="1" si="1344"/>
        <v>1387.5211794349166</v>
      </c>
      <c r="BB966" s="109">
        <f t="shared" ca="1" si="1344"/>
        <v>2396.9960776884459</v>
      </c>
      <c r="BC966" s="109">
        <f t="shared" ca="1" si="1344"/>
        <v>2281.2835106878711</v>
      </c>
      <c r="BD966" s="110">
        <f t="shared" ca="1" si="1344"/>
        <v>8139.6626387306387</v>
      </c>
      <c r="BE966" s="110">
        <f t="shared" ca="1" si="1344"/>
        <v>8775.4070572569672</v>
      </c>
      <c r="BF966" s="110">
        <f t="shared" ca="1" si="1344"/>
        <v>9455.6741722582938</v>
      </c>
      <c r="BG966" s="110">
        <f t="shared" ca="1" si="1344"/>
        <v>10196.942538237863</v>
      </c>
      <c r="BH966" s="79"/>
    </row>
    <row r="967" spans="1:60" s="21" customFormat="1" x14ac:dyDescent="0.35">
      <c r="A967" s="428"/>
      <c r="B967" s="429"/>
      <c r="C967" s="879"/>
      <c r="D967" s="879"/>
      <c r="E967" s="879"/>
      <c r="F967" s="879"/>
      <c r="G967" s="880"/>
      <c r="H967" s="880"/>
      <c r="I967" s="880"/>
      <c r="J967" s="880"/>
      <c r="K967" s="879"/>
      <c r="L967" s="880"/>
      <c r="M967" s="880"/>
      <c r="N967" s="880"/>
      <c r="O967" s="880"/>
      <c r="P967" s="879"/>
      <c r="Q967" s="880"/>
      <c r="R967" s="880"/>
      <c r="S967" s="880"/>
      <c r="T967" s="880"/>
      <c r="U967" s="879"/>
      <c r="V967" s="880"/>
      <c r="W967" s="880"/>
      <c r="X967" s="880"/>
      <c r="Y967" s="880"/>
      <c r="Z967" s="879"/>
      <c r="AA967" s="880"/>
      <c r="AB967" s="880"/>
      <c r="AC967" s="880"/>
      <c r="AD967" s="880"/>
      <c r="AE967" s="879"/>
      <c r="AF967" s="880"/>
      <c r="AG967" s="880"/>
      <c r="AH967" s="880"/>
      <c r="AI967" s="880"/>
      <c r="AJ967" s="879"/>
      <c r="AK967" s="880"/>
      <c r="AL967" s="880"/>
      <c r="AM967" s="880"/>
      <c r="AN967" s="880"/>
      <c r="AO967" s="879"/>
      <c r="AP967" s="880"/>
      <c r="AQ967" s="880"/>
      <c r="AR967" s="880"/>
      <c r="AS967" s="880"/>
      <c r="AT967" s="879"/>
      <c r="AU967" s="881"/>
      <c r="AV967" s="880"/>
      <c r="AW967" s="880"/>
      <c r="AX967" s="880"/>
      <c r="AY967" s="879"/>
      <c r="AZ967" s="880"/>
      <c r="BA967" s="880"/>
      <c r="BB967" s="880"/>
      <c r="BC967" s="880"/>
      <c r="BD967" s="879"/>
      <c r="BE967" s="879"/>
      <c r="BF967" s="879"/>
      <c r="BG967" s="879"/>
      <c r="BH967" s="651"/>
    </row>
    <row r="968" spans="1:60" s="21" customFormat="1" x14ac:dyDescent="0.35">
      <c r="A968" s="428" t="str">
        <f t="shared" ref="A968:A977" si="1345">A919</f>
        <v>CFI</v>
      </c>
      <c r="B968" s="429"/>
      <c r="C968" s="879"/>
      <c r="D968" s="879"/>
      <c r="E968" s="879"/>
      <c r="F968" s="879"/>
      <c r="G968" s="880"/>
      <c r="H968" s="880"/>
      <c r="I968" s="880"/>
      <c r="J968" s="880"/>
      <c r="K968" s="879"/>
      <c r="L968" s="880"/>
      <c r="M968" s="880"/>
      <c r="N968" s="880"/>
      <c r="O968" s="880"/>
      <c r="P968" s="879"/>
      <c r="Q968" s="880"/>
      <c r="R968" s="880"/>
      <c r="S968" s="880"/>
      <c r="T968" s="880"/>
      <c r="U968" s="879"/>
      <c r="V968" s="880"/>
      <c r="W968" s="880"/>
      <c r="X968" s="880"/>
      <c r="Y968" s="880"/>
      <c r="Z968" s="879"/>
      <c r="AA968" s="880"/>
      <c r="AB968" s="880"/>
      <c r="AC968" s="880"/>
      <c r="AD968" s="880"/>
      <c r="AE968" s="879"/>
      <c r="AF968" s="880"/>
      <c r="AG968" s="880"/>
      <c r="AH968" s="880"/>
      <c r="AI968" s="880"/>
      <c r="AJ968" s="879"/>
      <c r="AK968" s="880"/>
      <c r="AL968" s="880"/>
      <c r="AM968" s="880"/>
      <c r="AN968" s="880"/>
      <c r="AO968" s="879"/>
      <c r="AP968" s="880"/>
      <c r="AQ968" s="880"/>
      <c r="AR968" s="880"/>
      <c r="AS968" s="880"/>
      <c r="AT968" s="879"/>
      <c r="AU968" s="881"/>
      <c r="AV968" s="880"/>
      <c r="AW968" s="880"/>
      <c r="AX968" s="880"/>
      <c r="AY968" s="879"/>
      <c r="AZ968" s="880"/>
      <c r="BA968" s="880"/>
      <c r="BB968" s="880"/>
      <c r="BC968" s="880"/>
      <c r="BD968" s="879"/>
      <c r="BE968" s="879"/>
      <c r="BF968" s="879"/>
      <c r="BG968" s="879"/>
      <c r="BH968" s="651"/>
    </row>
    <row r="969" spans="1:60" s="60" customFormat="1" x14ac:dyDescent="0.35">
      <c r="A969" s="316" t="str">
        <f t="shared" si="1345"/>
        <v>Purchases of property, plant and equipment (PP&amp;E)</v>
      </c>
      <c r="B969" s="203"/>
      <c r="C969" s="108">
        <f t="shared" ref="C969:G976" si="1346">C920</f>
        <v>-903</v>
      </c>
      <c r="D969" s="108">
        <f t="shared" si="1346"/>
        <v>-1091</v>
      </c>
      <c r="E969" s="108">
        <f t="shared" si="1346"/>
        <v>-1379</v>
      </c>
      <c r="F969" s="108">
        <f t="shared" si="1346"/>
        <v>-1484</v>
      </c>
      <c r="G969" s="203">
        <f t="shared" si="1346"/>
        <v>-324</v>
      </c>
      <c r="H969" s="203">
        <f t="shared" ref="H969:J976" si="1347">H920-G920</f>
        <v>-394</v>
      </c>
      <c r="I969" s="203">
        <f t="shared" si="1347"/>
        <v>-404</v>
      </c>
      <c r="J969" s="203">
        <f t="shared" si="1347"/>
        <v>-543</v>
      </c>
      <c r="K969" s="108">
        <f t="shared" ref="K969:L976" si="1348">K920</f>
        <v>-1665</v>
      </c>
      <c r="L969" s="203">
        <f t="shared" si="1348"/>
        <v>-293</v>
      </c>
      <c r="M969" s="203">
        <f t="shared" ref="M969:O976" si="1349">M920-L920</f>
        <v>-341</v>
      </c>
      <c r="N969" s="203">
        <f t="shared" si="1349"/>
        <v>-369</v>
      </c>
      <c r="O969" s="203">
        <f t="shared" si="1349"/>
        <v>-490</v>
      </c>
      <c r="P969" s="108">
        <f t="shared" ref="P969:Q976" si="1350">P920</f>
        <v>-1493</v>
      </c>
      <c r="Q969" s="203">
        <f t="shared" si="1350"/>
        <v>-291</v>
      </c>
      <c r="R969" s="203">
        <f t="shared" ref="R969:T976" si="1351">R920-Q920</f>
        <v>-370</v>
      </c>
      <c r="S969" s="203">
        <f t="shared" si="1351"/>
        <v>-354</v>
      </c>
      <c r="T969" s="203">
        <f t="shared" si="1351"/>
        <v>-446</v>
      </c>
      <c r="U969" s="108">
        <f t="shared" ref="U969:V976" si="1352">U920</f>
        <v>-1461</v>
      </c>
      <c r="V969" s="203">
        <f t="shared" si="1352"/>
        <v>-314</v>
      </c>
      <c r="W969" s="203">
        <f t="shared" ref="W969:Y976" si="1353">W920-V920</f>
        <v>-323</v>
      </c>
      <c r="X969" s="203">
        <f t="shared" si="1353"/>
        <v>-347</v>
      </c>
      <c r="Y969" s="203">
        <f t="shared" si="1353"/>
        <v>-436</v>
      </c>
      <c r="Z969" s="108">
        <f t="shared" ref="Z969:AA976" si="1354">Z920</f>
        <v>-1420</v>
      </c>
      <c r="AA969" s="203">
        <f t="shared" si="1354"/>
        <v>-287</v>
      </c>
      <c r="AB969" s="203">
        <f t="shared" ref="AB969:AD976" si="1355">AB920-AA920</f>
        <v>-302</v>
      </c>
      <c r="AC969" s="203">
        <f t="shared" si="1355"/>
        <v>-325</v>
      </c>
      <c r="AD969" s="203">
        <f t="shared" si="1355"/>
        <v>-459</v>
      </c>
      <c r="AE969" s="108">
        <f t="shared" ref="AE969:AF976" si="1356">AE920</f>
        <v>-1373</v>
      </c>
      <c r="AF969" s="203">
        <f t="shared" si="1356"/>
        <v>-304</v>
      </c>
      <c r="AG969" s="203">
        <f t="shared" ref="AG969:AI976" si="1357">AG920-AF920</f>
        <v>-365</v>
      </c>
      <c r="AH969" s="203">
        <f t="shared" si="1357"/>
        <v>-377</v>
      </c>
      <c r="AI969" s="203">
        <f t="shared" si="1357"/>
        <v>-531</v>
      </c>
      <c r="AJ969" s="108">
        <f t="shared" ref="AJ969:AK976" si="1358">AJ920</f>
        <v>-1577</v>
      </c>
      <c r="AK969" s="203">
        <f t="shared" si="1358"/>
        <v>-391</v>
      </c>
      <c r="AL969" s="203">
        <f t="shared" ref="AL969:AN976" si="1359">AL920-AK920</f>
        <v>-421</v>
      </c>
      <c r="AM969" s="203">
        <f t="shared" si="1359"/>
        <v>-349</v>
      </c>
      <c r="AN969" s="203">
        <f t="shared" si="1359"/>
        <v>-538</v>
      </c>
      <c r="AO969" s="108">
        <f t="shared" ref="AO969:AP976" si="1360">AO920</f>
        <v>-1699</v>
      </c>
      <c r="AP969" s="203">
        <f t="shared" si="1360"/>
        <v>-332</v>
      </c>
      <c r="AQ969" s="203">
        <f t="shared" ref="AQ969:AQ976" si="1361">AQ920-AP920</f>
        <v>-379</v>
      </c>
      <c r="AR969" s="203">
        <f t="shared" ref="AR969:AR976" si="1362">AR920-AQ920</f>
        <v>-368</v>
      </c>
      <c r="AS969" s="203">
        <f t="shared" ref="AS969:AS976" si="1363">AS920-AR920</f>
        <v>-422</v>
      </c>
      <c r="AT969" s="108">
        <f t="shared" ref="AT969:AU969" si="1364">AT920</f>
        <v>-1501</v>
      </c>
      <c r="AU969" s="790">
        <f t="shared" si="1364"/>
        <v>-310</v>
      </c>
      <c r="AV969" s="203">
        <f>+AV842</f>
        <v>-475</v>
      </c>
      <c r="AW969" s="203">
        <f>+AW842</f>
        <v>-475</v>
      </c>
      <c r="AX969" s="203">
        <f>+AX842</f>
        <v>-475</v>
      </c>
      <c r="AY969" s="108">
        <f t="shared" ref="AY969:AY976" si="1365">SUM(AU969,AV969,AW969,AX969)</f>
        <v>-1735</v>
      </c>
      <c r="AZ969" s="203">
        <f>+AZ842</f>
        <v>-475</v>
      </c>
      <c r="BA969" s="203">
        <f>+BA842</f>
        <v>-475</v>
      </c>
      <c r="BB969" s="203">
        <f>+BB842</f>
        <v>-475</v>
      </c>
      <c r="BC969" s="203">
        <f>+BC842</f>
        <v>-475</v>
      </c>
      <c r="BD969" s="108">
        <f t="shared" ref="BD969:BD976" si="1366">SUM(AZ969,BA969,BB969,BC969)</f>
        <v>-1900</v>
      </c>
      <c r="BE969" s="108">
        <f>+BE842</f>
        <v>-1900</v>
      </c>
      <c r="BF969" s="108">
        <f>+BF842</f>
        <v>-1900</v>
      </c>
      <c r="BG969" s="108">
        <f>+BG842</f>
        <v>-1900</v>
      </c>
      <c r="BH969" s="351"/>
    </row>
    <row r="970" spans="1:60" s="60" customFormat="1" x14ac:dyDescent="0.35">
      <c r="A970" s="316" t="str">
        <f t="shared" si="1345"/>
        <v>Proceeds from sale of PP&amp;E and other assets</v>
      </c>
      <c r="B970" s="203"/>
      <c r="C970" s="108">
        <f t="shared" si="1346"/>
        <v>74</v>
      </c>
      <c r="D970" s="108">
        <f t="shared" si="1346"/>
        <v>25</v>
      </c>
      <c r="E970" s="108">
        <f t="shared" si="1346"/>
        <v>55</v>
      </c>
      <c r="F970" s="108">
        <f t="shared" si="1346"/>
        <v>41</v>
      </c>
      <c r="G970" s="203">
        <f t="shared" si="1346"/>
        <v>10</v>
      </c>
      <c r="H970" s="203">
        <f t="shared" si="1347"/>
        <v>8</v>
      </c>
      <c r="I970" s="203">
        <f t="shared" si="1347"/>
        <v>68</v>
      </c>
      <c r="J970" s="203">
        <f t="shared" si="1347"/>
        <v>42</v>
      </c>
      <c r="K970" s="108">
        <f t="shared" si="1348"/>
        <v>128</v>
      </c>
      <c r="L970" s="203">
        <f t="shared" si="1348"/>
        <v>3</v>
      </c>
      <c r="M970" s="203">
        <f t="shared" si="1349"/>
        <v>35</v>
      </c>
      <c r="N970" s="203">
        <f t="shared" si="1349"/>
        <v>78</v>
      </c>
      <c r="O970" s="203">
        <f t="shared" si="1349"/>
        <v>19</v>
      </c>
      <c r="P970" s="108">
        <f t="shared" si="1350"/>
        <v>135</v>
      </c>
      <c r="Q970" s="203">
        <f t="shared" si="1350"/>
        <v>4</v>
      </c>
      <c r="R970" s="203">
        <f t="shared" si="1351"/>
        <v>10</v>
      </c>
      <c r="S970" s="203">
        <f t="shared" si="1351"/>
        <v>3</v>
      </c>
      <c r="T970" s="203">
        <f t="shared" si="1351"/>
        <v>16</v>
      </c>
      <c r="U970" s="108">
        <f t="shared" si="1352"/>
        <v>33</v>
      </c>
      <c r="V970" s="203">
        <f t="shared" si="1352"/>
        <v>18</v>
      </c>
      <c r="W970" s="203">
        <f t="shared" si="1353"/>
        <v>0</v>
      </c>
      <c r="X970" s="203">
        <f t="shared" si="1353"/>
        <v>0</v>
      </c>
      <c r="Y970" s="203">
        <f t="shared" si="1353"/>
        <v>40</v>
      </c>
      <c r="Z970" s="108">
        <f t="shared" si="1354"/>
        <v>58</v>
      </c>
      <c r="AA970" s="203">
        <f t="shared" si="1354"/>
        <v>1</v>
      </c>
      <c r="AB970" s="203">
        <f t="shared" si="1355"/>
        <v>12</v>
      </c>
      <c r="AC970" s="203">
        <f t="shared" si="1355"/>
        <v>5</v>
      </c>
      <c r="AD970" s="203">
        <f t="shared" si="1355"/>
        <v>31</v>
      </c>
      <c r="AE970" s="108">
        <f t="shared" si="1356"/>
        <v>49</v>
      </c>
      <c r="AF970" s="203">
        <f t="shared" si="1356"/>
        <v>83</v>
      </c>
      <c r="AG970" s="203">
        <f t="shared" si="1357"/>
        <v>13</v>
      </c>
      <c r="AH970" s="203">
        <f t="shared" si="1357"/>
        <v>47</v>
      </c>
      <c r="AI970" s="203">
        <f t="shared" si="1357"/>
        <v>119</v>
      </c>
      <c r="AJ970" s="108">
        <f t="shared" si="1358"/>
        <v>262</v>
      </c>
      <c r="AK970" s="203">
        <f t="shared" si="1358"/>
        <v>1</v>
      </c>
      <c r="AL970" s="203">
        <f t="shared" si="1359"/>
        <v>2</v>
      </c>
      <c r="AM970" s="203">
        <f t="shared" si="1359"/>
        <v>88</v>
      </c>
      <c r="AN970" s="203">
        <f t="shared" si="1359"/>
        <v>32</v>
      </c>
      <c r="AO970" s="108">
        <f t="shared" si="1360"/>
        <v>123</v>
      </c>
      <c r="AP970" s="203">
        <f t="shared" si="1360"/>
        <v>7</v>
      </c>
      <c r="AQ970" s="203">
        <f t="shared" si="1361"/>
        <v>9</v>
      </c>
      <c r="AR970" s="203">
        <f>AR921-AQ921</f>
        <v>13</v>
      </c>
      <c r="AS970" s="203">
        <f t="shared" si="1363"/>
        <v>99</v>
      </c>
      <c r="AT970" s="108">
        <f t="shared" ref="AT970:AU970" si="1367">AT921</f>
        <v>128</v>
      </c>
      <c r="AU970" s="790">
        <f t="shared" si="1367"/>
        <v>0</v>
      </c>
      <c r="AV970" s="203"/>
      <c r="AW970" s="203"/>
      <c r="AX970" s="203"/>
      <c r="AY970" s="108">
        <f t="shared" si="1365"/>
        <v>0</v>
      </c>
      <c r="AZ970" s="203"/>
      <c r="BA970" s="203"/>
      <c r="BB970" s="203"/>
      <c r="BC970" s="203"/>
      <c r="BD970" s="108">
        <f t="shared" si="1366"/>
        <v>0</v>
      </c>
      <c r="BE970" s="108"/>
      <c r="BF970" s="108"/>
      <c r="BG970" s="108"/>
      <c r="BH970" s="351"/>
    </row>
    <row r="971" spans="1:60" s="60" customFormat="1" x14ac:dyDescent="0.35">
      <c r="A971" s="316" t="str">
        <f t="shared" si="1345"/>
        <v>Acquisitions, net of cash acquired</v>
      </c>
      <c r="B971" s="203"/>
      <c r="C971" s="108">
        <f t="shared" si="1346"/>
        <v>-69</v>
      </c>
      <c r="D971" s="108">
        <f t="shared" si="1346"/>
        <v>-1830</v>
      </c>
      <c r="E971" s="108">
        <f t="shared" si="1346"/>
        <v>-649</v>
      </c>
      <c r="F971" s="108">
        <f t="shared" si="1346"/>
        <v>-1046</v>
      </c>
      <c r="G971" s="203">
        <f t="shared" si="1346"/>
        <v>0</v>
      </c>
      <c r="H971" s="203">
        <f t="shared" si="1347"/>
        <v>0</v>
      </c>
      <c r="I971" s="203">
        <f t="shared" si="1347"/>
        <v>0</v>
      </c>
      <c r="J971" s="203">
        <f t="shared" si="1347"/>
        <v>0</v>
      </c>
      <c r="K971" s="108">
        <f t="shared" si="1348"/>
        <v>0</v>
      </c>
      <c r="L971" s="203">
        <f t="shared" si="1348"/>
        <v>0</v>
      </c>
      <c r="M971" s="203">
        <f t="shared" si="1349"/>
        <v>-94</v>
      </c>
      <c r="N971" s="203">
        <f t="shared" si="1349"/>
        <v>0</v>
      </c>
      <c r="O971" s="203">
        <f t="shared" si="1349"/>
        <v>0</v>
      </c>
      <c r="P971" s="108">
        <f t="shared" si="1350"/>
        <v>-94</v>
      </c>
      <c r="Q971" s="203">
        <f t="shared" si="1350"/>
        <v>-150</v>
      </c>
      <c r="R971" s="203">
        <f t="shared" si="1351"/>
        <v>-3</v>
      </c>
      <c r="S971" s="203">
        <f t="shared" si="1351"/>
        <v>-2757</v>
      </c>
      <c r="T971" s="203">
        <f t="shared" si="1351"/>
        <v>-4</v>
      </c>
      <c r="U971" s="108">
        <f t="shared" si="1352"/>
        <v>-2914</v>
      </c>
      <c r="V971" s="203">
        <f t="shared" si="1352"/>
        <v>-4</v>
      </c>
      <c r="W971" s="203">
        <f t="shared" si="1353"/>
        <v>0</v>
      </c>
      <c r="X971" s="203">
        <f t="shared" si="1353"/>
        <v>-13</v>
      </c>
      <c r="Y971" s="203">
        <f t="shared" si="1353"/>
        <v>1</v>
      </c>
      <c r="Z971" s="108">
        <f t="shared" si="1354"/>
        <v>-16</v>
      </c>
      <c r="AA971" s="203">
        <f t="shared" si="1354"/>
        <v>0</v>
      </c>
      <c r="AB971" s="203">
        <f t="shared" si="1355"/>
        <v>0</v>
      </c>
      <c r="AC971" s="203">
        <f t="shared" si="1355"/>
        <v>-12</v>
      </c>
      <c r="AD971" s="203">
        <f t="shared" si="1355"/>
        <v>-2011</v>
      </c>
      <c r="AE971" s="108">
        <f t="shared" si="1356"/>
        <v>-2023</v>
      </c>
      <c r="AF971" s="203">
        <f t="shared" si="1356"/>
        <v>0</v>
      </c>
      <c r="AG971" s="203">
        <f t="shared" si="1357"/>
        <v>13</v>
      </c>
      <c r="AH971" s="203">
        <f t="shared" si="1357"/>
        <v>0</v>
      </c>
      <c r="AI971" s="203">
        <f t="shared" si="1357"/>
        <v>0</v>
      </c>
      <c r="AJ971" s="108">
        <f t="shared" si="1358"/>
        <v>13</v>
      </c>
      <c r="AK971" s="203">
        <f t="shared" si="1358"/>
        <v>-704</v>
      </c>
      <c r="AL971" s="203">
        <f t="shared" si="1359"/>
        <v>0</v>
      </c>
      <c r="AM971" s="203">
        <f t="shared" si="1359"/>
        <v>0</v>
      </c>
      <c r="AN971" s="203">
        <f t="shared" si="1359"/>
        <v>-4280</v>
      </c>
      <c r="AO971" s="108">
        <f t="shared" si="1360"/>
        <v>-4984</v>
      </c>
      <c r="AP971" s="203">
        <f t="shared" si="1360"/>
        <v>-25</v>
      </c>
      <c r="AQ971" s="203">
        <f t="shared" si="1361"/>
        <v>0</v>
      </c>
      <c r="AR971" s="203">
        <f t="shared" si="1362"/>
        <v>0</v>
      </c>
      <c r="AS971" s="203">
        <f t="shared" si="1363"/>
        <v>0</v>
      </c>
      <c r="AT971" s="108">
        <f t="shared" ref="AT971:AU971" si="1368">AT922</f>
        <v>-25</v>
      </c>
      <c r="AU971" s="790">
        <f t="shared" si="1368"/>
        <v>0</v>
      </c>
      <c r="AV971" s="203">
        <f>+AV844</f>
        <v>0</v>
      </c>
      <c r="AW971" s="203">
        <f>+AW844</f>
        <v>0</v>
      </c>
      <c r="AX971" s="203">
        <f>+AX844</f>
        <v>0</v>
      </c>
      <c r="AY971" s="108">
        <f t="shared" si="1365"/>
        <v>0</v>
      </c>
      <c r="AZ971" s="203">
        <f>+AZ844</f>
        <v>0</v>
      </c>
      <c r="BA971" s="203">
        <f>+BA844</f>
        <v>0</v>
      </c>
      <c r="BB971" s="203">
        <f>+BB844</f>
        <v>0</v>
      </c>
      <c r="BC971" s="203">
        <f>+BC844</f>
        <v>0</v>
      </c>
      <c r="BD971" s="108">
        <f t="shared" si="1366"/>
        <v>0</v>
      </c>
      <c r="BE971" s="108">
        <f>+BE844</f>
        <v>0</v>
      </c>
      <c r="BF971" s="108">
        <f>+BF844</f>
        <v>0</v>
      </c>
      <c r="BG971" s="108">
        <f>+BG844</f>
        <v>0</v>
      </c>
      <c r="BH971" s="351"/>
    </row>
    <row r="972" spans="1:60" s="60" customFormat="1" x14ac:dyDescent="0.35">
      <c r="A972" s="316" t="str">
        <f t="shared" si="1345"/>
        <v>Purchases of marketable securities and investments</v>
      </c>
      <c r="B972" s="203"/>
      <c r="C972" s="108">
        <f t="shared" si="1346"/>
        <v>-2240</v>
      </c>
      <c r="D972" s="108">
        <f t="shared" si="1346"/>
        <v>-3287</v>
      </c>
      <c r="E972" s="108">
        <f t="shared" si="1346"/>
        <v>-4162</v>
      </c>
      <c r="F972" s="108">
        <f t="shared" si="1346"/>
        <v>-5492</v>
      </c>
      <c r="G972" s="203">
        <f t="shared" si="1346"/>
        <v>-1767</v>
      </c>
      <c r="H972" s="203">
        <f t="shared" si="1347"/>
        <v>-1233</v>
      </c>
      <c r="I972" s="203">
        <f t="shared" si="1347"/>
        <v>-589</v>
      </c>
      <c r="J972" s="203">
        <f t="shared" si="1347"/>
        <v>-451</v>
      </c>
      <c r="K972" s="108">
        <f t="shared" si="1348"/>
        <v>-4040</v>
      </c>
      <c r="L972" s="203">
        <f t="shared" si="1348"/>
        <v>-601</v>
      </c>
      <c r="M972" s="203">
        <f t="shared" si="1349"/>
        <v>-248</v>
      </c>
      <c r="N972" s="203">
        <f t="shared" si="1349"/>
        <v>-179</v>
      </c>
      <c r="O972" s="203">
        <f t="shared" si="1349"/>
        <v>-252</v>
      </c>
      <c r="P972" s="108">
        <f t="shared" si="1350"/>
        <v>-1280</v>
      </c>
      <c r="Q972" s="203">
        <f t="shared" si="1350"/>
        <v>-191</v>
      </c>
      <c r="R972" s="203">
        <f t="shared" si="1351"/>
        <v>-150</v>
      </c>
      <c r="S972" s="203">
        <f t="shared" si="1351"/>
        <v>-145</v>
      </c>
      <c r="T972" s="203">
        <f t="shared" si="1351"/>
        <v>-166</v>
      </c>
      <c r="U972" s="108">
        <f t="shared" si="1352"/>
        <v>-652</v>
      </c>
      <c r="V972" s="203">
        <f t="shared" si="1352"/>
        <v>-225</v>
      </c>
      <c r="W972" s="203">
        <f t="shared" si="1353"/>
        <v>-285</v>
      </c>
      <c r="X972" s="203">
        <f t="shared" si="1353"/>
        <v>-526</v>
      </c>
      <c r="Y972" s="203">
        <f t="shared" si="1353"/>
        <v>-374</v>
      </c>
      <c r="Z972" s="108">
        <f t="shared" si="1354"/>
        <v>-1410</v>
      </c>
      <c r="AA972" s="203">
        <f t="shared" si="1354"/>
        <v>-213</v>
      </c>
      <c r="AB972" s="203">
        <f t="shared" si="1355"/>
        <v>-194</v>
      </c>
      <c r="AC972" s="203">
        <f t="shared" si="1355"/>
        <v>-648</v>
      </c>
      <c r="AD972" s="203">
        <f t="shared" si="1355"/>
        <v>-1097</v>
      </c>
      <c r="AE972" s="108">
        <f t="shared" si="1356"/>
        <v>-2152</v>
      </c>
      <c r="AF972" s="203">
        <f t="shared" si="1356"/>
        <v>-517</v>
      </c>
      <c r="AG972" s="203">
        <f t="shared" si="1357"/>
        <v>-447</v>
      </c>
      <c r="AH972" s="203">
        <f t="shared" si="1357"/>
        <v>-388</v>
      </c>
      <c r="AI972" s="203">
        <f t="shared" si="1357"/>
        <v>-476</v>
      </c>
      <c r="AJ972" s="108">
        <f t="shared" si="1358"/>
        <v>-1828</v>
      </c>
      <c r="AK972" s="203">
        <f t="shared" si="1358"/>
        <v>-511</v>
      </c>
      <c r="AL972" s="203">
        <f t="shared" si="1359"/>
        <v>-240</v>
      </c>
      <c r="AM972" s="203">
        <f t="shared" si="1359"/>
        <v>-166</v>
      </c>
      <c r="AN972" s="203">
        <f t="shared" si="1359"/>
        <v>-718</v>
      </c>
      <c r="AO972" s="108">
        <f t="shared" si="1360"/>
        <v>-1635</v>
      </c>
      <c r="AP972" s="203">
        <f t="shared" si="1360"/>
        <v>-318</v>
      </c>
      <c r="AQ972" s="203">
        <f t="shared" si="1361"/>
        <v>-316</v>
      </c>
      <c r="AR972" s="203">
        <f t="shared" si="1362"/>
        <v>-435</v>
      </c>
      <c r="AS972" s="203">
        <f t="shared" si="1363"/>
        <v>-510</v>
      </c>
      <c r="AT972" s="108">
        <f t="shared" ref="AT972:AU972" si="1369">AT923</f>
        <v>-1579</v>
      </c>
      <c r="AU972" s="790">
        <f t="shared" si="1369"/>
        <v>-110</v>
      </c>
      <c r="AV972" s="203"/>
      <c r="AW972" s="203"/>
      <c r="AX972" s="203"/>
      <c r="AY972" s="108">
        <f t="shared" si="1365"/>
        <v>-110</v>
      </c>
      <c r="AZ972" s="203"/>
      <c r="BA972" s="203"/>
      <c r="BB972" s="203"/>
      <c r="BC972" s="203"/>
      <c r="BD972" s="108">
        <f t="shared" si="1366"/>
        <v>0</v>
      </c>
      <c r="BE972" s="108"/>
      <c r="BF972" s="108"/>
      <c r="BG972" s="108"/>
      <c r="BH972" s="351"/>
    </row>
    <row r="973" spans="1:60" s="60" customFormat="1" x14ac:dyDescent="0.35">
      <c r="A973" s="316" t="str">
        <f t="shared" si="1345"/>
        <v>Proceeds from maturities and sale of marketable securities and investments</v>
      </c>
      <c r="B973" s="203"/>
      <c r="C973" s="108">
        <f t="shared" si="1346"/>
        <v>718</v>
      </c>
      <c r="D973" s="108">
        <f t="shared" si="1346"/>
        <v>1995</v>
      </c>
      <c r="E973" s="108">
        <f t="shared" si="1346"/>
        <v>1679</v>
      </c>
      <c r="F973" s="108">
        <f t="shared" si="1346"/>
        <v>5281</v>
      </c>
      <c r="G973" s="203">
        <f t="shared" si="1346"/>
        <v>1671</v>
      </c>
      <c r="H973" s="203">
        <f t="shared" si="1347"/>
        <v>1277</v>
      </c>
      <c r="I973" s="203">
        <f t="shared" si="1347"/>
        <v>954</v>
      </c>
      <c r="J973" s="203">
        <f t="shared" si="1347"/>
        <v>765</v>
      </c>
      <c r="K973" s="108">
        <f t="shared" si="1348"/>
        <v>4667</v>
      </c>
      <c r="L973" s="203">
        <f t="shared" si="1348"/>
        <v>599</v>
      </c>
      <c r="M973" s="203">
        <f t="shared" si="1349"/>
        <v>383</v>
      </c>
      <c r="N973" s="203">
        <f t="shared" si="1349"/>
        <v>429</v>
      </c>
      <c r="O973" s="203">
        <f t="shared" si="1349"/>
        <v>623</v>
      </c>
      <c r="P973" s="108">
        <f t="shared" si="1350"/>
        <v>2034</v>
      </c>
      <c r="Q973" s="203">
        <f t="shared" si="1350"/>
        <v>605</v>
      </c>
      <c r="R973" s="203">
        <f t="shared" si="1351"/>
        <v>664</v>
      </c>
      <c r="S973" s="203">
        <f t="shared" si="1351"/>
        <v>473</v>
      </c>
      <c r="T973" s="203">
        <f t="shared" si="1351"/>
        <v>210</v>
      </c>
      <c r="U973" s="108">
        <f t="shared" si="1352"/>
        <v>1952</v>
      </c>
      <c r="V973" s="203">
        <f t="shared" si="1352"/>
        <v>164</v>
      </c>
      <c r="W973" s="203">
        <f t="shared" si="1353"/>
        <v>285</v>
      </c>
      <c r="X973" s="203">
        <f t="shared" si="1353"/>
        <v>345</v>
      </c>
      <c r="Y973" s="203">
        <f t="shared" si="1353"/>
        <v>453</v>
      </c>
      <c r="Z973" s="108">
        <f t="shared" si="1354"/>
        <v>1247</v>
      </c>
      <c r="AA973" s="203">
        <f t="shared" si="1354"/>
        <v>351</v>
      </c>
      <c r="AB973" s="203">
        <f t="shared" si="1355"/>
        <v>192</v>
      </c>
      <c r="AC973" s="203">
        <f t="shared" si="1355"/>
        <v>202</v>
      </c>
      <c r="AD973" s="203">
        <f t="shared" si="1355"/>
        <v>609</v>
      </c>
      <c r="AE973" s="108">
        <f t="shared" si="1356"/>
        <v>1354</v>
      </c>
      <c r="AF973" s="203">
        <f t="shared" si="1356"/>
        <v>990</v>
      </c>
      <c r="AG973" s="203">
        <f t="shared" si="1357"/>
        <v>646</v>
      </c>
      <c r="AH973" s="203">
        <f t="shared" si="1357"/>
        <v>430</v>
      </c>
      <c r="AI973" s="203">
        <f t="shared" si="1357"/>
        <v>431</v>
      </c>
      <c r="AJ973" s="108">
        <f t="shared" si="1358"/>
        <v>2497</v>
      </c>
      <c r="AK973" s="203">
        <f t="shared" si="1358"/>
        <v>369</v>
      </c>
      <c r="AL973" s="203">
        <f t="shared" si="1359"/>
        <v>636</v>
      </c>
      <c r="AM973" s="203">
        <f t="shared" si="1359"/>
        <v>260</v>
      </c>
      <c r="AN973" s="203">
        <f t="shared" si="1359"/>
        <v>178</v>
      </c>
      <c r="AO973" s="108">
        <f t="shared" si="1360"/>
        <v>1443</v>
      </c>
      <c r="AP973" s="203">
        <f t="shared" si="1360"/>
        <v>207</v>
      </c>
      <c r="AQ973" s="203">
        <f t="shared" si="1361"/>
        <v>769</v>
      </c>
      <c r="AR973" s="203">
        <f t="shared" si="1362"/>
        <v>263</v>
      </c>
      <c r="AS973" s="203">
        <f t="shared" si="1363"/>
        <v>572</v>
      </c>
      <c r="AT973" s="108">
        <f t="shared" ref="AT973:AU973" si="1370">AT924</f>
        <v>1811</v>
      </c>
      <c r="AU973" s="790">
        <f t="shared" si="1370"/>
        <v>0</v>
      </c>
      <c r="AV973" s="203"/>
      <c r="AW973" s="203"/>
      <c r="AX973" s="203"/>
      <c r="AY973" s="108">
        <f t="shared" si="1365"/>
        <v>0</v>
      </c>
      <c r="AZ973" s="203"/>
      <c r="BA973" s="203"/>
      <c r="BB973" s="203"/>
      <c r="BC973" s="203"/>
      <c r="BD973" s="108">
        <f t="shared" si="1366"/>
        <v>0</v>
      </c>
      <c r="BE973" s="108"/>
      <c r="BF973" s="108"/>
      <c r="BG973" s="108"/>
      <c r="BH973" s="351"/>
    </row>
    <row r="974" spans="1:60" s="60" customFormat="1" x14ac:dyDescent="0.35">
      <c r="A974" s="316" t="str">
        <f t="shared" si="1345"/>
        <v>Proceeds from maturities of marketable securities</v>
      </c>
      <c r="B974" s="203"/>
      <c r="C974" s="108">
        <f t="shared" si="1346"/>
        <v>683</v>
      </c>
      <c r="D974" s="108">
        <f t="shared" si="1346"/>
        <v>1565</v>
      </c>
      <c r="E974" s="108">
        <f t="shared" si="1346"/>
        <v>1738</v>
      </c>
      <c r="F974" s="108">
        <f t="shared" si="1346"/>
        <v>0</v>
      </c>
      <c r="G974" s="203">
        <f t="shared" si="1346"/>
        <v>0</v>
      </c>
      <c r="H974" s="203">
        <f t="shared" si="1347"/>
        <v>0</v>
      </c>
      <c r="I974" s="203">
        <f t="shared" si="1347"/>
        <v>0</v>
      </c>
      <c r="J974" s="203">
        <f t="shared" si="1347"/>
        <v>0</v>
      </c>
      <c r="K974" s="108">
        <f t="shared" si="1348"/>
        <v>0</v>
      </c>
      <c r="L974" s="203">
        <f t="shared" si="1348"/>
        <v>0</v>
      </c>
      <c r="M974" s="203">
        <f t="shared" si="1349"/>
        <v>0</v>
      </c>
      <c r="N974" s="203">
        <f t="shared" si="1349"/>
        <v>0</v>
      </c>
      <c r="O974" s="203">
        <f t="shared" si="1349"/>
        <v>0</v>
      </c>
      <c r="P974" s="108">
        <f t="shared" si="1350"/>
        <v>0</v>
      </c>
      <c r="Q974" s="203">
        <f t="shared" si="1350"/>
        <v>0</v>
      </c>
      <c r="R974" s="203">
        <f t="shared" si="1351"/>
        <v>0</v>
      </c>
      <c r="S974" s="203">
        <f t="shared" si="1351"/>
        <v>0</v>
      </c>
      <c r="T974" s="203">
        <f t="shared" si="1351"/>
        <v>0</v>
      </c>
      <c r="U974" s="108">
        <f t="shared" si="1352"/>
        <v>0</v>
      </c>
      <c r="V974" s="203">
        <f t="shared" si="1352"/>
        <v>0</v>
      </c>
      <c r="W974" s="203">
        <f t="shared" si="1353"/>
        <v>0</v>
      </c>
      <c r="X974" s="203">
        <f t="shared" si="1353"/>
        <v>0</v>
      </c>
      <c r="Y974" s="203">
        <f t="shared" si="1353"/>
        <v>0</v>
      </c>
      <c r="Z974" s="108">
        <f t="shared" si="1354"/>
        <v>0</v>
      </c>
      <c r="AA974" s="203">
        <f t="shared" si="1354"/>
        <v>0</v>
      </c>
      <c r="AB974" s="203">
        <f t="shared" si="1355"/>
        <v>0</v>
      </c>
      <c r="AC974" s="203">
        <f t="shared" si="1355"/>
        <v>0</v>
      </c>
      <c r="AD974" s="203">
        <f t="shared" si="1355"/>
        <v>0</v>
      </c>
      <c r="AE974" s="108">
        <f t="shared" si="1356"/>
        <v>0</v>
      </c>
      <c r="AF974" s="203">
        <f t="shared" si="1356"/>
        <v>0</v>
      </c>
      <c r="AG974" s="203">
        <f t="shared" si="1357"/>
        <v>0</v>
      </c>
      <c r="AH974" s="203">
        <f t="shared" si="1357"/>
        <v>0</v>
      </c>
      <c r="AI974" s="203">
        <f t="shared" si="1357"/>
        <v>0</v>
      </c>
      <c r="AJ974" s="108">
        <f t="shared" si="1358"/>
        <v>0</v>
      </c>
      <c r="AK974" s="203">
        <f t="shared" si="1358"/>
        <v>0</v>
      </c>
      <c r="AL974" s="203">
        <f t="shared" si="1359"/>
        <v>0</v>
      </c>
      <c r="AM974" s="203">
        <f t="shared" si="1359"/>
        <v>0</v>
      </c>
      <c r="AN974" s="203">
        <f t="shared" si="1359"/>
        <v>0</v>
      </c>
      <c r="AO974" s="108">
        <f t="shared" si="1360"/>
        <v>0</v>
      </c>
      <c r="AP974" s="203">
        <f t="shared" si="1360"/>
        <v>0</v>
      </c>
      <c r="AQ974" s="203">
        <f t="shared" si="1361"/>
        <v>0</v>
      </c>
      <c r="AR974" s="203">
        <f t="shared" si="1362"/>
        <v>0</v>
      </c>
      <c r="AS974" s="203">
        <f t="shared" si="1363"/>
        <v>0</v>
      </c>
      <c r="AT974" s="108">
        <f t="shared" ref="AT974:AU974" si="1371">AT925</f>
        <v>0</v>
      </c>
      <c r="AU974" s="790">
        <f t="shared" si="1371"/>
        <v>0</v>
      </c>
      <c r="AV974" s="203"/>
      <c r="AW974" s="203"/>
      <c r="AX974" s="203"/>
      <c r="AY974" s="108">
        <f t="shared" si="1365"/>
        <v>0</v>
      </c>
      <c r="AZ974" s="203"/>
      <c r="BA974" s="203"/>
      <c r="BB974" s="203"/>
      <c r="BC974" s="203"/>
      <c r="BD974" s="108">
        <f t="shared" si="1366"/>
        <v>0</v>
      </c>
      <c r="BE974" s="108"/>
      <c r="BF974" s="108"/>
      <c r="BG974" s="108"/>
      <c r="BH974" s="351"/>
    </row>
    <row r="975" spans="1:60" s="60" customFormat="1" x14ac:dyDescent="0.35">
      <c r="A975" s="316" t="str">
        <f t="shared" si="1345"/>
        <v>Proceeds from sale of businesses</v>
      </c>
      <c r="B975" s="203"/>
      <c r="C975" s="108">
        <f t="shared" si="1346"/>
        <v>5</v>
      </c>
      <c r="D975" s="108">
        <f t="shared" si="1346"/>
        <v>0</v>
      </c>
      <c r="E975" s="108">
        <f t="shared" si="1346"/>
        <v>0</v>
      </c>
      <c r="F975" s="108">
        <f t="shared" si="1346"/>
        <v>0</v>
      </c>
      <c r="G975" s="203">
        <f t="shared" si="1346"/>
        <v>0</v>
      </c>
      <c r="H975" s="203">
        <f t="shared" si="1347"/>
        <v>8</v>
      </c>
      <c r="I975" s="203">
        <f t="shared" si="1347"/>
        <v>0</v>
      </c>
      <c r="J975" s="203">
        <f t="shared" si="1347"/>
        <v>0</v>
      </c>
      <c r="K975" s="108">
        <f t="shared" si="1348"/>
        <v>8</v>
      </c>
      <c r="L975" s="203">
        <f t="shared" si="1348"/>
        <v>0</v>
      </c>
      <c r="M975" s="203">
        <f t="shared" si="1349"/>
        <v>0</v>
      </c>
      <c r="N975" s="203">
        <f t="shared" si="1349"/>
        <v>0</v>
      </c>
      <c r="O975" s="203">
        <f t="shared" si="1349"/>
        <v>0</v>
      </c>
      <c r="P975" s="108">
        <f t="shared" si="1350"/>
        <v>0</v>
      </c>
      <c r="Q975" s="203">
        <f t="shared" si="1350"/>
        <v>19</v>
      </c>
      <c r="R975" s="203">
        <f t="shared" si="1351"/>
        <v>0</v>
      </c>
      <c r="S975" s="203">
        <f t="shared" si="1351"/>
        <v>0</v>
      </c>
      <c r="T975" s="203">
        <f t="shared" si="1351"/>
        <v>104</v>
      </c>
      <c r="U975" s="108">
        <f t="shared" si="1352"/>
        <v>123</v>
      </c>
      <c r="V975" s="203">
        <f t="shared" si="1352"/>
        <v>56</v>
      </c>
      <c r="W975" s="203">
        <f t="shared" si="1353"/>
        <v>0</v>
      </c>
      <c r="X975" s="203">
        <f t="shared" si="1353"/>
        <v>0</v>
      </c>
      <c r="Y975" s="203">
        <f t="shared" si="1353"/>
        <v>86</v>
      </c>
      <c r="Z975" s="108">
        <f t="shared" si="1354"/>
        <v>142</v>
      </c>
      <c r="AA975" s="203">
        <f t="shared" si="1354"/>
        <v>53</v>
      </c>
      <c r="AB975" s="203">
        <f t="shared" si="1355"/>
        <v>809</v>
      </c>
      <c r="AC975" s="203">
        <f t="shared" si="1355"/>
        <v>0</v>
      </c>
      <c r="AD975" s="203">
        <f t="shared" si="1355"/>
        <v>203</v>
      </c>
      <c r="AE975" s="108">
        <f t="shared" si="1356"/>
        <v>1065</v>
      </c>
      <c r="AF975" s="203">
        <f t="shared" si="1356"/>
        <v>40</v>
      </c>
      <c r="AG975" s="203">
        <f t="shared" si="1357"/>
        <v>766</v>
      </c>
      <c r="AH975" s="203">
        <f t="shared" si="1357"/>
        <v>0</v>
      </c>
      <c r="AI975" s="203">
        <f t="shared" si="1357"/>
        <v>40</v>
      </c>
      <c r="AJ975" s="108">
        <f t="shared" si="1358"/>
        <v>846</v>
      </c>
      <c r="AK975" s="203">
        <f t="shared" si="1358"/>
        <v>6</v>
      </c>
      <c r="AL975" s="203">
        <f t="shared" si="1359"/>
        <v>0</v>
      </c>
      <c r="AM975" s="203">
        <f t="shared" si="1359"/>
        <v>230</v>
      </c>
      <c r="AN975" s="203">
        <f t="shared" si="1359"/>
        <v>0</v>
      </c>
      <c r="AO975" s="108">
        <f t="shared" si="1360"/>
        <v>236</v>
      </c>
      <c r="AP975" s="203">
        <f t="shared" si="1360"/>
        <v>86</v>
      </c>
      <c r="AQ975" s="203">
        <f t="shared" si="1361"/>
        <v>487</v>
      </c>
      <c r="AR975" s="203">
        <f t="shared" si="1362"/>
        <v>3</v>
      </c>
      <c r="AS975" s="203">
        <f t="shared" si="1363"/>
        <v>0</v>
      </c>
      <c r="AT975" s="108">
        <f t="shared" ref="AT975:AU975" si="1372">AT926</f>
        <v>576</v>
      </c>
      <c r="AU975" s="790">
        <f t="shared" si="1372"/>
        <v>0</v>
      </c>
      <c r="AV975" s="203">
        <f>+AV845</f>
        <v>0</v>
      </c>
      <c r="AW975" s="203">
        <f>+AW845</f>
        <v>0</v>
      </c>
      <c r="AX975" s="203">
        <f>+AX845</f>
        <v>0</v>
      </c>
      <c r="AY975" s="108">
        <f t="shared" si="1365"/>
        <v>0</v>
      </c>
      <c r="AZ975" s="203">
        <f>+AZ845</f>
        <v>0</v>
      </c>
      <c r="BA975" s="203">
        <f>+BA845</f>
        <v>0</v>
      </c>
      <c r="BB975" s="203">
        <f>+BB845</f>
        <v>0</v>
      </c>
      <c r="BC975" s="203">
        <f>+BC845</f>
        <v>0</v>
      </c>
      <c r="BD975" s="108">
        <f t="shared" si="1366"/>
        <v>0</v>
      </c>
      <c r="BE975" s="108">
        <f>+BE845</f>
        <v>0</v>
      </c>
      <c r="BF975" s="108">
        <f>+BF845</f>
        <v>0</v>
      </c>
      <c r="BG975" s="108">
        <f>+BG845</f>
        <v>0</v>
      </c>
      <c r="BH975" s="351"/>
    </row>
    <row r="976" spans="1:60" s="60" customFormat="1" x14ac:dyDescent="0.35">
      <c r="A976" s="466" t="str">
        <f t="shared" si="1345"/>
        <v>Other investing</v>
      </c>
      <c r="B976" s="123"/>
      <c r="C976" s="124">
        <f t="shared" si="1346"/>
        <v>0</v>
      </c>
      <c r="D976" s="124">
        <f t="shared" si="1346"/>
        <v>-3</v>
      </c>
      <c r="E976" s="124">
        <f t="shared" si="1346"/>
        <v>0</v>
      </c>
      <c r="F976" s="124">
        <f t="shared" si="1346"/>
        <v>14</v>
      </c>
      <c r="G976" s="123">
        <f t="shared" si="1346"/>
        <v>5</v>
      </c>
      <c r="H976" s="123">
        <f t="shared" si="1347"/>
        <v>-1</v>
      </c>
      <c r="I976" s="123">
        <f t="shared" si="1347"/>
        <v>9</v>
      </c>
      <c r="J976" s="123">
        <f t="shared" si="1347"/>
        <v>33</v>
      </c>
      <c r="K976" s="124">
        <f t="shared" si="1348"/>
        <v>46</v>
      </c>
      <c r="L976" s="123">
        <f t="shared" si="1348"/>
        <v>5</v>
      </c>
      <c r="M976" s="123">
        <f t="shared" si="1349"/>
        <v>-27</v>
      </c>
      <c r="N976" s="123">
        <f t="shared" si="1349"/>
        <v>42</v>
      </c>
      <c r="O976" s="123">
        <f t="shared" si="1349"/>
        <v>82</v>
      </c>
      <c r="P976" s="124">
        <f t="shared" si="1350"/>
        <v>102</v>
      </c>
      <c r="Q976" s="123">
        <f t="shared" si="1350"/>
        <v>4</v>
      </c>
      <c r="R976" s="123">
        <f t="shared" si="1351"/>
        <v>15</v>
      </c>
      <c r="S976" s="123">
        <f t="shared" si="1351"/>
        <v>3</v>
      </c>
      <c r="T976" s="123">
        <f t="shared" si="1351"/>
        <v>80</v>
      </c>
      <c r="U976" s="124">
        <f t="shared" si="1352"/>
        <v>102</v>
      </c>
      <c r="V976" s="123">
        <f t="shared" si="1352"/>
        <v>25</v>
      </c>
      <c r="W976" s="123">
        <f t="shared" si="1353"/>
        <v>-27</v>
      </c>
      <c r="X976" s="123">
        <f t="shared" si="1353"/>
        <v>-2</v>
      </c>
      <c r="Y976" s="123">
        <f t="shared" si="1353"/>
        <v>0</v>
      </c>
      <c r="Z976" s="124">
        <f t="shared" si="1354"/>
        <v>-4</v>
      </c>
      <c r="AA976" s="123">
        <f t="shared" si="1354"/>
        <v>5</v>
      </c>
      <c r="AB976" s="123">
        <f t="shared" si="1355"/>
        <v>0</v>
      </c>
      <c r="AC976" s="123">
        <f t="shared" si="1355"/>
        <v>-3</v>
      </c>
      <c r="AD976" s="123">
        <f t="shared" si="1355"/>
        <v>-8</v>
      </c>
      <c r="AE976" s="124">
        <f t="shared" si="1356"/>
        <v>-6</v>
      </c>
      <c r="AF976" s="123">
        <f t="shared" si="1356"/>
        <v>-11</v>
      </c>
      <c r="AG976" s="123">
        <f t="shared" si="1357"/>
        <v>0</v>
      </c>
      <c r="AH976" s="123">
        <f t="shared" si="1357"/>
        <v>19</v>
      </c>
      <c r="AI976" s="123">
        <f t="shared" si="1357"/>
        <v>1</v>
      </c>
      <c r="AJ976" s="124">
        <f t="shared" si="1358"/>
        <v>9</v>
      </c>
      <c r="AK976" s="123">
        <f t="shared" si="1358"/>
        <v>5</v>
      </c>
      <c r="AL976" s="123">
        <f t="shared" si="1359"/>
        <v>13</v>
      </c>
      <c r="AM976" s="123">
        <f t="shared" si="1359"/>
        <v>27</v>
      </c>
      <c r="AN976" s="123">
        <f t="shared" si="1359"/>
        <v>27</v>
      </c>
      <c r="AO976" s="124">
        <f t="shared" si="1360"/>
        <v>72</v>
      </c>
      <c r="AP976" s="123">
        <f t="shared" si="1360"/>
        <v>0</v>
      </c>
      <c r="AQ976" s="123">
        <f t="shared" si="1361"/>
        <v>7</v>
      </c>
      <c r="AR976" s="123">
        <f t="shared" si="1362"/>
        <v>1</v>
      </c>
      <c r="AS976" s="123">
        <f t="shared" si="1363"/>
        <v>2</v>
      </c>
      <c r="AT976" s="124">
        <f t="shared" ref="AT976:AU976" si="1373">AT927</f>
        <v>10</v>
      </c>
      <c r="AU976" s="791">
        <f t="shared" si="1373"/>
        <v>51</v>
      </c>
      <c r="AV976" s="123"/>
      <c r="AW976" s="123"/>
      <c r="AX976" s="123"/>
      <c r="AY976" s="124">
        <f t="shared" si="1365"/>
        <v>51</v>
      </c>
      <c r="AZ976" s="123"/>
      <c r="BA976" s="123"/>
      <c r="BB976" s="123"/>
      <c r="BC976" s="123"/>
      <c r="BD976" s="124">
        <f t="shared" si="1366"/>
        <v>0</v>
      </c>
      <c r="BE976" s="124"/>
      <c r="BF976" s="124"/>
      <c r="BG976" s="124"/>
      <c r="BH976" s="351"/>
    </row>
    <row r="977" spans="1:60" s="69" customFormat="1" x14ac:dyDescent="0.35">
      <c r="A977" s="318" t="str">
        <f t="shared" si="1345"/>
        <v>Net CFI</v>
      </c>
      <c r="B977" s="319"/>
      <c r="C977" s="110">
        <f t="shared" ref="C977:AH977" si="1374">SUM(C969:C976)</f>
        <v>-1732</v>
      </c>
      <c r="D977" s="110">
        <f t="shared" si="1374"/>
        <v>-2626</v>
      </c>
      <c r="E977" s="110">
        <f t="shared" si="1374"/>
        <v>-2718</v>
      </c>
      <c r="F977" s="110">
        <f t="shared" si="1374"/>
        <v>-2686</v>
      </c>
      <c r="G977" s="109">
        <f t="shared" si="1374"/>
        <v>-405</v>
      </c>
      <c r="H977" s="109">
        <f t="shared" si="1374"/>
        <v>-335</v>
      </c>
      <c r="I977" s="109">
        <f t="shared" si="1374"/>
        <v>38</v>
      </c>
      <c r="J977" s="109">
        <f t="shared" si="1374"/>
        <v>-154</v>
      </c>
      <c r="K977" s="110">
        <f t="shared" si="1374"/>
        <v>-856</v>
      </c>
      <c r="L977" s="109">
        <f t="shared" si="1374"/>
        <v>-287</v>
      </c>
      <c r="M977" s="109">
        <f t="shared" si="1374"/>
        <v>-292</v>
      </c>
      <c r="N977" s="109">
        <f t="shared" si="1374"/>
        <v>1</v>
      </c>
      <c r="O977" s="109">
        <f t="shared" si="1374"/>
        <v>-18</v>
      </c>
      <c r="P977" s="110">
        <f t="shared" si="1374"/>
        <v>-596</v>
      </c>
      <c r="Q977" s="109">
        <f t="shared" si="1374"/>
        <v>0</v>
      </c>
      <c r="R977" s="109">
        <f t="shared" si="1374"/>
        <v>166</v>
      </c>
      <c r="S977" s="109">
        <f t="shared" si="1374"/>
        <v>-2777</v>
      </c>
      <c r="T977" s="109">
        <f t="shared" si="1374"/>
        <v>-206</v>
      </c>
      <c r="U977" s="110">
        <f t="shared" si="1374"/>
        <v>-2817</v>
      </c>
      <c r="V977" s="109">
        <f t="shared" si="1374"/>
        <v>-280</v>
      </c>
      <c r="W977" s="109">
        <f t="shared" si="1374"/>
        <v>-350</v>
      </c>
      <c r="X977" s="109">
        <f t="shared" si="1374"/>
        <v>-543</v>
      </c>
      <c r="Y977" s="109">
        <f t="shared" si="1374"/>
        <v>-230</v>
      </c>
      <c r="Z977" s="110">
        <f t="shared" si="1374"/>
        <v>-1403</v>
      </c>
      <c r="AA977" s="109">
        <f t="shared" si="1374"/>
        <v>-90</v>
      </c>
      <c r="AB977" s="109">
        <f t="shared" si="1374"/>
        <v>517</v>
      </c>
      <c r="AC977" s="109">
        <f t="shared" si="1374"/>
        <v>-781</v>
      </c>
      <c r="AD977" s="109">
        <f t="shared" si="1374"/>
        <v>-2732</v>
      </c>
      <c r="AE977" s="110">
        <f t="shared" si="1374"/>
        <v>-3086</v>
      </c>
      <c r="AF977" s="109">
        <f t="shared" si="1374"/>
        <v>281</v>
      </c>
      <c r="AG977" s="109">
        <f t="shared" si="1374"/>
        <v>626</v>
      </c>
      <c r="AH977" s="109">
        <f t="shared" si="1374"/>
        <v>-269</v>
      </c>
      <c r="AI977" s="109">
        <f t="shared" ref="AI977:AY977" si="1375">SUM(AI969:AI976)</f>
        <v>-416</v>
      </c>
      <c r="AJ977" s="110">
        <f t="shared" si="1375"/>
        <v>222</v>
      </c>
      <c r="AK977" s="109">
        <f t="shared" si="1375"/>
        <v>-1225</v>
      </c>
      <c r="AL977" s="109">
        <f t="shared" si="1375"/>
        <v>-10</v>
      </c>
      <c r="AM977" s="109">
        <f t="shared" si="1375"/>
        <v>90</v>
      </c>
      <c r="AN977" s="109">
        <f t="shared" si="1375"/>
        <v>-5299</v>
      </c>
      <c r="AO977" s="110">
        <f t="shared" si="1375"/>
        <v>-6444</v>
      </c>
      <c r="AP977" s="109">
        <f t="shared" si="1375"/>
        <v>-375</v>
      </c>
      <c r="AQ977" s="109">
        <f t="shared" si="1375"/>
        <v>577</v>
      </c>
      <c r="AR977" s="109">
        <f>SUM(AR969:AR976)</f>
        <v>-523</v>
      </c>
      <c r="AS977" s="109">
        <f t="shared" ref="AS977:AU977" si="1376">SUM(AS969:AS976)</f>
        <v>-259</v>
      </c>
      <c r="AT977" s="110">
        <f t="shared" si="1376"/>
        <v>-580</v>
      </c>
      <c r="AU977" s="796">
        <f t="shared" si="1376"/>
        <v>-369</v>
      </c>
      <c r="AV977" s="109">
        <f t="shared" si="1375"/>
        <v>-475</v>
      </c>
      <c r="AW977" s="109">
        <f t="shared" si="1375"/>
        <v>-475</v>
      </c>
      <c r="AX977" s="109">
        <f t="shared" si="1375"/>
        <v>-475</v>
      </c>
      <c r="AY977" s="110">
        <f t="shared" si="1375"/>
        <v>-1794</v>
      </c>
      <c r="AZ977" s="109">
        <f t="shared" ref="AZ977:BG977" si="1377">SUM(AZ969:AZ976)</f>
        <v>-475</v>
      </c>
      <c r="BA977" s="109">
        <f t="shared" si="1377"/>
        <v>-475</v>
      </c>
      <c r="BB977" s="109">
        <f t="shared" si="1377"/>
        <v>-475</v>
      </c>
      <c r="BC977" s="109">
        <f t="shared" si="1377"/>
        <v>-475</v>
      </c>
      <c r="BD977" s="110">
        <f t="shared" si="1377"/>
        <v>-1900</v>
      </c>
      <c r="BE977" s="110">
        <f t="shared" si="1377"/>
        <v>-1900</v>
      </c>
      <c r="BF977" s="110">
        <f t="shared" si="1377"/>
        <v>-1900</v>
      </c>
      <c r="BG977" s="110">
        <f t="shared" si="1377"/>
        <v>-1900</v>
      </c>
      <c r="BH977" s="79"/>
    </row>
    <row r="978" spans="1:60" s="21" customFormat="1" x14ac:dyDescent="0.35">
      <c r="A978" s="428"/>
      <c r="B978" s="429"/>
      <c r="C978" s="879"/>
      <c r="D978" s="879"/>
      <c r="E978" s="879"/>
      <c r="F978" s="879"/>
      <c r="G978" s="880"/>
      <c r="H978" s="880"/>
      <c r="I978" s="880"/>
      <c r="J978" s="880"/>
      <c r="K978" s="879"/>
      <c r="L978" s="880"/>
      <c r="M978" s="880"/>
      <c r="N978" s="880"/>
      <c r="O978" s="880"/>
      <c r="P978" s="879"/>
      <c r="Q978" s="880"/>
      <c r="R978" s="880"/>
      <c r="S978" s="880"/>
      <c r="T978" s="880"/>
      <c r="U978" s="879"/>
      <c r="V978" s="880"/>
      <c r="W978" s="880"/>
      <c r="X978" s="880"/>
      <c r="Y978" s="880"/>
      <c r="Z978" s="879"/>
      <c r="AA978" s="880"/>
      <c r="AB978" s="880"/>
      <c r="AC978" s="880"/>
      <c r="AD978" s="880"/>
      <c r="AE978" s="879"/>
      <c r="AF978" s="880"/>
      <c r="AG978" s="880"/>
      <c r="AH978" s="880"/>
      <c r="AI978" s="880"/>
      <c r="AJ978" s="879"/>
      <c r="AK978" s="880"/>
      <c r="AL978" s="880"/>
      <c r="AM978" s="880"/>
      <c r="AN978" s="880"/>
      <c r="AO978" s="879"/>
      <c r="AP978" s="880"/>
      <c r="AQ978" s="880"/>
      <c r="AR978" s="880"/>
      <c r="AS978" s="880"/>
      <c r="AT978" s="879"/>
      <c r="AU978" s="881"/>
      <c r="AV978" s="880"/>
      <c r="AW978" s="880"/>
      <c r="AX978" s="880"/>
      <c r="AY978" s="879"/>
      <c r="AZ978" s="880"/>
      <c r="BA978" s="880"/>
      <c r="BB978" s="880"/>
      <c r="BC978" s="880"/>
      <c r="BD978" s="879"/>
      <c r="BE978" s="879"/>
      <c r="BF978" s="879"/>
      <c r="BG978" s="879"/>
      <c r="BH978" s="651"/>
    </row>
    <row r="979" spans="1:60" s="21" customFormat="1" x14ac:dyDescent="0.35">
      <c r="A979" s="428" t="str">
        <f t="shared" ref="A979:A989" si="1378">A930</f>
        <v>CFF</v>
      </c>
      <c r="B979" s="429"/>
      <c r="C979" s="879"/>
      <c r="D979" s="879"/>
      <c r="E979" s="879"/>
      <c r="F979" s="879"/>
      <c r="G979" s="880"/>
      <c r="H979" s="880"/>
      <c r="I979" s="880"/>
      <c r="J979" s="880"/>
      <c r="K979" s="879"/>
      <c r="L979" s="880"/>
      <c r="M979" s="880"/>
      <c r="N979" s="880"/>
      <c r="O979" s="880"/>
      <c r="P979" s="879"/>
      <c r="Q979" s="880"/>
      <c r="R979" s="880"/>
      <c r="S979" s="880"/>
      <c r="T979" s="880"/>
      <c r="U979" s="879"/>
      <c r="V979" s="880"/>
      <c r="W979" s="880"/>
      <c r="X979" s="880"/>
      <c r="Y979" s="880"/>
      <c r="Z979" s="879"/>
      <c r="AA979" s="880"/>
      <c r="AB979" s="880"/>
      <c r="AC979" s="880"/>
      <c r="AD979" s="880"/>
      <c r="AE979" s="879"/>
      <c r="AF979" s="880"/>
      <c r="AG979" s="880"/>
      <c r="AH979" s="880"/>
      <c r="AI979" s="880"/>
      <c r="AJ979" s="879"/>
      <c r="AK979" s="880"/>
      <c r="AL979" s="880"/>
      <c r="AM979" s="880"/>
      <c r="AN979" s="880"/>
      <c r="AO979" s="879"/>
      <c r="AP979" s="880"/>
      <c r="AQ979" s="880"/>
      <c r="AR979" s="880"/>
      <c r="AS979" s="880"/>
      <c r="AT979" s="879"/>
      <c r="AU979" s="881"/>
      <c r="AV979" s="880"/>
      <c r="AW979" s="880"/>
      <c r="AX979" s="880"/>
      <c r="AY979" s="879"/>
      <c r="AZ979" s="880"/>
      <c r="BA979" s="880"/>
      <c r="BB979" s="880"/>
      <c r="BC979" s="880"/>
      <c r="BD979" s="879"/>
      <c r="BE979" s="879"/>
      <c r="BF979" s="879"/>
      <c r="BG979" s="879"/>
      <c r="BH979" s="651"/>
    </row>
    <row r="980" spans="1:60" s="60" customFormat="1" x14ac:dyDescent="0.35">
      <c r="A980" s="316" t="str">
        <f t="shared" si="1378"/>
        <v>Change in short-term debt - net</v>
      </c>
      <c r="B980" s="203"/>
      <c r="C980" s="108">
        <f t="shared" ref="C980:G988" si="1379">C931</f>
        <v>-536</v>
      </c>
      <c r="D980" s="108">
        <f t="shared" si="1379"/>
        <v>-24</v>
      </c>
      <c r="E980" s="108">
        <f t="shared" si="1379"/>
        <v>11</v>
      </c>
      <c r="F980" s="108">
        <f t="shared" si="1379"/>
        <v>-36</v>
      </c>
      <c r="G980" s="203">
        <f t="shared" si="1379"/>
        <v>-13</v>
      </c>
      <c r="H980" s="203">
        <f t="shared" ref="H980:J988" si="1380">H931-G931</f>
        <v>1</v>
      </c>
      <c r="I980" s="203">
        <f t="shared" si="1380"/>
        <v>619</v>
      </c>
      <c r="J980" s="203">
        <f t="shared" si="1380"/>
        <v>-609</v>
      </c>
      <c r="K980" s="108">
        <f t="shared" ref="K980:L988" si="1381">K931</f>
        <v>-2</v>
      </c>
      <c r="L980" s="203">
        <f t="shared" si="1381"/>
        <v>466</v>
      </c>
      <c r="M980" s="203">
        <f t="shared" ref="M980:O988" si="1382">M931-L931</f>
        <v>-404</v>
      </c>
      <c r="N980" s="203">
        <f t="shared" si="1382"/>
        <v>1873</v>
      </c>
      <c r="O980" s="203">
        <f t="shared" si="1382"/>
        <v>-1908</v>
      </c>
      <c r="P980" s="108">
        <f t="shared" ref="P980:Q988" si="1383">P931</f>
        <v>27</v>
      </c>
      <c r="Q980" s="203">
        <f t="shared" si="1383"/>
        <v>-4</v>
      </c>
      <c r="R980" s="203">
        <f t="shared" ref="R980:T988" si="1384">R931-Q931</f>
        <v>-35</v>
      </c>
      <c r="S980" s="203">
        <f t="shared" si="1384"/>
        <v>1199</v>
      </c>
      <c r="T980" s="203">
        <f t="shared" si="1384"/>
        <v>-300</v>
      </c>
      <c r="U980" s="108">
        <f t="shared" ref="U980:V988" si="1385">U931</f>
        <v>860</v>
      </c>
      <c r="V980" s="203">
        <f t="shared" si="1385"/>
        <v>138</v>
      </c>
      <c r="W980" s="203">
        <f t="shared" ref="W980:Y988" si="1386">W931-V931</f>
        <v>-475</v>
      </c>
      <c r="X980" s="203">
        <f t="shared" si="1386"/>
        <v>-161</v>
      </c>
      <c r="Y980" s="203">
        <f t="shared" si="1386"/>
        <v>-299</v>
      </c>
      <c r="Z980" s="108">
        <f t="shared" ref="Z980:AA988" si="1387">Z931</f>
        <v>-797</v>
      </c>
      <c r="AA980" s="203">
        <f t="shared" si="1387"/>
        <v>-68</v>
      </c>
      <c r="AB980" s="203">
        <f t="shared" ref="AB980:AD988" si="1388">AB931-AA931</f>
        <v>-45</v>
      </c>
      <c r="AC980" s="203">
        <f t="shared" si="1388"/>
        <v>173</v>
      </c>
      <c r="AD980" s="203">
        <f t="shared" si="1388"/>
        <v>518</v>
      </c>
      <c r="AE980" s="108">
        <f t="shared" ref="AE980:AF988" si="1389">AE931</f>
        <v>578</v>
      </c>
      <c r="AF980" s="203">
        <f t="shared" si="1389"/>
        <v>1581</v>
      </c>
      <c r="AG980" s="203">
        <f t="shared" ref="AG980:AI988" si="1390">AG931-AF931</f>
        <v>-807</v>
      </c>
      <c r="AH980" s="203">
        <f t="shared" si="1390"/>
        <v>-1472</v>
      </c>
      <c r="AI980" s="203">
        <f t="shared" si="1390"/>
        <v>414</v>
      </c>
      <c r="AJ980" s="108">
        <f t="shared" ref="AJ980:AK988" si="1391">AJ931</f>
        <v>-284</v>
      </c>
      <c r="AK980" s="203">
        <f t="shared" si="1391"/>
        <v>-428</v>
      </c>
      <c r="AL980" s="203">
        <f t="shared" ref="AL980:AN988" si="1392">AL931-AK931</f>
        <v>-13</v>
      </c>
      <c r="AM980" s="203">
        <f t="shared" si="1392"/>
        <v>-25</v>
      </c>
      <c r="AN980" s="203">
        <f t="shared" si="1392"/>
        <v>150</v>
      </c>
      <c r="AO980" s="108">
        <f t="shared" ref="AO980:AP988" si="1393">AO931</f>
        <v>-316</v>
      </c>
      <c r="AP980" s="203">
        <f t="shared" si="1393"/>
        <v>462</v>
      </c>
      <c r="AQ980" s="203">
        <f t="shared" ref="AQ980:AQ988" si="1394">AQ931-AP931</f>
        <v>-594</v>
      </c>
      <c r="AR980" s="203">
        <f t="shared" ref="AR980:AR988" si="1395">AR931-AQ931</f>
        <v>-6</v>
      </c>
      <c r="AS980" s="203">
        <f t="shared" ref="AS980:AS988" si="1396">AS931-AR931</f>
        <v>-5</v>
      </c>
      <c r="AT980" s="108">
        <f t="shared" ref="AT980:AU980" si="1397">AT931</f>
        <v>-143</v>
      </c>
      <c r="AU980" s="790">
        <f t="shared" si="1397"/>
        <v>6</v>
      </c>
      <c r="AV980" s="203"/>
      <c r="AW980" s="203"/>
      <c r="AX980" s="203"/>
      <c r="AY980" s="108">
        <f t="shared" ref="AY980:AY988" si="1398">SUM(AU980,AV980,AW980,AX980)</f>
        <v>6</v>
      </c>
      <c r="AZ980" s="203"/>
      <c r="BA980" s="203"/>
      <c r="BB980" s="203"/>
      <c r="BC980" s="203"/>
      <c r="BD980" s="108">
        <f t="shared" ref="BD980:BD988" si="1399">SUM(AZ980,BA980,BB980,BC980)</f>
        <v>0</v>
      </c>
      <c r="BE980" s="108"/>
      <c r="BF980" s="108"/>
      <c r="BG980" s="108"/>
      <c r="BH980" s="351"/>
    </row>
    <row r="981" spans="1:60" s="60" customFormat="1" x14ac:dyDescent="0.35">
      <c r="A981" s="316" t="str">
        <f t="shared" si="1378"/>
        <v>Repayment of debt (maturities greater than 90 days)</v>
      </c>
      <c r="B981" s="203"/>
      <c r="C981" s="108">
        <f t="shared" si="1379"/>
        <v>-519</v>
      </c>
      <c r="D981" s="108">
        <f t="shared" si="1379"/>
        <v>-556</v>
      </c>
      <c r="E981" s="108">
        <f t="shared" si="1379"/>
        <v>-1429</v>
      </c>
      <c r="F981" s="108">
        <f t="shared" si="1379"/>
        <v>-612</v>
      </c>
      <c r="G981" s="203">
        <f t="shared" si="1379"/>
        <v>-5</v>
      </c>
      <c r="H981" s="203">
        <f t="shared" si="1380"/>
        <v>-7</v>
      </c>
      <c r="I981" s="203">
        <f t="shared" si="1380"/>
        <v>-841</v>
      </c>
      <c r="J981" s="203">
        <f t="shared" si="1380"/>
        <v>-6</v>
      </c>
      <c r="K981" s="108">
        <f t="shared" si="1381"/>
        <v>-859</v>
      </c>
      <c r="L981" s="203">
        <f t="shared" si="1381"/>
        <v>-64</v>
      </c>
      <c r="M981" s="203">
        <f t="shared" si="1382"/>
        <v>-55</v>
      </c>
      <c r="N981" s="203">
        <f t="shared" si="1382"/>
        <v>-1432</v>
      </c>
      <c r="O981" s="203">
        <f t="shared" si="1382"/>
        <v>-74</v>
      </c>
      <c r="P981" s="108">
        <f t="shared" si="1383"/>
        <v>-1625</v>
      </c>
      <c r="Q981" s="203">
        <f t="shared" si="1383"/>
        <v>0</v>
      </c>
      <c r="R981" s="203">
        <f t="shared" si="1384"/>
        <v>-10</v>
      </c>
      <c r="S981" s="203">
        <f t="shared" si="1384"/>
        <v>-783</v>
      </c>
      <c r="T981" s="203">
        <f t="shared" si="1384"/>
        <v>-7</v>
      </c>
      <c r="U981" s="108">
        <f t="shared" si="1385"/>
        <v>-800</v>
      </c>
      <c r="V981" s="203">
        <f t="shared" si="1385"/>
        <v>0</v>
      </c>
      <c r="W981" s="203">
        <f t="shared" si="1386"/>
        <v>0</v>
      </c>
      <c r="X981" s="203">
        <f t="shared" si="1386"/>
        <v>-992</v>
      </c>
      <c r="Y981" s="203">
        <f t="shared" si="1386"/>
        <v>0</v>
      </c>
      <c r="Z981" s="108">
        <f t="shared" si="1387"/>
        <v>-992</v>
      </c>
      <c r="AA981" s="203">
        <f t="shared" si="1387"/>
        <v>0</v>
      </c>
      <c r="AB981" s="203">
        <f t="shared" si="1388"/>
        <v>-650</v>
      </c>
      <c r="AC981" s="203">
        <f t="shared" si="1388"/>
        <v>0</v>
      </c>
      <c r="AD981" s="203">
        <f t="shared" si="1388"/>
        <v>-312</v>
      </c>
      <c r="AE981" s="108">
        <f t="shared" si="1389"/>
        <v>-962</v>
      </c>
      <c r="AF981" s="203">
        <f t="shared" si="1389"/>
        <v>-6</v>
      </c>
      <c r="AG981" s="203">
        <f t="shared" si="1390"/>
        <v>0</v>
      </c>
      <c r="AH981" s="203">
        <f t="shared" si="1390"/>
        <v>-450</v>
      </c>
      <c r="AI981" s="203">
        <f t="shared" si="1390"/>
        <v>-578</v>
      </c>
      <c r="AJ981" s="108">
        <f t="shared" si="1391"/>
        <v>-1034</v>
      </c>
      <c r="AK981" s="203">
        <f t="shared" si="1391"/>
        <v>-246</v>
      </c>
      <c r="AL981" s="203">
        <f t="shared" si="1392"/>
        <v>-625</v>
      </c>
      <c r="AM981" s="203">
        <f t="shared" si="1392"/>
        <v>0</v>
      </c>
      <c r="AN981" s="203">
        <f t="shared" si="1392"/>
        <v>-1845</v>
      </c>
      <c r="AO981" s="108">
        <f t="shared" si="1393"/>
        <v>-2716</v>
      </c>
      <c r="AP981" s="203">
        <f t="shared" si="1393"/>
        <v>0</v>
      </c>
      <c r="AQ981" s="203">
        <f t="shared" si="1394"/>
        <v>-1146</v>
      </c>
      <c r="AR981" s="203">
        <f t="shared" si="1395"/>
        <v>-1331</v>
      </c>
      <c r="AS981" s="203">
        <f t="shared" si="1396"/>
        <v>-1005</v>
      </c>
      <c r="AT981" s="108">
        <f t="shared" ref="AT981:AU981" si="1400">AT932</f>
        <v>-3482</v>
      </c>
      <c r="AU981" s="790">
        <f t="shared" si="1400"/>
        <v>-450</v>
      </c>
      <c r="AV981" s="203">
        <f>AV849</f>
        <v>0</v>
      </c>
      <c r="AW981" s="203">
        <f>AW849</f>
        <v>0</v>
      </c>
      <c r="AX981" s="203">
        <f>AX849</f>
        <v>0</v>
      </c>
      <c r="AY981" s="108">
        <f t="shared" si="1398"/>
        <v>-450</v>
      </c>
      <c r="AZ981" s="203">
        <f>AZ849</f>
        <v>0</v>
      </c>
      <c r="BA981" s="203">
        <f>BA849</f>
        <v>0</v>
      </c>
      <c r="BB981" s="203">
        <f>BB849</f>
        <v>0</v>
      </c>
      <c r="BC981" s="203">
        <f>BC849</f>
        <v>0</v>
      </c>
      <c r="BD981" s="108">
        <f t="shared" si="1399"/>
        <v>0</v>
      </c>
      <c r="BE981" s="108">
        <f>BE849</f>
        <v>0</v>
      </c>
      <c r="BF981" s="108">
        <f>BF849</f>
        <v>0</v>
      </c>
      <c r="BG981" s="108">
        <f>BG849</f>
        <v>0</v>
      </c>
      <c r="BH981" s="351"/>
    </row>
    <row r="982" spans="1:60" s="60" customFormat="1" x14ac:dyDescent="0.35">
      <c r="A982" s="316" t="str">
        <f t="shared" si="1378"/>
        <v>Proceeds from debt (maturities greater than 90 days)</v>
      </c>
      <c r="B982" s="203"/>
      <c r="C982" s="108">
        <f t="shared" si="1379"/>
        <v>41</v>
      </c>
      <c r="D982" s="108">
        <f t="shared" si="1379"/>
        <v>108</v>
      </c>
      <c r="E982" s="108">
        <f t="shared" si="1379"/>
        <v>1111</v>
      </c>
      <c r="F982" s="108">
        <f t="shared" si="1379"/>
        <v>1370</v>
      </c>
      <c r="G982" s="203">
        <f t="shared" si="1379"/>
        <v>9</v>
      </c>
      <c r="H982" s="203">
        <f t="shared" si="1380"/>
        <v>2</v>
      </c>
      <c r="I982" s="203">
        <f t="shared" si="1380"/>
        <v>1</v>
      </c>
      <c r="J982" s="203">
        <f t="shared" si="1380"/>
        <v>812</v>
      </c>
      <c r="K982" s="108">
        <f t="shared" si="1381"/>
        <v>824</v>
      </c>
      <c r="L982" s="203">
        <f t="shared" si="1381"/>
        <v>172</v>
      </c>
      <c r="M982" s="203">
        <f t="shared" si="1382"/>
        <v>906</v>
      </c>
      <c r="N982" s="203">
        <f t="shared" si="1382"/>
        <v>-14</v>
      </c>
      <c r="O982" s="203">
        <f t="shared" si="1382"/>
        <v>1544</v>
      </c>
      <c r="P982" s="108">
        <f t="shared" si="1383"/>
        <v>2608</v>
      </c>
      <c r="Q982" s="203">
        <f t="shared" si="1383"/>
        <v>0</v>
      </c>
      <c r="R982" s="203">
        <f t="shared" si="1384"/>
        <v>1925</v>
      </c>
      <c r="S982" s="203">
        <f t="shared" si="1384"/>
        <v>1495</v>
      </c>
      <c r="T982" s="203">
        <f t="shared" si="1384"/>
        <v>2</v>
      </c>
      <c r="U982" s="108">
        <f t="shared" si="1385"/>
        <v>3422</v>
      </c>
      <c r="V982" s="203">
        <f t="shared" si="1385"/>
        <v>0</v>
      </c>
      <c r="W982" s="203">
        <f t="shared" si="1386"/>
        <v>1112</v>
      </c>
      <c r="X982" s="203">
        <f t="shared" si="1386"/>
        <v>1720</v>
      </c>
      <c r="Y982" s="203">
        <f t="shared" si="1386"/>
        <v>0</v>
      </c>
      <c r="Z982" s="108">
        <f t="shared" si="1387"/>
        <v>2832</v>
      </c>
      <c r="AA982" s="203">
        <f t="shared" si="1387"/>
        <v>0</v>
      </c>
      <c r="AB982" s="203">
        <f t="shared" si="1388"/>
        <v>0</v>
      </c>
      <c r="AC982" s="203">
        <f t="shared" si="1388"/>
        <v>0</v>
      </c>
      <c r="AD982" s="203">
        <f t="shared" si="1388"/>
        <v>1987</v>
      </c>
      <c r="AE982" s="108">
        <f t="shared" si="1389"/>
        <v>1987</v>
      </c>
      <c r="AF982" s="203">
        <f t="shared" si="1389"/>
        <v>6</v>
      </c>
      <c r="AG982" s="203">
        <f t="shared" si="1390"/>
        <v>0</v>
      </c>
      <c r="AH982" s="203">
        <f t="shared" si="1390"/>
        <v>2241</v>
      </c>
      <c r="AI982" s="203">
        <f t="shared" si="1390"/>
        <v>4</v>
      </c>
      <c r="AJ982" s="108">
        <f t="shared" si="1391"/>
        <v>2251</v>
      </c>
      <c r="AK982" s="203">
        <f t="shared" si="1391"/>
        <v>2265</v>
      </c>
      <c r="AL982" s="203">
        <f t="shared" si="1392"/>
        <v>0</v>
      </c>
      <c r="AM982" s="203">
        <f t="shared" si="1392"/>
        <v>3851</v>
      </c>
      <c r="AN982" s="203">
        <f t="shared" si="1392"/>
        <v>165</v>
      </c>
      <c r="AO982" s="108">
        <f t="shared" si="1393"/>
        <v>6281</v>
      </c>
      <c r="AP982" s="203">
        <f t="shared" si="1393"/>
        <v>1745</v>
      </c>
      <c r="AQ982" s="203">
        <f t="shared" si="1394"/>
        <v>0</v>
      </c>
      <c r="AR982" s="203">
        <f t="shared" si="1395"/>
        <v>0</v>
      </c>
      <c r="AS982" s="203">
        <f t="shared" si="1396"/>
        <v>5</v>
      </c>
      <c r="AT982" s="108">
        <f t="shared" ref="AT982:AU982" si="1401">AT933</f>
        <v>1750</v>
      </c>
      <c r="AU982" s="790">
        <f t="shared" si="1401"/>
        <v>0</v>
      </c>
      <c r="AV982" s="203"/>
      <c r="AW982" s="203"/>
      <c r="AX982" s="203"/>
      <c r="AY982" s="108">
        <f t="shared" si="1398"/>
        <v>0</v>
      </c>
      <c r="AZ982" s="203"/>
      <c r="BA982" s="203"/>
      <c r="BB982" s="203"/>
      <c r="BC982" s="203"/>
      <c r="BD982" s="108">
        <f t="shared" si="1399"/>
        <v>0</v>
      </c>
      <c r="BE982" s="108"/>
      <c r="BF982" s="108"/>
      <c r="BG982" s="108"/>
      <c r="BH982" s="351"/>
    </row>
    <row r="983" spans="1:60" s="60" customFormat="1" x14ac:dyDescent="0.35">
      <c r="A983" s="316" t="str">
        <f t="shared" si="1378"/>
        <v>Purchases of treasury stock</v>
      </c>
      <c r="B983" s="203"/>
      <c r="C983" s="108">
        <f t="shared" si="1379"/>
        <v>-17</v>
      </c>
      <c r="D983" s="108">
        <f t="shared" si="1379"/>
        <v>-854</v>
      </c>
      <c r="E983" s="108">
        <f t="shared" si="1379"/>
        <v>-2701</v>
      </c>
      <c r="F983" s="108">
        <f t="shared" si="1379"/>
        <v>-2204</v>
      </c>
      <c r="G983" s="203">
        <f t="shared" si="1379"/>
        <v>-805</v>
      </c>
      <c r="H983" s="203">
        <f t="shared" si="1380"/>
        <v>-1190</v>
      </c>
      <c r="I983" s="203">
        <f t="shared" si="1380"/>
        <v>-1543</v>
      </c>
      <c r="J983" s="203">
        <f t="shared" si="1380"/>
        <v>-1674</v>
      </c>
      <c r="K983" s="108">
        <f t="shared" si="1381"/>
        <v>-5212</v>
      </c>
      <c r="L983" s="203">
        <f t="shared" si="1381"/>
        <v>-1708</v>
      </c>
      <c r="M983" s="203">
        <f t="shared" si="1382"/>
        <v>-1426</v>
      </c>
      <c r="N983" s="203">
        <f t="shared" si="1382"/>
        <v>-1239</v>
      </c>
      <c r="O983" s="203">
        <f t="shared" si="1382"/>
        <v>-1279</v>
      </c>
      <c r="P983" s="108">
        <f t="shared" si="1383"/>
        <v>-5652</v>
      </c>
      <c r="Q983" s="203">
        <f t="shared" si="1383"/>
        <v>-886</v>
      </c>
      <c r="R983" s="203">
        <f t="shared" si="1384"/>
        <v>-1695</v>
      </c>
      <c r="S983" s="203">
        <f t="shared" si="1384"/>
        <v>-1523</v>
      </c>
      <c r="T983" s="203">
        <f t="shared" si="1384"/>
        <v>-1134</v>
      </c>
      <c r="U983" s="108">
        <f t="shared" si="1385"/>
        <v>-5238</v>
      </c>
      <c r="V983" s="203">
        <f t="shared" si="1385"/>
        <v>-1227</v>
      </c>
      <c r="W983" s="203">
        <f t="shared" si="1386"/>
        <v>-828</v>
      </c>
      <c r="X983" s="203">
        <f t="shared" si="1386"/>
        <v>-774</v>
      </c>
      <c r="Y983" s="203">
        <f t="shared" si="1386"/>
        <v>-924</v>
      </c>
      <c r="Z983" s="108">
        <f t="shared" si="1387"/>
        <v>-3753</v>
      </c>
      <c r="AA983" s="203">
        <f t="shared" si="1387"/>
        <v>-690</v>
      </c>
      <c r="AB983" s="203">
        <f t="shared" si="1388"/>
        <v>-494</v>
      </c>
      <c r="AC983" s="203">
        <f t="shared" si="1388"/>
        <v>-380</v>
      </c>
      <c r="AD983" s="203">
        <f t="shared" si="1388"/>
        <v>-504</v>
      </c>
      <c r="AE983" s="108">
        <f t="shared" si="1389"/>
        <v>-2068</v>
      </c>
      <c r="AF983" s="203">
        <f t="shared" si="1389"/>
        <v>-937</v>
      </c>
      <c r="AG983" s="203">
        <f t="shared" si="1390"/>
        <v>-1600</v>
      </c>
      <c r="AH983" s="203">
        <f t="shared" si="1390"/>
        <v>-1064</v>
      </c>
      <c r="AI983" s="203">
        <f t="shared" si="1390"/>
        <v>-1269</v>
      </c>
      <c r="AJ983" s="108">
        <f t="shared" si="1391"/>
        <v>-4870</v>
      </c>
      <c r="AK983" s="203">
        <f t="shared" si="1391"/>
        <v>-701</v>
      </c>
      <c r="AL983" s="203">
        <f t="shared" si="1392"/>
        <v>-400</v>
      </c>
      <c r="AM983" s="203">
        <f t="shared" si="1392"/>
        <v>-142</v>
      </c>
      <c r="AN983" s="203">
        <f t="shared" si="1392"/>
        <v>-164</v>
      </c>
      <c r="AO983" s="108">
        <f t="shared" si="1393"/>
        <v>-1407</v>
      </c>
      <c r="AP983" s="203">
        <f t="shared" si="1393"/>
        <v>-365</v>
      </c>
      <c r="AQ983" s="203">
        <f t="shared" si="1394"/>
        <v>-1</v>
      </c>
      <c r="AR983" s="203">
        <f t="shared" si="1395"/>
        <v>0</v>
      </c>
      <c r="AS983" s="203">
        <f t="shared" si="1396"/>
        <v>-2</v>
      </c>
      <c r="AT983" s="108">
        <f t="shared" ref="AT983:AU983" si="1402">AT934</f>
        <v>-368</v>
      </c>
      <c r="AU983" s="790">
        <f t="shared" si="1402"/>
        <v>-231</v>
      </c>
      <c r="AV983" s="203">
        <f>AV850</f>
        <v>-500</v>
      </c>
      <c r="AW983" s="203">
        <f>AW850</f>
        <v>-500</v>
      </c>
      <c r="AX983" s="203">
        <f>AX850</f>
        <v>-500</v>
      </c>
      <c r="AY983" s="108">
        <f t="shared" si="1398"/>
        <v>-1731</v>
      </c>
      <c r="AZ983" s="203">
        <f>AZ850</f>
        <v>-500</v>
      </c>
      <c r="BA983" s="203">
        <f>BA850</f>
        <v>-500</v>
      </c>
      <c r="BB983" s="203">
        <f>BB850</f>
        <v>-500</v>
      </c>
      <c r="BC983" s="203">
        <f>BC850</f>
        <v>-500</v>
      </c>
      <c r="BD983" s="108">
        <f t="shared" si="1399"/>
        <v>-2000</v>
      </c>
      <c r="BE983" s="108">
        <f>BE850</f>
        <v>-2000</v>
      </c>
      <c r="BF983" s="108">
        <f>BF850</f>
        <v>-2000</v>
      </c>
      <c r="BG983" s="108">
        <f>BG850</f>
        <v>-2000</v>
      </c>
      <c r="BH983" s="351"/>
    </row>
    <row r="984" spans="1:60" s="60" customFormat="1" x14ac:dyDescent="0.35">
      <c r="A984" s="316" t="str">
        <f t="shared" si="1378"/>
        <v>Proceeds from issuance of treasury stock pursuant to stock option and benefit plans</v>
      </c>
      <c r="B984" s="203"/>
      <c r="C984" s="108">
        <f t="shared" si="1379"/>
        <v>431</v>
      </c>
      <c r="D984" s="108">
        <f t="shared" si="1379"/>
        <v>666</v>
      </c>
      <c r="E984" s="108">
        <f t="shared" si="1379"/>
        <v>902</v>
      </c>
      <c r="F984" s="108">
        <f t="shared" si="1379"/>
        <v>1012</v>
      </c>
      <c r="G984" s="203">
        <f t="shared" si="1379"/>
        <v>738</v>
      </c>
      <c r="H984" s="203">
        <f t="shared" si="1380"/>
        <v>365</v>
      </c>
      <c r="I984" s="203">
        <f t="shared" si="1380"/>
        <v>269</v>
      </c>
      <c r="J984" s="203">
        <f t="shared" si="1380"/>
        <v>237</v>
      </c>
      <c r="K984" s="108">
        <f t="shared" si="1381"/>
        <v>1609</v>
      </c>
      <c r="L984" s="203">
        <f t="shared" si="1381"/>
        <v>267</v>
      </c>
      <c r="M984" s="203">
        <f t="shared" si="1382"/>
        <v>318</v>
      </c>
      <c r="N984" s="203">
        <f t="shared" si="1382"/>
        <v>154</v>
      </c>
      <c r="O984" s="203">
        <f t="shared" si="1382"/>
        <v>229</v>
      </c>
      <c r="P984" s="108">
        <f t="shared" si="1383"/>
        <v>968</v>
      </c>
      <c r="Q984" s="203">
        <f t="shared" si="1383"/>
        <v>309</v>
      </c>
      <c r="R984" s="203">
        <f t="shared" si="1384"/>
        <v>141</v>
      </c>
      <c r="S984" s="203">
        <f t="shared" si="1384"/>
        <v>68</v>
      </c>
      <c r="T984" s="203">
        <f t="shared" si="1384"/>
        <v>117</v>
      </c>
      <c r="U984" s="108">
        <f t="shared" si="1385"/>
        <v>635</v>
      </c>
      <c r="V984" s="203">
        <f t="shared" si="1385"/>
        <v>357</v>
      </c>
      <c r="W984" s="203">
        <f t="shared" si="1386"/>
        <v>255</v>
      </c>
      <c r="X984" s="203">
        <f t="shared" si="1386"/>
        <v>129</v>
      </c>
      <c r="Y984" s="203">
        <f t="shared" si="1386"/>
        <v>63</v>
      </c>
      <c r="Z984" s="108">
        <f t="shared" si="1387"/>
        <v>804</v>
      </c>
      <c r="AA984" s="203">
        <f t="shared" si="1387"/>
        <v>315</v>
      </c>
      <c r="AB984" s="203">
        <f t="shared" si="1388"/>
        <v>181</v>
      </c>
      <c r="AC984" s="203">
        <f t="shared" si="1388"/>
        <v>86</v>
      </c>
      <c r="AD984" s="203">
        <f t="shared" si="1388"/>
        <v>152</v>
      </c>
      <c r="AE984" s="108">
        <f t="shared" si="1389"/>
        <v>734</v>
      </c>
      <c r="AF984" s="203">
        <f t="shared" si="1389"/>
        <v>219</v>
      </c>
      <c r="AG984" s="203">
        <f t="shared" si="1390"/>
        <v>86</v>
      </c>
      <c r="AH984" s="203">
        <f t="shared" si="1390"/>
        <v>96</v>
      </c>
      <c r="AI984" s="203">
        <f t="shared" si="1390"/>
        <v>84</v>
      </c>
      <c r="AJ984" s="108">
        <f t="shared" si="1391"/>
        <v>485</v>
      </c>
      <c r="AK984" s="203">
        <f t="shared" si="1391"/>
        <v>215</v>
      </c>
      <c r="AL984" s="203">
        <f t="shared" si="1392"/>
        <v>150</v>
      </c>
      <c r="AM984" s="203">
        <f t="shared" si="1392"/>
        <v>72</v>
      </c>
      <c r="AN984" s="203">
        <f t="shared" si="1392"/>
        <v>110</v>
      </c>
      <c r="AO984" s="108">
        <f t="shared" si="1393"/>
        <v>547</v>
      </c>
      <c r="AP984" s="203">
        <f t="shared" si="1393"/>
        <v>149</v>
      </c>
      <c r="AQ984" s="203">
        <f t="shared" si="1394"/>
        <v>87</v>
      </c>
      <c r="AR984" s="203">
        <f t="shared" si="1395"/>
        <v>89</v>
      </c>
      <c r="AS984" s="203">
        <f t="shared" si="1396"/>
        <v>104</v>
      </c>
      <c r="AT984" s="108">
        <f t="shared" ref="AT984:AU984" si="1403">AT935</f>
        <v>429</v>
      </c>
      <c r="AU984" s="790">
        <f t="shared" si="1403"/>
        <v>293</v>
      </c>
      <c r="AV984" s="203"/>
      <c r="AW984" s="203"/>
      <c r="AX984" s="203"/>
      <c r="AY984" s="108">
        <f t="shared" si="1398"/>
        <v>293</v>
      </c>
      <c r="AZ984" s="203"/>
      <c r="BA984" s="203"/>
      <c r="BB984" s="203"/>
      <c r="BC984" s="203"/>
      <c r="BD984" s="108">
        <f t="shared" si="1399"/>
        <v>0</v>
      </c>
      <c r="BE984" s="108"/>
      <c r="BF984" s="108"/>
      <c r="BG984" s="108"/>
      <c r="BH984" s="351"/>
    </row>
    <row r="985" spans="1:60" s="60" customFormat="1" x14ac:dyDescent="0.35">
      <c r="A985" s="316" t="str">
        <f t="shared" si="1378"/>
        <v>Dividends paid to shareholders</v>
      </c>
      <c r="B985" s="203"/>
      <c r="C985" s="108">
        <f t="shared" si="1379"/>
        <v>-1431</v>
      </c>
      <c r="D985" s="108">
        <f t="shared" si="1379"/>
        <v>-1500</v>
      </c>
      <c r="E985" s="108">
        <f t="shared" si="1379"/>
        <v>-1555</v>
      </c>
      <c r="F985" s="108">
        <f t="shared" si="1379"/>
        <v>-1635</v>
      </c>
      <c r="G985" s="203">
        <f t="shared" si="1379"/>
        <v>-440</v>
      </c>
      <c r="H985" s="203">
        <f t="shared" si="1380"/>
        <v>-436</v>
      </c>
      <c r="I985" s="203">
        <f t="shared" si="1380"/>
        <v>-431</v>
      </c>
      <c r="J985" s="203">
        <f t="shared" si="1380"/>
        <v>-423</v>
      </c>
      <c r="K985" s="108">
        <f t="shared" si="1381"/>
        <v>-1730</v>
      </c>
      <c r="L985" s="203">
        <f t="shared" si="1381"/>
        <v>-566</v>
      </c>
      <c r="M985" s="203">
        <f t="shared" si="1382"/>
        <v>-556</v>
      </c>
      <c r="N985" s="203">
        <f t="shared" si="1382"/>
        <v>-550</v>
      </c>
      <c r="O985" s="203">
        <f t="shared" si="1382"/>
        <v>-544</v>
      </c>
      <c r="P985" s="108">
        <f t="shared" si="1383"/>
        <v>-2216</v>
      </c>
      <c r="Q985" s="203">
        <f t="shared" si="1383"/>
        <v>-652</v>
      </c>
      <c r="R985" s="203">
        <f t="shared" si="1384"/>
        <v>-646</v>
      </c>
      <c r="S985" s="203">
        <f t="shared" si="1384"/>
        <v>-635</v>
      </c>
      <c r="T985" s="203">
        <f t="shared" si="1384"/>
        <v>-628</v>
      </c>
      <c r="U985" s="108">
        <f t="shared" si="1385"/>
        <v>-2561</v>
      </c>
      <c r="V985" s="203">
        <f t="shared" si="1385"/>
        <v>-672</v>
      </c>
      <c r="W985" s="203">
        <f t="shared" si="1386"/>
        <v>-672</v>
      </c>
      <c r="X985" s="203">
        <f t="shared" si="1386"/>
        <v>-670</v>
      </c>
      <c r="Y985" s="203">
        <f t="shared" si="1386"/>
        <v>-664</v>
      </c>
      <c r="Z985" s="108">
        <f t="shared" si="1387"/>
        <v>-2678</v>
      </c>
      <c r="AA985" s="203">
        <f t="shared" si="1387"/>
        <v>-702</v>
      </c>
      <c r="AB985" s="203">
        <f t="shared" si="1388"/>
        <v>-701</v>
      </c>
      <c r="AC985" s="203">
        <f t="shared" si="1388"/>
        <v>-701</v>
      </c>
      <c r="AD985" s="203">
        <f t="shared" si="1388"/>
        <v>-699</v>
      </c>
      <c r="AE985" s="108">
        <f t="shared" si="1389"/>
        <v>-2803</v>
      </c>
      <c r="AF985" s="203">
        <f t="shared" si="1389"/>
        <v>-810</v>
      </c>
      <c r="AG985" s="203">
        <f t="shared" si="1390"/>
        <v>-802</v>
      </c>
      <c r="AH985" s="203">
        <f t="shared" si="1390"/>
        <v>-794</v>
      </c>
      <c r="AI985" s="203">
        <f t="shared" si="1390"/>
        <v>-787</v>
      </c>
      <c r="AJ985" s="108">
        <f t="shared" si="1391"/>
        <v>-3193</v>
      </c>
      <c r="AK985" s="203">
        <f t="shared" si="1391"/>
        <v>-830</v>
      </c>
      <c r="AL985" s="203">
        <f t="shared" si="1392"/>
        <v>-830</v>
      </c>
      <c r="AM985" s="203">
        <f t="shared" si="1392"/>
        <v>-828</v>
      </c>
      <c r="AN985" s="203">
        <f t="shared" si="1392"/>
        <v>-828</v>
      </c>
      <c r="AO985" s="108">
        <f t="shared" si="1393"/>
        <v>-3316</v>
      </c>
      <c r="AP985" s="203">
        <f t="shared" si="1393"/>
        <v>-847</v>
      </c>
      <c r="AQ985" s="203">
        <f t="shared" si="1394"/>
        <v>-846</v>
      </c>
      <c r="AR985" s="203">
        <f t="shared" si="1395"/>
        <v>-847</v>
      </c>
      <c r="AS985" s="203">
        <f t="shared" si="1396"/>
        <v>-848</v>
      </c>
      <c r="AT985" s="108">
        <f t="shared" ref="AT985:AU985" si="1404">AT936</f>
        <v>-3388</v>
      </c>
      <c r="AU985" s="790">
        <f t="shared" si="1404"/>
        <v>-858</v>
      </c>
      <c r="AV985" s="203">
        <f ca="1">+AV846</f>
        <v>-855.32556701030933</v>
      </c>
      <c r="AW985" s="203">
        <f ca="1">+AW846</f>
        <v>-851.51113402061867</v>
      </c>
      <c r="AX985" s="203">
        <f ca="1">+AX846</f>
        <v>-847.69670103092801</v>
      </c>
      <c r="AY985" s="108">
        <f t="shared" si="1398"/>
        <v>-3412.5334020618561</v>
      </c>
      <c r="AZ985" s="203">
        <f ca="1">+AZ846</f>
        <v>-844.22252262717211</v>
      </c>
      <c r="BA985" s="203">
        <f ca="1">+BA846</f>
        <v>-840.74834422341632</v>
      </c>
      <c r="BB985" s="203">
        <f ca="1">+BB846</f>
        <v>-837.27416581966054</v>
      </c>
      <c r="BC985" s="203">
        <f ca="1">+BC846</f>
        <v>-833.79998741590464</v>
      </c>
      <c r="BD985" s="108">
        <f t="shared" si="1399"/>
        <v>-3356.0450200861537</v>
      </c>
      <c r="BE985" s="108">
        <f ca="1">+BE846</f>
        <v>-3284.601659065328</v>
      </c>
      <c r="BF985" s="108">
        <f ca="1">+BF846</f>
        <v>-3238.5316201548221</v>
      </c>
      <c r="BG985" s="108">
        <f ca="1">+BG846</f>
        <v>-3196.6941643244331</v>
      </c>
      <c r="BH985" s="351"/>
    </row>
    <row r="986" spans="1:60" s="60" customFormat="1" x14ac:dyDescent="0.35">
      <c r="A986" s="316" t="str">
        <f t="shared" si="1378"/>
        <v>Excess tax benefits from stock-based compensation</v>
      </c>
      <c r="B986" s="203"/>
      <c r="C986" s="108">
        <f t="shared" si="1379"/>
        <v>14</v>
      </c>
      <c r="D986" s="108">
        <f t="shared" si="1379"/>
        <v>53</v>
      </c>
      <c r="E986" s="108">
        <f t="shared" si="1379"/>
        <v>53</v>
      </c>
      <c r="F986" s="108">
        <f t="shared" si="1379"/>
        <v>62</v>
      </c>
      <c r="G986" s="203">
        <f t="shared" si="1379"/>
        <v>34</v>
      </c>
      <c r="H986" s="203">
        <f t="shared" si="1380"/>
        <v>17</v>
      </c>
      <c r="I986" s="203">
        <f t="shared" si="1380"/>
        <v>17</v>
      </c>
      <c r="J986" s="203">
        <f t="shared" si="1380"/>
        <v>24</v>
      </c>
      <c r="K986" s="108">
        <f t="shared" si="1381"/>
        <v>92</v>
      </c>
      <c r="L986" s="203">
        <f t="shared" si="1381"/>
        <v>51</v>
      </c>
      <c r="M986" s="203">
        <f t="shared" si="1382"/>
        <v>46</v>
      </c>
      <c r="N986" s="203">
        <f t="shared" si="1382"/>
        <v>24</v>
      </c>
      <c r="O986" s="203">
        <f t="shared" si="1382"/>
        <v>46</v>
      </c>
      <c r="P986" s="108">
        <f t="shared" si="1383"/>
        <v>167</v>
      </c>
      <c r="Q986" s="203">
        <f t="shared" si="1383"/>
        <v>101</v>
      </c>
      <c r="R986" s="203">
        <f t="shared" si="1384"/>
        <v>28</v>
      </c>
      <c r="S986" s="203">
        <f t="shared" si="1384"/>
        <v>8</v>
      </c>
      <c r="T986" s="203">
        <f t="shared" si="1384"/>
        <v>17</v>
      </c>
      <c r="U986" s="108">
        <f t="shared" si="1385"/>
        <v>154</v>
      </c>
      <c r="V986" s="203">
        <f t="shared" si="1385"/>
        <v>0</v>
      </c>
      <c r="W986" s="203">
        <f t="shared" si="1386"/>
        <v>0</v>
      </c>
      <c r="X986" s="203">
        <f t="shared" si="1386"/>
        <v>0</v>
      </c>
      <c r="Y986" s="203">
        <f t="shared" si="1386"/>
        <v>0</v>
      </c>
      <c r="Z986" s="108">
        <f t="shared" si="1387"/>
        <v>0</v>
      </c>
      <c r="AA986" s="203">
        <f t="shared" si="1387"/>
        <v>0</v>
      </c>
      <c r="AB986" s="203">
        <f t="shared" si="1388"/>
        <v>0</v>
      </c>
      <c r="AC986" s="203">
        <f t="shared" si="1388"/>
        <v>0</v>
      </c>
      <c r="AD986" s="203">
        <f t="shared" si="1388"/>
        <v>0</v>
      </c>
      <c r="AE986" s="108">
        <f t="shared" si="1389"/>
        <v>0</v>
      </c>
      <c r="AF986" s="203">
        <f t="shared" si="1389"/>
        <v>0</v>
      </c>
      <c r="AG986" s="203">
        <f t="shared" si="1390"/>
        <v>0</v>
      </c>
      <c r="AH986" s="203">
        <f t="shared" si="1390"/>
        <v>0</v>
      </c>
      <c r="AI986" s="203">
        <f t="shared" si="1390"/>
        <v>0</v>
      </c>
      <c r="AJ986" s="108">
        <f t="shared" si="1391"/>
        <v>0</v>
      </c>
      <c r="AK986" s="203">
        <f t="shared" si="1391"/>
        <v>0</v>
      </c>
      <c r="AL986" s="203">
        <f t="shared" si="1392"/>
        <v>0</v>
      </c>
      <c r="AM986" s="203">
        <f t="shared" si="1392"/>
        <v>0</v>
      </c>
      <c r="AN986" s="203">
        <f t="shared" si="1392"/>
        <v>0</v>
      </c>
      <c r="AO986" s="108">
        <f t="shared" si="1393"/>
        <v>0</v>
      </c>
      <c r="AP986" s="203">
        <f t="shared" si="1393"/>
        <v>0</v>
      </c>
      <c r="AQ986" s="203">
        <f t="shared" si="1394"/>
        <v>0</v>
      </c>
      <c r="AR986" s="203">
        <f t="shared" si="1395"/>
        <v>0</v>
      </c>
      <c r="AS986" s="203">
        <f t="shared" si="1396"/>
        <v>0</v>
      </c>
      <c r="AT986" s="108">
        <f t="shared" ref="AT986:AU986" si="1405">AT937</f>
        <v>0</v>
      </c>
      <c r="AU986" s="790">
        <f t="shared" si="1405"/>
        <v>0</v>
      </c>
      <c r="AV986" s="203"/>
      <c r="AW986" s="203"/>
      <c r="AX986" s="203"/>
      <c r="AY986" s="108">
        <f t="shared" si="1398"/>
        <v>0</v>
      </c>
      <c r="AZ986" s="203"/>
      <c r="BA986" s="203"/>
      <c r="BB986" s="203"/>
      <c r="BC986" s="203"/>
      <c r="BD986" s="108">
        <f t="shared" si="1399"/>
        <v>0</v>
      </c>
      <c r="BE986" s="108"/>
      <c r="BF986" s="108"/>
      <c r="BG986" s="108"/>
      <c r="BH986" s="351"/>
    </row>
    <row r="987" spans="1:60" s="60" customFormat="1" x14ac:dyDescent="0.35">
      <c r="A987" s="316" t="str">
        <f t="shared" si="1378"/>
        <v>Purchase of noncontrolling interest</v>
      </c>
      <c r="B987" s="203"/>
      <c r="C987" s="108">
        <f t="shared" si="1379"/>
        <v>0</v>
      </c>
      <c r="D987" s="108">
        <f t="shared" si="1379"/>
        <v>0</v>
      </c>
      <c r="E987" s="108">
        <f t="shared" si="1379"/>
        <v>0</v>
      </c>
      <c r="F987" s="108">
        <f t="shared" si="1379"/>
        <v>0</v>
      </c>
      <c r="G987" s="203">
        <f t="shared" si="1379"/>
        <v>0</v>
      </c>
      <c r="H987" s="203">
        <f t="shared" si="1380"/>
        <v>0</v>
      </c>
      <c r="I987" s="203">
        <f t="shared" si="1380"/>
        <v>0</v>
      </c>
      <c r="J987" s="203">
        <f t="shared" si="1380"/>
        <v>0</v>
      </c>
      <c r="K987" s="108">
        <f t="shared" si="1381"/>
        <v>0</v>
      </c>
      <c r="L987" s="203">
        <f t="shared" si="1381"/>
        <v>0</v>
      </c>
      <c r="M987" s="203">
        <f t="shared" si="1382"/>
        <v>0</v>
      </c>
      <c r="N987" s="203">
        <f t="shared" si="1382"/>
        <v>-699</v>
      </c>
      <c r="O987" s="203">
        <f t="shared" si="1382"/>
        <v>-162</v>
      </c>
      <c r="P987" s="108">
        <f t="shared" si="1383"/>
        <v>-861</v>
      </c>
      <c r="Q987" s="203">
        <f t="shared" si="1383"/>
        <v>0</v>
      </c>
      <c r="R987" s="203">
        <f t="shared" si="1384"/>
        <v>0</v>
      </c>
      <c r="S987" s="203">
        <f t="shared" si="1384"/>
        <v>0</v>
      </c>
      <c r="T987" s="203">
        <f t="shared" si="1384"/>
        <v>0</v>
      </c>
      <c r="U987" s="108">
        <f t="shared" si="1385"/>
        <v>0</v>
      </c>
      <c r="V987" s="203">
        <f t="shared" si="1385"/>
        <v>0</v>
      </c>
      <c r="W987" s="203">
        <f t="shared" si="1386"/>
        <v>0</v>
      </c>
      <c r="X987" s="203">
        <f t="shared" si="1386"/>
        <v>0</v>
      </c>
      <c r="Y987" s="203">
        <f t="shared" si="1386"/>
        <v>0</v>
      </c>
      <c r="Z987" s="108">
        <f t="shared" si="1387"/>
        <v>0</v>
      </c>
      <c r="AA987" s="203">
        <f t="shared" si="1387"/>
        <v>0</v>
      </c>
      <c r="AB987" s="203">
        <f t="shared" si="1388"/>
        <v>0</v>
      </c>
      <c r="AC987" s="203">
        <f t="shared" si="1388"/>
        <v>0</v>
      </c>
      <c r="AD987" s="203">
        <f t="shared" si="1388"/>
        <v>0</v>
      </c>
      <c r="AE987" s="108">
        <f t="shared" si="1389"/>
        <v>0</v>
      </c>
      <c r="AF987" s="203">
        <f t="shared" si="1389"/>
        <v>0</v>
      </c>
      <c r="AG987" s="203">
        <f t="shared" si="1390"/>
        <v>0</v>
      </c>
      <c r="AH987" s="203">
        <f t="shared" si="1390"/>
        <v>0</v>
      </c>
      <c r="AI987" s="203">
        <f t="shared" si="1390"/>
        <v>0</v>
      </c>
      <c r="AJ987" s="108">
        <f t="shared" si="1391"/>
        <v>0</v>
      </c>
      <c r="AK987" s="203">
        <f t="shared" si="1391"/>
        <v>0</v>
      </c>
      <c r="AL987" s="203">
        <f t="shared" si="1392"/>
        <v>0</v>
      </c>
      <c r="AM987" s="203">
        <f t="shared" si="1392"/>
        <v>0</v>
      </c>
      <c r="AN987" s="203">
        <f t="shared" si="1392"/>
        <v>0</v>
      </c>
      <c r="AO987" s="108">
        <f t="shared" si="1393"/>
        <v>0</v>
      </c>
      <c r="AP987" s="203">
        <f t="shared" si="1393"/>
        <v>0</v>
      </c>
      <c r="AQ987" s="203">
        <f t="shared" si="1394"/>
        <v>0</v>
      </c>
      <c r="AR987" s="203">
        <f t="shared" si="1395"/>
        <v>0</v>
      </c>
      <c r="AS987" s="203">
        <f t="shared" si="1396"/>
        <v>0</v>
      </c>
      <c r="AT987" s="108">
        <f t="shared" ref="AT987:AU987" si="1406">AT938</f>
        <v>0</v>
      </c>
      <c r="AU987" s="790">
        <f t="shared" si="1406"/>
        <v>0</v>
      </c>
      <c r="AV987" s="203"/>
      <c r="AW987" s="203"/>
      <c r="AX987" s="203"/>
      <c r="AY987" s="108">
        <f t="shared" si="1398"/>
        <v>0</v>
      </c>
      <c r="AZ987" s="203"/>
      <c r="BA987" s="203"/>
      <c r="BB987" s="203"/>
      <c r="BC987" s="203"/>
      <c r="BD987" s="108">
        <f t="shared" si="1399"/>
        <v>0</v>
      </c>
      <c r="BE987" s="108"/>
      <c r="BF987" s="108"/>
      <c r="BG987" s="108"/>
      <c r="BH987" s="351"/>
    </row>
    <row r="988" spans="1:60" s="60" customFormat="1" x14ac:dyDescent="0.35">
      <c r="A988" s="466" t="str">
        <f t="shared" si="1378"/>
        <v>Other - net</v>
      </c>
      <c r="B988" s="123"/>
      <c r="C988" s="124">
        <f t="shared" si="1379"/>
        <v>3</v>
      </c>
      <c r="D988" s="124">
        <f t="shared" si="1379"/>
        <v>-77</v>
      </c>
      <c r="E988" s="124">
        <f t="shared" si="1379"/>
        <v>-67</v>
      </c>
      <c r="F988" s="124">
        <f t="shared" si="1379"/>
        <v>-15</v>
      </c>
      <c r="G988" s="123">
        <f t="shared" si="1379"/>
        <v>-4</v>
      </c>
      <c r="H988" s="123">
        <f t="shared" si="1380"/>
        <v>7</v>
      </c>
      <c r="I988" s="123">
        <f t="shared" si="1380"/>
        <v>-7</v>
      </c>
      <c r="J988" s="123">
        <f t="shared" si="1380"/>
        <v>36</v>
      </c>
      <c r="K988" s="124">
        <f t="shared" si="1381"/>
        <v>32</v>
      </c>
      <c r="L988" s="123">
        <f t="shared" si="1381"/>
        <v>-17</v>
      </c>
      <c r="M988" s="123">
        <f t="shared" si="1382"/>
        <v>-14</v>
      </c>
      <c r="N988" s="123">
        <f t="shared" si="1382"/>
        <v>-6</v>
      </c>
      <c r="O988" s="123">
        <f t="shared" si="1382"/>
        <v>18</v>
      </c>
      <c r="P988" s="124">
        <f t="shared" si="1383"/>
        <v>-19</v>
      </c>
      <c r="Q988" s="123">
        <f t="shared" si="1383"/>
        <v>-22</v>
      </c>
      <c r="R988" s="123">
        <f t="shared" si="1384"/>
        <v>-28</v>
      </c>
      <c r="S988" s="123">
        <f t="shared" si="1384"/>
        <v>-49</v>
      </c>
      <c r="T988" s="123">
        <f t="shared" si="1384"/>
        <v>-21</v>
      </c>
      <c r="U988" s="124">
        <f t="shared" si="1385"/>
        <v>-120</v>
      </c>
      <c r="V988" s="123">
        <f t="shared" si="1385"/>
        <v>-22</v>
      </c>
      <c r="W988" s="123">
        <f t="shared" si="1386"/>
        <v>6</v>
      </c>
      <c r="X988" s="123">
        <f t="shared" si="1386"/>
        <v>-4</v>
      </c>
      <c r="Y988" s="123">
        <f t="shared" si="1386"/>
        <v>-22</v>
      </c>
      <c r="Z988" s="124">
        <f t="shared" si="1387"/>
        <v>-42</v>
      </c>
      <c r="AA988" s="123">
        <f t="shared" si="1387"/>
        <v>-6</v>
      </c>
      <c r="AB988" s="123">
        <f t="shared" si="1388"/>
        <v>4</v>
      </c>
      <c r="AC988" s="123">
        <f t="shared" si="1388"/>
        <v>-21</v>
      </c>
      <c r="AD988" s="123">
        <f t="shared" si="1388"/>
        <v>-98</v>
      </c>
      <c r="AE988" s="124">
        <f t="shared" si="1389"/>
        <v>-121</v>
      </c>
      <c r="AF988" s="123">
        <f t="shared" si="1389"/>
        <v>-7</v>
      </c>
      <c r="AG988" s="123">
        <f t="shared" si="1390"/>
        <v>-19</v>
      </c>
      <c r="AH988" s="123">
        <f t="shared" si="1390"/>
        <v>-10</v>
      </c>
      <c r="AI988" s="123">
        <f t="shared" si="1390"/>
        <v>-20</v>
      </c>
      <c r="AJ988" s="124">
        <f t="shared" si="1391"/>
        <v>-56</v>
      </c>
      <c r="AK988" s="123">
        <f t="shared" si="1391"/>
        <v>-17</v>
      </c>
      <c r="AL988" s="123">
        <f t="shared" si="1392"/>
        <v>-17</v>
      </c>
      <c r="AM988" s="123">
        <f t="shared" si="1392"/>
        <v>-124</v>
      </c>
      <c r="AN988" s="123">
        <f t="shared" si="1392"/>
        <v>-39</v>
      </c>
      <c r="AO988" s="124">
        <f t="shared" si="1393"/>
        <v>-197</v>
      </c>
      <c r="AP988" s="123">
        <f t="shared" si="1393"/>
        <v>-36</v>
      </c>
      <c r="AQ988" s="123">
        <f t="shared" si="1394"/>
        <v>-9</v>
      </c>
      <c r="AR988" s="123">
        <f t="shared" si="1395"/>
        <v>-2</v>
      </c>
      <c r="AS988" s="123">
        <f t="shared" si="1396"/>
        <v>-51</v>
      </c>
      <c r="AT988" s="124">
        <f t="shared" ref="AT988:AU988" si="1407">AT939</f>
        <v>-98</v>
      </c>
      <c r="AU988" s="791">
        <f t="shared" si="1407"/>
        <v>-11</v>
      </c>
      <c r="AV988" s="123"/>
      <c r="AW988" s="123"/>
      <c r="AX988" s="123"/>
      <c r="AY988" s="124">
        <f t="shared" si="1398"/>
        <v>-11</v>
      </c>
      <c r="AZ988" s="123"/>
      <c r="BA988" s="123"/>
      <c r="BB988" s="123"/>
      <c r="BC988" s="123"/>
      <c r="BD988" s="124">
        <f t="shared" si="1399"/>
        <v>0</v>
      </c>
      <c r="BE988" s="124"/>
      <c r="BF988" s="124"/>
      <c r="BG988" s="124"/>
      <c r="BH988" s="351"/>
    </row>
    <row r="989" spans="1:60" s="69" customFormat="1" x14ac:dyDescent="0.35">
      <c r="A989" s="318" t="str">
        <f t="shared" si="1378"/>
        <v>Net CFF</v>
      </c>
      <c r="B989" s="319"/>
      <c r="C989" s="110">
        <f t="shared" ref="C989:AH989" si="1408">SUM(C980:C988)</f>
        <v>-2014</v>
      </c>
      <c r="D989" s="110">
        <f t="shared" si="1408"/>
        <v>-2184</v>
      </c>
      <c r="E989" s="110">
        <f t="shared" si="1408"/>
        <v>-3675</v>
      </c>
      <c r="F989" s="110">
        <f t="shared" si="1408"/>
        <v>-2058</v>
      </c>
      <c r="G989" s="109">
        <f t="shared" si="1408"/>
        <v>-486</v>
      </c>
      <c r="H989" s="109">
        <f t="shared" si="1408"/>
        <v>-1241</v>
      </c>
      <c r="I989" s="109">
        <f t="shared" si="1408"/>
        <v>-1916</v>
      </c>
      <c r="J989" s="109">
        <f t="shared" si="1408"/>
        <v>-1603</v>
      </c>
      <c r="K989" s="110">
        <f t="shared" si="1408"/>
        <v>-5246</v>
      </c>
      <c r="L989" s="109">
        <f t="shared" si="1408"/>
        <v>-1399</v>
      </c>
      <c r="M989" s="109">
        <f t="shared" si="1408"/>
        <v>-1185</v>
      </c>
      <c r="N989" s="109">
        <f t="shared" si="1408"/>
        <v>-1889</v>
      </c>
      <c r="O989" s="109">
        <f t="shared" si="1408"/>
        <v>-2130</v>
      </c>
      <c r="P989" s="110">
        <f t="shared" si="1408"/>
        <v>-6603</v>
      </c>
      <c r="Q989" s="109">
        <f t="shared" si="1408"/>
        <v>-1154</v>
      </c>
      <c r="R989" s="109">
        <f t="shared" si="1408"/>
        <v>-320</v>
      </c>
      <c r="S989" s="109">
        <f t="shared" si="1408"/>
        <v>-220</v>
      </c>
      <c r="T989" s="109">
        <f t="shared" si="1408"/>
        <v>-1954</v>
      </c>
      <c r="U989" s="110">
        <f t="shared" si="1408"/>
        <v>-3648</v>
      </c>
      <c r="V989" s="109">
        <f t="shared" si="1408"/>
        <v>-1426</v>
      </c>
      <c r="W989" s="109">
        <f t="shared" si="1408"/>
        <v>-602</v>
      </c>
      <c r="X989" s="109">
        <f t="shared" si="1408"/>
        <v>-752</v>
      </c>
      <c r="Y989" s="109">
        <f t="shared" si="1408"/>
        <v>-1846</v>
      </c>
      <c r="Z989" s="110">
        <f t="shared" si="1408"/>
        <v>-4626</v>
      </c>
      <c r="AA989" s="109">
        <f t="shared" si="1408"/>
        <v>-1151</v>
      </c>
      <c r="AB989" s="109">
        <f t="shared" si="1408"/>
        <v>-1705</v>
      </c>
      <c r="AC989" s="109">
        <f t="shared" si="1408"/>
        <v>-843</v>
      </c>
      <c r="AD989" s="109">
        <f t="shared" si="1408"/>
        <v>1044</v>
      </c>
      <c r="AE989" s="110">
        <f t="shared" si="1408"/>
        <v>-2655</v>
      </c>
      <c r="AF989" s="109">
        <f t="shared" si="1408"/>
        <v>46</v>
      </c>
      <c r="AG989" s="109">
        <f t="shared" si="1408"/>
        <v>-3142</v>
      </c>
      <c r="AH989" s="109">
        <f t="shared" si="1408"/>
        <v>-1453</v>
      </c>
      <c r="AI989" s="109">
        <f t="shared" ref="AI989:AQ989" si="1409">SUM(AI980:AI988)</f>
        <v>-2152</v>
      </c>
      <c r="AJ989" s="110">
        <f t="shared" si="1409"/>
        <v>-6701</v>
      </c>
      <c r="AK989" s="109">
        <f t="shared" si="1409"/>
        <v>258</v>
      </c>
      <c r="AL989" s="109">
        <f t="shared" si="1409"/>
        <v>-1735</v>
      </c>
      <c r="AM989" s="109">
        <f t="shared" si="1409"/>
        <v>2804</v>
      </c>
      <c r="AN989" s="109">
        <f t="shared" si="1409"/>
        <v>-2451</v>
      </c>
      <c r="AO989" s="110">
        <f t="shared" si="1409"/>
        <v>-1124</v>
      </c>
      <c r="AP989" s="109">
        <f t="shared" si="1409"/>
        <v>1108</v>
      </c>
      <c r="AQ989" s="109">
        <f t="shared" si="1409"/>
        <v>-2509</v>
      </c>
      <c r="AR989" s="109">
        <f>SUM(AR980:AR988)</f>
        <v>-2097</v>
      </c>
      <c r="AS989" s="109">
        <f t="shared" ref="AS989:AY989" si="1410">SUM(AS980:AS988)</f>
        <v>-1802</v>
      </c>
      <c r="AT989" s="110">
        <f t="shared" si="1410"/>
        <v>-5300</v>
      </c>
      <c r="AU989" s="796">
        <f t="shared" si="1410"/>
        <v>-1251</v>
      </c>
      <c r="AV989" s="109">
        <f t="shared" si="1410"/>
        <v>-1355.3255670103094</v>
      </c>
      <c r="AW989" s="109">
        <f t="shared" si="1410"/>
        <v>-1351.5111340206186</v>
      </c>
      <c r="AX989" s="109">
        <f t="shared" si="1410"/>
        <v>-1347.6967010309281</v>
      </c>
      <c r="AY989" s="110">
        <f t="shared" si="1410"/>
        <v>-5305.5334020618557</v>
      </c>
      <c r="AZ989" s="109">
        <f t="shared" ref="AZ989:BG989" ca="1" si="1411">SUM(AZ980:AZ988)</f>
        <v>-1344.2225226271721</v>
      </c>
      <c r="BA989" s="109">
        <f t="shared" ca="1" si="1411"/>
        <v>-1340.7483442234163</v>
      </c>
      <c r="BB989" s="109">
        <f t="shared" ca="1" si="1411"/>
        <v>-1337.2741658196605</v>
      </c>
      <c r="BC989" s="109">
        <f t="shared" ca="1" si="1411"/>
        <v>-1333.7999874159045</v>
      </c>
      <c r="BD989" s="110">
        <f t="shared" si="1411"/>
        <v>-5356.0450200861542</v>
      </c>
      <c r="BE989" s="110">
        <f t="shared" ca="1" si="1411"/>
        <v>-5284.601659065328</v>
      </c>
      <c r="BF989" s="110">
        <f t="shared" ca="1" si="1411"/>
        <v>-5238.5316201548221</v>
      </c>
      <c r="BG989" s="110">
        <f t="shared" ca="1" si="1411"/>
        <v>-5196.6941643244336</v>
      </c>
      <c r="BH989" s="79"/>
    </row>
    <row r="990" spans="1:60" s="21" customFormat="1" x14ac:dyDescent="0.35">
      <c r="A990" s="428"/>
      <c r="B990" s="429"/>
      <c r="C990" s="879"/>
      <c r="D990" s="879"/>
      <c r="E990" s="879"/>
      <c r="F990" s="879"/>
      <c r="G990" s="880"/>
      <c r="H990" s="880"/>
      <c r="I990" s="880"/>
      <c r="J990" s="880"/>
      <c r="K990" s="879"/>
      <c r="L990" s="880"/>
      <c r="M990" s="880"/>
      <c r="N990" s="880"/>
      <c r="O990" s="880"/>
      <c r="P990" s="879"/>
      <c r="Q990" s="880"/>
      <c r="R990" s="880"/>
      <c r="S990" s="880"/>
      <c r="T990" s="880"/>
      <c r="U990" s="879"/>
      <c r="V990" s="880"/>
      <c r="W990" s="880"/>
      <c r="X990" s="880"/>
      <c r="Y990" s="880"/>
      <c r="Z990" s="879"/>
      <c r="AA990" s="880"/>
      <c r="AB990" s="880"/>
      <c r="AC990" s="880"/>
      <c r="AD990" s="880"/>
      <c r="AE990" s="879"/>
      <c r="AF990" s="880"/>
      <c r="AG990" s="880"/>
      <c r="AH990" s="880"/>
      <c r="AI990" s="880"/>
      <c r="AJ990" s="879"/>
      <c r="AK990" s="880"/>
      <c r="AL990" s="880"/>
      <c r="AM990" s="880"/>
      <c r="AN990" s="880"/>
      <c r="AO990" s="879"/>
      <c r="AP990" s="880"/>
      <c r="AQ990" s="880"/>
      <c r="AR990" s="880"/>
      <c r="AS990" s="880"/>
      <c r="AT990" s="879"/>
      <c r="AU990" s="881"/>
      <c r="AV990" s="880"/>
      <c r="AW990" s="880"/>
      <c r="AX990" s="880"/>
      <c r="AY990" s="879"/>
      <c r="AZ990" s="880"/>
      <c r="BA990" s="880"/>
      <c r="BB990" s="880"/>
      <c r="BC990" s="880"/>
      <c r="BD990" s="879"/>
      <c r="BE990" s="879"/>
      <c r="BF990" s="879"/>
      <c r="BG990" s="879"/>
      <c r="BH990" s="651"/>
    </row>
    <row r="991" spans="1:60" s="69" customFormat="1" x14ac:dyDescent="0.35">
      <c r="A991" s="426" t="str">
        <f>A942</f>
        <v>FX</v>
      </c>
      <c r="B991" s="427"/>
      <c r="C991" s="112">
        <f>C942</f>
        <v>-4</v>
      </c>
      <c r="D991" s="112">
        <f>D942</f>
        <v>-27</v>
      </c>
      <c r="E991" s="112">
        <f>E942</f>
        <v>-49</v>
      </c>
      <c r="F991" s="112">
        <f>F942</f>
        <v>108</v>
      </c>
      <c r="G991" s="111">
        <f>G942</f>
        <v>-58</v>
      </c>
      <c r="H991" s="111">
        <f>H942-G942</f>
        <v>-89</v>
      </c>
      <c r="I991" s="111">
        <f>I942-H942</f>
        <v>125</v>
      </c>
      <c r="J991" s="111">
        <f>J942-I942</f>
        <v>5</v>
      </c>
      <c r="K991" s="112">
        <f>K942</f>
        <v>-17</v>
      </c>
      <c r="L991" s="111">
        <f>L942</f>
        <v>-33</v>
      </c>
      <c r="M991" s="111">
        <f>M942-L942</f>
        <v>8</v>
      </c>
      <c r="N991" s="111">
        <f>N942-M942</f>
        <v>-19</v>
      </c>
      <c r="O991" s="111">
        <f>O942-N942</f>
        <v>-67</v>
      </c>
      <c r="P991" s="112">
        <f>P942</f>
        <v>-111</v>
      </c>
      <c r="Q991" s="111">
        <f>Q942</f>
        <v>-32</v>
      </c>
      <c r="R991" s="111">
        <f>R942-Q942</f>
        <v>8</v>
      </c>
      <c r="S991" s="111">
        <f>S942-R942</f>
        <v>-45</v>
      </c>
      <c r="T991" s="111">
        <f>T942-S942</f>
        <v>15</v>
      </c>
      <c r="U991" s="112">
        <f>U942</f>
        <v>-54</v>
      </c>
      <c r="V991" s="111">
        <f>V942</f>
        <v>-15</v>
      </c>
      <c r="W991" s="111">
        <f>W942-V942</f>
        <v>18</v>
      </c>
      <c r="X991" s="111">
        <f>X942-W942</f>
        <v>7</v>
      </c>
      <c r="Y991" s="111">
        <f>Y942-X942</f>
        <v>-43</v>
      </c>
      <c r="Z991" s="112">
        <f>Z942</f>
        <v>-33</v>
      </c>
      <c r="AA991" s="111">
        <f>AA942</f>
        <v>28</v>
      </c>
      <c r="AB991" s="111">
        <f>AB942-AA942</f>
        <v>27</v>
      </c>
      <c r="AC991" s="111">
        <f>AC942-AB942</f>
        <v>51</v>
      </c>
      <c r="AD991" s="111">
        <f>AD942-AC942</f>
        <v>50</v>
      </c>
      <c r="AE991" s="112">
        <f>AE942</f>
        <v>156</v>
      </c>
      <c r="AF991" s="111">
        <f>AF942</f>
        <v>-32</v>
      </c>
      <c r="AG991" s="111">
        <f>AG942-AF942</f>
        <v>-73</v>
      </c>
      <c r="AH991" s="111">
        <f>AH942-AG942</f>
        <v>-33</v>
      </c>
      <c r="AI991" s="111">
        <f>AI942-AH942</f>
        <v>-22</v>
      </c>
      <c r="AJ991" s="112">
        <f>AJ942</f>
        <v>-160</v>
      </c>
      <c r="AK991" s="111">
        <f>AK942</f>
        <v>4</v>
      </c>
      <c r="AL991" s="111">
        <f>AL942-AK942</f>
        <v>-6</v>
      </c>
      <c r="AM991" s="111">
        <f>AM942-AL942</f>
        <v>-34</v>
      </c>
      <c r="AN991" s="111">
        <f>AN942-AM942</f>
        <v>34</v>
      </c>
      <c r="AO991" s="112">
        <f>AO942</f>
        <v>-2</v>
      </c>
      <c r="AP991" s="111">
        <f>AP942</f>
        <v>-46</v>
      </c>
      <c r="AQ991" s="111">
        <f>AQ942-AP942</f>
        <v>-7</v>
      </c>
      <c r="AR991" s="111">
        <f>AR942-AQ942</f>
        <v>42</v>
      </c>
      <c r="AS991" s="111">
        <f>AS942-AR942</f>
        <v>59</v>
      </c>
      <c r="AT991" s="112">
        <f>AT942</f>
        <v>48</v>
      </c>
      <c r="AU991" s="792">
        <f>AU942</f>
        <v>-66</v>
      </c>
      <c r="AV991" s="111"/>
      <c r="AW991" s="111"/>
      <c r="AX991" s="111"/>
      <c r="AY991" s="112">
        <f>SUM(AU991,AV991,AW991,AX991)</f>
        <v>-66</v>
      </c>
      <c r="AZ991" s="111"/>
      <c r="BA991" s="111"/>
      <c r="BB991" s="111"/>
      <c r="BC991" s="111"/>
      <c r="BD991" s="112">
        <f>SUM(AZ991,BA991,BB991,BC991)</f>
        <v>0</v>
      </c>
      <c r="BE991" s="112"/>
      <c r="BF991" s="112"/>
      <c r="BG991" s="112"/>
      <c r="BH991" s="79"/>
    </row>
    <row r="992" spans="1:60" s="69" customFormat="1" x14ac:dyDescent="0.35">
      <c r="A992" s="426" t="str">
        <f>A943</f>
        <v>Net Change in Cash Balance</v>
      </c>
      <c r="B992" s="427"/>
      <c r="C992" s="112">
        <f t="shared" ref="C992:AH992" si="1412">C989+C977+C966+C991</f>
        <v>1191</v>
      </c>
      <c r="D992" s="112">
        <f t="shared" si="1412"/>
        <v>337</v>
      </c>
      <c r="E992" s="112">
        <f t="shared" si="1412"/>
        <v>-1158</v>
      </c>
      <c r="F992" s="112">
        <f t="shared" si="1412"/>
        <v>664</v>
      </c>
      <c r="G992" s="111">
        <f t="shared" si="1412"/>
        <v>45</v>
      </c>
      <c r="H992" s="111">
        <f t="shared" si="1412"/>
        <v>14</v>
      </c>
      <c r="I992" s="111">
        <f t="shared" si="1412"/>
        <v>-602</v>
      </c>
      <c r="J992" s="111">
        <f t="shared" si="1412"/>
        <v>241</v>
      </c>
      <c r="K992" s="112">
        <f t="shared" si="1412"/>
        <v>-302</v>
      </c>
      <c r="L992" s="111">
        <f t="shared" si="1412"/>
        <v>-627</v>
      </c>
      <c r="M992" s="111">
        <f t="shared" si="1412"/>
        <v>171</v>
      </c>
      <c r="N992" s="111">
        <f t="shared" si="1412"/>
        <v>-196</v>
      </c>
      <c r="O992" s="111">
        <f t="shared" si="1412"/>
        <v>-32</v>
      </c>
      <c r="P992" s="112">
        <f t="shared" si="1412"/>
        <v>-684</v>
      </c>
      <c r="Q992" s="111">
        <f t="shared" si="1412"/>
        <v>-106</v>
      </c>
      <c r="R992" s="111">
        <f t="shared" si="1412"/>
        <v>1192</v>
      </c>
      <c r="S992" s="111">
        <f t="shared" si="1412"/>
        <v>-1378</v>
      </c>
      <c r="T992" s="111">
        <f t="shared" si="1412"/>
        <v>193</v>
      </c>
      <c r="U992" s="112">
        <f t="shared" si="1412"/>
        <v>-99</v>
      </c>
      <c r="V992" s="111">
        <f t="shared" si="1412"/>
        <v>-461</v>
      </c>
      <c r="W992" s="111">
        <f t="shared" si="1412"/>
        <v>351</v>
      </c>
      <c r="X992" s="111">
        <f t="shared" si="1412"/>
        <v>620</v>
      </c>
      <c r="Y992" s="111">
        <f t="shared" si="1412"/>
        <v>90</v>
      </c>
      <c r="Z992" s="112">
        <f t="shared" si="1412"/>
        <v>600</v>
      </c>
      <c r="AA992" s="111">
        <f t="shared" si="1412"/>
        <v>-225</v>
      </c>
      <c r="AB992" s="111">
        <f t="shared" si="1412"/>
        <v>481</v>
      </c>
      <c r="AC992" s="111">
        <f t="shared" si="1412"/>
        <v>177</v>
      </c>
      <c r="AD992" s="111">
        <f t="shared" si="1412"/>
        <v>222</v>
      </c>
      <c r="AE992" s="112">
        <f t="shared" si="1412"/>
        <v>655</v>
      </c>
      <c r="AF992" s="111">
        <f t="shared" si="1412"/>
        <v>438</v>
      </c>
      <c r="AG992" s="111">
        <f t="shared" si="1412"/>
        <v>-690</v>
      </c>
      <c r="AH992" s="111">
        <f t="shared" si="1412"/>
        <v>384</v>
      </c>
      <c r="AI992" s="111">
        <f t="shared" ref="AI992:AY992" si="1413">AI989+AI977+AI966+AI991</f>
        <v>-332</v>
      </c>
      <c r="AJ992" s="112">
        <f t="shared" si="1413"/>
        <v>-200</v>
      </c>
      <c r="AK992" s="111">
        <f t="shared" si="1413"/>
        <v>85</v>
      </c>
      <c r="AL992" s="111">
        <f t="shared" si="1413"/>
        <v>-89</v>
      </c>
      <c r="AM992" s="111">
        <f t="shared" si="1413"/>
        <v>4882</v>
      </c>
      <c r="AN992" s="111">
        <f t="shared" si="1413"/>
        <v>-5378</v>
      </c>
      <c r="AO992" s="112">
        <f t="shared" si="1413"/>
        <v>-500</v>
      </c>
      <c r="AP992" s="111">
        <f t="shared" si="1413"/>
        <v>1900</v>
      </c>
      <c r="AQ992" s="111">
        <f t="shared" si="1413"/>
        <v>-34</v>
      </c>
      <c r="AR992" s="111">
        <f>AR989+AR977+AR966+AR991</f>
        <v>-98</v>
      </c>
      <c r="AS992" s="111">
        <f t="shared" ref="AS992:AU992" si="1414">AS989+AS977+AS966+AS991</f>
        <v>513</v>
      </c>
      <c r="AT992" s="112">
        <f t="shared" si="1414"/>
        <v>2281</v>
      </c>
      <c r="AU992" s="792">
        <f t="shared" si="1414"/>
        <v>2</v>
      </c>
      <c r="AV992" s="111">
        <f t="shared" si="1413"/>
        <v>-644.21583564870548</v>
      </c>
      <c r="AW992" s="111">
        <f t="shared" si="1413"/>
        <v>518.46233945966105</v>
      </c>
      <c r="AX992" s="111">
        <f t="shared" si="1413"/>
        <v>325.72296630625169</v>
      </c>
      <c r="AY992" s="112">
        <f t="shared" si="1413"/>
        <v>201.96947011720749</v>
      </c>
      <c r="AZ992" s="111">
        <f t="shared" ref="AZ992:BG992" ca="1" si="1415">AZ989+AZ977+AZ966+AZ991</f>
        <v>254.63934829223444</v>
      </c>
      <c r="BA992" s="111">
        <f t="shared" ca="1" si="1415"/>
        <v>-428.22716478849975</v>
      </c>
      <c r="BB992" s="111">
        <f t="shared" ca="1" si="1415"/>
        <v>584.72191186878536</v>
      </c>
      <c r="BC992" s="111">
        <f t="shared" ca="1" si="1415"/>
        <v>472.48352327196653</v>
      </c>
      <c r="BD992" s="112">
        <f t="shared" ca="1" si="1415"/>
        <v>883.61761864448454</v>
      </c>
      <c r="BE992" s="112">
        <f t="shared" ca="1" si="1415"/>
        <v>1590.8053981916391</v>
      </c>
      <c r="BF992" s="112">
        <f t="shared" ca="1" si="1415"/>
        <v>2317.1425521034716</v>
      </c>
      <c r="BG992" s="112">
        <f t="shared" ca="1" si="1415"/>
        <v>3100.2483739134295</v>
      </c>
      <c r="BH992" s="79"/>
    </row>
    <row r="993" spans="1:60" s="21" customFormat="1" x14ac:dyDescent="0.35">
      <c r="A993" s="428"/>
      <c r="B993" s="429"/>
      <c r="C993" s="879"/>
      <c r="D993" s="879"/>
      <c r="E993" s="879"/>
      <c r="F993" s="879"/>
      <c r="G993" s="880"/>
      <c r="H993" s="880"/>
      <c r="I993" s="880"/>
      <c r="J993" s="880"/>
      <c r="K993" s="879"/>
      <c r="L993" s="880"/>
      <c r="M993" s="880"/>
      <c r="N993" s="880"/>
      <c r="O993" s="880"/>
      <c r="P993" s="879"/>
      <c r="Q993" s="880"/>
      <c r="R993" s="880"/>
      <c r="S993" s="880"/>
      <c r="T993" s="880"/>
      <c r="U993" s="879"/>
      <c r="V993" s="880"/>
      <c r="W993" s="880"/>
      <c r="X993" s="880"/>
      <c r="Y993" s="880"/>
      <c r="Z993" s="879"/>
      <c r="AA993" s="880"/>
      <c r="AB993" s="880"/>
      <c r="AC993" s="880"/>
      <c r="AD993" s="880"/>
      <c r="AE993" s="879"/>
      <c r="AF993" s="880"/>
      <c r="AG993" s="880"/>
      <c r="AH993" s="880"/>
      <c r="AI993" s="880"/>
      <c r="AJ993" s="879"/>
      <c r="AK993" s="880"/>
      <c r="AL993" s="880"/>
      <c r="AM993" s="880"/>
      <c r="AN993" s="880"/>
      <c r="AO993" s="879"/>
      <c r="AP993" s="880"/>
      <c r="AQ993" s="880"/>
      <c r="AR993" s="880"/>
      <c r="AS993" s="880"/>
      <c r="AT993" s="879"/>
      <c r="AU993" s="881"/>
      <c r="AV993" s="880"/>
      <c r="AW993" s="880"/>
      <c r="AX993" s="880"/>
      <c r="AY993" s="879"/>
      <c r="AZ993" s="880"/>
      <c r="BA993" s="880"/>
      <c r="BB993" s="880"/>
      <c r="BC993" s="880"/>
      <c r="BD993" s="879"/>
      <c r="BE993" s="879"/>
      <c r="BF993" s="879"/>
      <c r="BG993" s="879"/>
      <c r="BH993" s="651"/>
    </row>
    <row r="994" spans="1:60" s="69" customFormat="1" x14ac:dyDescent="0.35">
      <c r="A994" s="426" t="str">
        <f>A945</f>
        <v>Beginning Cash Balance</v>
      </c>
      <c r="B994" s="427"/>
      <c r="C994" s="112">
        <f>C945</f>
        <v>1849</v>
      </c>
      <c r="D994" s="112">
        <f t="shared" ref="D994:J994" si="1416">C995</f>
        <v>3040</v>
      </c>
      <c r="E994" s="112">
        <f t="shared" si="1416"/>
        <v>3377</v>
      </c>
      <c r="F994" s="112">
        <f t="shared" si="1416"/>
        <v>2219</v>
      </c>
      <c r="G994" s="111">
        <f t="shared" si="1416"/>
        <v>2883</v>
      </c>
      <c r="H994" s="111">
        <f t="shared" si="1416"/>
        <v>2928</v>
      </c>
      <c r="I994" s="111">
        <f t="shared" si="1416"/>
        <v>2942</v>
      </c>
      <c r="J994" s="111">
        <f t="shared" si="1416"/>
        <v>2340</v>
      </c>
      <c r="K994" s="112">
        <f>F995</f>
        <v>2883</v>
      </c>
      <c r="L994" s="111">
        <f>K995</f>
        <v>2581</v>
      </c>
      <c r="M994" s="111">
        <f>L995</f>
        <v>1954</v>
      </c>
      <c r="N994" s="111">
        <f>M995</f>
        <v>2125</v>
      </c>
      <c r="O994" s="111">
        <f>N995</f>
        <v>1929</v>
      </c>
      <c r="P994" s="112">
        <f>K995</f>
        <v>2581</v>
      </c>
      <c r="Q994" s="111">
        <f>P995</f>
        <v>1897</v>
      </c>
      <c r="R994" s="111">
        <f>Q995</f>
        <v>1791</v>
      </c>
      <c r="S994" s="111">
        <f>R995</f>
        <v>2983</v>
      </c>
      <c r="T994" s="111">
        <f>S995</f>
        <v>1605</v>
      </c>
      <c r="U994" s="112">
        <f>P995</f>
        <v>1897</v>
      </c>
      <c r="V994" s="111">
        <f>U995</f>
        <v>1798</v>
      </c>
      <c r="W994" s="111">
        <f>V995</f>
        <v>1337</v>
      </c>
      <c r="X994" s="111">
        <f>W995</f>
        <v>1688</v>
      </c>
      <c r="Y994" s="111">
        <f>X995</f>
        <v>2308</v>
      </c>
      <c r="Z994" s="112">
        <f>U995</f>
        <v>1798</v>
      </c>
      <c r="AA994" s="111">
        <f>Z995</f>
        <v>2398</v>
      </c>
      <c r="AB994" s="111">
        <f>AA995</f>
        <v>2173</v>
      </c>
      <c r="AC994" s="111">
        <f>AB995</f>
        <v>2654</v>
      </c>
      <c r="AD994" s="111">
        <f>AC995</f>
        <v>2831</v>
      </c>
      <c r="AE994" s="112">
        <f>Z995</f>
        <v>2398</v>
      </c>
      <c r="AF994" s="111">
        <f>AE995</f>
        <v>3053</v>
      </c>
      <c r="AG994" s="111">
        <f>AF995</f>
        <v>3491</v>
      </c>
      <c r="AH994" s="111">
        <f>AG995</f>
        <v>2801</v>
      </c>
      <c r="AI994" s="111">
        <f>AH995</f>
        <v>3185</v>
      </c>
      <c r="AJ994" s="112">
        <f>AE995</f>
        <v>3053</v>
      </c>
      <c r="AK994" s="111">
        <f>AJ995</f>
        <v>2853</v>
      </c>
      <c r="AL994" s="111">
        <f>AK995</f>
        <v>2938</v>
      </c>
      <c r="AM994" s="111">
        <f>AL995</f>
        <v>2849</v>
      </c>
      <c r="AN994" s="111">
        <f>AM995</f>
        <v>7731</v>
      </c>
      <c r="AO994" s="112">
        <f>AJ995</f>
        <v>2853</v>
      </c>
      <c r="AP994" s="111">
        <f>AO995</f>
        <v>2353</v>
      </c>
      <c r="AQ994" s="111">
        <f>AP995</f>
        <v>4253</v>
      </c>
      <c r="AR994" s="111">
        <f>AQ995</f>
        <v>4219</v>
      </c>
      <c r="AS994" s="111">
        <f>AR995</f>
        <v>4121</v>
      </c>
      <c r="AT994" s="112">
        <f>AO995</f>
        <v>2353</v>
      </c>
      <c r="AU994" s="792">
        <f>AT995</f>
        <v>4634</v>
      </c>
      <c r="AV994" s="111">
        <f>AU995</f>
        <v>4636</v>
      </c>
      <c r="AW994" s="111">
        <f>AV995</f>
        <v>3991.7841643512947</v>
      </c>
      <c r="AX994" s="111">
        <f>AW995</f>
        <v>4510.2465038109558</v>
      </c>
      <c r="AY994" s="112">
        <f>AT995</f>
        <v>4634</v>
      </c>
      <c r="AZ994" s="111">
        <f>AY995</f>
        <v>4835.9694701172075</v>
      </c>
      <c r="BA994" s="111">
        <f ca="1">AZ995</f>
        <v>5090.6088184094424</v>
      </c>
      <c r="BB994" s="111">
        <f ca="1">BA995</f>
        <v>4662.3816536209424</v>
      </c>
      <c r="BC994" s="111">
        <f ca="1">BB995</f>
        <v>5247.1035654897278</v>
      </c>
      <c r="BD994" s="112">
        <f>AY995</f>
        <v>4835.9694701172075</v>
      </c>
      <c r="BE994" s="112">
        <f ca="1">BD995</f>
        <v>5719.587088761692</v>
      </c>
      <c r="BF994" s="112">
        <f ca="1">BE995</f>
        <v>7310.3924869533312</v>
      </c>
      <c r="BG994" s="112">
        <f ca="1">BF995</f>
        <v>9627.5350390568019</v>
      </c>
      <c r="BH994" s="79"/>
    </row>
    <row r="995" spans="1:60" s="69" customFormat="1" x14ac:dyDescent="0.35">
      <c r="A995" s="426" t="str">
        <f>A946</f>
        <v>Ending Cash Balance</v>
      </c>
      <c r="B995" s="427"/>
      <c r="C995" s="112">
        <f t="shared" ref="C995:AH995" si="1417">C994+C992</f>
        <v>3040</v>
      </c>
      <c r="D995" s="112">
        <f t="shared" si="1417"/>
        <v>3377</v>
      </c>
      <c r="E995" s="112">
        <f t="shared" si="1417"/>
        <v>2219</v>
      </c>
      <c r="F995" s="112">
        <f t="shared" si="1417"/>
        <v>2883</v>
      </c>
      <c r="G995" s="111">
        <f t="shared" si="1417"/>
        <v>2928</v>
      </c>
      <c r="H995" s="111">
        <f t="shared" si="1417"/>
        <v>2942</v>
      </c>
      <c r="I995" s="111">
        <f t="shared" si="1417"/>
        <v>2340</v>
      </c>
      <c r="J995" s="111">
        <f t="shared" si="1417"/>
        <v>2581</v>
      </c>
      <c r="K995" s="112">
        <f t="shared" si="1417"/>
        <v>2581</v>
      </c>
      <c r="L995" s="111">
        <f t="shared" si="1417"/>
        <v>1954</v>
      </c>
      <c r="M995" s="111">
        <f t="shared" si="1417"/>
        <v>2125</v>
      </c>
      <c r="N995" s="111">
        <f t="shared" si="1417"/>
        <v>1929</v>
      </c>
      <c r="O995" s="111">
        <f t="shared" si="1417"/>
        <v>1897</v>
      </c>
      <c r="P995" s="112">
        <f t="shared" si="1417"/>
        <v>1897</v>
      </c>
      <c r="Q995" s="111">
        <f t="shared" si="1417"/>
        <v>1791</v>
      </c>
      <c r="R995" s="111">
        <f t="shared" si="1417"/>
        <v>2983</v>
      </c>
      <c r="S995" s="111">
        <f t="shared" si="1417"/>
        <v>1605</v>
      </c>
      <c r="T995" s="111">
        <f t="shared" si="1417"/>
        <v>1798</v>
      </c>
      <c r="U995" s="112">
        <f t="shared" si="1417"/>
        <v>1798</v>
      </c>
      <c r="V995" s="111">
        <f t="shared" si="1417"/>
        <v>1337</v>
      </c>
      <c r="W995" s="111">
        <f t="shared" si="1417"/>
        <v>1688</v>
      </c>
      <c r="X995" s="111">
        <f t="shared" si="1417"/>
        <v>2308</v>
      </c>
      <c r="Y995" s="111">
        <f t="shared" si="1417"/>
        <v>2398</v>
      </c>
      <c r="Z995" s="112">
        <f t="shared" si="1417"/>
        <v>2398</v>
      </c>
      <c r="AA995" s="111">
        <f t="shared" si="1417"/>
        <v>2173</v>
      </c>
      <c r="AB995" s="111">
        <f t="shared" si="1417"/>
        <v>2654</v>
      </c>
      <c r="AC995" s="111">
        <f t="shared" si="1417"/>
        <v>2831</v>
      </c>
      <c r="AD995" s="111">
        <f t="shared" si="1417"/>
        <v>3053</v>
      </c>
      <c r="AE995" s="112">
        <f t="shared" si="1417"/>
        <v>3053</v>
      </c>
      <c r="AF995" s="111">
        <f t="shared" si="1417"/>
        <v>3491</v>
      </c>
      <c r="AG995" s="111">
        <f t="shared" si="1417"/>
        <v>2801</v>
      </c>
      <c r="AH995" s="111">
        <f t="shared" si="1417"/>
        <v>3185</v>
      </c>
      <c r="AI995" s="111">
        <f t="shared" ref="AI995:AY995" si="1418">AI994+AI992</f>
        <v>2853</v>
      </c>
      <c r="AJ995" s="112">
        <f t="shared" si="1418"/>
        <v>2853</v>
      </c>
      <c r="AK995" s="111">
        <f t="shared" si="1418"/>
        <v>2938</v>
      </c>
      <c r="AL995" s="111">
        <f t="shared" si="1418"/>
        <v>2849</v>
      </c>
      <c r="AM995" s="111">
        <f t="shared" si="1418"/>
        <v>7731</v>
      </c>
      <c r="AN995" s="111">
        <f t="shared" si="1418"/>
        <v>2353</v>
      </c>
      <c r="AO995" s="112">
        <f t="shared" si="1418"/>
        <v>2353</v>
      </c>
      <c r="AP995" s="111">
        <f t="shared" si="1418"/>
        <v>4253</v>
      </c>
      <c r="AQ995" s="111">
        <f t="shared" si="1418"/>
        <v>4219</v>
      </c>
      <c r="AR995" s="111">
        <f>AR994+AR992</f>
        <v>4121</v>
      </c>
      <c r="AS995" s="111">
        <f t="shared" ref="AS995:AU995" si="1419">AS994+AS992</f>
        <v>4634</v>
      </c>
      <c r="AT995" s="112">
        <f t="shared" si="1419"/>
        <v>4634</v>
      </c>
      <c r="AU995" s="792">
        <f t="shared" si="1419"/>
        <v>4636</v>
      </c>
      <c r="AV995" s="111">
        <f t="shared" si="1418"/>
        <v>3991.7841643512947</v>
      </c>
      <c r="AW995" s="111">
        <f t="shared" si="1418"/>
        <v>4510.2465038109558</v>
      </c>
      <c r="AX995" s="111">
        <f t="shared" si="1418"/>
        <v>4835.9694701172075</v>
      </c>
      <c r="AY995" s="112">
        <f t="shared" si="1418"/>
        <v>4835.9694701172075</v>
      </c>
      <c r="AZ995" s="111">
        <f t="shared" ref="AZ995:BG995" ca="1" si="1420">AZ994+AZ992</f>
        <v>5090.6088184094424</v>
      </c>
      <c r="BA995" s="111">
        <f t="shared" ca="1" si="1420"/>
        <v>4662.3816536209424</v>
      </c>
      <c r="BB995" s="111">
        <f t="shared" ca="1" si="1420"/>
        <v>5247.1035654897278</v>
      </c>
      <c r="BC995" s="111">
        <f t="shared" ca="1" si="1420"/>
        <v>5719.5870887616948</v>
      </c>
      <c r="BD995" s="112">
        <f t="shared" ca="1" si="1420"/>
        <v>5719.587088761692</v>
      </c>
      <c r="BE995" s="112">
        <f t="shared" ca="1" si="1420"/>
        <v>7310.3924869533312</v>
      </c>
      <c r="BF995" s="112">
        <f t="shared" ca="1" si="1420"/>
        <v>9627.5350390568019</v>
      </c>
      <c r="BG995" s="112">
        <f t="shared" ca="1" si="1420"/>
        <v>12727.783412970231</v>
      </c>
      <c r="BH995" s="79"/>
    </row>
    <row r="996" spans="1:60" s="21" customFormat="1" x14ac:dyDescent="0.35">
      <c r="A996" s="428"/>
      <c r="B996" s="429"/>
      <c r="C996" s="879"/>
      <c r="D996" s="879"/>
      <c r="E996" s="879"/>
      <c r="F996" s="879"/>
      <c r="G996" s="880"/>
      <c r="H996" s="880"/>
      <c r="I996" s="880"/>
      <c r="J996" s="880"/>
      <c r="K996" s="879"/>
      <c r="L996" s="880"/>
      <c r="M996" s="880"/>
      <c r="N996" s="880"/>
      <c r="O996" s="880"/>
      <c r="P996" s="879"/>
      <c r="Q996" s="880"/>
      <c r="R996" s="880"/>
      <c r="S996" s="880"/>
      <c r="T996" s="880"/>
      <c r="U996" s="879"/>
      <c r="V996" s="880"/>
      <c r="W996" s="880"/>
      <c r="X996" s="880"/>
      <c r="Y996" s="880"/>
      <c r="Z996" s="879"/>
      <c r="AA996" s="880"/>
      <c r="AB996" s="880"/>
      <c r="AC996" s="880"/>
      <c r="AD996" s="880"/>
      <c r="AE996" s="879"/>
      <c r="AF996" s="880"/>
      <c r="AG996" s="880"/>
      <c r="AH996" s="880"/>
      <c r="AI996" s="880"/>
      <c r="AJ996" s="879"/>
      <c r="AK996" s="880"/>
      <c r="AL996" s="880"/>
      <c r="AM996" s="880"/>
      <c r="AN996" s="880"/>
      <c r="AO996" s="879"/>
      <c r="AP996" s="880"/>
      <c r="AQ996" s="880"/>
      <c r="AR996" s="880"/>
      <c r="AS996" s="880"/>
      <c r="AT996" s="879"/>
      <c r="AU996" s="881"/>
      <c r="AV996" s="880"/>
      <c r="AW996" s="880"/>
      <c r="AX996" s="880"/>
      <c r="AY996" s="879"/>
      <c r="AZ996" s="880"/>
      <c r="BA996" s="880"/>
      <c r="BB996" s="880"/>
      <c r="BC996" s="880"/>
      <c r="BD996" s="879"/>
      <c r="BE996" s="879"/>
      <c r="BF996" s="879"/>
      <c r="BG996" s="879"/>
      <c r="BH996" s="651"/>
    </row>
    <row r="997" spans="1:60" s="48" customFormat="1" x14ac:dyDescent="0.35">
      <c r="A997" s="125" t="s">
        <v>155</v>
      </c>
      <c r="B997" s="125"/>
      <c r="C997" s="893">
        <f t="shared" ref="C997:AH997" si="1421">ROUND(C995-C1034,6)</f>
        <v>0</v>
      </c>
      <c r="D997" s="893">
        <f t="shared" si="1421"/>
        <v>0</v>
      </c>
      <c r="E997" s="893">
        <f t="shared" si="1421"/>
        <v>0</v>
      </c>
      <c r="F997" s="893">
        <f t="shared" si="1421"/>
        <v>0</v>
      </c>
      <c r="G997" s="893">
        <f t="shared" si="1421"/>
        <v>0</v>
      </c>
      <c r="H997" s="893">
        <f t="shared" si="1421"/>
        <v>0</v>
      </c>
      <c r="I997" s="893">
        <f t="shared" si="1421"/>
        <v>0</v>
      </c>
      <c r="J997" s="893">
        <f t="shared" si="1421"/>
        <v>0</v>
      </c>
      <c r="K997" s="893">
        <f t="shared" si="1421"/>
        <v>0</v>
      </c>
      <c r="L997" s="893">
        <f t="shared" si="1421"/>
        <v>0</v>
      </c>
      <c r="M997" s="893">
        <f t="shared" si="1421"/>
        <v>0</v>
      </c>
      <c r="N997" s="893">
        <f t="shared" si="1421"/>
        <v>0</v>
      </c>
      <c r="O997" s="893">
        <f t="shared" si="1421"/>
        <v>0</v>
      </c>
      <c r="P997" s="893">
        <f t="shared" si="1421"/>
        <v>0</v>
      </c>
      <c r="Q997" s="893">
        <f t="shared" si="1421"/>
        <v>0</v>
      </c>
      <c r="R997" s="893">
        <f t="shared" si="1421"/>
        <v>0</v>
      </c>
      <c r="S997" s="893">
        <f t="shared" si="1421"/>
        <v>0</v>
      </c>
      <c r="T997" s="893">
        <f t="shared" si="1421"/>
        <v>0</v>
      </c>
      <c r="U997" s="893">
        <f t="shared" si="1421"/>
        <v>0</v>
      </c>
      <c r="V997" s="893">
        <f t="shared" si="1421"/>
        <v>0</v>
      </c>
      <c r="W997" s="893">
        <f t="shared" si="1421"/>
        <v>0</v>
      </c>
      <c r="X997" s="893">
        <f t="shared" si="1421"/>
        <v>0</v>
      </c>
      <c r="Y997" s="893">
        <f t="shared" si="1421"/>
        <v>0</v>
      </c>
      <c r="Z997" s="893">
        <f t="shared" si="1421"/>
        <v>0</v>
      </c>
      <c r="AA997" s="893">
        <f t="shared" si="1421"/>
        <v>0</v>
      </c>
      <c r="AB997" s="893">
        <f t="shared" si="1421"/>
        <v>0</v>
      </c>
      <c r="AC997" s="893">
        <f t="shared" si="1421"/>
        <v>0</v>
      </c>
      <c r="AD997" s="893">
        <f t="shared" si="1421"/>
        <v>0</v>
      </c>
      <c r="AE997" s="893">
        <f t="shared" si="1421"/>
        <v>0</v>
      </c>
      <c r="AF997" s="893">
        <f t="shared" si="1421"/>
        <v>0</v>
      </c>
      <c r="AG997" s="893">
        <f t="shared" si="1421"/>
        <v>0</v>
      </c>
      <c r="AH997" s="893">
        <f t="shared" si="1421"/>
        <v>0</v>
      </c>
      <c r="AI997" s="893">
        <f t="shared" ref="AI997:AY997" si="1422">ROUND(AI995-AI1034,6)</f>
        <v>0</v>
      </c>
      <c r="AJ997" s="893">
        <f t="shared" si="1422"/>
        <v>0</v>
      </c>
      <c r="AK997" s="893">
        <f t="shared" si="1422"/>
        <v>0</v>
      </c>
      <c r="AL997" s="893">
        <f t="shared" si="1422"/>
        <v>0</v>
      </c>
      <c r="AM997" s="893">
        <f t="shared" si="1422"/>
        <v>0</v>
      </c>
      <c r="AN997" s="893">
        <f t="shared" si="1422"/>
        <v>0</v>
      </c>
      <c r="AO997" s="893">
        <f t="shared" si="1422"/>
        <v>0</v>
      </c>
      <c r="AP997" s="893">
        <f t="shared" si="1422"/>
        <v>0</v>
      </c>
      <c r="AQ997" s="893">
        <f t="shared" si="1422"/>
        <v>0</v>
      </c>
      <c r="AR997" s="893">
        <f>ROUND(AR995-AR1034,6)</f>
        <v>0</v>
      </c>
      <c r="AS997" s="893">
        <f>ROUND(AS995-AS1034,6)</f>
        <v>0</v>
      </c>
      <c r="AT997" s="893">
        <f>ROUND(AT995-AT1034,6)</f>
        <v>0</v>
      </c>
      <c r="AU997" s="894">
        <f t="shared" ref="AU997" si="1423">ROUND(AU995-AU1034,6)</f>
        <v>0</v>
      </c>
      <c r="AV997" s="893">
        <f t="shared" si="1422"/>
        <v>0</v>
      </c>
      <c r="AW997" s="893">
        <f t="shared" si="1422"/>
        <v>0</v>
      </c>
      <c r="AX997" s="893">
        <f t="shared" si="1422"/>
        <v>0</v>
      </c>
      <c r="AY997" s="893">
        <f t="shared" si="1422"/>
        <v>0</v>
      </c>
      <c r="AZ997" s="893">
        <f t="shared" ref="AZ997:BG997" ca="1" si="1424">ROUND(AZ995-AZ1034,6)</f>
        <v>0</v>
      </c>
      <c r="BA997" s="893">
        <f t="shared" ca="1" si="1424"/>
        <v>0</v>
      </c>
      <c r="BB997" s="893">
        <f t="shared" ca="1" si="1424"/>
        <v>0</v>
      </c>
      <c r="BC997" s="893">
        <f t="shared" ca="1" si="1424"/>
        <v>0</v>
      </c>
      <c r="BD997" s="893">
        <f t="shared" ca="1" si="1424"/>
        <v>0</v>
      </c>
      <c r="BE997" s="893">
        <f t="shared" ca="1" si="1424"/>
        <v>0</v>
      </c>
      <c r="BF997" s="893">
        <f t="shared" ca="1" si="1424"/>
        <v>0</v>
      </c>
      <c r="BG997" s="893">
        <f t="shared" ca="1" si="1424"/>
        <v>0</v>
      </c>
      <c r="BH997" s="749"/>
    </row>
    <row r="998" spans="1:60" s="21" customFormat="1" x14ac:dyDescent="0.35">
      <c r="A998" s="428"/>
      <c r="B998" s="429"/>
      <c r="C998" s="879"/>
      <c r="D998" s="879"/>
      <c r="E998" s="879"/>
      <c r="F998" s="879"/>
      <c r="G998" s="880"/>
      <c r="H998" s="880"/>
      <c r="I998" s="880"/>
      <c r="J998" s="880"/>
      <c r="K998" s="879"/>
      <c r="L998" s="880"/>
      <c r="M998" s="880"/>
      <c r="N998" s="880"/>
      <c r="O998" s="880"/>
      <c r="P998" s="879"/>
      <c r="Q998" s="880"/>
      <c r="R998" s="880"/>
      <c r="S998" s="880"/>
      <c r="T998" s="880"/>
      <c r="U998" s="879"/>
      <c r="V998" s="880"/>
      <c r="W998" s="880"/>
      <c r="X998" s="880"/>
      <c r="Y998" s="880"/>
      <c r="Z998" s="879"/>
      <c r="AA998" s="880"/>
      <c r="AB998" s="880"/>
      <c r="AC998" s="880"/>
      <c r="AD998" s="880"/>
      <c r="AE998" s="879"/>
      <c r="AF998" s="880"/>
      <c r="AG998" s="880"/>
      <c r="AH998" s="880"/>
      <c r="AI998" s="880"/>
      <c r="AJ998" s="879"/>
      <c r="AK998" s="880"/>
      <c r="AL998" s="880"/>
      <c r="AM998" s="880"/>
      <c r="AN998" s="880"/>
      <c r="AO998" s="879"/>
      <c r="AP998" s="880"/>
      <c r="AQ998" s="880"/>
      <c r="AR998" s="880"/>
      <c r="AS998" s="880"/>
      <c r="AT998" s="879"/>
      <c r="AU998" s="881"/>
      <c r="AV998" s="880"/>
      <c r="AW998" s="880"/>
      <c r="AX998" s="880"/>
      <c r="AY998" s="879"/>
      <c r="AZ998" s="880"/>
      <c r="BA998" s="880"/>
      <c r="BB998" s="880"/>
      <c r="BC998" s="880"/>
      <c r="BD998" s="879"/>
      <c r="BE998" s="879"/>
      <c r="BF998" s="879"/>
      <c r="BG998" s="879"/>
      <c r="BH998" s="651"/>
    </row>
    <row r="999" spans="1:60" s="21" customFormat="1" x14ac:dyDescent="0.35">
      <c r="A999" s="355" t="s">
        <v>156</v>
      </c>
      <c r="B999" s="356"/>
      <c r="C999" s="874"/>
      <c r="D999" s="874"/>
      <c r="E999" s="874"/>
      <c r="F999" s="874"/>
      <c r="G999" s="874"/>
      <c r="H999" s="874"/>
      <c r="I999" s="874"/>
      <c r="J999" s="874"/>
      <c r="K999" s="874"/>
      <c r="L999" s="874"/>
      <c r="M999" s="874"/>
      <c r="N999" s="874"/>
      <c r="O999" s="874"/>
      <c r="P999" s="874"/>
      <c r="Q999" s="874"/>
      <c r="R999" s="874"/>
      <c r="S999" s="874"/>
      <c r="T999" s="874"/>
      <c r="U999" s="874"/>
      <c r="V999" s="874"/>
      <c r="W999" s="874"/>
      <c r="X999" s="874"/>
      <c r="Y999" s="874"/>
      <c r="Z999" s="874"/>
      <c r="AA999" s="874"/>
      <c r="AB999" s="874"/>
      <c r="AC999" s="874"/>
      <c r="AD999" s="874"/>
      <c r="AE999" s="874"/>
      <c r="AF999" s="874"/>
      <c r="AG999" s="874"/>
      <c r="AH999" s="874"/>
      <c r="AI999" s="874"/>
      <c r="AJ999" s="874"/>
      <c r="AK999" s="874"/>
      <c r="AL999" s="874"/>
      <c r="AM999" s="874"/>
      <c r="AN999" s="874"/>
      <c r="AO999" s="874"/>
      <c r="AP999" s="874"/>
      <c r="AQ999" s="874"/>
      <c r="AR999" s="874"/>
      <c r="AS999" s="874"/>
      <c r="AT999" s="874"/>
      <c r="AU999" s="875"/>
      <c r="AV999" s="874"/>
      <c r="AW999" s="874"/>
      <c r="AX999" s="874"/>
      <c r="AY999" s="874"/>
      <c r="AZ999" s="874"/>
      <c r="BA999" s="874"/>
      <c r="BB999" s="874"/>
      <c r="BC999" s="874"/>
      <c r="BD999" s="874"/>
      <c r="BE999" s="874"/>
      <c r="BF999" s="874"/>
      <c r="BG999" s="874"/>
      <c r="BH999" s="651"/>
    </row>
    <row r="1000" spans="1:60" s="21" customFormat="1" x14ac:dyDescent="0.35">
      <c r="A1000" s="100" t="s">
        <v>157</v>
      </c>
      <c r="B1000" s="435"/>
      <c r="C1000" s="16">
        <f>C1036/C$787</f>
        <v>0.14055269644942264</v>
      </c>
      <c r="D1000" s="16">
        <f>D1036/D$787</f>
        <v>0.13558622758982822</v>
      </c>
      <c r="E1000" s="16">
        <f>E1036/E$787</f>
        <v>0.13059336057546181</v>
      </c>
      <c r="F1000" s="16">
        <f>F1036/F$787</f>
        <v>0.13580123060460139</v>
      </c>
      <c r="G1000" s="299"/>
      <c r="H1000" s="299"/>
      <c r="I1000" s="299"/>
      <c r="J1000" s="299"/>
      <c r="K1000" s="16">
        <f>K1036/K$787</f>
        <v>0.13776683618930388</v>
      </c>
      <c r="L1000" s="94">
        <f>L1036/(L$787+J$787+I$787+H$787)</f>
        <v>0.14799794000257499</v>
      </c>
      <c r="M1000" s="94">
        <f>M1036/(M$787+L$787+J$787+I$787)</f>
        <v>0.15131955484896661</v>
      </c>
      <c r="N1000" s="94">
        <f>N1036/(N$787+M$787+L$787+J$787)</f>
        <v>0.14874806605411892</v>
      </c>
      <c r="O1000" s="94">
        <f>O1036/(O$787+N$787+M$787+L$787)</f>
        <v>0.13318248955092549</v>
      </c>
      <c r="P1000" s="16">
        <f>P1036/P$787</f>
        <v>0.13318248955092549</v>
      </c>
      <c r="Q1000" s="94">
        <f>Q1036/(Q$787+O$787+N$787+M$787)</f>
        <v>0.13963507349214394</v>
      </c>
      <c r="R1000" s="94">
        <f>R1036/(R$787+Q$787+O$787+N$787)</f>
        <v>0.14710796915167096</v>
      </c>
      <c r="S1000" s="94">
        <f>S1036/(S$787+R$787+Q$787+O$787)</f>
        <v>0.15018732692620948</v>
      </c>
      <c r="T1000" s="94">
        <f>T1036/(T$787+S$787+R$787+Q$787)</f>
        <v>0.13721345048556516</v>
      </c>
      <c r="U1000" s="16">
        <f>U1036/U$787</f>
        <v>0.13721345048556516</v>
      </c>
      <c r="V1000" s="94">
        <f>V1036/(V$787+T$787+S$787+R$787)</f>
        <v>0.1489785749875436</v>
      </c>
      <c r="W1000" s="94">
        <f>W1036/(W$787+V$787+T$787+S$787)</f>
        <v>0.15514776769389316</v>
      </c>
      <c r="X1000" s="94">
        <f>X1036/(X$787+W$787+V$787+T$787)</f>
        <v>0.15769000598444047</v>
      </c>
      <c r="Y1000" s="94">
        <f>Y1036/(Y$787+X$787+W$787+V$787)</f>
        <v>0.14587000564615232</v>
      </c>
      <c r="Z1000" s="16">
        <f>Z1036/Z$787</f>
        <v>0.14587000564615232</v>
      </c>
      <c r="AA1000" s="94">
        <f>AA1036/(AA$787+Y$787+X$787+W$787)</f>
        <v>0.15540562777686359</v>
      </c>
      <c r="AB1000" s="94">
        <f>AB1036/(AB$787+AA$787+Y$787+X$787)</f>
        <v>0.16110437886876494</v>
      </c>
      <c r="AC1000" s="94">
        <f>AC1036/(AC$787+AB$787+AA$787+Y$787)</f>
        <v>0.16634404439282488</v>
      </c>
      <c r="AD1000" s="94">
        <f>AD1036/(AD$787+AC$787+AB$787+AA$787)</f>
        <v>0.15513156647818807</v>
      </c>
      <c r="AE1000" s="16">
        <f>AE1036/AE$787</f>
        <v>0.15513156647818807</v>
      </c>
      <c r="AF1000" s="94">
        <f>AF1036/(AF$787+AD$787+AC$787+AB$787)</f>
        <v>0.16285271317829458</v>
      </c>
      <c r="AG1000" s="94">
        <f>AG1036/(AG$787+AF$787+AD$787+AC$787)</f>
        <v>0.16396588486140726</v>
      </c>
      <c r="AH1000" s="94">
        <f>AH1036/(AH$787+AG$787+AF$787+AD$787)</f>
        <v>0.16241999390429748</v>
      </c>
      <c r="AI1000" s="94">
        <f>AI1036/(AI$787+AH$787+AG$787+AF$787)</f>
        <v>0.15321226918968411</v>
      </c>
      <c r="AJ1000" s="16">
        <f>AJ1036/AJ$787</f>
        <v>0.15321226918968411</v>
      </c>
      <c r="AK1000" s="94">
        <f>AK1036/(AK$787+AI$787+AH$787+AG$787)</f>
        <v>0.15990726429675425</v>
      </c>
      <c r="AL1000" s="94">
        <f>AL1036/(AL$787+AK$787+AI$787+AH$787)</f>
        <v>0.16725280881391802</v>
      </c>
      <c r="AM1000" s="94">
        <f>AM1036/(AM$787+AL$787+AK$787+AI$787)</f>
        <v>0.15702220832030028</v>
      </c>
      <c r="AN1000" s="94">
        <f>AN1036/(AN$787+AM$787+AL$787+AK$787)</f>
        <v>0.14908513816280808</v>
      </c>
      <c r="AO1000" s="16">
        <f>AO1036/AO$787</f>
        <v>0.14908513816280808</v>
      </c>
      <c r="AP1000" s="94">
        <f>AP1036/(AP$787+AN$787+AM$787+AL$787)</f>
        <v>0.14903548905651046</v>
      </c>
      <c r="AQ1000" s="94">
        <f>AQ1036/(AQ$787+AP$787+AN$787+AM$787)</f>
        <v>0.14221924536726949</v>
      </c>
      <c r="AR1000" s="94">
        <f>AR1036/(AR$787+AQ$787+AP$787+AN$787)</f>
        <v>0.14578077699293643</v>
      </c>
      <c r="AS1000" s="94">
        <f>AS1036/(AS$787+AR$787+AQ$787+AP$787)</f>
        <v>0.1461906537409893</v>
      </c>
      <c r="AT1000" s="16">
        <f>AT1036/AT$787</f>
        <v>0.1461906537409893</v>
      </c>
      <c r="AU1000" s="775">
        <f>AU1036/(AU$787+AS$787+AR$787+AQ$787)</f>
        <v>0.14614684466019418</v>
      </c>
      <c r="AV1000" s="94">
        <f t="shared" ref="AV1000:AX1003" si="1425">AQ1000+AV1005</f>
        <v>0.14221924536726949</v>
      </c>
      <c r="AW1000" s="94">
        <f t="shared" si="1425"/>
        <v>0.14578077699293643</v>
      </c>
      <c r="AX1000" s="94">
        <f t="shared" si="1425"/>
        <v>0.1411906537409893</v>
      </c>
      <c r="AY1000" s="16">
        <f>AY1036/AY$787</f>
        <v>0.1411906537409893</v>
      </c>
      <c r="AZ1000" s="94">
        <f t="shared" ref="AZ1000:BC1003" si="1426">AU1000+AZ1005</f>
        <v>0.14614684466019418</v>
      </c>
      <c r="BA1000" s="94">
        <f t="shared" si="1426"/>
        <v>0.14221924536726949</v>
      </c>
      <c r="BB1000" s="94">
        <f t="shared" si="1426"/>
        <v>0.14578077699293643</v>
      </c>
      <c r="BC1000" s="94">
        <f t="shared" si="1426"/>
        <v>0.1411906537409893</v>
      </c>
      <c r="BD1000" s="16">
        <f>BD1036/BD$787</f>
        <v>0.1411906537409893</v>
      </c>
      <c r="BE1000" s="16">
        <f t="shared" ref="BE1000:BG1003" si="1427">BD1000+BE1005</f>
        <v>0.1411906537409893</v>
      </c>
      <c r="BF1000" s="16">
        <f t="shared" si="1427"/>
        <v>0.1411906537409893</v>
      </c>
      <c r="BG1000" s="16">
        <f t="shared" si="1427"/>
        <v>0.1411906537409893</v>
      </c>
      <c r="BH1000" s="651"/>
    </row>
    <row r="1001" spans="1:60" s="21" customFormat="1" x14ac:dyDescent="0.35">
      <c r="A1001" s="100" t="s">
        <v>158</v>
      </c>
      <c r="B1001" s="435"/>
      <c r="C1001" s="16">
        <f t="shared" ref="C1001:F1002" si="1428">C1040/C$787</f>
        <v>0.1141287895169312</v>
      </c>
      <c r="D1001" s="16">
        <f t="shared" si="1428"/>
        <v>0.11833320831145451</v>
      </c>
      <c r="E1001" s="16">
        <f t="shared" si="1428"/>
        <v>0.11536253419337408</v>
      </c>
      <c r="F1001" s="16">
        <f t="shared" si="1428"/>
        <v>0.12831059390048155</v>
      </c>
      <c r="G1001" s="299"/>
      <c r="H1001" s="299"/>
      <c r="I1001" s="299"/>
      <c r="J1001" s="299"/>
      <c r="K1001" s="16">
        <f>K1040/K$787</f>
        <v>0.12516601341064429</v>
      </c>
      <c r="L1001" s="94">
        <f>L1040/(L$787+J$787+I$787+H$787)</f>
        <v>0.12784859018926226</v>
      </c>
      <c r="M1001" s="94">
        <f>M1040/(M$787+L$787+J$787+I$787)</f>
        <v>0.13014308426073132</v>
      </c>
      <c r="N1001" s="94">
        <f>N1040/(N$787+M$787+L$787+J$787)</f>
        <v>0.1245619020555082</v>
      </c>
      <c r="O1001" s="94">
        <f>O1040/(O$787+N$787+M$787+L$787)</f>
        <v>0.11646397033405613</v>
      </c>
      <c r="P1001" s="16">
        <f>P1040/P$787</f>
        <v>0.11646397033405613</v>
      </c>
      <c r="Q1001" s="94">
        <f>Q1040/(Q$787+O$787+N$787+M$787)</f>
        <v>0.11733400912316269</v>
      </c>
      <c r="R1001" s="94">
        <f>R1040/(R$787+Q$787+O$787+N$787)</f>
        <v>0.12361825192802056</v>
      </c>
      <c r="S1001" s="94">
        <f>S1040/(S$787+R$787+Q$787+O$787)</f>
        <v>0.12083401205408047</v>
      </c>
      <c r="T1001" s="94">
        <f>T1040/(T$787+S$787+R$787+Q$787)</f>
        <v>0.11620532470106362</v>
      </c>
      <c r="U1001" s="16">
        <f>U1040/U$787</f>
        <v>0.11620532470106362</v>
      </c>
      <c r="V1001" s="94">
        <f>V1040/(V$787+T$787+S$787+R$787)</f>
        <v>0.12047832585949178</v>
      </c>
      <c r="W1001" s="94">
        <f>W1040/(W$787+V$787+T$787+S$787)</f>
        <v>0.12010903892822712</v>
      </c>
      <c r="X1001" s="94">
        <f>X1040/(X$787+W$787+V$787+T$787)</f>
        <v>0.12005452490192167</v>
      </c>
      <c r="Y1001" s="94">
        <f>Y1040/(Y$787+X$787+W$787+V$787)</f>
        <v>0.11242485635524262</v>
      </c>
      <c r="Z1001" s="16">
        <f>Z1040/Z$787</f>
        <v>0.11242485635524262</v>
      </c>
      <c r="AA1001" s="94">
        <f>AA1040/(AA$787+Y$787+X$787+W$787)</f>
        <v>0.11887444462728319</v>
      </c>
      <c r="AB1001" s="94">
        <f>AB1040/(AB$787+AA$787+Y$787+X$787)</f>
        <v>0.12570006222775357</v>
      </c>
      <c r="AC1001" s="94">
        <f>AC1040/(AC$787+AB$787+AA$787+Y$787)</f>
        <v>0.12824235385210994</v>
      </c>
      <c r="AD1001" s="94">
        <f>AD1040/(AD$787+AC$787+AB$787+AA$787)</f>
        <v>0.12742837287171874</v>
      </c>
      <c r="AE1001" s="16">
        <f>AE1040/AE$787</f>
        <v>0.12742837287171874</v>
      </c>
      <c r="AF1001" s="94">
        <f>AF1040/(AF$787+AD$787+AC$787+AB$787)</f>
        <v>0.13317829457364341</v>
      </c>
      <c r="AG1001" s="94">
        <f>AG1040/(AG$787+AF$787+AD$787+AC$787)</f>
        <v>0.12908924763935425</v>
      </c>
      <c r="AH1001" s="94">
        <f>AH1040/(AH$787+AG$787+AF$787+AD$787)</f>
        <v>0.13523316062176166</v>
      </c>
      <c r="AI1001" s="94">
        <f>AI1040/(AI$787+AH$787+AG$787+AF$787)</f>
        <v>0.13325194567373722</v>
      </c>
      <c r="AJ1001" s="16">
        <f>AJ1040/AJ$787</f>
        <v>0.13325194567373722</v>
      </c>
      <c r="AK1001" s="94">
        <f>AK1040/(AK$787+AI$787+AH$787+AG$787)</f>
        <v>0.14027820710973724</v>
      </c>
      <c r="AL1001" s="94">
        <f>AL1040/(AL$787+AK$787+AI$787+AH$787)</f>
        <v>0.13382714512464597</v>
      </c>
      <c r="AM1001" s="94">
        <f>AM1040/(AM$787+AL$787+AK$787+AI$787)</f>
        <v>0.12533625273694088</v>
      </c>
      <c r="AN1001" s="94">
        <f>AN1040/(AN$787+AM$787+AL$787+AK$787)</f>
        <v>0.12864077669902912</v>
      </c>
      <c r="AO1001" s="16">
        <f>AO1040/AO$787</f>
        <v>0.12864077669902912</v>
      </c>
      <c r="AP1001" s="94">
        <f>AP1040/(AP$787+AN$787+AM$787+AL$787)</f>
        <v>0.13036354643254605</v>
      </c>
      <c r="AQ1001" s="94">
        <f>AQ1040/(AQ$787+AP$787+AN$787+AM$787)</f>
        <v>0.13293783688961183</v>
      </c>
      <c r="AR1001" s="94">
        <f>AR1040/(AR$787+AQ$787+AP$787+AN$787)</f>
        <v>0.12563067608476286</v>
      </c>
      <c r="AS1001" s="94">
        <f>AS1040/(AS$787+AR$787+AQ$787+AP$787)</f>
        <v>0.13171140939597314</v>
      </c>
      <c r="AT1001" s="16">
        <f>AT1040/AT$787</f>
        <v>0.13171140939597314</v>
      </c>
      <c r="AU1001" s="775">
        <f>AU1040/(AU$787+AS$787+AR$787+AQ$787)</f>
        <v>0.13525485436893203</v>
      </c>
      <c r="AV1001" s="94">
        <f t="shared" si="1425"/>
        <v>0.13293783688961183</v>
      </c>
      <c r="AW1001" s="94">
        <f t="shared" si="1425"/>
        <v>0.12563067608476286</v>
      </c>
      <c r="AX1001" s="94">
        <f t="shared" si="1425"/>
        <v>0.13171140939597314</v>
      </c>
      <c r="AY1001" s="16">
        <f>AY1040/AY$787</f>
        <v>0.13171140939597314</v>
      </c>
      <c r="AZ1001" s="94">
        <f t="shared" si="1426"/>
        <v>0.13525485436893203</v>
      </c>
      <c r="BA1001" s="94">
        <f t="shared" si="1426"/>
        <v>0.13293783688961183</v>
      </c>
      <c r="BB1001" s="94">
        <f t="shared" si="1426"/>
        <v>0.12563067608476286</v>
      </c>
      <c r="BC1001" s="94">
        <f t="shared" si="1426"/>
        <v>0.13171140939597314</v>
      </c>
      <c r="BD1001" s="16">
        <f>BD1040/BD$787</f>
        <v>0.13171140939597314</v>
      </c>
      <c r="BE1001" s="16">
        <f t="shared" si="1427"/>
        <v>0.13171140939597314</v>
      </c>
      <c r="BF1001" s="16">
        <f t="shared" si="1427"/>
        <v>0.13171140939597314</v>
      </c>
      <c r="BG1001" s="16">
        <f t="shared" si="1427"/>
        <v>0.13171140939597314</v>
      </c>
      <c r="BH1001" s="651"/>
    </row>
    <row r="1002" spans="1:60" s="21" customFormat="1" x14ac:dyDescent="0.35">
      <c r="A1002" s="100" t="s">
        <v>159</v>
      </c>
      <c r="B1002" s="435"/>
      <c r="C1002" s="16">
        <f t="shared" si="1428"/>
        <v>0</v>
      </c>
      <c r="D1002" s="16">
        <f t="shared" si="1428"/>
        <v>0</v>
      </c>
      <c r="E1002" s="16">
        <f t="shared" si="1428"/>
        <v>0</v>
      </c>
      <c r="F1002" s="16">
        <f t="shared" si="1428"/>
        <v>0</v>
      </c>
      <c r="G1002" s="299"/>
      <c r="H1002" s="299"/>
      <c r="I1002" s="299"/>
      <c r="J1002" s="299"/>
      <c r="K1002" s="16">
        <f>K1041/K$787</f>
        <v>0</v>
      </c>
      <c r="L1002" s="94">
        <f>L1041/(L$787+J$787+I$787+H$787)</f>
        <v>0</v>
      </c>
      <c r="M1002" s="94">
        <f>M1041/(M$787+L$787+J$787+I$787)</f>
        <v>0</v>
      </c>
      <c r="N1002" s="94">
        <f>N1041/(N$787+M$787+L$787+J$787)</f>
        <v>0</v>
      </c>
      <c r="O1002" s="94">
        <f>O1041/(O$787+N$787+M$787+L$787)</f>
        <v>0</v>
      </c>
      <c r="P1002" s="16">
        <f>P1041/P$787</f>
        <v>0</v>
      </c>
      <c r="Q1002" s="94">
        <f>Q1041/(Q$787+O$787+N$787+M$787)</f>
        <v>0</v>
      </c>
      <c r="R1002" s="94">
        <f>R1041/(R$787+Q$787+O$787+N$787)</f>
        <v>0</v>
      </c>
      <c r="S1002" s="94">
        <f>S1041/(S$787+R$787+Q$787+O$787)</f>
        <v>0</v>
      </c>
      <c r="T1002" s="94">
        <f>T1041/(T$787+S$787+R$787+Q$787)</f>
        <v>0</v>
      </c>
      <c r="U1002" s="16">
        <f>U1041/U$787</f>
        <v>0</v>
      </c>
      <c r="V1002" s="94">
        <f>V1041/(V$787+T$787+S$787+R$787)</f>
        <v>0</v>
      </c>
      <c r="W1002" s="94">
        <f>W1041/(W$787+V$787+T$787+S$787)</f>
        <v>0</v>
      </c>
      <c r="X1002" s="94">
        <f>X1041/(X$787+W$787+V$787+T$787)</f>
        <v>0</v>
      </c>
      <c r="Y1002" s="94">
        <f>Y1041/(Y$787+X$787+W$787+V$787)</f>
        <v>0</v>
      </c>
      <c r="Z1002" s="16">
        <f>Z1041/Z$787</f>
        <v>0</v>
      </c>
      <c r="AA1002" s="94">
        <f>AA1041/(AA$787+Y$787+X$787+W$787)</f>
        <v>0</v>
      </c>
      <c r="AB1002" s="94">
        <f>AB1041/(AB$787+AA$787+Y$787+X$787)</f>
        <v>0</v>
      </c>
      <c r="AC1002" s="94">
        <f>AC1041/(AC$787+AB$787+AA$787+Y$787)</f>
        <v>0</v>
      </c>
      <c r="AD1002" s="94">
        <f>AD1041/(AD$787+AC$787+AB$787+AA$787)</f>
        <v>2.9598509018542503E-2</v>
      </c>
      <c r="AE1002" s="16">
        <f>AE1041/AE$787</f>
        <v>2.9598509018542503E-2</v>
      </c>
      <c r="AF1002" s="94">
        <f>AF1041/(AF$787+AD$787+AC$787+AB$787)</f>
        <v>2.5798449612403102E-2</v>
      </c>
      <c r="AG1002" s="94">
        <f>AG1041/(AG$787+AF$787+AD$787+AC$787)</f>
        <v>2.1717940907706366E-2</v>
      </c>
      <c r="AH1002" s="94">
        <f>AH1041/(AH$787+AG$787+AF$787+AD$787)</f>
        <v>2.2706491923194148E-2</v>
      </c>
      <c r="AI1002" s="94">
        <f>AI1041/(AI$787+AH$787+AG$787+AF$787)</f>
        <v>2.2615595910270105E-2</v>
      </c>
      <c r="AJ1002" s="16">
        <f>AJ1041/AJ$787</f>
        <v>2.2615595910270105E-2</v>
      </c>
      <c r="AK1002" s="94">
        <f>AK1041/(AK$787+AI$787+AH$787+AG$787)</f>
        <v>2.2040185471406491E-2</v>
      </c>
      <c r="AL1002" s="94">
        <f>AL1041/(AL$787+AK$787+AI$787+AH$787)</f>
        <v>2.9535339703090472E-2</v>
      </c>
      <c r="AM1002" s="94">
        <f>AM1041/(AM$787+AL$787+AK$787+AI$787)</f>
        <v>2.2427275570847671E-2</v>
      </c>
      <c r="AN1002" s="94">
        <f>AN1041/(AN$787+AM$787+AL$787+AK$787)</f>
        <v>2.1906895693303459E-2</v>
      </c>
      <c r="AO1002" s="16">
        <f>AO1041/AO$787</f>
        <v>2.1906895693303459E-2</v>
      </c>
      <c r="AP1002" s="94">
        <f>AP1041/(AP$787+AN$787+AM$787+AL$787)</f>
        <v>1.8671942623964388E-2</v>
      </c>
      <c r="AQ1002" s="94">
        <f>AQ1041/(AQ$787+AP$787+AN$787+AM$787)</f>
        <v>1.8084393837910249E-2</v>
      </c>
      <c r="AR1002" s="94">
        <f>AR1041/(AR$787+AQ$787+AP$787+AN$787)</f>
        <v>1.6271442986881938E-2</v>
      </c>
      <c r="AS1002" s="94">
        <f>AS1041/(AS$787+AR$787+AQ$787+AP$787)</f>
        <v>2.0973154362416108E-2</v>
      </c>
      <c r="AT1002" s="16">
        <f>AT1041/AT$787</f>
        <v>2.0973154362416108E-2</v>
      </c>
      <c r="AU1002" s="775">
        <f>AU1041/(AU$787+AS$787+AR$787+AQ$787)</f>
        <v>1.6231796116504854E-2</v>
      </c>
      <c r="AV1002" s="94">
        <f t="shared" si="1425"/>
        <v>1.8084393837910249E-2</v>
      </c>
      <c r="AW1002" s="94">
        <f t="shared" si="1425"/>
        <v>1.6271442986881938E-2</v>
      </c>
      <c r="AX1002" s="94">
        <f t="shared" si="1425"/>
        <v>2.0973154362416108E-2</v>
      </c>
      <c r="AY1002" s="16">
        <f>AY1041/AY$787</f>
        <v>2.0973154362416108E-2</v>
      </c>
      <c r="AZ1002" s="94">
        <f t="shared" si="1426"/>
        <v>1.6231796116504854E-2</v>
      </c>
      <c r="BA1002" s="94">
        <f t="shared" si="1426"/>
        <v>1.8084393837910249E-2</v>
      </c>
      <c r="BB1002" s="94">
        <f t="shared" si="1426"/>
        <v>1.6271442986881938E-2</v>
      </c>
      <c r="BC1002" s="94">
        <f t="shared" si="1426"/>
        <v>2.0973154362416108E-2</v>
      </c>
      <c r="BD1002" s="16">
        <f>BD1041/BD$787</f>
        <v>2.0973154362416108E-2</v>
      </c>
      <c r="BE1002" s="16">
        <f t="shared" si="1427"/>
        <v>2.0973154362416108E-2</v>
      </c>
      <c r="BF1002" s="16">
        <f t="shared" si="1427"/>
        <v>2.0973154362416108E-2</v>
      </c>
      <c r="BG1002" s="16">
        <f t="shared" si="1427"/>
        <v>2.0973154362416108E-2</v>
      </c>
      <c r="BH1002" s="651"/>
    </row>
    <row r="1003" spans="1:60" s="21" customFormat="1" x14ac:dyDescent="0.35">
      <c r="A1003" s="100" t="s">
        <v>160</v>
      </c>
      <c r="B1003" s="435"/>
      <c r="C1003" s="16">
        <f>C1061/C$787</f>
        <v>6.2837867058772645E-2</v>
      </c>
      <c r="D1003" s="16">
        <f>D1061/D$787</f>
        <v>6.2335908784037206E-2</v>
      </c>
      <c r="E1003" s="16">
        <f>E1061/E$787</f>
        <v>5.5486136908581271E-2</v>
      </c>
      <c r="F1003" s="16">
        <f>F1061/F$787</f>
        <v>5.8921883360085608E-2</v>
      </c>
      <c r="G1003" s="299"/>
      <c r="H1003" s="299"/>
      <c r="I1003" s="299"/>
      <c r="J1003" s="299"/>
      <c r="K1003" s="16">
        <f>K1061/K$787</f>
        <v>5.8274756243723885E-2</v>
      </c>
      <c r="L1003" s="94">
        <f>L1061/(L$787+J$787+I$787+H$787)</f>
        <v>6.0061799922750098E-2</v>
      </c>
      <c r="M1003" s="94">
        <f>M1061/(M$787+L$787+J$787+I$787)</f>
        <v>5.8632750397456281E-2</v>
      </c>
      <c r="N1003" s="94">
        <f>N1061/(N$787+M$787+L$787+J$787)</f>
        <v>5.6708029427552022E-2</v>
      </c>
      <c r="O1003" s="94">
        <f>O1061/(O$787+N$787+M$787+L$787)</f>
        <v>5.6786398918952895E-2</v>
      </c>
      <c r="P1003" s="16">
        <f>P1061/P$787</f>
        <v>5.6786398918952895E-2</v>
      </c>
      <c r="Q1003" s="94">
        <f>Q1061/(Q$787+O$787+N$787+M$787)</f>
        <v>5.7051444500760266E-2</v>
      </c>
      <c r="R1003" s="94">
        <f>R1061/(R$787+Q$787+O$787+N$787)</f>
        <v>5.507712082262211E-2</v>
      </c>
      <c r="S1003" s="94">
        <f>S1061/(S$787+R$787+Q$787+O$787)</f>
        <v>5.2125753380029317E-2</v>
      </c>
      <c r="T1003" s="94">
        <f>T1061/(T$787+S$787+R$787+Q$787)</f>
        <v>5.5955605470040297E-2</v>
      </c>
      <c r="U1003" s="16">
        <f>U1061/U$787</f>
        <v>5.5955605470040297E-2</v>
      </c>
      <c r="V1003" s="94">
        <f>V1061/(V$787+T$787+S$787+R$787)</f>
        <v>5.251619332336821E-2</v>
      </c>
      <c r="W1003" s="94">
        <f>W1061/(W$787+V$787+T$787+S$787)</f>
        <v>5.4851899870350052E-2</v>
      </c>
      <c r="X1003" s="94">
        <f>X1061/(X$787+W$787+V$787+T$787)</f>
        <v>5.3893210984772927E-2</v>
      </c>
      <c r="Y1003" s="94">
        <f>Y1061/(Y$787+X$787+W$787+V$787)</f>
        <v>5.971636387791026E-2</v>
      </c>
      <c r="Z1003" s="16">
        <f>Z1061/Z$787</f>
        <v>5.971636387791026E-2</v>
      </c>
      <c r="AA1003" s="94">
        <f>AA1061/(AA$787+Y$787+X$787+W$787)</f>
        <v>5.5981569853546159E-2</v>
      </c>
      <c r="AB1003" s="94">
        <f>AB1061/(AB$787+AA$787+Y$787+X$787)</f>
        <v>5.8363082566403567E-2</v>
      </c>
      <c r="AC1003" s="94">
        <f>AC1061/(AC$787+AB$787+AA$787+Y$787)</f>
        <v>5.8846302748741773E-2</v>
      </c>
      <c r="AD1003" s="94">
        <f>AD1061/(AD$787+AC$787+AB$787+AA$787)</f>
        <v>6.1439807941371577E-2</v>
      </c>
      <c r="AE1003" s="16">
        <f>AE1061/AE$787</f>
        <v>6.1439807941371577E-2</v>
      </c>
      <c r="AF1003" s="94">
        <f>AF1061/(AF$787+AD$787+AC$787+AB$787)</f>
        <v>5.8108527131782946E-2</v>
      </c>
      <c r="AG1003" s="94">
        <f>AG1061/(AG$787+AF$787+AD$787+AC$787)</f>
        <v>5.699055741699665E-2</v>
      </c>
      <c r="AH1003" s="94">
        <f>AH1061/(AH$787+AG$787+AF$787+AD$787)</f>
        <v>6.18409021639744E-2</v>
      </c>
      <c r="AI1003" s="94">
        <f>AI1061/(AI$787+AH$787+AG$787+AF$787)</f>
        <v>6.9159163741797647E-2</v>
      </c>
      <c r="AJ1003" s="16">
        <f>AJ1061/AJ$787</f>
        <v>6.9159163741797647E-2</v>
      </c>
      <c r="AK1003" s="94">
        <f>AK1061/(AK$787+AI$787+AH$787+AG$787)</f>
        <v>7.1375579598145292E-2</v>
      </c>
      <c r="AL1003" s="94">
        <f>AL1061/(AL$787+AK$787+AI$787+AH$787)</f>
        <v>6.6291120724533942E-2</v>
      </c>
      <c r="AM1003" s="94">
        <f>AM1061/(AM$787+AL$787+AK$787+AI$787)</f>
        <v>6.5029715358148263E-2</v>
      </c>
      <c r="AN1003" s="94">
        <f>AN1061/(AN$787+AM$787+AL$787+AK$787)</f>
        <v>6.9330346029375156E-2</v>
      </c>
      <c r="AO1003" s="16">
        <f>AO1061/AO$787</f>
        <v>6.9330346029375156E-2</v>
      </c>
      <c r="AP1003" s="94">
        <f>AP1061/(AP$787+AN$787+AM$787+AL$787)</f>
        <v>6.8226783726969206E-2</v>
      </c>
      <c r="AQ1003" s="94">
        <f>AQ1061/(AQ$787+AP$787+AN$787+AM$787)</f>
        <v>6.2992377124996016E-2</v>
      </c>
      <c r="AR1003" s="94">
        <f>AR1061/(AR$787+AQ$787+AP$787+AN$787)</f>
        <v>6.962663975782038E-2</v>
      </c>
      <c r="AS1003" s="94">
        <f>AS1061/(AS$787+AR$787+AQ$787+AP$787)</f>
        <v>7.957370121799652E-2</v>
      </c>
      <c r="AT1003" s="16">
        <f>AT1061/AT$787</f>
        <v>7.957370121799652E-2</v>
      </c>
      <c r="AU1003" s="775">
        <f>AU1061/(AU$787+AS$787+AR$787+AQ$787)</f>
        <v>8.1007281553398064E-2</v>
      </c>
      <c r="AV1003" s="94">
        <f t="shared" si="1425"/>
        <v>6.2992377124996016E-2</v>
      </c>
      <c r="AW1003" s="94">
        <f t="shared" si="1425"/>
        <v>6.962663975782038E-2</v>
      </c>
      <c r="AX1003" s="94">
        <f t="shared" si="1425"/>
        <v>7.957370121799652E-2</v>
      </c>
      <c r="AY1003" s="16">
        <f>AY1061/AY$787</f>
        <v>7.957370121799652E-2</v>
      </c>
      <c r="AZ1003" s="94">
        <f t="shared" si="1426"/>
        <v>8.1007281553398064E-2</v>
      </c>
      <c r="BA1003" s="94">
        <f t="shared" si="1426"/>
        <v>6.2992377124996016E-2</v>
      </c>
      <c r="BB1003" s="94">
        <f t="shared" si="1426"/>
        <v>6.962663975782038E-2</v>
      </c>
      <c r="BC1003" s="94">
        <f t="shared" si="1426"/>
        <v>7.957370121799652E-2</v>
      </c>
      <c r="BD1003" s="16">
        <f>BD1061/BD$787</f>
        <v>7.957370121799652E-2</v>
      </c>
      <c r="BE1003" s="16">
        <f t="shared" si="1427"/>
        <v>7.957370121799652E-2</v>
      </c>
      <c r="BF1003" s="16">
        <f t="shared" si="1427"/>
        <v>7.957370121799652E-2</v>
      </c>
      <c r="BG1003" s="16">
        <f t="shared" si="1427"/>
        <v>7.957370121799652E-2</v>
      </c>
      <c r="BH1003" s="651"/>
    </row>
    <row r="1004" spans="1:60" s="21" customFormat="1" x14ac:dyDescent="0.35">
      <c r="A1004" s="715"/>
      <c r="B1004" s="435"/>
      <c r="C1004" s="116"/>
      <c r="D1004" s="116"/>
      <c r="E1004" s="116"/>
      <c r="F1004" s="116"/>
      <c r="G1004" s="299"/>
      <c r="H1004" s="299"/>
      <c r="I1004" s="299"/>
      <c r="J1004" s="299"/>
      <c r="K1004" s="116"/>
      <c r="L1004" s="299"/>
      <c r="M1004" s="299"/>
      <c r="N1004" s="299"/>
      <c r="O1004" s="299"/>
      <c r="P1004" s="116"/>
      <c r="Q1004" s="299"/>
      <c r="R1004" s="299"/>
      <c r="S1004" s="299"/>
      <c r="T1004" s="299"/>
      <c r="U1004" s="116"/>
      <c r="V1004" s="299"/>
      <c r="W1004" s="299"/>
      <c r="X1004" s="299"/>
      <c r="Y1004" s="299"/>
      <c r="Z1004" s="116"/>
      <c r="AA1004" s="299"/>
      <c r="AB1004" s="299"/>
      <c r="AC1004" s="299"/>
      <c r="AD1004" s="299"/>
      <c r="AE1004" s="116"/>
      <c r="AF1004" s="299"/>
      <c r="AG1004" s="299"/>
      <c r="AH1004" s="299"/>
      <c r="AI1004" s="299"/>
      <c r="AJ1004" s="116"/>
      <c r="AK1004" s="299"/>
      <c r="AL1004" s="299"/>
      <c r="AM1004" s="299"/>
      <c r="AN1004" s="299"/>
      <c r="AO1004" s="116"/>
      <c r="AP1004" s="299"/>
      <c r="AQ1004" s="299"/>
      <c r="AR1004" s="299"/>
      <c r="AS1004" s="299"/>
      <c r="AT1004" s="116"/>
      <c r="AU1004" s="794"/>
      <c r="AV1004" s="299"/>
      <c r="AW1004" s="299"/>
      <c r="AX1004" s="299"/>
      <c r="AY1004" s="116"/>
      <c r="AZ1004" s="299"/>
      <c r="BA1004" s="299"/>
      <c r="BB1004" s="299"/>
      <c r="BC1004" s="299"/>
      <c r="BD1004" s="116"/>
      <c r="BE1004" s="116"/>
      <c r="BF1004" s="116"/>
      <c r="BG1004" s="116"/>
      <c r="BH1004" s="651"/>
    </row>
    <row r="1005" spans="1:60" s="21" customFormat="1" x14ac:dyDescent="0.35">
      <c r="A1005" s="357" t="s">
        <v>161</v>
      </c>
      <c r="B1005" s="716"/>
      <c r="C1005" s="739"/>
      <c r="D1005" s="358">
        <f t="shared" ref="D1005:F1008" si="1429">D1000-C1000</f>
        <v>-4.9664688595944251E-3</v>
      </c>
      <c r="E1005" s="358">
        <f t="shared" si="1429"/>
        <v>-4.9928670143664089E-3</v>
      </c>
      <c r="F1005" s="358">
        <f t="shared" si="1429"/>
        <v>5.207870029139583E-3</v>
      </c>
      <c r="G1005" s="717"/>
      <c r="H1005" s="717"/>
      <c r="I1005" s="717"/>
      <c r="J1005" s="717"/>
      <c r="K1005" s="358">
        <f>K1000-F1000</f>
        <v>1.96560558470249E-3</v>
      </c>
      <c r="L1005" s="717"/>
      <c r="M1005" s="717"/>
      <c r="N1005" s="717"/>
      <c r="O1005" s="717"/>
      <c r="P1005" s="358">
        <f t="shared" ref="P1005:Y1008" si="1430">P1000-K1000</f>
        <v>-4.5843466383783948E-3</v>
      </c>
      <c r="Q1005" s="359">
        <f t="shared" si="1430"/>
        <v>-8.3628665104310551E-3</v>
      </c>
      <c r="R1005" s="359">
        <f t="shared" si="1430"/>
        <v>-4.2115856972956556E-3</v>
      </c>
      <c r="S1005" s="359">
        <f t="shared" si="1430"/>
        <v>1.4392608720905642E-3</v>
      </c>
      <c r="T1005" s="359">
        <f t="shared" si="1430"/>
        <v>4.0309609346396713E-3</v>
      </c>
      <c r="U1005" s="358">
        <f t="shared" si="1430"/>
        <v>4.0309609346396713E-3</v>
      </c>
      <c r="V1005" s="359">
        <f t="shared" si="1430"/>
        <v>9.3435014953996698E-3</v>
      </c>
      <c r="W1005" s="359">
        <f t="shared" si="1430"/>
        <v>8.0397985422221985E-3</v>
      </c>
      <c r="X1005" s="359">
        <f t="shared" si="1430"/>
        <v>7.5026790582309877E-3</v>
      </c>
      <c r="Y1005" s="359">
        <f t="shared" si="1430"/>
        <v>8.6565551605871649E-3</v>
      </c>
      <c r="Z1005" s="358">
        <f t="shared" ref="Z1005:AI1008" si="1431">Z1000-U1000</f>
        <v>8.6565551605871649E-3</v>
      </c>
      <c r="AA1005" s="359">
        <f t="shared" si="1431"/>
        <v>6.4270527893199869E-3</v>
      </c>
      <c r="AB1005" s="359">
        <f t="shared" si="1431"/>
        <v>5.9566111748717843E-3</v>
      </c>
      <c r="AC1005" s="359">
        <f t="shared" si="1431"/>
        <v>8.6540384083844124E-3</v>
      </c>
      <c r="AD1005" s="359">
        <f t="shared" si="1431"/>
        <v>9.2615608320357479E-3</v>
      </c>
      <c r="AE1005" s="358">
        <f t="shared" si="1431"/>
        <v>9.2615608320357479E-3</v>
      </c>
      <c r="AF1005" s="359">
        <f t="shared" si="1431"/>
        <v>7.4470854014309917E-3</v>
      </c>
      <c r="AG1005" s="359">
        <f t="shared" si="1431"/>
        <v>2.8615059926423159E-3</v>
      </c>
      <c r="AH1005" s="359">
        <f t="shared" si="1431"/>
        <v>-3.9240504885273975E-3</v>
      </c>
      <c r="AI1005" s="359">
        <f t="shared" si="1431"/>
        <v>-1.9192972885039572E-3</v>
      </c>
      <c r="AJ1005" s="358">
        <f t="shared" ref="AJ1005:AS1008" si="1432">AJ1000-AE1000</f>
        <v>-1.9192972885039572E-3</v>
      </c>
      <c r="AK1005" s="359">
        <f t="shared" si="1432"/>
        <v>-2.9454488815403301E-3</v>
      </c>
      <c r="AL1005" s="359">
        <f t="shared" si="1432"/>
        <v>3.2869239525107619E-3</v>
      </c>
      <c r="AM1005" s="359">
        <f t="shared" si="1432"/>
        <v>-5.3977855839972E-3</v>
      </c>
      <c r="AN1005" s="359">
        <f t="shared" si="1432"/>
        <v>-4.1271310268760353E-3</v>
      </c>
      <c r="AO1005" s="358">
        <f t="shared" si="1432"/>
        <v>-4.1271310268760353E-3</v>
      </c>
      <c r="AP1005" s="359">
        <f t="shared" si="1432"/>
        <v>-1.0871775240243797E-2</v>
      </c>
      <c r="AQ1005" s="359">
        <f t="shared" si="1432"/>
        <v>-2.5033563446648532E-2</v>
      </c>
      <c r="AR1005" s="359">
        <f t="shared" si="1432"/>
        <v>-1.1241431327363854E-2</v>
      </c>
      <c r="AS1005" s="359">
        <f t="shared" si="1432"/>
        <v>-2.8944844218187771E-3</v>
      </c>
      <c r="AT1005" s="358">
        <f t="shared" ref="AT1005:BC1008" si="1433">AT1000-AO1000</f>
        <v>-2.8944844218187771E-3</v>
      </c>
      <c r="AU1005" s="827">
        <f t="shared" si="1433"/>
        <v>-2.8886443963162811E-3</v>
      </c>
      <c r="AV1005" s="964">
        <f>Drivers!AV122</f>
        <v>0</v>
      </c>
      <c r="AW1005" s="964">
        <f>Drivers!AW122</f>
        <v>0</v>
      </c>
      <c r="AX1005" s="964">
        <f>Drivers!AX122</f>
        <v>-5.0000000000000001E-3</v>
      </c>
      <c r="AY1005" s="358">
        <f>AY1000-AT1000</f>
        <v>-5.0000000000000044E-3</v>
      </c>
      <c r="AZ1005" s="964">
        <f>Drivers!AZ122</f>
        <v>0</v>
      </c>
      <c r="BA1005" s="964">
        <f>Drivers!BA122</f>
        <v>0</v>
      </c>
      <c r="BB1005" s="964">
        <f>Drivers!BB122</f>
        <v>0</v>
      </c>
      <c r="BC1005" s="964">
        <f>Drivers!BC122</f>
        <v>0</v>
      </c>
      <c r="BD1005" s="358">
        <f>BD1000-AY1000</f>
        <v>0</v>
      </c>
      <c r="BE1005" s="964">
        <f>Drivers!BE122</f>
        <v>0</v>
      </c>
      <c r="BF1005" s="964">
        <f>Drivers!BF122</f>
        <v>0</v>
      </c>
      <c r="BG1005" s="964">
        <f>Drivers!BG122</f>
        <v>0</v>
      </c>
      <c r="BH1005" s="651"/>
    </row>
    <row r="1006" spans="1:60" s="21" customFormat="1" x14ac:dyDescent="0.35">
      <c r="A1006" s="357" t="s">
        <v>162</v>
      </c>
      <c r="B1006" s="716"/>
      <c r="C1006" s="739"/>
      <c r="D1006" s="358">
        <f t="shared" si="1429"/>
        <v>4.2044187945233097E-3</v>
      </c>
      <c r="E1006" s="358">
        <f t="shared" si="1429"/>
        <v>-2.9706741180804269E-3</v>
      </c>
      <c r="F1006" s="358">
        <f t="shared" si="1429"/>
        <v>1.2948059707107468E-2</v>
      </c>
      <c r="G1006" s="717"/>
      <c r="H1006" s="717"/>
      <c r="I1006" s="717"/>
      <c r="J1006" s="717"/>
      <c r="K1006" s="358">
        <f>K1001-F1001</f>
        <v>-3.144580489837262E-3</v>
      </c>
      <c r="L1006" s="717"/>
      <c r="M1006" s="717"/>
      <c r="N1006" s="717"/>
      <c r="O1006" s="717"/>
      <c r="P1006" s="358">
        <f t="shared" si="1430"/>
        <v>-8.702043076588159E-3</v>
      </c>
      <c r="Q1006" s="359">
        <f t="shared" si="1430"/>
        <v>-1.0514581066099565E-2</v>
      </c>
      <c r="R1006" s="359">
        <f t="shared" si="1430"/>
        <v>-6.524832332710756E-3</v>
      </c>
      <c r="S1006" s="359">
        <f t="shared" si="1430"/>
        <v>-3.7278900014277305E-3</v>
      </c>
      <c r="T1006" s="359">
        <f t="shared" si="1430"/>
        <v>-2.5864563299250742E-4</v>
      </c>
      <c r="U1006" s="358">
        <f t="shared" si="1430"/>
        <v>-2.5864563299250742E-4</v>
      </c>
      <c r="V1006" s="359">
        <f t="shared" si="1430"/>
        <v>3.1443167363290891E-3</v>
      </c>
      <c r="W1006" s="359">
        <f t="shared" si="1430"/>
        <v>-3.5092129997934401E-3</v>
      </c>
      <c r="X1006" s="359">
        <f t="shared" si="1430"/>
        <v>-7.7948715215879483E-4</v>
      </c>
      <c r="Y1006" s="359">
        <f t="shared" si="1430"/>
        <v>-3.7804683458210059E-3</v>
      </c>
      <c r="Z1006" s="358">
        <f t="shared" si="1431"/>
        <v>-3.7804683458210059E-3</v>
      </c>
      <c r="AA1006" s="359">
        <f t="shared" si="1431"/>
        <v>-1.6038812322085871E-3</v>
      </c>
      <c r="AB1006" s="359">
        <f t="shared" si="1431"/>
        <v>5.5910232995264458E-3</v>
      </c>
      <c r="AC1006" s="359">
        <f t="shared" si="1431"/>
        <v>8.1878289501882695E-3</v>
      </c>
      <c r="AD1006" s="359">
        <f t="shared" si="1431"/>
        <v>1.500351651647612E-2</v>
      </c>
      <c r="AE1006" s="358">
        <f t="shared" si="1431"/>
        <v>1.500351651647612E-2</v>
      </c>
      <c r="AF1006" s="359">
        <f t="shared" si="1431"/>
        <v>1.430384994636022E-2</v>
      </c>
      <c r="AG1006" s="359">
        <f t="shared" si="1431"/>
        <v>3.389185411600687E-3</v>
      </c>
      <c r="AH1006" s="359">
        <f t="shared" si="1431"/>
        <v>6.9908067696517195E-3</v>
      </c>
      <c r="AI1006" s="359">
        <f t="shared" si="1431"/>
        <v>5.8235728020184785E-3</v>
      </c>
      <c r="AJ1006" s="358">
        <f t="shared" si="1432"/>
        <v>5.8235728020184785E-3</v>
      </c>
      <c r="AK1006" s="359">
        <f t="shared" si="1432"/>
        <v>7.099912536093822E-3</v>
      </c>
      <c r="AL1006" s="359">
        <f t="shared" si="1432"/>
        <v>4.7378974852917144E-3</v>
      </c>
      <c r="AM1006" s="359">
        <f t="shared" si="1432"/>
        <v>-9.8969078848207825E-3</v>
      </c>
      <c r="AN1006" s="359">
        <f t="shared" si="1432"/>
        <v>-4.6111689747080908E-3</v>
      </c>
      <c r="AO1006" s="358">
        <f t="shared" si="1432"/>
        <v>-4.6111689747080908E-3</v>
      </c>
      <c r="AP1006" s="359">
        <f t="shared" si="1432"/>
        <v>-9.9146606771911838E-3</v>
      </c>
      <c r="AQ1006" s="359">
        <f t="shared" si="1432"/>
        <v>-8.8930823503413636E-4</v>
      </c>
      <c r="AR1006" s="359">
        <f t="shared" si="1432"/>
        <v>2.9442334782198154E-4</v>
      </c>
      <c r="AS1006" s="359">
        <f t="shared" si="1432"/>
        <v>3.0706326969440201E-3</v>
      </c>
      <c r="AT1006" s="358">
        <f t="shared" si="1433"/>
        <v>3.0706326969440201E-3</v>
      </c>
      <c r="AU1006" s="827">
        <f t="shared" si="1433"/>
        <v>4.8913079363859802E-3</v>
      </c>
      <c r="AV1006" s="964">
        <f>Drivers!AV123</f>
        <v>0</v>
      </c>
      <c r="AW1006" s="964">
        <f>Drivers!AW123</f>
        <v>0</v>
      </c>
      <c r="AX1006" s="964">
        <f>Drivers!AX123</f>
        <v>0</v>
      </c>
      <c r="AY1006" s="358">
        <f>AY1001-AT1001</f>
        <v>0</v>
      </c>
      <c r="AZ1006" s="964">
        <f>Drivers!AZ123</f>
        <v>0</v>
      </c>
      <c r="BA1006" s="964">
        <f>Drivers!BA123</f>
        <v>0</v>
      </c>
      <c r="BB1006" s="964">
        <f>Drivers!BB123</f>
        <v>0</v>
      </c>
      <c r="BC1006" s="964">
        <f>Drivers!BC123</f>
        <v>0</v>
      </c>
      <c r="BD1006" s="358">
        <f>BD1001-AY1001</f>
        <v>0</v>
      </c>
      <c r="BE1006" s="964">
        <f>Drivers!BE123</f>
        <v>0</v>
      </c>
      <c r="BF1006" s="964">
        <f>Drivers!BF123</f>
        <v>0</v>
      </c>
      <c r="BG1006" s="964">
        <f>Drivers!BG123</f>
        <v>0</v>
      </c>
      <c r="BH1006" s="651"/>
    </row>
    <row r="1007" spans="1:60" s="21" customFormat="1" x14ac:dyDescent="0.35">
      <c r="A1007" s="357" t="s">
        <v>163</v>
      </c>
      <c r="B1007" s="716"/>
      <c r="C1007" s="739"/>
      <c r="D1007" s="358">
        <f t="shared" si="1429"/>
        <v>0</v>
      </c>
      <c r="E1007" s="358">
        <f t="shared" si="1429"/>
        <v>0</v>
      </c>
      <c r="F1007" s="358">
        <f t="shared" si="1429"/>
        <v>0</v>
      </c>
      <c r="G1007" s="717"/>
      <c r="H1007" s="717"/>
      <c r="I1007" s="717"/>
      <c r="J1007" s="717"/>
      <c r="K1007" s="358">
        <f>K1002-F1002</f>
        <v>0</v>
      </c>
      <c r="L1007" s="717"/>
      <c r="M1007" s="717"/>
      <c r="N1007" s="717"/>
      <c r="O1007" s="717"/>
      <c r="P1007" s="358">
        <f t="shared" si="1430"/>
        <v>0</v>
      </c>
      <c r="Q1007" s="359">
        <f t="shared" si="1430"/>
        <v>0</v>
      </c>
      <c r="R1007" s="359">
        <f t="shared" si="1430"/>
        <v>0</v>
      </c>
      <c r="S1007" s="359">
        <f t="shared" si="1430"/>
        <v>0</v>
      </c>
      <c r="T1007" s="359">
        <f t="shared" si="1430"/>
        <v>0</v>
      </c>
      <c r="U1007" s="358">
        <f t="shared" si="1430"/>
        <v>0</v>
      </c>
      <c r="V1007" s="359">
        <f t="shared" si="1430"/>
        <v>0</v>
      </c>
      <c r="W1007" s="359">
        <f t="shared" si="1430"/>
        <v>0</v>
      </c>
      <c r="X1007" s="359">
        <f t="shared" si="1430"/>
        <v>0</v>
      </c>
      <c r="Y1007" s="359">
        <f t="shared" si="1430"/>
        <v>0</v>
      </c>
      <c r="Z1007" s="358">
        <f t="shared" si="1431"/>
        <v>0</v>
      </c>
      <c r="AA1007" s="359">
        <f t="shared" si="1431"/>
        <v>0</v>
      </c>
      <c r="AB1007" s="359">
        <f t="shared" si="1431"/>
        <v>0</v>
      </c>
      <c r="AC1007" s="359">
        <f t="shared" si="1431"/>
        <v>0</v>
      </c>
      <c r="AD1007" s="359">
        <f t="shared" si="1431"/>
        <v>2.9598509018542503E-2</v>
      </c>
      <c r="AE1007" s="358">
        <f t="shared" si="1431"/>
        <v>2.9598509018542503E-2</v>
      </c>
      <c r="AF1007" s="359">
        <f t="shared" si="1431"/>
        <v>2.5798449612403102E-2</v>
      </c>
      <c r="AG1007" s="359">
        <f t="shared" si="1431"/>
        <v>2.1717940907706366E-2</v>
      </c>
      <c r="AH1007" s="359">
        <f t="shared" si="1431"/>
        <v>2.2706491923194148E-2</v>
      </c>
      <c r="AI1007" s="359">
        <f t="shared" si="1431"/>
        <v>-6.9829131082723983E-3</v>
      </c>
      <c r="AJ1007" s="358">
        <f t="shared" si="1432"/>
        <v>-6.9829131082723983E-3</v>
      </c>
      <c r="AK1007" s="359">
        <f t="shared" si="1432"/>
        <v>-3.758264140996611E-3</v>
      </c>
      <c r="AL1007" s="359">
        <f t="shared" si="1432"/>
        <v>7.8173987953841055E-3</v>
      </c>
      <c r="AM1007" s="359">
        <f t="shared" si="1432"/>
        <v>-2.7921635234647718E-4</v>
      </c>
      <c r="AN1007" s="359">
        <f t="shared" si="1432"/>
        <v>-7.0870021696664565E-4</v>
      </c>
      <c r="AO1007" s="358">
        <f t="shared" si="1432"/>
        <v>-7.0870021696664565E-4</v>
      </c>
      <c r="AP1007" s="359">
        <f t="shared" si="1432"/>
        <v>-3.3682428474421031E-3</v>
      </c>
      <c r="AQ1007" s="359">
        <f t="shared" si="1432"/>
        <v>-1.1450945865180223E-2</v>
      </c>
      <c r="AR1007" s="359">
        <f t="shared" si="1432"/>
        <v>-6.1558325839657334E-3</v>
      </c>
      <c r="AS1007" s="359">
        <f t="shared" si="1432"/>
        <v>-9.3374133088735059E-4</v>
      </c>
      <c r="AT1007" s="358">
        <f t="shared" si="1433"/>
        <v>-9.3374133088735059E-4</v>
      </c>
      <c r="AU1007" s="827">
        <f t="shared" si="1433"/>
        <v>-2.4401465074595334E-3</v>
      </c>
      <c r="AV1007" s="964">
        <f>Drivers!AV124</f>
        <v>0</v>
      </c>
      <c r="AW1007" s="964">
        <f>Drivers!AW124</f>
        <v>0</v>
      </c>
      <c r="AX1007" s="964">
        <f>Drivers!AX124</f>
        <v>0</v>
      </c>
      <c r="AY1007" s="358">
        <f>AY1002-AT1002</f>
        <v>0</v>
      </c>
      <c r="AZ1007" s="964">
        <f>Drivers!AZ124</f>
        <v>0</v>
      </c>
      <c r="BA1007" s="964">
        <f>Drivers!BA124</f>
        <v>0</v>
      </c>
      <c r="BB1007" s="964">
        <f>Drivers!BB124</f>
        <v>0</v>
      </c>
      <c r="BC1007" s="964">
        <f>Drivers!BC124</f>
        <v>0</v>
      </c>
      <c r="BD1007" s="358">
        <f>BD1002-AY1002</f>
        <v>0</v>
      </c>
      <c r="BE1007" s="964">
        <f>Drivers!BE124</f>
        <v>0</v>
      </c>
      <c r="BF1007" s="964">
        <f>Drivers!BF124</f>
        <v>0</v>
      </c>
      <c r="BG1007" s="964">
        <f>Drivers!BG124</f>
        <v>0</v>
      </c>
      <c r="BH1007" s="651"/>
    </row>
    <row r="1008" spans="1:60" s="21" customFormat="1" x14ac:dyDescent="0.35">
      <c r="A1008" s="357" t="s">
        <v>164</v>
      </c>
      <c r="B1008" s="716"/>
      <c r="C1008" s="739"/>
      <c r="D1008" s="358">
        <f t="shared" si="1429"/>
        <v>-5.0195827473543952E-4</v>
      </c>
      <c r="E1008" s="358">
        <f t="shared" si="1429"/>
        <v>-6.8497718754559345E-3</v>
      </c>
      <c r="F1008" s="358">
        <f t="shared" si="1429"/>
        <v>3.4357464515043373E-3</v>
      </c>
      <c r="G1008" s="717"/>
      <c r="H1008" s="717"/>
      <c r="I1008" s="717"/>
      <c r="J1008" s="717"/>
      <c r="K1008" s="358">
        <f>K1003-F1003</f>
        <v>-6.4712711636172315E-4</v>
      </c>
      <c r="L1008" s="717"/>
      <c r="M1008" s="717"/>
      <c r="N1008" s="717"/>
      <c r="O1008" s="717"/>
      <c r="P1008" s="358">
        <f t="shared" si="1430"/>
        <v>-1.4883573247709905E-3</v>
      </c>
      <c r="Q1008" s="359">
        <f t="shared" si="1430"/>
        <v>-3.0103554219898312E-3</v>
      </c>
      <c r="R1008" s="359">
        <f t="shared" si="1430"/>
        <v>-3.555629574834171E-3</v>
      </c>
      <c r="S1008" s="359">
        <f t="shared" si="1430"/>
        <v>-4.5822760475227042E-3</v>
      </c>
      <c r="T1008" s="359">
        <f t="shared" si="1430"/>
        <v>-8.3079344891259788E-4</v>
      </c>
      <c r="U1008" s="358">
        <f t="shared" si="1430"/>
        <v>-8.3079344891259788E-4</v>
      </c>
      <c r="V1008" s="359">
        <f t="shared" si="1430"/>
        <v>-4.5352511773920565E-3</v>
      </c>
      <c r="W1008" s="359">
        <f t="shared" si="1430"/>
        <v>-2.2522095227205802E-4</v>
      </c>
      <c r="X1008" s="359">
        <f t="shared" si="1430"/>
        <v>1.7674576047436094E-3</v>
      </c>
      <c r="Y1008" s="359">
        <f t="shared" si="1430"/>
        <v>3.760758407869963E-3</v>
      </c>
      <c r="Z1008" s="358">
        <f t="shared" si="1431"/>
        <v>3.760758407869963E-3</v>
      </c>
      <c r="AA1008" s="359">
        <f t="shared" si="1431"/>
        <v>3.4653765301779493E-3</v>
      </c>
      <c r="AB1008" s="359">
        <f t="shared" si="1431"/>
        <v>3.511182696053515E-3</v>
      </c>
      <c r="AC1008" s="359">
        <f t="shared" si="1431"/>
        <v>4.9530917639688463E-3</v>
      </c>
      <c r="AD1008" s="359">
        <f t="shared" si="1431"/>
        <v>1.7234440634613171E-3</v>
      </c>
      <c r="AE1008" s="358">
        <f t="shared" si="1431"/>
        <v>1.7234440634613171E-3</v>
      </c>
      <c r="AF1008" s="359">
        <f t="shared" si="1431"/>
        <v>2.1269572782367865E-3</v>
      </c>
      <c r="AG1008" s="359">
        <f t="shared" si="1431"/>
        <v>-1.3725251494069168E-3</v>
      </c>
      <c r="AH1008" s="359">
        <f t="shared" si="1431"/>
        <v>2.9945994152326266E-3</v>
      </c>
      <c r="AI1008" s="359">
        <f t="shared" si="1431"/>
        <v>7.7193558004260698E-3</v>
      </c>
      <c r="AJ1008" s="358">
        <f t="shared" si="1432"/>
        <v>7.7193558004260698E-3</v>
      </c>
      <c r="AK1008" s="359">
        <f t="shared" si="1432"/>
        <v>1.3267052466362346E-2</v>
      </c>
      <c r="AL1008" s="359">
        <f t="shared" si="1432"/>
        <v>9.300563307537292E-3</v>
      </c>
      <c r="AM1008" s="359">
        <f t="shared" si="1432"/>
        <v>3.1888131941738632E-3</v>
      </c>
      <c r="AN1008" s="359">
        <f t="shared" si="1432"/>
        <v>1.7118228757750931E-4</v>
      </c>
      <c r="AO1008" s="358">
        <f t="shared" si="1432"/>
        <v>1.7118228757750931E-4</v>
      </c>
      <c r="AP1008" s="359">
        <f t="shared" si="1432"/>
        <v>-3.1487958711760855E-3</v>
      </c>
      <c r="AQ1008" s="359">
        <f t="shared" si="1432"/>
        <v>-3.2987435995379261E-3</v>
      </c>
      <c r="AR1008" s="359">
        <f t="shared" si="1432"/>
        <v>4.5969243996721171E-3</v>
      </c>
      <c r="AS1008" s="359">
        <f t="shared" si="1432"/>
        <v>1.0243355188621364E-2</v>
      </c>
      <c r="AT1008" s="358">
        <f t="shared" si="1433"/>
        <v>1.0243355188621364E-2</v>
      </c>
      <c r="AU1008" s="827">
        <f t="shared" si="1433"/>
        <v>1.2780497826428858E-2</v>
      </c>
      <c r="AV1008" s="964">
        <f>Drivers!AV125</f>
        <v>0</v>
      </c>
      <c r="AW1008" s="964">
        <f>Drivers!AW125</f>
        <v>0</v>
      </c>
      <c r="AX1008" s="964">
        <f>Drivers!AX125</f>
        <v>0</v>
      </c>
      <c r="AY1008" s="358">
        <f>AY1003-AT1003</f>
        <v>0</v>
      </c>
      <c r="AZ1008" s="964">
        <f>Drivers!AZ125</f>
        <v>0</v>
      </c>
      <c r="BA1008" s="964">
        <f>Drivers!BA125</f>
        <v>0</v>
      </c>
      <c r="BB1008" s="964">
        <f>Drivers!BB125</f>
        <v>0</v>
      </c>
      <c r="BC1008" s="964">
        <f>Drivers!BC125</f>
        <v>0</v>
      </c>
      <c r="BD1008" s="358">
        <f>BD1003-AY1003</f>
        <v>0</v>
      </c>
      <c r="BE1008" s="964">
        <f>Drivers!BE125</f>
        <v>0</v>
      </c>
      <c r="BF1008" s="964">
        <f>Drivers!BF125</f>
        <v>0</v>
      </c>
      <c r="BG1008" s="964">
        <f>Drivers!BG125</f>
        <v>0</v>
      </c>
      <c r="BH1008" s="651"/>
    </row>
    <row r="1009" spans="1:60" s="21" customFormat="1" x14ac:dyDescent="0.35">
      <c r="A1009" s="430"/>
      <c r="B1009" s="253"/>
      <c r="C1009" s="445"/>
      <c r="D1009" s="445"/>
      <c r="E1009" s="445"/>
      <c r="F1009" s="445"/>
      <c r="G1009" s="446"/>
      <c r="H1009" s="446"/>
      <c r="I1009" s="446"/>
      <c r="J1009" s="446"/>
      <c r="K1009" s="445"/>
      <c r="L1009" s="446"/>
      <c r="M1009" s="446"/>
      <c r="N1009" s="446"/>
      <c r="O1009" s="446"/>
      <c r="P1009" s="445"/>
      <c r="Q1009" s="446"/>
      <c r="R1009" s="446"/>
      <c r="S1009" s="446"/>
      <c r="T1009" s="446"/>
      <c r="U1009" s="445"/>
      <c r="V1009" s="446"/>
      <c r="W1009" s="446"/>
      <c r="X1009" s="446"/>
      <c r="Y1009" s="446"/>
      <c r="Z1009" s="445"/>
      <c r="AA1009" s="446"/>
      <c r="AB1009" s="446"/>
      <c r="AC1009" s="446"/>
      <c r="AD1009" s="446"/>
      <c r="AE1009" s="445"/>
      <c r="AF1009" s="446"/>
      <c r="AG1009" s="446"/>
      <c r="AH1009" s="446"/>
      <c r="AI1009" s="446"/>
      <c r="AJ1009" s="445"/>
      <c r="AK1009" s="446"/>
      <c r="AL1009" s="446"/>
      <c r="AM1009" s="446"/>
      <c r="AN1009" s="446"/>
      <c r="AO1009" s="445"/>
      <c r="AP1009" s="446"/>
      <c r="AQ1009" s="446"/>
      <c r="AR1009" s="446"/>
      <c r="AS1009" s="446"/>
      <c r="AT1009" s="445"/>
      <c r="AU1009" s="767"/>
      <c r="AV1009" s="446"/>
      <c r="AW1009" s="446"/>
      <c r="AX1009" s="446"/>
      <c r="AY1009" s="445"/>
      <c r="AZ1009" s="446"/>
      <c r="BA1009" s="446"/>
      <c r="BB1009" s="446"/>
      <c r="BC1009" s="446"/>
      <c r="BD1009" s="445"/>
      <c r="BE1009" s="445"/>
      <c r="BF1009" s="445"/>
      <c r="BG1009" s="445"/>
      <c r="BH1009" s="651"/>
    </row>
    <row r="1010" spans="1:60" s="21" customFormat="1" x14ac:dyDescent="0.35">
      <c r="A1010" s="355" t="s">
        <v>752</v>
      </c>
      <c r="B1010" s="356"/>
      <c r="C1010" s="565"/>
      <c r="D1010" s="565"/>
      <c r="E1010" s="565"/>
      <c r="F1010" s="565"/>
      <c r="G1010" s="565"/>
      <c r="H1010" s="565"/>
      <c r="I1010" s="565"/>
      <c r="J1010" s="565"/>
      <c r="K1010" s="565"/>
      <c r="L1010" s="565"/>
      <c r="M1010" s="565"/>
      <c r="N1010" s="565"/>
      <c r="O1010" s="565"/>
      <c r="P1010" s="565"/>
      <c r="Q1010" s="565"/>
      <c r="R1010" s="565"/>
      <c r="S1010" s="565"/>
      <c r="T1010" s="565"/>
      <c r="U1010" s="565"/>
      <c r="V1010" s="565"/>
      <c r="W1010" s="565"/>
      <c r="X1010" s="565"/>
      <c r="Y1010" s="565"/>
      <c r="Z1010" s="565"/>
      <c r="AA1010" s="565"/>
      <c r="AB1010" s="565"/>
      <c r="AC1010" s="565"/>
      <c r="AD1010" s="565"/>
      <c r="AE1010" s="565"/>
      <c r="AF1010" s="565"/>
      <c r="AG1010" s="565"/>
      <c r="AH1010" s="565"/>
      <c r="AI1010" s="565"/>
      <c r="AJ1010" s="565"/>
      <c r="AK1010" s="565"/>
      <c r="AL1010" s="565"/>
      <c r="AM1010" s="565"/>
      <c r="AN1010" s="565"/>
      <c r="AO1010" s="565"/>
      <c r="AP1010" s="565"/>
      <c r="AQ1010" s="565"/>
      <c r="AR1010" s="565"/>
      <c r="AS1010" s="565"/>
      <c r="AT1010" s="565"/>
      <c r="AU1010" s="828"/>
      <c r="AV1010" s="565"/>
      <c r="AW1010" s="565"/>
      <c r="AX1010" s="565"/>
      <c r="AY1010" s="565"/>
      <c r="AZ1010" s="565"/>
      <c r="BA1010" s="565"/>
      <c r="BB1010" s="565"/>
      <c r="BC1010" s="565"/>
      <c r="BD1010" s="565"/>
      <c r="BE1010" s="565"/>
      <c r="BF1010" s="565"/>
      <c r="BG1010" s="565"/>
      <c r="BH1010" s="651"/>
    </row>
    <row r="1011" spans="1:60" s="21" customFormat="1" x14ac:dyDescent="0.35">
      <c r="A1011" s="428" t="s">
        <v>754</v>
      </c>
      <c r="B1011" s="429"/>
      <c r="C1011" s="519">
        <v>6886</v>
      </c>
      <c r="D1011" s="519">
        <f t="shared" ref="D1011:J1011" si="1434">C1015</f>
        <v>7000</v>
      </c>
      <c r="E1011" s="519">
        <f t="shared" si="1434"/>
        <v>7279</v>
      </c>
      <c r="F1011" s="519">
        <f t="shared" si="1434"/>
        <v>7666</v>
      </c>
      <c r="G1011" s="520">
        <f t="shared" si="1434"/>
        <v>8378</v>
      </c>
      <c r="H1011" s="520">
        <f t="shared" si="1434"/>
        <v>8318</v>
      </c>
      <c r="I1011" s="520">
        <f t="shared" si="1434"/>
        <v>8329</v>
      </c>
      <c r="J1011" s="520">
        <f t="shared" si="1434"/>
        <v>8448</v>
      </c>
      <c r="K1011" s="519">
        <f>F1015</f>
        <v>8378</v>
      </c>
      <c r="L1011" s="520">
        <f>K1015</f>
        <v>8652</v>
      </c>
      <c r="M1011" s="520">
        <f>L1015</f>
        <v>8630</v>
      </c>
      <c r="N1011" s="520">
        <f>M1015</f>
        <v>8685</v>
      </c>
      <c r="O1011" s="520">
        <f>N1015</f>
        <v>8499</v>
      </c>
      <c r="P1011" s="519">
        <f>K1015</f>
        <v>8652</v>
      </c>
      <c r="Q1011" s="520">
        <f>P1015</f>
        <v>8489</v>
      </c>
      <c r="R1011" s="520">
        <f>Q1015</f>
        <v>8286</v>
      </c>
      <c r="S1011" s="520">
        <f>R1015</f>
        <v>8389</v>
      </c>
      <c r="T1011" s="520">
        <f>S1015</f>
        <v>8470</v>
      </c>
      <c r="U1011" s="519">
        <f>P1015</f>
        <v>8489</v>
      </c>
      <c r="V1011" s="520">
        <f>U1015</f>
        <v>8515</v>
      </c>
      <c r="W1011" s="520">
        <f>V1015</f>
        <v>8614</v>
      </c>
      <c r="X1011" s="520">
        <f>W1015</f>
        <v>8604</v>
      </c>
      <c r="Y1011" s="520">
        <f>X1015</f>
        <v>8671</v>
      </c>
      <c r="Z1011" s="519">
        <f>U1015</f>
        <v>8515</v>
      </c>
      <c r="AA1011" s="520">
        <f>Z1015</f>
        <v>8516</v>
      </c>
      <c r="AB1011" s="520">
        <f>AA1015</f>
        <v>8551</v>
      </c>
      <c r="AC1011" s="520">
        <f>AB1015</f>
        <v>8566</v>
      </c>
      <c r="AD1011" s="520">
        <f>AC1015</f>
        <v>8658</v>
      </c>
      <c r="AE1011" s="519">
        <f>Z1015</f>
        <v>8516</v>
      </c>
      <c r="AF1011" s="520">
        <f>AE1015</f>
        <v>8866</v>
      </c>
      <c r="AG1011" s="520">
        <f>AF1015</f>
        <v>8864</v>
      </c>
      <c r="AH1011" s="520">
        <f>AG1015</f>
        <v>8645</v>
      </c>
      <c r="AI1011" s="520">
        <f>AH1015</f>
        <v>8630</v>
      </c>
      <c r="AJ1011" s="519">
        <f>AE1015</f>
        <v>8866</v>
      </c>
      <c r="AK1011" s="520">
        <f>AJ1015</f>
        <v>8738</v>
      </c>
      <c r="AL1011" s="520">
        <f>AK1015</f>
        <v>8829</v>
      </c>
      <c r="AM1011" s="520">
        <f>AL1015</f>
        <v>8998</v>
      </c>
      <c r="AN1011" s="520">
        <f>AM1015</f>
        <v>8891</v>
      </c>
      <c r="AO1011" s="519">
        <f>AJ1015</f>
        <v>8738</v>
      </c>
      <c r="AP1011" s="520">
        <f>AO1015</f>
        <v>9333</v>
      </c>
      <c r="AQ1011" s="520">
        <f>AP1015</f>
        <v>9165</v>
      </c>
      <c r="AR1011" s="520">
        <f>AQ1015</f>
        <v>9089</v>
      </c>
      <c r="AS1011" s="520">
        <f>AR1015</f>
        <v>9216</v>
      </c>
      <c r="AT1011" s="519">
        <f>AO1015</f>
        <v>9333</v>
      </c>
      <c r="AU1011" s="766">
        <f>AT1015</f>
        <v>9421</v>
      </c>
      <c r="AV1011" s="520">
        <f>AU1015</f>
        <v>9240</v>
      </c>
      <c r="AW1011" s="520">
        <f>AV1015</f>
        <v>9238.4676712328765</v>
      </c>
      <c r="AX1011" s="520">
        <f>AW1015</f>
        <v>9233.3206610020643</v>
      </c>
      <c r="AY1011" s="519">
        <f>AT1015</f>
        <v>9421</v>
      </c>
      <c r="AZ1011" s="520">
        <f>AY1015</f>
        <v>9228.3617634191396</v>
      </c>
      <c r="BA1011" s="520">
        <f>AZ1015</f>
        <v>9230.9162263982635</v>
      </c>
      <c r="BB1011" s="520">
        <f>BA1015</f>
        <v>9229.7122822686051</v>
      </c>
      <c r="BC1011" s="520">
        <f>BB1015</f>
        <v>9224.8852635139119</v>
      </c>
      <c r="BD1011" s="519">
        <f>AY1015</f>
        <v>9228.3617634191396</v>
      </c>
      <c r="BE1011" s="519">
        <f>BD1015</f>
        <v>9220.2346623761714</v>
      </c>
      <c r="BF1011" s="519">
        <f>BE1015</f>
        <v>9213.3006363316272</v>
      </c>
      <c r="BG1011" s="519">
        <f>BF1015</f>
        <v>9207.3720440635407</v>
      </c>
      <c r="BH1011" s="651"/>
    </row>
    <row r="1012" spans="1:60" s="21" customFormat="1" x14ac:dyDescent="0.35">
      <c r="A1012" s="430" t="s">
        <v>755</v>
      </c>
      <c r="B1012" s="253"/>
      <c r="C1012" s="445">
        <f t="shared" ref="C1012:AR1012" si="1435">-C799</f>
        <v>-976</v>
      </c>
      <c r="D1012" s="445">
        <f t="shared" si="1435"/>
        <v>-944</v>
      </c>
      <c r="E1012" s="445">
        <f t="shared" si="1435"/>
        <v>-1001</v>
      </c>
      <c r="F1012" s="445">
        <f t="shared" si="1435"/>
        <v>-1055</v>
      </c>
      <c r="G1012" s="446">
        <f t="shared" si="1435"/>
        <v>-276</v>
      </c>
      <c r="H1012" s="446">
        <f t="shared" si="1435"/>
        <v>-275</v>
      </c>
      <c r="I1012" s="446">
        <f t="shared" si="1435"/>
        <v>-284</v>
      </c>
      <c r="J1012" s="446">
        <f t="shared" si="1435"/>
        <v>-300</v>
      </c>
      <c r="K1012" s="445">
        <f t="shared" si="1435"/>
        <v>-1135</v>
      </c>
      <c r="L1012" s="446">
        <f t="shared" si="1435"/>
        <v>-293</v>
      </c>
      <c r="M1012" s="446">
        <f t="shared" si="1435"/>
        <v>-301</v>
      </c>
      <c r="N1012" s="446">
        <f t="shared" si="1435"/>
        <v>-294</v>
      </c>
      <c r="O1012" s="446">
        <f t="shared" si="1435"/>
        <v>-292</v>
      </c>
      <c r="P1012" s="445">
        <f t="shared" si="1435"/>
        <v>-1180</v>
      </c>
      <c r="Q1012" s="446">
        <f t="shared" si="1435"/>
        <v>-286</v>
      </c>
      <c r="R1012" s="446">
        <f t="shared" si="1435"/>
        <v>-294</v>
      </c>
      <c r="S1012" s="446">
        <f t="shared" si="1435"/>
        <v>-289</v>
      </c>
      <c r="T1012" s="446">
        <f t="shared" si="1435"/>
        <v>-337</v>
      </c>
      <c r="U1012" s="445">
        <f t="shared" si="1435"/>
        <v>-1206</v>
      </c>
      <c r="V1012" s="446">
        <f t="shared" si="1435"/>
        <v>-290</v>
      </c>
      <c r="W1012" s="446">
        <f t="shared" si="1435"/>
        <v>-300</v>
      </c>
      <c r="X1012" s="446">
        <f t="shared" si="1435"/>
        <v>-305</v>
      </c>
      <c r="Y1012" s="446">
        <f t="shared" si="1435"/>
        <v>-317</v>
      </c>
      <c r="Z1012" s="445">
        <f t="shared" si="1435"/>
        <v>-1212</v>
      </c>
      <c r="AA1012" s="446">
        <f t="shared" si="1435"/>
        <v>-374</v>
      </c>
      <c r="AB1012" s="446">
        <f t="shared" si="1435"/>
        <v>-333</v>
      </c>
      <c r="AC1012" s="446">
        <f t="shared" si="1435"/>
        <v>-326</v>
      </c>
      <c r="AD1012" s="446">
        <f t="shared" si="1435"/>
        <v>-273</v>
      </c>
      <c r="AE1012" s="445">
        <f t="shared" si="1435"/>
        <v>-1306</v>
      </c>
      <c r="AF1012" s="446">
        <f t="shared" si="1435"/>
        <v>-318</v>
      </c>
      <c r="AG1012" s="446">
        <f t="shared" si="1435"/>
        <v>-317</v>
      </c>
      <c r="AH1012" s="446">
        <f t="shared" si="1435"/>
        <v>-294</v>
      </c>
      <c r="AI1012" s="446">
        <f t="shared" si="1435"/>
        <v>-310</v>
      </c>
      <c r="AJ1012" s="445">
        <f t="shared" si="1435"/>
        <v>-1239</v>
      </c>
      <c r="AK1012" s="446">
        <f t="shared" si="1435"/>
        <v>-306</v>
      </c>
      <c r="AL1012" s="446">
        <f t="shared" si="1435"/>
        <v>-306</v>
      </c>
      <c r="AM1012" s="446">
        <f t="shared" si="1435"/>
        <v>-310</v>
      </c>
      <c r="AN1012" s="446">
        <f t="shared" si="1435"/>
        <v>-330</v>
      </c>
      <c r="AO1012" s="445">
        <f t="shared" si="1435"/>
        <v>-1252</v>
      </c>
      <c r="AP1012" s="446">
        <f t="shared" si="1435"/>
        <v>-306</v>
      </c>
      <c r="AQ1012" s="446">
        <f t="shared" si="1435"/>
        <v>-358</v>
      </c>
      <c r="AR1012" s="446">
        <f t="shared" si="1435"/>
        <v>-344</v>
      </c>
      <c r="AS1012" s="446">
        <f t="shared" ref="AS1012" si="1436">-AS799</f>
        <v>-366</v>
      </c>
      <c r="AT1012" s="445">
        <f>-AT799</f>
        <v>-1374</v>
      </c>
      <c r="AU1012" s="767">
        <f t="shared" ref="AU1012" si="1437">-AU799</f>
        <v>-327</v>
      </c>
      <c r="AV1012" s="446">
        <f>-AV1011*AV1023*AV3/AY3</f>
        <v>-334.03232876712332</v>
      </c>
      <c r="AW1012" s="446">
        <f>-AW1011*AW1023*AW3/AY3</f>
        <v>-337.64701023081255</v>
      </c>
      <c r="AX1012" s="446">
        <f>-AX1011*AX1023*AX3/AY3</f>
        <v>-337.45889758292475</v>
      </c>
      <c r="AY1012" s="445">
        <f>IF(OR(ISBLANK(AU1012),ISBLANK(AV1012),ISBLANK(AW1012),ISBLANK(AX1012)),"n/a",SUM(AU1012,AV1012,AW1012,AX1012))</f>
        <v>-1336.1382365808606</v>
      </c>
      <c r="AZ1012" s="446">
        <f>-AZ1011*AZ1023*AZ3/BD3</f>
        <v>-329.94553702087609</v>
      </c>
      <c r="BA1012" s="446">
        <f>-BA1011*BA1023*BA3/BD3</f>
        <v>-333.70394412965771</v>
      </c>
      <c r="BB1012" s="446">
        <f>-BB1011*BB1023*BB3/BD3</f>
        <v>-337.32701875469365</v>
      </c>
      <c r="BC1012" s="446">
        <f>-BC1011*BC1023*BC3/BD3</f>
        <v>-337.15060113774132</v>
      </c>
      <c r="BD1012" s="445">
        <f>IF(OR(ISBLANK(AZ1012),ISBLANK(BA1012),ISBLANK(BB1012),ISBLANK(BC1012)),"n/a",SUM(AZ1012,BA1012,BB1012,BC1012))</f>
        <v>-1338.1271010429687</v>
      </c>
      <c r="BE1012" s="445">
        <f>-BE1011*BE1023</f>
        <v>-1336.9340260445447</v>
      </c>
      <c r="BF1012" s="445">
        <f>-BF1011*BF1023</f>
        <v>-1335.9285922680858</v>
      </c>
      <c r="BG1012" s="445">
        <f>-BG1011*BG1023</f>
        <v>-1335.0689463892134</v>
      </c>
      <c r="BH1012" s="651"/>
    </row>
    <row r="1013" spans="1:60" s="21" customFormat="1" x14ac:dyDescent="0.35">
      <c r="A1013" s="430" t="s">
        <v>757</v>
      </c>
      <c r="B1013" s="253"/>
      <c r="C1013" s="445"/>
      <c r="D1013" s="445"/>
      <c r="E1013" s="445"/>
      <c r="F1013" s="445"/>
      <c r="G1013" s="446"/>
      <c r="H1013" s="446"/>
      <c r="I1013" s="446"/>
      <c r="J1013" s="446"/>
      <c r="K1013" s="445"/>
      <c r="L1013" s="446"/>
      <c r="M1013" s="446"/>
      <c r="N1013" s="446"/>
      <c r="O1013" s="446"/>
      <c r="P1013" s="445"/>
      <c r="Q1013" s="446"/>
      <c r="R1013" s="446"/>
      <c r="S1013" s="446"/>
      <c r="T1013" s="446"/>
      <c r="U1013" s="445"/>
      <c r="V1013" s="446"/>
      <c r="W1013" s="446"/>
      <c r="X1013" s="446"/>
      <c r="Y1013" s="446"/>
      <c r="Z1013" s="445"/>
      <c r="AA1013" s="446"/>
      <c r="AB1013" s="446"/>
      <c r="AC1013" s="446"/>
      <c r="AD1013" s="446"/>
      <c r="AE1013" s="445"/>
      <c r="AF1013" s="446"/>
      <c r="AG1013" s="446"/>
      <c r="AH1013" s="446"/>
      <c r="AI1013" s="446"/>
      <c r="AJ1013" s="445"/>
      <c r="AK1013" s="446"/>
      <c r="AL1013" s="446"/>
      <c r="AM1013" s="446"/>
      <c r="AN1013" s="446"/>
      <c r="AO1013" s="445"/>
      <c r="AP1013" s="446"/>
      <c r="AQ1013" s="446"/>
      <c r="AR1013" s="446"/>
      <c r="AS1013" s="446"/>
      <c r="AT1013" s="445"/>
      <c r="AU1013" s="767"/>
      <c r="AV1013" s="446">
        <f>AV1029*(1-AV1030)</f>
        <v>332.5</v>
      </c>
      <c r="AW1013" s="446">
        <f>AW1029*(1-AW1030)</f>
        <v>332.5</v>
      </c>
      <c r="AX1013" s="446">
        <f>AX1029*(1-AX1030)</f>
        <v>332.5</v>
      </c>
      <c r="AY1013" s="445" t="str">
        <f>IF(OR(ISBLANK(AU1013),ISBLANK(AV1013),ISBLANK(AW1013),ISBLANK(AX1013)),"n/a",SUM(AU1013,AV1013,AW1013,AX1013))</f>
        <v>n/a</v>
      </c>
      <c r="AZ1013" s="446">
        <f>AZ1029*(1-AZ1030)</f>
        <v>332.5</v>
      </c>
      <c r="BA1013" s="446">
        <f>BA1029*(1-BA1030)</f>
        <v>332.5</v>
      </c>
      <c r="BB1013" s="446">
        <f>BB1029*(1-BB1030)</f>
        <v>332.5</v>
      </c>
      <c r="BC1013" s="446">
        <f>BC1029*(1-BC1030)</f>
        <v>332.5</v>
      </c>
      <c r="BD1013" s="445">
        <f>IF(OR(ISBLANK(AZ1013),ISBLANK(BA1013),ISBLANK(BB1013),ISBLANK(BC1013)),"n/a",SUM(AZ1013,BA1013,BB1013,BC1013))</f>
        <v>1330</v>
      </c>
      <c r="BE1013" s="445">
        <f>BE1029*(1-BE1030)</f>
        <v>1330</v>
      </c>
      <c r="BF1013" s="445">
        <f>BF1029*(1-BF1030)</f>
        <v>1330</v>
      </c>
      <c r="BG1013" s="445">
        <f>BG1029*(1-BG1030)</f>
        <v>1330</v>
      </c>
      <c r="BH1013" s="651"/>
    </row>
    <row r="1014" spans="1:60" s="21" customFormat="1" x14ac:dyDescent="0.35">
      <c r="A1014" s="430" t="s">
        <v>758</v>
      </c>
      <c r="B1014" s="253"/>
      <c r="C1014" s="445">
        <f t="shared" ref="C1014:AQ1014" si="1438">C1015-C1011-C1012-C1013</f>
        <v>1090</v>
      </c>
      <c r="D1014" s="445">
        <f t="shared" si="1438"/>
        <v>1223</v>
      </c>
      <c r="E1014" s="445">
        <f t="shared" si="1438"/>
        <v>1388</v>
      </c>
      <c r="F1014" s="445">
        <f t="shared" si="1438"/>
        <v>1767</v>
      </c>
      <c r="G1014" s="446">
        <f t="shared" si="1438"/>
        <v>216</v>
      </c>
      <c r="H1014" s="446">
        <f t="shared" si="1438"/>
        <v>286</v>
      </c>
      <c r="I1014" s="446">
        <f t="shared" si="1438"/>
        <v>403</v>
      </c>
      <c r="J1014" s="446">
        <f t="shared" si="1438"/>
        <v>504</v>
      </c>
      <c r="K1014" s="445">
        <f t="shared" si="1438"/>
        <v>1409</v>
      </c>
      <c r="L1014" s="446">
        <f t="shared" si="1438"/>
        <v>271</v>
      </c>
      <c r="M1014" s="446">
        <f t="shared" si="1438"/>
        <v>356</v>
      </c>
      <c r="N1014" s="446">
        <f t="shared" si="1438"/>
        <v>108</v>
      </c>
      <c r="O1014" s="446">
        <f t="shared" si="1438"/>
        <v>282</v>
      </c>
      <c r="P1014" s="445">
        <f t="shared" si="1438"/>
        <v>1017</v>
      </c>
      <c r="Q1014" s="446">
        <f t="shared" si="1438"/>
        <v>83</v>
      </c>
      <c r="R1014" s="446">
        <f t="shared" si="1438"/>
        <v>397</v>
      </c>
      <c r="S1014" s="446">
        <f t="shared" si="1438"/>
        <v>370</v>
      </c>
      <c r="T1014" s="446">
        <f t="shared" si="1438"/>
        <v>382</v>
      </c>
      <c r="U1014" s="445">
        <f t="shared" si="1438"/>
        <v>1232</v>
      </c>
      <c r="V1014" s="446">
        <f t="shared" si="1438"/>
        <v>389</v>
      </c>
      <c r="W1014" s="446">
        <f t="shared" si="1438"/>
        <v>290</v>
      </c>
      <c r="X1014" s="446">
        <f t="shared" si="1438"/>
        <v>372</v>
      </c>
      <c r="Y1014" s="446">
        <f t="shared" si="1438"/>
        <v>162</v>
      </c>
      <c r="Z1014" s="445">
        <f t="shared" si="1438"/>
        <v>1213</v>
      </c>
      <c r="AA1014" s="446">
        <f t="shared" si="1438"/>
        <v>409</v>
      </c>
      <c r="AB1014" s="446">
        <f t="shared" si="1438"/>
        <v>348</v>
      </c>
      <c r="AC1014" s="446">
        <f t="shared" si="1438"/>
        <v>418</v>
      </c>
      <c r="AD1014" s="446">
        <f t="shared" si="1438"/>
        <v>481</v>
      </c>
      <c r="AE1014" s="445">
        <f t="shared" si="1438"/>
        <v>1656</v>
      </c>
      <c r="AF1014" s="446">
        <f t="shared" si="1438"/>
        <v>316</v>
      </c>
      <c r="AG1014" s="446">
        <f t="shared" si="1438"/>
        <v>98</v>
      </c>
      <c r="AH1014" s="446">
        <f t="shared" si="1438"/>
        <v>279</v>
      </c>
      <c r="AI1014" s="446">
        <f t="shared" si="1438"/>
        <v>418</v>
      </c>
      <c r="AJ1014" s="445">
        <f t="shared" si="1438"/>
        <v>1111</v>
      </c>
      <c r="AK1014" s="446">
        <f t="shared" si="1438"/>
        <v>397</v>
      </c>
      <c r="AL1014" s="446">
        <f t="shared" si="1438"/>
        <v>475</v>
      </c>
      <c r="AM1014" s="446">
        <f t="shared" si="1438"/>
        <v>203</v>
      </c>
      <c r="AN1014" s="446">
        <f t="shared" si="1438"/>
        <v>772</v>
      </c>
      <c r="AO1014" s="445">
        <f t="shared" si="1438"/>
        <v>1847</v>
      </c>
      <c r="AP1014" s="446">
        <f t="shared" si="1438"/>
        <v>138</v>
      </c>
      <c r="AQ1014" s="446">
        <f t="shared" si="1438"/>
        <v>282</v>
      </c>
      <c r="AR1014" s="446">
        <f t="shared" ref="AR1014:AX1014" si="1439">AR1015-AR1011-AR1012-AR1013</f>
        <v>471</v>
      </c>
      <c r="AS1014" s="446">
        <f t="shared" si="1439"/>
        <v>571</v>
      </c>
      <c r="AT1014" s="445">
        <f t="shared" si="1439"/>
        <v>1462</v>
      </c>
      <c r="AU1014" s="767">
        <f t="shared" si="1439"/>
        <v>146</v>
      </c>
      <c r="AV1014" s="446">
        <f t="shared" si="1439"/>
        <v>0</v>
      </c>
      <c r="AW1014" s="446">
        <f t="shared" si="1439"/>
        <v>0</v>
      </c>
      <c r="AX1014" s="446">
        <f t="shared" si="1439"/>
        <v>0</v>
      </c>
      <c r="AY1014" s="445">
        <f>AY1015-AY1011-IF(ISNUMBER(AY1012),AY1012,0)-IF(ISNUMBER(AY1013),AY1013,0)</f>
        <v>1143.5000000000002</v>
      </c>
      <c r="AZ1014" s="446">
        <f>AZ1015-AZ1011-AZ1012-AZ1013</f>
        <v>0</v>
      </c>
      <c r="BA1014" s="446">
        <f>BA1015-BA1011-BA1012-BA1013</f>
        <v>-6.2527760746888816E-13</v>
      </c>
      <c r="BB1014" s="446">
        <f>BB1015-BB1011-BB1012-BB1013</f>
        <v>4.5474735088646412E-13</v>
      </c>
      <c r="BC1014" s="446">
        <f>BC1015-BC1011-BC1012-BC1013</f>
        <v>7.9580786405131221E-13</v>
      </c>
      <c r="BD1014" s="445">
        <f>BD1015-BD1011-IF(ISNUMBER(BD1012),BD1012,0)-IF(ISNUMBER(BD1013),BD1013,0)</f>
        <v>0</v>
      </c>
      <c r="BE1014" s="445">
        <f>BE1015-BE1011-BE1012-BE1013</f>
        <v>0</v>
      </c>
      <c r="BF1014" s="445">
        <f>BF1015-BF1011-BF1012-BF1013</f>
        <v>0</v>
      </c>
      <c r="BG1014" s="445">
        <f>BG1015-BG1011-BG1012-BG1013</f>
        <v>0</v>
      </c>
      <c r="BH1014" s="651"/>
    </row>
    <row r="1015" spans="1:60" s="21" customFormat="1" x14ac:dyDescent="0.35">
      <c r="A1015" s="628" t="s">
        <v>753</v>
      </c>
      <c r="B1015" s="629"/>
      <c r="C1015" s="570">
        <f t="shared" ref="C1015:AH1015" si="1440">C1050</f>
        <v>7000</v>
      </c>
      <c r="D1015" s="570">
        <f t="shared" si="1440"/>
        <v>7279</v>
      </c>
      <c r="E1015" s="570">
        <f t="shared" si="1440"/>
        <v>7666</v>
      </c>
      <c r="F1015" s="570">
        <f t="shared" si="1440"/>
        <v>8378</v>
      </c>
      <c r="G1015" s="569">
        <f t="shared" si="1440"/>
        <v>8318</v>
      </c>
      <c r="H1015" s="569">
        <f t="shared" si="1440"/>
        <v>8329</v>
      </c>
      <c r="I1015" s="569">
        <f t="shared" si="1440"/>
        <v>8448</v>
      </c>
      <c r="J1015" s="569">
        <f t="shared" si="1440"/>
        <v>8652</v>
      </c>
      <c r="K1015" s="570">
        <f t="shared" si="1440"/>
        <v>8652</v>
      </c>
      <c r="L1015" s="569">
        <f t="shared" si="1440"/>
        <v>8630</v>
      </c>
      <c r="M1015" s="569">
        <f t="shared" si="1440"/>
        <v>8685</v>
      </c>
      <c r="N1015" s="569">
        <f t="shared" si="1440"/>
        <v>8499</v>
      </c>
      <c r="O1015" s="569">
        <f t="shared" si="1440"/>
        <v>8489</v>
      </c>
      <c r="P1015" s="570">
        <f t="shared" si="1440"/>
        <v>8489</v>
      </c>
      <c r="Q1015" s="569">
        <f t="shared" si="1440"/>
        <v>8286</v>
      </c>
      <c r="R1015" s="569">
        <f t="shared" si="1440"/>
        <v>8389</v>
      </c>
      <c r="S1015" s="569">
        <f t="shared" si="1440"/>
        <v>8470</v>
      </c>
      <c r="T1015" s="569">
        <f t="shared" si="1440"/>
        <v>8515</v>
      </c>
      <c r="U1015" s="570">
        <f t="shared" si="1440"/>
        <v>8515</v>
      </c>
      <c r="V1015" s="569">
        <f t="shared" si="1440"/>
        <v>8614</v>
      </c>
      <c r="W1015" s="569">
        <f t="shared" si="1440"/>
        <v>8604</v>
      </c>
      <c r="X1015" s="569">
        <f t="shared" si="1440"/>
        <v>8671</v>
      </c>
      <c r="Y1015" s="569">
        <f t="shared" si="1440"/>
        <v>8516</v>
      </c>
      <c r="Z1015" s="570">
        <f t="shared" si="1440"/>
        <v>8516</v>
      </c>
      <c r="AA1015" s="569">
        <f t="shared" si="1440"/>
        <v>8551</v>
      </c>
      <c r="AB1015" s="569">
        <f t="shared" si="1440"/>
        <v>8566</v>
      </c>
      <c r="AC1015" s="569">
        <f t="shared" si="1440"/>
        <v>8658</v>
      </c>
      <c r="AD1015" s="569">
        <f t="shared" si="1440"/>
        <v>8866</v>
      </c>
      <c r="AE1015" s="570">
        <f t="shared" si="1440"/>
        <v>8866</v>
      </c>
      <c r="AF1015" s="569">
        <f t="shared" si="1440"/>
        <v>8864</v>
      </c>
      <c r="AG1015" s="569">
        <f t="shared" si="1440"/>
        <v>8645</v>
      </c>
      <c r="AH1015" s="569">
        <f t="shared" si="1440"/>
        <v>8630</v>
      </c>
      <c r="AI1015" s="569">
        <f t="shared" ref="AI1015:AY1015" si="1441">AI1050</f>
        <v>8738</v>
      </c>
      <c r="AJ1015" s="570">
        <f t="shared" si="1441"/>
        <v>8738</v>
      </c>
      <c r="AK1015" s="569">
        <f t="shared" si="1441"/>
        <v>8829</v>
      </c>
      <c r="AL1015" s="569">
        <f t="shared" si="1441"/>
        <v>8998</v>
      </c>
      <c r="AM1015" s="569">
        <f t="shared" si="1441"/>
        <v>8891</v>
      </c>
      <c r="AN1015" s="569">
        <f t="shared" si="1441"/>
        <v>9333</v>
      </c>
      <c r="AO1015" s="570">
        <f t="shared" si="1441"/>
        <v>9333</v>
      </c>
      <c r="AP1015" s="569">
        <f t="shared" si="1441"/>
        <v>9165</v>
      </c>
      <c r="AQ1015" s="569">
        <f t="shared" si="1441"/>
        <v>9089</v>
      </c>
      <c r="AR1015" s="569">
        <f>AR1050</f>
        <v>9216</v>
      </c>
      <c r="AS1015" s="569">
        <f t="shared" ref="AS1015" si="1442">AS1050</f>
        <v>9421</v>
      </c>
      <c r="AT1015" s="570">
        <f>AT1050</f>
        <v>9421</v>
      </c>
      <c r="AU1015" s="829">
        <f t="shared" ref="AU1015" si="1443">AU1050</f>
        <v>9240</v>
      </c>
      <c r="AV1015" s="569">
        <f t="shared" si="1441"/>
        <v>9238.4676712328765</v>
      </c>
      <c r="AW1015" s="569">
        <f t="shared" si="1441"/>
        <v>9233.3206610020643</v>
      </c>
      <c r="AX1015" s="569">
        <f t="shared" si="1441"/>
        <v>9228.3617634191396</v>
      </c>
      <c r="AY1015" s="570">
        <f t="shared" si="1441"/>
        <v>9228.3617634191396</v>
      </c>
      <c r="AZ1015" s="569">
        <f t="shared" ref="AZ1015:BG1015" si="1444">AZ1050</f>
        <v>9230.9162263982635</v>
      </c>
      <c r="BA1015" s="569">
        <f t="shared" si="1444"/>
        <v>9229.7122822686051</v>
      </c>
      <c r="BB1015" s="569">
        <f t="shared" si="1444"/>
        <v>9224.8852635139119</v>
      </c>
      <c r="BC1015" s="569">
        <f t="shared" si="1444"/>
        <v>9220.2346623761714</v>
      </c>
      <c r="BD1015" s="570">
        <f t="shared" si="1444"/>
        <v>9220.2346623761714</v>
      </c>
      <c r="BE1015" s="570">
        <f t="shared" si="1444"/>
        <v>9213.3006363316272</v>
      </c>
      <c r="BF1015" s="570">
        <f t="shared" si="1444"/>
        <v>9207.3720440635407</v>
      </c>
      <c r="BG1015" s="570">
        <f t="shared" si="1444"/>
        <v>9202.3030976743266</v>
      </c>
      <c r="BH1015" s="651"/>
    </row>
    <row r="1016" spans="1:60" s="21" customFormat="1" x14ac:dyDescent="0.35">
      <c r="A1016" s="430"/>
      <c r="B1016" s="253"/>
      <c r="C1016" s="445"/>
      <c r="D1016" s="445"/>
      <c r="E1016" s="445"/>
      <c r="F1016" s="445"/>
      <c r="G1016" s="446"/>
      <c r="H1016" s="446"/>
      <c r="I1016" s="446"/>
      <c r="J1016" s="446"/>
      <c r="K1016" s="445"/>
      <c r="L1016" s="446"/>
      <c r="M1016" s="446"/>
      <c r="N1016" s="446"/>
      <c r="O1016" s="446"/>
      <c r="P1016" s="445"/>
      <c r="Q1016" s="446"/>
      <c r="R1016" s="446"/>
      <c r="S1016" s="446"/>
      <c r="T1016" s="446"/>
      <c r="U1016" s="445"/>
      <c r="V1016" s="446"/>
      <c r="W1016" s="446"/>
      <c r="X1016" s="446"/>
      <c r="Y1016" s="446"/>
      <c r="Z1016" s="445"/>
      <c r="AA1016" s="446"/>
      <c r="AB1016" s="446"/>
      <c r="AC1016" s="446"/>
      <c r="AD1016" s="446"/>
      <c r="AE1016" s="445"/>
      <c r="AF1016" s="446"/>
      <c r="AG1016" s="446"/>
      <c r="AH1016" s="446"/>
      <c r="AI1016" s="446"/>
      <c r="AJ1016" s="445"/>
      <c r="AK1016" s="446"/>
      <c r="AL1016" s="446"/>
      <c r="AM1016" s="446"/>
      <c r="AN1016" s="446"/>
      <c r="AO1016" s="445"/>
      <c r="AP1016" s="446"/>
      <c r="AQ1016" s="446"/>
      <c r="AR1016" s="446"/>
      <c r="AS1016" s="446"/>
      <c r="AT1016" s="445"/>
      <c r="AU1016" s="767"/>
      <c r="AV1016" s="446"/>
      <c r="AW1016" s="446"/>
      <c r="AX1016" s="446"/>
      <c r="AY1016" s="445"/>
      <c r="AZ1016" s="446"/>
      <c r="BA1016" s="446"/>
      <c r="BB1016" s="446"/>
      <c r="BC1016" s="446"/>
      <c r="BD1016" s="445"/>
      <c r="BE1016" s="445"/>
      <c r="BF1016" s="445"/>
      <c r="BG1016" s="445"/>
      <c r="BH1016" s="651"/>
    </row>
    <row r="1017" spans="1:60" s="21" customFormat="1" x14ac:dyDescent="0.35">
      <c r="A1017" s="428" t="s">
        <v>760</v>
      </c>
      <c r="B1017" s="429"/>
      <c r="C1017" s="519">
        <v>1398</v>
      </c>
      <c r="D1017" s="519">
        <f t="shared" ref="D1017:J1017" si="1445">C1021</f>
        <v>1342</v>
      </c>
      <c r="E1017" s="519">
        <f t="shared" si="1445"/>
        <v>1820</v>
      </c>
      <c r="F1017" s="519">
        <f t="shared" si="1445"/>
        <v>1916</v>
      </c>
      <c r="G1017" s="520">
        <f t="shared" si="1445"/>
        <v>1925</v>
      </c>
      <c r="H1017" s="520">
        <f t="shared" si="1445"/>
        <v>1840</v>
      </c>
      <c r="I1017" s="520">
        <f t="shared" si="1445"/>
        <v>1786</v>
      </c>
      <c r="J1017" s="520">
        <f t="shared" si="1445"/>
        <v>1745</v>
      </c>
      <c r="K1017" s="519">
        <f>F1021</f>
        <v>1925</v>
      </c>
      <c r="L1017" s="520">
        <f>K1021</f>
        <v>1688</v>
      </c>
      <c r="M1017" s="520">
        <f>L1021</f>
        <v>1631</v>
      </c>
      <c r="N1017" s="520">
        <f>M1021</f>
        <v>1603</v>
      </c>
      <c r="O1017" s="520">
        <f>N1021</f>
        <v>1516</v>
      </c>
      <c r="P1017" s="519">
        <f>K1021</f>
        <v>1688</v>
      </c>
      <c r="Q1017" s="520">
        <f>P1021</f>
        <v>1435</v>
      </c>
      <c r="R1017" s="520">
        <f>Q1021</f>
        <v>1396</v>
      </c>
      <c r="S1017" s="520">
        <f>R1021</f>
        <v>1355</v>
      </c>
      <c r="T1017" s="520">
        <f>S1021</f>
        <v>2632</v>
      </c>
      <c r="U1017" s="519">
        <f>P1021</f>
        <v>1435</v>
      </c>
      <c r="V1017" s="520">
        <f>U1021</f>
        <v>2601</v>
      </c>
      <c r="W1017" s="520">
        <f>V1021</f>
        <v>2551</v>
      </c>
      <c r="X1017" s="520">
        <f>W1021</f>
        <v>2477</v>
      </c>
      <c r="Y1017" s="520">
        <f>X1021</f>
        <v>2422</v>
      </c>
      <c r="Z1017" s="519">
        <f>U1021</f>
        <v>2601</v>
      </c>
      <c r="AA1017" s="520">
        <f>Z1021</f>
        <v>2320</v>
      </c>
      <c r="AB1017" s="520">
        <f>AA1021</f>
        <v>2269</v>
      </c>
      <c r="AC1017" s="520">
        <f>AB1021</f>
        <v>2201</v>
      </c>
      <c r="AD1017" s="520">
        <f>AC1021</f>
        <v>2175</v>
      </c>
      <c r="AE1017" s="519">
        <f>Z1021</f>
        <v>2320</v>
      </c>
      <c r="AF1017" s="520">
        <f>AE1021</f>
        <v>2936</v>
      </c>
      <c r="AG1017" s="520">
        <f>AF1021</f>
        <v>2885</v>
      </c>
      <c r="AH1017" s="520">
        <f>AG1021</f>
        <v>2787</v>
      </c>
      <c r="AI1017" s="520">
        <f>AH1021</f>
        <v>2726</v>
      </c>
      <c r="AJ1017" s="519">
        <f>AE1021</f>
        <v>2936</v>
      </c>
      <c r="AK1017" s="520">
        <f>AJ1021</f>
        <v>2657</v>
      </c>
      <c r="AL1017" s="520">
        <f>AK1021</f>
        <v>3047</v>
      </c>
      <c r="AM1017" s="520">
        <f>AL1021</f>
        <v>2964</v>
      </c>
      <c r="AN1017" s="520">
        <f>AM1021</f>
        <v>2847</v>
      </c>
      <c r="AO1017" s="519">
        <f>AJ1021</f>
        <v>2657</v>
      </c>
      <c r="AP1017" s="520">
        <f>AO1021</f>
        <v>6379</v>
      </c>
      <c r="AQ1017" s="520">
        <f>AP1021</f>
        <v>6191</v>
      </c>
      <c r="AR1017" s="520">
        <f>AQ1021</f>
        <v>6033</v>
      </c>
      <c r="AS1017" s="520">
        <f>AR1021</f>
        <v>5926</v>
      </c>
      <c r="AT1017" s="519">
        <f>AO1021</f>
        <v>6379</v>
      </c>
      <c r="AU1017" s="766">
        <f>AT1021</f>
        <v>5835</v>
      </c>
      <c r="AV1017" s="520">
        <f>AU1021</f>
        <v>5697</v>
      </c>
      <c r="AW1017" s="520">
        <f>AV1021</f>
        <v>5748.5323287671235</v>
      </c>
      <c r="AX1017" s="520">
        <f>AW1021</f>
        <v>5803.6793389979357</v>
      </c>
      <c r="AY1017" s="519">
        <f>AT1021</f>
        <v>5835</v>
      </c>
      <c r="AZ1017" s="520">
        <f>AY1021</f>
        <v>5858.6382365808604</v>
      </c>
      <c r="BA1017" s="520">
        <f>AZ1021</f>
        <v>5906.0837736017365</v>
      </c>
      <c r="BB1017" s="520">
        <f>BA1021</f>
        <v>5957.287717731394</v>
      </c>
      <c r="BC1017" s="520">
        <f>BB1021</f>
        <v>6012.1147364860881</v>
      </c>
      <c r="BD1017" s="519">
        <f>AY1021</f>
        <v>5858.6382365808604</v>
      </c>
      <c r="BE1017" s="519">
        <f>BD1021</f>
        <v>6066.7653376238295</v>
      </c>
      <c r="BF1017" s="519">
        <f>BE1021</f>
        <v>6273.6993636683746</v>
      </c>
      <c r="BG1017" s="519">
        <f>BF1021</f>
        <v>6479.6279559364602</v>
      </c>
      <c r="BH1017" s="651"/>
    </row>
    <row r="1018" spans="1:60" s="21" customFormat="1" x14ac:dyDescent="0.35">
      <c r="A1018" s="430" t="s">
        <v>761</v>
      </c>
      <c r="B1018" s="253"/>
      <c r="C1018" s="445">
        <f t="shared" ref="C1018:AR1018" si="1446">-C800</f>
        <v>-181</v>
      </c>
      <c r="D1018" s="445">
        <f t="shared" si="1446"/>
        <v>-176</v>
      </c>
      <c r="E1018" s="445">
        <f t="shared" si="1446"/>
        <v>-235</v>
      </c>
      <c r="F1018" s="445">
        <f t="shared" si="1446"/>
        <v>-233</v>
      </c>
      <c r="G1018" s="446">
        <f t="shared" si="1446"/>
        <v>-60</v>
      </c>
      <c r="H1018" s="446">
        <f t="shared" si="1446"/>
        <v>-60</v>
      </c>
      <c r="I1018" s="446">
        <f t="shared" si="1446"/>
        <v>-59</v>
      </c>
      <c r="J1018" s="446">
        <f t="shared" si="1446"/>
        <v>-57</v>
      </c>
      <c r="K1018" s="445">
        <f t="shared" si="1446"/>
        <v>-236</v>
      </c>
      <c r="L1018" s="446">
        <f t="shared" si="1446"/>
        <v>-57</v>
      </c>
      <c r="M1018" s="446">
        <f t="shared" si="1446"/>
        <v>-57</v>
      </c>
      <c r="N1018" s="446">
        <f t="shared" si="1446"/>
        <v>-56</v>
      </c>
      <c r="O1018" s="446">
        <f t="shared" si="1446"/>
        <v>-58</v>
      </c>
      <c r="P1018" s="445">
        <f t="shared" si="1446"/>
        <v>-228</v>
      </c>
      <c r="Q1018" s="446">
        <f t="shared" si="1446"/>
        <v>-53</v>
      </c>
      <c r="R1018" s="446">
        <f t="shared" si="1446"/>
        <v>-50</v>
      </c>
      <c r="S1018" s="446">
        <f t="shared" si="1446"/>
        <v>-66</v>
      </c>
      <c r="T1018" s="446">
        <f t="shared" si="1446"/>
        <v>-60</v>
      </c>
      <c r="U1018" s="445">
        <f t="shared" si="1446"/>
        <v>-229</v>
      </c>
      <c r="V1018" s="446">
        <f t="shared" si="1446"/>
        <v>-66</v>
      </c>
      <c r="W1018" s="446">
        <f t="shared" si="1446"/>
        <v>-66</v>
      </c>
      <c r="X1018" s="446">
        <f t="shared" si="1446"/>
        <v>-63</v>
      </c>
      <c r="Y1018" s="446">
        <f t="shared" si="1446"/>
        <v>-67</v>
      </c>
      <c r="Z1018" s="445">
        <f t="shared" si="1446"/>
        <v>-262</v>
      </c>
      <c r="AA1018" s="446">
        <f t="shared" si="1446"/>
        <v>-64</v>
      </c>
      <c r="AB1018" s="446">
        <f t="shared" si="1446"/>
        <v>-47</v>
      </c>
      <c r="AC1018" s="446">
        <f t="shared" si="1446"/>
        <v>-51</v>
      </c>
      <c r="AD1018" s="446">
        <f t="shared" si="1446"/>
        <v>-76</v>
      </c>
      <c r="AE1018" s="445">
        <f t="shared" si="1446"/>
        <v>-238</v>
      </c>
      <c r="AF1018" s="446">
        <f t="shared" si="1446"/>
        <v>-64</v>
      </c>
      <c r="AG1018" s="446">
        <f t="shared" si="1446"/>
        <v>-63</v>
      </c>
      <c r="AH1018" s="446">
        <f t="shared" si="1446"/>
        <v>-61</v>
      </c>
      <c r="AI1018" s="446">
        <f t="shared" si="1446"/>
        <v>-61</v>
      </c>
      <c r="AJ1018" s="445">
        <f t="shared" si="1446"/>
        <v>-249</v>
      </c>
      <c r="AK1018" s="446">
        <f t="shared" si="1446"/>
        <v>-69</v>
      </c>
      <c r="AL1018" s="446">
        <f t="shared" si="1446"/>
        <v>-70</v>
      </c>
      <c r="AM1018" s="446">
        <f t="shared" si="1446"/>
        <v>-69</v>
      </c>
      <c r="AN1018" s="446">
        <f t="shared" si="1446"/>
        <v>-133</v>
      </c>
      <c r="AO1018" s="445">
        <f t="shared" si="1446"/>
        <v>-341</v>
      </c>
      <c r="AP1018" s="446">
        <f t="shared" si="1446"/>
        <v>-134</v>
      </c>
      <c r="AQ1018" s="446">
        <f t="shared" si="1446"/>
        <v>-134</v>
      </c>
      <c r="AR1018" s="446">
        <f t="shared" si="1446"/>
        <v>-137</v>
      </c>
      <c r="AS1018" s="446">
        <f t="shared" ref="AS1018" si="1447">-AS800</f>
        <v>-132</v>
      </c>
      <c r="AT1018" s="445">
        <f>-AT800</f>
        <v>-537</v>
      </c>
      <c r="AU1018" s="767">
        <f t="shared" ref="AU1018" si="1448">-AU800</f>
        <v>-133</v>
      </c>
      <c r="AV1018" s="446">
        <f t="shared" ref="AV1018:AX1018" si="1449">-AV1028-AV1012</f>
        <v>-90.967671232876683</v>
      </c>
      <c r="AW1018" s="446">
        <f t="shared" si="1449"/>
        <v>-87.352989769187445</v>
      </c>
      <c r="AX1018" s="446">
        <f t="shared" si="1449"/>
        <v>-87.541102417075251</v>
      </c>
      <c r="AY1018" s="445">
        <f>IF(OR(ISBLANK(AU1018),ISBLANK(AV1018),ISBLANK(AW1018),ISBLANK(AX1018)),"n/a",SUM(AU1018,AV1018,AW1018,AX1018))</f>
        <v>-398.86176341913938</v>
      </c>
      <c r="AZ1018" s="446">
        <f>-AZ1028-AZ1012</f>
        <v>-95.054462979123912</v>
      </c>
      <c r="BA1018" s="446">
        <f>-BA1028-BA1012</f>
        <v>-91.296055870342286</v>
      </c>
      <c r="BB1018" s="446">
        <f>-BB1028-BB1012</f>
        <v>-87.672981245306346</v>
      </c>
      <c r="BC1018" s="446">
        <f>-BC1028-BC1012</f>
        <v>-87.849398862258681</v>
      </c>
      <c r="BD1018" s="445">
        <f>IF(OR(ISBLANK(AZ1018),ISBLANK(BA1018),ISBLANK(BB1018),ISBLANK(BC1018)),"n/a",SUM(AZ1018,BA1018,BB1018,BC1018))</f>
        <v>-361.87289895703123</v>
      </c>
      <c r="BE1018" s="445">
        <f>-BE1028-BE1012</f>
        <v>-363.06597395545532</v>
      </c>
      <c r="BF1018" s="445">
        <f>-BF1028-BF1012</f>
        <v>-364.07140773191418</v>
      </c>
      <c r="BG1018" s="445">
        <f>-BG1028-BG1012</f>
        <v>-364.93105361078665</v>
      </c>
      <c r="BH1018" s="651"/>
    </row>
    <row r="1019" spans="1:60" s="21" customFormat="1" x14ac:dyDescent="0.35">
      <c r="A1019" s="430" t="s">
        <v>763</v>
      </c>
      <c r="B1019" s="253"/>
      <c r="C1019" s="445"/>
      <c r="D1019" s="445"/>
      <c r="E1019" s="445"/>
      <c r="F1019" s="445"/>
      <c r="G1019" s="446"/>
      <c r="H1019" s="446"/>
      <c r="I1019" s="446"/>
      <c r="J1019" s="446"/>
      <c r="K1019" s="445"/>
      <c r="L1019" s="446"/>
      <c r="M1019" s="446"/>
      <c r="N1019" s="446"/>
      <c r="O1019" s="446"/>
      <c r="P1019" s="445"/>
      <c r="Q1019" s="446"/>
      <c r="R1019" s="446"/>
      <c r="S1019" s="446"/>
      <c r="T1019" s="446"/>
      <c r="U1019" s="445"/>
      <c r="V1019" s="446"/>
      <c r="W1019" s="446"/>
      <c r="X1019" s="446"/>
      <c r="Y1019" s="446"/>
      <c r="Z1019" s="445"/>
      <c r="AA1019" s="446"/>
      <c r="AB1019" s="446"/>
      <c r="AC1019" s="446"/>
      <c r="AD1019" s="446"/>
      <c r="AE1019" s="445"/>
      <c r="AF1019" s="446"/>
      <c r="AG1019" s="446"/>
      <c r="AH1019" s="446"/>
      <c r="AI1019" s="446"/>
      <c r="AJ1019" s="445"/>
      <c r="AK1019" s="446"/>
      <c r="AL1019" s="446"/>
      <c r="AM1019" s="446"/>
      <c r="AN1019" s="446"/>
      <c r="AO1019" s="445"/>
      <c r="AP1019" s="446"/>
      <c r="AQ1019" s="446"/>
      <c r="AR1019" s="446"/>
      <c r="AS1019" s="446"/>
      <c r="AT1019" s="445"/>
      <c r="AU1019" s="767"/>
      <c r="AV1019" s="446">
        <f>AV1029*AV1030</f>
        <v>142.5</v>
      </c>
      <c r="AW1019" s="446">
        <f>AW1029*AW1030</f>
        <v>142.5</v>
      </c>
      <c r="AX1019" s="446">
        <f>AX1029*AX1030</f>
        <v>142.5</v>
      </c>
      <c r="AY1019" s="445" t="str">
        <f>IF(OR(ISBLANK(AU1019),ISBLANK(AV1019),ISBLANK(AW1019),ISBLANK(AX1019)),"n/a",SUM(AU1019,AV1019,AW1019,AX1019))</f>
        <v>n/a</v>
      </c>
      <c r="AZ1019" s="446">
        <f>AZ1029*AZ1030</f>
        <v>142.5</v>
      </c>
      <c r="BA1019" s="446">
        <f>BA1029*BA1030</f>
        <v>142.5</v>
      </c>
      <c r="BB1019" s="446">
        <f>BB1029*BB1030</f>
        <v>142.5</v>
      </c>
      <c r="BC1019" s="446">
        <f>BC1029*BC1030</f>
        <v>142.5</v>
      </c>
      <c r="BD1019" s="445">
        <f>IF(OR(ISBLANK(AZ1019),ISBLANK(BA1019),ISBLANK(BB1019),ISBLANK(BC1019)),"n/a",SUM(AZ1019,BA1019,BB1019,BC1019))</f>
        <v>570</v>
      </c>
      <c r="BE1019" s="445">
        <f>BE1029*BE1030</f>
        <v>570</v>
      </c>
      <c r="BF1019" s="445">
        <f>BF1029*BF1030</f>
        <v>570</v>
      </c>
      <c r="BG1019" s="445">
        <f>BG1029*BG1030</f>
        <v>570</v>
      </c>
      <c r="BH1019" s="651"/>
    </row>
    <row r="1020" spans="1:60" s="21" customFormat="1" x14ac:dyDescent="0.35">
      <c r="A1020" s="430" t="s">
        <v>764</v>
      </c>
      <c r="B1020" s="253"/>
      <c r="C1020" s="445">
        <f t="shared" ref="C1020:AQ1020" si="1450">C1021-C1017-C1018-C1019</f>
        <v>125</v>
      </c>
      <c r="D1020" s="445">
        <f t="shared" si="1450"/>
        <v>654</v>
      </c>
      <c r="E1020" s="445">
        <f t="shared" si="1450"/>
        <v>331</v>
      </c>
      <c r="F1020" s="445">
        <f t="shared" si="1450"/>
        <v>242</v>
      </c>
      <c r="G1020" s="446">
        <f t="shared" si="1450"/>
        <v>-25</v>
      </c>
      <c r="H1020" s="446">
        <f t="shared" si="1450"/>
        <v>6</v>
      </c>
      <c r="I1020" s="446">
        <f t="shared" si="1450"/>
        <v>18</v>
      </c>
      <c r="J1020" s="446">
        <f t="shared" si="1450"/>
        <v>0</v>
      </c>
      <c r="K1020" s="445">
        <f t="shared" si="1450"/>
        <v>-1</v>
      </c>
      <c r="L1020" s="446">
        <f t="shared" si="1450"/>
        <v>0</v>
      </c>
      <c r="M1020" s="446">
        <f t="shared" si="1450"/>
        <v>29</v>
      </c>
      <c r="N1020" s="446">
        <f t="shared" si="1450"/>
        <v>-31</v>
      </c>
      <c r="O1020" s="446">
        <f t="shared" si="1450"/>
        <v>-23</v>
      </c>
      <c r="P1020" s="445">
        <f t="shared" si="1450"/>
        <v>-25</v>
      </c>
      <c r="Q1020" s="446">
        <f t="shared" si="1450"/>
        <v>14</v>
      </c>
      <c r="R1020" s="446">
        <f t="shared" si="1450"/>
        <v>9</v>
      </c>
      <c r="S1020" s="446">
        <f t="shared" si="1450"/>
        <v>1343</v>
      </c>
      <c r="T1020" s="446">
        <f t="shared" si="1450"/>
        <v>29</v>
      </c>
      <c r="U1020" s="445">
        <f t="shared" si="1450"/>
        <v>1395</v>
      </c>
      <c r="V1020" s="446">
        <f t="shared" si="1450"/>
        <v>16</v>
      </c>
      <c r="W1020" s="446">
        <f t="shared" si="1450"/>
        <v>-8</v>
      </c>
      <c r="X1020" s="446">
        <f t="shared" si="1450"/>
        <v>8</v>
      </c>
      <c r="Y1020" s="446">
        <f t="shared" si="1450"/>
        <v>-35</v>
      </c>
      <c r="Z1020" s="445">
        <f t="shared" si="1450"/>
        <v>-19</v>
      </c>
      <c r="AA1020" s="446">
        <f t="shared" si="1450"/>
        <v>13</v>
      </c>
      <c r="AB1020" s="446">
        <f t="shared" si="1450"/>
        <v>-21</v>
      </c>
      <c r="AC1020" s="446">
        <f t="shared" si="1450"/>
        <v>25</v>
      </c>
      <c r="AD1020" s="446">
        <f t="shared" si="1450"/>
        <v>837</v>
      </c>
      <c r="AE1020" s="445">
        <f t="shared" si="1450"/>
        <v>854</v>
      </c>
      <c r="AF1020" s="446">
        <f t="shared" si="1450"/>
        <v>13</v>
      </c>
      <c r="AG1020" s="446">
        <f t="shared" si="1450"/>
        <v>-35</v>
      </c>
      <c r="AH1020" s="446">
        <f t="shared" si="1450"/>
        <v>0</v>
      </c>
      <c r="AI1020" s="446">
        <f t="shared" si="1450"/>
        <v>-8</v>
      </c>
      <c r="AJ1020" s="445">
        <f t="shared" si="1450"/>
        <v>-30</v>
      </c>
      <c r="AK1020" s="446">
        <f t="shared" si="1450"/>
        <v>459</v>
      </c>
      <c r="AL1020" s="446">
        <f t="shared" si="1450"/>
        <v>-13</v>
      </c>
      <c r="AM1020" s="446">
        <f t="shared" si="1450"/>
        <v>-48</v>
      </c>
      <c r="AN1020" s="446">
        <f t="shared" si="1450"/>
        <v>3665</v>
      </c>
      <c r="AO1020" s="445">
        <f t="shared" si="1450"/>
        <v>4063</v>
      </c>
      <c r="AP1020" s="446">
        <f t="shared" si="1450"/>
        <v>-54</v>
      </c>
      <c r="AQ1020" s="446">
        <f t="shared" si="1450"/>
        <v>-24</v>
      </c>
      <c r="AR1020" s="446">
        <f t="shared" ref="AR1020:AX1020" si="1451">AR1021-AR1017-AR1018-AR1019</f>
        <v>30</v>
      </c>
      <c r="AS1020" s="446">
        <f t="shared" si="1451"/>
        <v>41</v>
      </c>
      <c r="AT1020" s="445">
        <f t="shared" si="1451"/>
        <v>-7</v>
      </c>
      <c r="AU1020" s="767">
        <f t="shared" si="1451"/>
        <v>-5</v>
      </c>
      <c r="AV1020" s="446">
        <f t="shared" si="1451"/>
        <v>0</v>
      </c>
      <c r="AW1020" s="446">
        <f t="shared" si="1451"/>
        <v>0</v>
      </c>
      <c r="AX1020" s="446">
        <f t="shared" si="1451"/>
        <v>0</v>
      </c>
      <c r="AY1020" s="445">
        <f>AY1021-AY1017-IF(ISNUMBER(AY1018),AY1018,0)-IF(ISNUMBER(AY1019),AY1019,0)</f>
        <v>422.49999999999977</v>
      </c>
      <c r="AZ1020" s="446">
        <f>AZ1021-AZ1017-AZ1018-AZ1019</f>
        <v>0</v>
      </c>
      <c r="BA1020" s="446">
        <f>BA1021-BA1017-BA1018-BA1019</f>
        <v>-2.8421709430404007E-13</v>
      </c>
      <c r="BB1020" s="446">
        <f>BB1021-BB1017-BB1018-BB1019</f>
        <v>4.5474735088646412E-13</v>
      </c>
      <c r="BC1020" s="446">
        <f>BC1021-BC1017-BC1018-BC1019</f>
        <v>0</v>
      </c>
      <c r="BD1020" s="445">
        <f>BD1021-BD1017-IF(ISNUMBER(BD1018),BD1018,0)-IF(ISNUMBER(BD1019),BD1019,0)</f>
        <v>0</v>
      </c>
      <c r="BE1020" s="445">
        <f>BE1021-BE1017-BE1018-BE1019</f>
        <v>0</v>
      </c>
      <c r="BF1020" s="445">
        <f>BF1021-BF1017-BF1018-BF1019</f>
        <v>0</v>
      </c>
      <c r="BG1020" s="445">
        <f>BG1021-BG1017-BG1018-BG1019</f>
        <v>0</v>
      </c>
      <c r="BH1020" s="651"/>
    </row>
    <row r="1021" spans="1:60" s="21" customFormat="1" x14ac:dyDescent="0.35">
      <c r="A1021" s="628" t="s">
        <v>759</v>
      </c>
      <c r="B1021" s="629"/>
      <c r="C1021" s="570">
        <f t="shared" ref="C1021:AH1021" si="1452">C1053</f>
        <v>1342</v>
      </c>
      <c r="D1021" s="570">
        <f t="shared" si="1452"/>
        <v>1820</v>
      </c>
      <c r="E1021" s="570">
        <f t="shared" si="1452"/>
        <v>1916</v>
      </c>
      <c r="F1021" s="570">
        <f t="shared" si="1452"/>
        <v>1925</v>
      </c>
      <c r="G1021" s="569">
        <f t="shared" si="1452"/>
        <v>1840</v>
      </c>
      <c r="H1021" s="569">
        <f t="shared" si="1452"/>
        <v>1786</v>
      </c>
      <c r="I1021" s="569">
        <f t="shared" si="1452"/>
        <v>1745</v>
      </c>
      <c r="J1021" s="569">
        <f t="shared" si="1452"/>
        <v>1688</v>
      </c>
      <c r="K1021" s="570">
        <f t="shared" si="1452"/>
        <v>1688</v>
      </c>
      <c r="L1021" s="569">
        <f t="shared" si="1452"/>
        <v>1631</v>
      </c>
      <c r="M1021" s="569">
        <f t="shared" si="1452"/>
        <v>1603</v>
      </c>
      <c r="N1021" s="569">
        <f t="shared" si="1452"/>
        <v>1516</v>
      </c>
      <c r="O1021" s="569">
        <f t="shared" si="1452"/>
        <v>1435</v>
      </c>
      <c r="P1021" s="570">
        <f t="shared" si="1452"/>
        <v>1435</v>
      </c>
      <c r="Q1021" s="569">
        <f t="shared" si="1452"/>
        <v>1396</v>
      </c>
      <c r="R1021" s="569">
        <f t="shared" si="1452"/>
        <v>1355</v>
      </c>
      <c r="S1021" s="569">
        <f t="shared" si="1452"/>
        <v>2632</v>
      </c>
      <c r="T1021" s="569">
        <f t="shared" si="1452"/>
        <v>2601</v>
      </c>
      <c r="U1021" s="570">
        <f t="shared" si="1452"/>
        <v>2601</v>
      </c>
      <c r="V1021" s="569">
        <f t="shared" si="1452"/>
        <v>2551</v>
      </c>
      <c r="W1021" s="569">
        <f t="shared" si="1452"/>
        <v>2477</v>
      </c>
      <c r="X1021" s="569">
        <f t="shared" si="1452"/>
        <v>2422</v>
      </c>
      <c r="Y1021" s="569">
        <f t="shared" si="1452"/>
        <v>2320</v>
      </c>
      <c r="Z1021" s="570">
        <f t="shared" si="1452"/>
        <v>2320</v>
      </c>
      <c r="AA1021" s="569">
        <f t="shared" si="1452"/>
        <v>2269</v>
      </c>
      <c r="AB1021" s="569">
        <f t="shared" si="1452"/>
        <v>2201</v>
      </c>
      <c r="AC1021" s="569">
        <f t="shared" si="1452"/>
        <v>2175</v>
      </c>
      <c r="AD1021" s="569">
        <f t="shared" si="1452"/>
        <v>2936</v>
      </c>
      <c r="AE1021" s="570">
        <f t="shared" si="1452"/>
        <v>2936</v>
      </c>
      <c r="AF1021" s="569">
        <f t="shared" si="1452"/>
        <v>2885</v>
      </c>
      <c r="AG1021" s="569">
        <f t="shared" si="1452"/>
        <v>2787</v>
      </c>
      <c r="AH1021" s="569">
        <f t="shared" si="1452"/>
        <v>2726</v>
      </c>
      <c r="AI1021" s="569">
        <f t="shared" ref="AI1021:AY1021" si="1453">AI1053</f>
        <v>2657</v>
      </c>
      <c r="AJ1021" s="570">
        <f t="shared" si="1453"/>
        <v>2657</v>
      </c>
      <c r="AK1021" s="569">
        <f t="shared" si="1453"/>
        <v>3047</v>
      </c>
      <c r="AL1021" s="569">
        <f t="shared" si="1453"/>
        <v>2964</v>
      </c>
      <c r="AM1021" s="569">
        <f t="shared" si="1453"/>
        <v>2847</v>
      </c>
      <c r="AN1021" s="569">
        <f t="shared" si="1453"/>
        <v>6379</v>
      </c>
      <c r="AO1021" s="570">
        <f t="shared" si="1453"/>
        <v>6379</v>
      </c>
      <c r="AP1021" s="569">
        <f t="shared" si="1453"/>
        <v>6191</v>
      </c>
      <c r="AQ1021" s="569">
        <f t="shared" si="1453"/>
        <v>6033</v>
      </c>
      <c r="AR1021" s="569">
        <f>AR1053</f>
        <v>5926</v>
      </c>
      <c r="AS1021" s="569">
        <f t="shared" ref="AS1021" si="1454">AS1053</f>
        <v>5835</v>
      </c>
      <c r="AT1021" s="570">
        <f>AT1053</f>
        <v>5835</v>
      </c>
      <c r="AU1021" s="829">
        <f t="shared" ref="AU1021" si="1455">AU1053</f>
        <v>5697</v>
      </c>
      <c r="AV1021" s="569">
        <f t="shared" si="1453"/>
        <v>5748.5323287671235</v>
      </c>
      <c r="AW1021" s="569">
        <f t="shared" si="1453"/>
        <v>5803.6793389979357</v>
      </c>
      <c r="AX1021" s="569">
        <f t="shared" si="1453"/>
        <v>5858.6382365808604</v>
      </c>
      <c r="AY1021" s="570">
        <f t="shared" si="1453"/>
        <v>5858.6382365808604</v>
      </c>
      <c r="AZ1021" s="569">
        <f t="shared" ref="AZ1021:BG1021" si="1456">AZ1053</f>
        <v>5906.0837736017365</v>
      </c>
      <c r="BA1021" s="569">
        <f t="shared" si="1456"/>
        <v>5957.287717731394</v>
      </c>
      <c r="BB1021" s="569">
        <f t="shared" si="1456"/>
        <v>6012.1147364860881</v>
      </c>
      <c r="BC1021" s="569">
        <f t="shared" si="1456"/>
        <v>6066.7653376238295</v>
      </c>
      <c r="BD1021" s="570">
        <f t="shared" si="1456"/>
        <v>6066.7653376238295</v>
      </c>
      <c r="BE1021" s="570">
        <f t="shared" si="1456"/>
        <v>6273.6993636683746</v>
      </c>
      <c r="BF1021" s="570">
        <f t="shared" si="1456"/>
        <v>6479.6279559364602</v>
      </c>
      <c r="BG1021" s="570">
        <f t="shared" si="1456"/>
        <v>6684.6969023256734</v>
      </c>
      <c r="BH1021" s="651"/>
    </row>
    <row r="1022" spans="1:60" s="21" customFormat="1" x14ac:dyDescent="0.35">
      <c r="A1022" s="430"/>
      <c r="B1022" s="253"/>
      <c r="C1022" s="445"/>
      <c r="D1022" s="445"/>
      <c r="E1022" s="445"/>
      <c r="F1022" s="445"/>
      <c r="G1022" s="446"/>
      <c r="H1022" s="446"/>
      <c r="I1022" s="446"/>
      <c r="J1022" s="446"/>
      <c r="K1022" s="445"/>
      <c r="L1022" s="446"/>
      <c r="M1022" s="446"/>
      <c r="N1022" s="446"/>
      <c r="O1022" s="446"/>
      <c r="P1022" s="445"/>
      <c r="Q1022" s="446"/>
      <c r="R1022" s="446"/>
      <c r="S1022" s="446"/>
      <c r="T1022" s="446"/>
      <c r="U1022" s="445"/>
      <c r="V1022" s="446"/>
      <c r="W1022" s="446"/>
      <c r="X1022" s="446"/>
      <c r="Y1022" s="446"/>
      <c r="Z1022" s="445"/>
      <c r="AA1022" s="446"/>
      <c r="AB1022" s="446"/>
      <c r="AC1022" s="446"/>
      <c r="AD1022" s="446"/>
      <c r="AE1022" s="445"/>
      <c r="AF1022" s="446"/>
      <c r="AG1022" s="446"/>
      <c r="AH1022" s="446"/>
      <c r="AI1022" s="446"/>
      <c r="AJ1022" s="445"/>
      <c r="AK1022" s="446"/>
      <c r="AL1022" s="446"/>
      <c r="AM1022" s="446"/>
      <c r="AN1022" s="446"/>
      <c r="AO1022" s="445"/>
      <c r="AP1022" s="446"/>
      <c r="AQ1022" s="446"/>
      <c r="AR1022" s="446"/>
      <c r="AS1022" s="446"/>
      <c r="AT1022" s="445"/>
      <c r="AU1022" s="767"/>
      <c r="AV1022" s="446"/>
      <c r="AW1022" s="446"/>
      <c r="AX1022" s="446"/>
      <c r="AY1022" s="445"/>
      <c r="AZ1022" s="446"/>
      <c r="BA1022" s="446"/>
      <c r="BB1022" s="446"/>
      <c r="BC1022" s="446"/>
      <c r="BD1022" s="445"/>
      <c r="BE1022" s="445"/>
      <c r="BF1022" s="445"/>
      <c r="BG1022" s="445"/>
      <c r="BH1022" s="651"/>
    </row>
    <row r="1023" spans="1:60" s="21" customFormat="1" x14ac:dyDescent="0.35">
      <c r="A1023" s="610" t="s">
        <v>756</v>
      </c>
      <c r="B1023" s="432"/>
      <c r="C1023" s="448">
        <f>IFERROR(-C1012/C1011,"n/a")</f>
        <v>0.14173685739180947</v>
      </c>
      <c r="D1023" s="448">
        <f>IFERROR(-D1012/D1011,"n/a")</f>
        <v>0.13485714285714287</v>
      </c>
      <c r="E1023" s="448">
        <f>IFERROR(-E1012/E1011,"n/a")</f>
        <v>0.13751888995741174</v>
      </c>
      <c r="F1023" s="448">
        <f>IFERROR(-F1012/F1011,"n/a")</f>
        <v>0.13762066266631881</v>
      </c>
      <c r="G1023" s="449">
        <f>IFERROR(-G1012/G1011*K3/G3,"n/a")</f>
        <v>0.1336038831861224</v>
      </c>
      <c r="H1023" s="449">
        <f>IFERROR(-H1012/H1011*K3/H3,"n/a")</f>
        <v>0.13260663356840321</v>
      </c>
      <c r="I1023" s="449">
        <f>IFERROR(-I1012/I1011*K3/I3,"n/a")</f>
        <v>0.13527904075336566</v>
      </c>
      <c r="J1023" s="449">
        <f>IFERROR(-J1012/J1011*K3/J3,"n/a")</f>
        <v>0.14088747529644269</v>
      </c>
      <c r="K1023" s="448">
        <f>IFERROR(-K1012/K1011,"n/a")</f>
        <v>0.13547386010981141</v>
      </c>
      <c r="L1023" s="449">
        <f>IFERROR(-L1012/L1011*P3/L3,"n/a")</f>
        <v>0.13734139826372838</v>
      </c>
      <c r="M1023" s="449">
        <f>IFERROR(-M1012/M1011*P3/M3,"n/a")</f>
        <v>0.13989660397539888</v>
      </c>
      <c r="N1023" s="449">
        <f>IFERROR(-N1012/N1011*P3/N3,"n/a")</f>
        <v>0.13430201997446875</v>
      </c>
      <c r="O1023" s="449">
        <f>IFERROR(-O1012/O1011*P3/O3,"n/a")</f>
        <v>0.13630759629010064</v>
      </c>
      <c r="P1023" s="448">
        <f>IFERROR(-P1012/P1011,"n/a")</f>
        <v>0.13638465094775776</v>
      </c>
      <c r="Q1023" s="449">
        <f>IFERROR(-Q1012/Q1011*U3/Q3,"n/a")</f>
        <v>0.13663433724689469</v>
      </c>
      <c r="R1023" s="449">
        <f>IFERROR(-R1012/R1011*U3/R3,"n/a")</f>
        <v>0.14231604745724949</v>
      </c>
      <c r="S1023" s="449">
        <f>IFERROR(-S1012/S1011*U3/S3,"n/a")</f>
        <v>0.13667613386059382</v>
      </c>
      <c r="T1023" s="449">
        <f>IFERROR(-T1012/T1011*U3/T3,"n/a")</f>
        <v>0.15785252297110006</v>
      </c>
      <c r="U1023" s="448">
        <f>IFERROR(-U1012/U1011,"n/a")</f>
        <v>0.14206620332194606</v>
      </c>
      <c r="V1023" s="449">
        <f>IFERROR(-V1012/V1011*Z3/V3,"n/a")</f>
        <v>0.13697869951539945</v>
      </c>
      <c r="W1023" s="449">
        <f>IFERROR(-W1012/W1011*Z3/W3,"n/a")</f>
        <v>0.14007353222584243</v>
      </c>
      <c r="X1023" s="449">
        <f>IFERROR(-X1012/X1011*Z3/X3,"n/a")</f>
        <v>0.14102389181978048</v>
      </c>
      <c r="Y1023" s="449">
        <f>IFERROR(-Y1012/Y1011*Z3/Y3,"n/a")</f>
        <v>0.14543982189507254</v>
      </c>
      <c r="Z1023" s="448">
        <f>IFERROR(-Z1012/Z1011,"n/a")</f>
        <v>0.14233705226071638</v>
      </c>
      <c r="AA1023" s="449">
        <f>IFERROR(-AA1012/AA1011*AE3/AA3,"n/a")</f>
        <v>0.17810918010542245</v>
      </c>
      <c r="AB1023" s="449">
        <f>IFERROR(-AB1012/AB1011*AE3/AB3,"n/a")</f>
        <v>0.15619919783175543</v>
      </c>
      <c r="AC1023" s="449">
        <f>IFERROR(-AC1012/AC1011*AE3/AC3,"n/a")</f>
        <v>0.15098874214538774</v>
      </c>
      <c r="AD1023" s="449">
        <f>IFERROR(-AD1012/AD1011*AE3/AD3,"n/a")</f>
        <v>0.12509792401096748</v>
      </c>
      <c r="AE1023" s="448">
        <f>IFERROR(-AE1012/AE1011,"n/a")</f>
        <v>0.15335838421794271</v>
      </c>
      <c r="AF1023" s="449">
        <f>IFERROR(-AF1012/AF1011*AJ3/AF3,"n/a")</f>
        <v>0.14546206481690352</v>
      </c>
      <c r="AG1023" s="449">
        <f>IFERROR(-AG1012/AG1011*AJ3/AG3,"n/a")</f>
        <v>0.14344353750942199</v>
      </c>
      <c r="AH1023" s="449">
        <f>IFERROR(-AH1012/AH1011*AJ3/AH3,"n/a")</f>
        <v>0.13492342897377221</v>
      </c>
      <c r="AI1023" s="449">
        <f>IFERROR(-AI1012/AI1011*AJ3/AI3,"n/a")</f>
        <v>0.14251347674945841</v>
      </c>
      <c r="AJ1023" s="448">
        <f>IFERROR(-AJ1012/AJ1011,"n/a")</f>
        <v>0.13974734942476877</v>
      </c>
      <c r="AK1023" s="449">
        <f>IFERROR(-AK1012/AK1011*AO3/AK3,"n/a")</f>
        <v>0.14202334630350194</v>
      </c>
      <c r="AL1023" s="449">
        <f>IFERROR(-AL1012/AL1011*AO3/AL3,"n/a")</f>
        <v>0.13901490965711147</v>
      </c>
      <c r="AM1023" s="449">
        <f>IFERROR(-AM1012/AM1011*AO3/AM3,"n/a")</f>
        <v>0.13668496380838252</v>
      </c>
      <c r="AN1023" s="449">
        <f>IFERROR(-AN1012/AN1011*AO3/AN3,"n/a")</f>
        <v>0.14725442924696691</v>
      </c>
      <c r="AO1023" s="448">
        <f>IFERROR(-AO1012/AO1011,"n/a")</f>
        <v>0.14328221560997939</v>
      </c>
      <c r="AP1023" s="449">
        <f>IFERROR(-AP1012/AP1011*AT3/AP3,"n/a")</f>
        <v>0.13186813186813187</v>
      </c>
      <c r="AQ1023" s="449">
        <f>IFERROR(-AQ1012/AQ1011*AT3/AQ3,"n/a")</f>
        <v>0.15710508803798492</v>
      </c>
      <c r="AR1023" s="449">
        <f>IFERROR(-AR1012/AR1011*AT3/AR3,"n/a")</f>
        <v>0.15056901079661511</v>
      </c>
      <c r="AS1023" s="449">
        <f>IFERROR(-AS1012/AS1011*AT3/AS3,"n/a")</f>
        <v>0.15799082880434784</v>
      </c>
      <c r="AT1023" s="448">
        <f>IFERROR(-AT1012/AT1011,"n/a")</f>
        <v>0.14721954355512698</v>
      </c>
      <c r="AU1023" s="784">
        <f>IFERROR(-AU1012/AU1011*AY3/AU3,"n/a")</f>
        <v>0.14076708063545981</v>
      </c>
      <c r="AV1023" s="952">
        <f>Drivers!AV128</f>
        <v>0.14499999999999999</v>
      </c>
      <c r="AW1023" s="952">
        <f>Drivers!AW128</f>
        <v>0.14499999999999999</v>
      </c>
      <c r="AX1023" s="952">
        <f>Drivers!AX128</f>
        <v>0.14499999999999999</v>
      </c>
      <c r="AY1023" s="448">
        <f>AVERAGE(AU1023,AV1023,AW1023,AX1023)</f>
        <v>0.14394177015886495</v>
      </c>
      <c r="AZ1023" s="952">
        <f>Drivers!AZ128</f>
        <v>0.14499999999999999</v>
      </c>
      <c r="BA1023" s="952">
        <f>Drivers!BA128</f>
        <v>0.14499999999999999</v>
      </c>
      <c r="BB1023" s="952">
        <f>Drivers!BB128</f>
        <v>0.14499999999999999</v>
      </c>
      <c r="BC1023" s="952">
        <f>Drivers!BC128</f>
        <v>0.14499999999999999</v>
      </c>
      <c r="BD1023" s="448">
        <f>AVERAGE(AZ1023,BA1023,BB1023,BC1023)</f>
        <v>0.14499999999999999</v>
      </c>
      <c r="BE1023" s="952">
        <f>Drivers!BE128</f>
        <v>0.14499999999999999</v>
      </c>
      <c r="BF1023" s="952">
        <f>Drivers!BF128</f>
        <v>0.14499999999999999</v>
      </c>
      <c r="BG1023" s="952">
        <f>Drivers!BG128</f>
        <v>0.14499999999999999</v>
      </c>
      <c r="BH1023" s="651"/>
    </row>
    <row r="1024" spans="1:60" s="21" customFormat="1" x14ac:dyDescent="0.35">
      <c r="A1024" s="610" t="s">
        <v>762</v>
      </c>
      <c r="B1024" s="432"/>
      <c r="C1024" s="448">
        <f>IFERROR(-C1018/C1017,"n/a")</f>
        <v>0.12947067238912732</v>
      </c>
      <c r="D1024" s="448">
        <f>IFERROR(-D1018/D1017,"n/a")</f>
        <v>0.13114754098360656</v>
      </c>
      <c r="E1024" s="448">
        <f>IFERROR(-E1018/E1017,"n/a")</f>
        <v>0.12912087912087913</v>
      </c>
      <c r="F1024" s="448">
        <f>IFERROR(-F1018/F1017,"n/a")</f>
        <v>0.12160751565762004</v>
      </c>
      <c r="G1024" s="449">
        <f>IFERROR(-G1018/G1017*K3/G3,"n/a")</f>
        <v>0.12640692640692641</v>
      </c>
      <c r="H1024" s="449">
        <f>IFERROR(-H1018/H1017*K3/H3,"n/a")</f>
        <v>0.13079311992355472</v>
      </c>
      <c r="I1024" s="449">
        <f>IFERROR(-I1018/I1017*K3/I3,"n/a")</f>
        <v>0.13106163883343883</v>
      </c>
      <c r="J1024" s="449">
        <f>IFERROR(-J1018/J1017*K3/J3,"n/a")</f>
        <v>0.1295938706864333</v>
      </c>
      <c r="K1024" s="448">
        <f>IFERROR(-K1018/K1017,"n/a")</f>
        <v>0.12259740259740259</v>
      </c>
      <c r="L1024" s="449">
        <f>IFERROR(-L1018/L1017*P3/L3,"n/a")</f>
        <v>0.13694707740916273</v>
      </c>
      <c r="M1024" s="449">
        <f>IFERROR(-M1018/M1017*P3/M3,"n/a")</f>
        <v>0.14017558162254667</v>
      </c>
      <c r="N1024" s="449">
        <f>IFERROR(-N1018/N1017*P3/N3,"n/a")</f>
        <v>0.13859882285931269</v>
      </c>
      <c r="O1024" s="449">
        <f>IFERROR(-O1018/O1017*P3/O3,"n/a")</f>
        <v>0.15178673855684294</v>
      </c>
      <c r="P1024" s="448">
        <f>IFERROR(-P1018/P1017,"n/a")</f>
        <v>0.13507109004739337</v>
      </c>
      <c r="Q1024" s="449">
        <f>IFERROR(-Q1018/Q1017*U3/Q3,"n/a")</f>
        <v>0.14978706929926441</v>
      </c>
      <c r="R1024" s="449">
        <f>IFERROR(-R1018/R1017*U3/R3,"n/a")</f>
        <v>0.14366006486350325</v>
      </c>
      <c r="S1024" s="449">
        <f>IFERROR(-S1018/S1017*U3/S3,"n/a")</f>
        <v>0.19324562810845497</v>
      </c>
      <c r="T1024" s="449">
        <f>IFERROR(-T1018/T1017*U3/T3,"n/a")</f>
        <v>9.044205101096868E-2</v>
      </c>
      <c r="U1024" s="448">
        <f>IFERROR(-U1018/U1017,"n/a")</f>
        <v>0.15958188153310104</v>
      </c>
      <c r="V1024" s="449">
        <f>IFERROR(-V1018/V1017*Z3/V3,"n/a")</f>
        <v>0.10205711243773527</v>
      </c>
      <c r="W1024" s="449">
        <f>IFERROR(-W1018/W1017*Z3/W3,"n/a")</f>
        <v>0.10405744784419814</v>
      </c>
      <c r="X1024" s="449">
        <f>IFERROR(-X1018/X1017*Z3/X3,"n/a")</f>
        <v>0.10118305804707659</v>
      </c>
      <c r="Y1024" s="449">
        <f>IFERROR(-Y1018/Y1017*Z3/Y3,"n/a")</f>
        <v>0.11005098194090404</v>
      </c>
      <c r="Z1024" s="448">
        <f>IFERROR(-Z1018/Z1017,"n/a")</f>
        <v>0.10073048827374087</v>
      </c>
      <c r="AA1024" s="449">
        <f>IFERROR(-AA1018/AA1017*AE3/AA3,"n/a")</f>
        <v>0.11187739463601533</v>
      </c>
      <c r="AB1024" s="449">
        <f>IFERROR(-AB1018/AB1017*AE3/AB3,"n/a")</f>
        <v>8.3083509703165956E-2</v>
      </c>
      <c r="AC1024" s="449">
        <f>IFERROR(-AC1018/AC1017*AE3/AC3,"n/a")</f>
        <v>9.1929557710921914E-2</v>
      </c>
      <c r="AD1024" s="449">
        <f>IFERROR(-AD1018/AD1017*AE3/AD3,"n/a")</f>
        <v>0.13863068465767114</v>
      </c>
      <c r="AE1024" s="448">
        <f>IFERROR(-AE1018/AE1017,"n/a")</f>
        <v>0.10258620689655172</v>
      </c>
      <c r="AF1024" s="449">
        <f>IFERROR(-AF1018/AF1017*AJ3/AF3,"n/a")</f>
        <v>8.8404480775052974E-2</v>
      </c>
      <c r="AG1024" s="449">
        <f>IFERROR(-AG1018/AG1017*AJ3/AG3,"n/a")</f>
        <v>8.7588321557125717E-2</v>
      </c>
      <c r="AH1024" s="449">
        <f>IFERROR(-AH1018/AH1017*AJ3/AH3,"n/a")</f>
        <v>8.6835618789098443E-2</v>
      </c>
      <c r="AI1024" s="449">
        <f>IFERROR(-AI1018/AI1017*AJ3/AI3,"n/a")</f>
        <v>8.877874892341063E-2</v>
      </c>
      <c r="AJ1024" s="448">
        <f>IFERROR(-AJ1018/AJ1017,"n/a")</f>
        <v>8.4809264305177115E-2</v>
      </c>
      <c r="AK1024" s="449">
        <f>IFERROR(-AK1018/AK1017*AO3/AK3,"n/a")</f>
        <v>0.10531928239869527</v>
      </c>
      <c r="AL1024" s="449">
        <f>IFERROR(-AL1018/AL1017*AO3/AL3,"n/a")</f>
        <v>9.2146121026987451E-2</v>
      </c>
      <c r="AM1024" s="449">
        <f>IFERROR(-AM1018/AM1017*AO3/AM3,"n/a")</f>
        <v>9.2358299595141705E-2</v>
      </c>
      <c r="AN1024" s="449">
        <f>IFERROR(-AN1018/AN1017*AO3/AN3,"n/a")</f>
        <v>0.18534002229654403</v>
      </c>
      <c r="AO1024" s="448">
        <f>IFERROR(-AO1018/AO1017,"n/a")</f>
        <v>0.12834023334587882</v>
      </c>
      <c r="AP1024" s="449">
        <f>IFERROR(-AP1018/AP1017*AT3/AP3,"n/a")</f>
        <v>8.4487389080585507E-2</v>
      </c>
      <c r="AQ1024" s="449">
        <f>IFERROR(-AQ1018/AQ1017*AT3/AQ3,"n/a")</f>
        <v>8.7052989007439033E-2</v>
      </c>
      <c r="AR1024" s="449">
        <f>IFERROR(-AR1018/AR1017*AT3/AR3,"n/a")</f>
        <v>9.0340086048472518E-2</v>
      </c>
      <c r="AS1024" s="449">
        <f>IFERROR(-AS1018/AS1017*AT3/AS3,"n/a")</f>
        <v>8.8614653186400383E-2</v>
      </c>
      <c r="AT1024" s="448">
        <f>IFERROR(-AT1018/AT1017,"n/a")</f>
        <v>8.418247374196583E-2</v>
      </c>
      <c r="AU1024" s="784">
        <f>IFERROR(-AU1018/AU1017*AY3/AU3,"n/a")</f>
        <v>9.2440255165190902E-2</v>
      </c>
      <c r="AV1024" s="449">
        <f>IFERROR(-AV1018/AV1017*AY3/AV3,"n/a")</f>
        <v>6.4046046984435598E-2</v>
      </c>
      <c r="AW1024" s="449">
        <f>IFERROR(-AW1018/AW1017*AY3/AW3,"n/a")</f>
        <v>6.0287299818210412E-2</v>
      </c>
      <c r="AX1024" s="449">
        <f>IFERROR(-AX1018/AX1017*AY3/AX3,"n/a")</f>
        <v>5.9843038909605462E-2</v>
      </c>
      <c r="AY1024" s="448">
        <f>AVERAGE(AU1024,AV1024,AW1024,AX1024)</f>
        <v>6.9154160219360591E-2</v>
      </c>
      <c r="AZ1024" s="449">
        <f>IFERROR(-AZ1018/AZ1017*BD3/AZ3,"n/a")</f>
        <v>6.5800044284747547E-2</v>
      </c>
      <c r="BA1024" s="449">
        <f>IFERROR(-BA1018/BA1017*BD3/BA3,"n/a")</f>
        <v>6.2001741065597478E-2</v>
      </c>
      <c r="BB1024" s="449">
        <f>IFERROR(-BB1018/BB1017*BD3/BB3,"n/a")</f>
        <v>5.8387816721287622E-2</v>
      </c>
      <c r="BC1024" s="449">
        <f>IFERROR(-BC1018/BC1017*BD3/BC3,"n/a")</f>
        <v>5.7971771400692963E-2</v>
      </c>
      <c r="BD1024" s="448">
        <f>AVERAGE(AZ1024,BA1024,BB1024,BC1024)</f>
        <v>6.1040343368081403E-2</v>
      </c>
      <c r="BE1024" s="448">
        <f>IFERROR(-BE1018/BE1017,"n/a")</f>
        <v>5.9845066316287984E-2</v>
      </c>
      <c r="BF1024" s="448">
        <f>IFERROR(-BF1018/BF1017,"n/a")</f>
        <v>5.8031376167032869E-2</v>
      </c>
      <c r="BG1024" s="448">
        <f>IFERROR(-BG1018/BG1017,"n/a")</f>
        <v>5.631975417299178E-2</v>
      </c>
      <c r="BH1024" s="651"/>
    </row>
    <row r="1025" spans="1:60" s="21" customFormat="1" x14ac:dyDescent="0.35">
      <c r="A1025" s="428" t="s">
        <v>765</v>
      </c>
      <c r="B1025" s="429"/>
      <c r="C1025" s="519">
        <f>IFERROR(-C1011/C1012,"n/a")</f>
        <v>7.0553278688524594</v>
      </c>
      <c r="D1025" s="519">
        <f>IFERROR(-D1011/D1012,"n/a")</f>
        <v>7.4152542372881358</v>
      </c>
      <c r="E1025" s="519">
        <f>IFERROR(-E1011/E1012,"n/a")</f>
        <v>7.2717282717282714</v>
      </c>
      <c r="F1025" s="519">
        <f>IFERROR(-F1011/F1012,"n/a")</f>
        <v>7.2663507109004737</v>
      </c>
      <c r="G1025" s="520">
        <f>IFERROR(-G1011/G1012*G3/K3,"n/a")</f>
        <v>7.4848123883263851</v>
      </c>
      <c r="H1025" s="520">
        <f>IFERROR(-H1011/H1012*H3/K3,"n/a")</f>
        <v>7.5411008717310084</v>
      </c>
      <c r="I1025" s="520">
        <f>IFERROR(-I1011/I1012*I3/K3,"n/a")</f>
        <v>7.392128111132549</v>
      </c>
      <c r="J1025" s="520">
        <f>IFERROR(-J1011/J1012*J3/K3,"n/a")</f>
        <v>7.0978630136986292</v>
      </c>
      <c r="K1025" s="519">
        <f>IFERROR(-K1011/K1012,"n/a")</f>
        <v>7.3814977973568281</v>
      </c>
      <c r="L1025" s="520">
        <f>IFERROR(-L1011/L1012*L3/P3,"n/a")</f>
        <v>7.2811258123334435</v>
      </c>
      <c r="M1025" s="520">
        <f>IFERROR(-M1011/M1012*M3/P3,"n/a")</f>
        <v>7.1481363491557826</v>
      </c>
      <c r="N1025" s="520">
        <f>IFERROR(-N1011/N1012*N3/P3,"n/a")</f>
        <v>7.445904389152922</v>
      </c>
      <c r="O1025" s="520">
        <f>IFERROR(-O1011/O1012*O3/P3,"n/a")</f>
        <v>7.3363482829799214</v>
      </c>
      <c r="P1025" s="519">
        <f>IFERROR(-P1011/P1012,"n/a")</f>
        <v>7.3322033898305081</v>
      </c>
      <c r="Q1025" s="520">
        <f>IFERROR(-Q1011/Q1012*Q3/U3,"n/a")</f>
        <v>7.3188044831880452</v>
      </c>
      <c r="R1025" s="520">
        <f>IFERROR(-R1011/R1012*R3/U3,"n/a")</f>
        <v>7.0266144814090019</v>
      </c>
      <c r="S1025" s="520">
        <f>IFERROR(-S1011/S1012*S3/U3,"n/a")</f>
        <v>7.3165663364459403</v>
      </c>
      <c r="T1025" s="520">
        <f>IFERROR(-T1011/T1012*T3/U3,"n/a")</f>
        <v>6.3350270314214869</v>
      </c>
      <c r="U1025" s="519">
        <f>IFERROR(-U1011/U1012,"n/a")</f>
        <v>7.0389718076285241</v>
      </c>
      <c r="V1025" s="520">
        <f>IFERROR(-V1011/V1012*V3/Z3,"n/a")</f>
        <v>7.3004051253061988</v>
      </c>
      <c r="W1025" s="520">
        <f>IFERROR(-W1011/W1012*W3/Z3,"n/a")</f>
        <v>7.1391074681238615</v>
      </c>
      <c r="X1025" s="520">
        <f>IFERROR(-X1011/X1012*X3/Z3,"n/a")</f>
        <v>7.0909970438054293</v>
      </c>
      <c r="Y1025" s="520">
        <f>IFERROR(-Y1011/Y1012*Y3/Z3,"n/a")</f>
        <v>6.8756959886917999</v>
      </c>
      <c r="Z1025" s="519">
        <f>IFERROR(-Z1011/Z1012,"n/a")</f>
        <v>7.025577557755776</v>
      </c>
      <c r="AA1025" s="520">
        <f>IFERROR(-AA1011/AA1012*AA3/AE3,"n/a")</f>
        <v>5.6145337337923964</v>
      </c>
      <c r="AB1025" s="520">
        <f>IFERROR(-AB1011/AB1012*AB3/AE3,"n/a")</f>
        <v>6.4020815335883823</v>
      </c>
      <c r="AC1025" s="520">
        <f>IFERROR(-AC1011/AC1012*AC3/AE3,"n/a")</f>
        <v>6.6230103370031097</v>
      </c>
      <c r="AD1025" s="520">
        <f>IFERROR(-AD1011/AD1012*AD3/AE3,"n/a")</f>
        <v>7.9937377690802354</v>
      </c>
      <c r="AE1025" s="519">
        <f>IFERROR(-AE1011/AE1012,"n/a")</f>
        <v>6.5206738131699851</v>
      </c>
      <c r="AF1025" s="520">
        <f>IFERROR(-AF1011/AF1012*AF3/AJ3,"n/a")</f>
        <v>6.8746446110105977</v>
      </c>
      <c r="AG1025" s="520">
        <f>IFERROR(-AG1011/AG1012*AG3/AJ3,"n/a")</f>
        <v>6.9713841234173115</v>
      </c>
      <c r="AH1025" s="520">
        <f>IFERROR(-AH1011/AH1012*AH3/AJ3,"n/a")</f>
        <v>7.4116112198303981</v>
      </c>
      <c r="AI1025" s="520">
        <f>IFERROR(-AI1011/AI1012*AI3/AJ3,"n/a")</f>
        <v>7.0168802474591256</v>
      </c>
      <c r="AJ1025" s="519">
        <f>IFERROR(-AJ1011/AJ1012,"n/a")</f>
        <v>7.1557707828894266</v>
      </c>
      <c r="AK1025" s="520">
        <f>IFERROR(-AK1011/AK1012*AK3/AO3,"n/a")</f>
        <v>7.0410958904109586</v>
      </c>
      <c r="AL1025" s="520">
        <f>IFERROR(-AL1011/AL1012*AL3/AO3,"n/a")</f>
        <v>7.1934730056406124</v>
      </c>
      <c r="AM1025" s="520">
        <f>IFERROR(-AM1011/AM1012*AM3/AO3,"n/a")</f>
        <v>7.3160936809544852</v>
      </c>
      <c r="AN1025" s="520">
        <f>IFERROR(-AN1011/AN1012*AN3/AO3,"n/a")</f>
        <v>6.7909672063096718</v>
      </c>
      <c r="AO1025" s="519">
        <f>IFERROR(-AO1011/AO1012,"n/a")</f>
        <v>6.9792332268370609</v>
      </c>
      <c r="AP1025" s="520">
        <f>IFERROR(-AP1011/AP1012*AP3/AT3,"n/a")</f>
        <v>7.583333333333333</v>
      </c>
      <c r="AQ1025" s="520">
        <f>IFERROR(-AQ1011/AQ1012*AQ3/AT3,"n/a")</f>
        <v>6.3651662240131879</v>
      </c>
      <c r="AR1025" s="520">
        <f>IFERROR(-AR1011/AR1012*AR3/AT3,"n/a")</f>
        <v>6.6414728682170541</v>
      </c>
      <c r="AS1025" s="520">
        <f>IFERROR(-AS1011/AS1012*AS3/AT3,"n/a")</f>
        <v>6.3294813222252078</v>
      </c>
      <c r="AT1025" s="519">
        <f>IFERROR(-AT1011/AT1012,"n/a")</f>
        <v>6.7925764192139741</v>
      </c>
      <c r="AU1025" s="766">
        <f>IFERROR(-AU1011/AU1012*AU3/AY3,"n/a")</f>
        <v>7.1039336433329145</v>
      </c>
      <c r="AV1025" s="520">
        <f>IFERROR(-AV1011/AV1012*AV3/AY3,"n/a")</f>
        <v>6.8965517241379306</v>
      </c>
      <c r="AW1025" s="520">
        <f>IFERROR(-AW1011/AW1012*AW3/AY3,"n/a")</f>
        <v>6.8965517241379306</v>
      </c>
      <c r="AX1025" s="520">
        <f>IFERROR(-AX1011/AX1012*AX3/AY3,"n/a")</f>
        <v>6.8965517241379306</v>
      </c>
      <c r="AY1025" s="519">
        <f>AVERAGE(AU1025,AV1025,AW1025,AX1025)</f>
        <v>6.9483972039366764</v>
      </c>
      <c r="AZ1025" s="520">
        <f>IFERROR(-AZ1011/AZ1012*AZ3/BD3,"n/a")</f>
        <v>6.8965517241379306</v>
      </c>
      <c r="BA1025" s="520">
        <f>IFERROR(-BA1011/BA1012*BA3/BD3,"n/a")</f>
        <v>6.8965517241379315</v>
      </c>
      <c r="BB1025" s="520">
        <f>IFERROR(-BB1011/BB1012*BB3/BD3,"n/a")</f>
        <v>6.8965517241379306</v>
      </c>
      <c r="BC1025" s="520">
        <f>IFERROR(-BC1011/BC1012*BC3/BD3,"n/a")</f>
        <v>6.8965517241379306</v>
      </c>
      <c r="BD1025" s="519">
        <f>AVERAGE(AZ1025,BA1025,BB1025,BC1025)</f>
        <v>6.8965517241379306</v>
      </c>
      <c r="BE1025" s="519">
        <f>IFERROR(-BE1011/BE1012,"n/a")</f>
        <v>6.8965517241379315</v>
      </c>
      <c r="BF1025" s="519">
        <f>IFERROR(-BF1011/BF1012,"n/a")</f>
        <v>6.8965517241379315</v>
      </c>
      <c r="BG1025" s="519">
        <f>IFERROR(-BG1011/BG1012,"n/a")</f>
        <v>6.8965517241379315</v>
      </c>
      <c r="BH1025" s="651"/>
    </row>
    <row r="1026" spans="1:60" s="21" customFormat="1" x14ac:dyDescent="0.35">
      <c r="A1026" s="428" t="s">
        <v>766</v>
      </c>
      <c r="B1026" s="429"/>
      <c r="C1026" s="519">
        <f>IFERROR(-C1017/C1018,"n/a")</f>
        <v>7.7237569060773481</v>
      </c>
      <c r="D1026" s="519">
        <f>IFERROR(-D1017/D1018,"n/a")</f>
        <v>7.625</v>
      </c>
      <c r="E1026" s="519">
        <f>IFERROR(-E1017/E1018,"n/a")</f>
        <v>7.7446808510638299</v>
      </c>
      <c r="F1026" s="519">
        <f>IFERROR(-F1017/F1018,"n/a")</f>
        <v>8.2231759656652361</v>
      </c>
      <c r="G1026" s="520">
        <f>IFERROR(-G1017/G1018*G3/K3,"n/a")</f>
        <v>7.9109589041095889</v>
      </c>
      <c r="H1026" s="520">
        <f>IFERROR(-H1017/H1018*H3/K3,"n/a")</f>
        <v>7.6456621004566214</v>
      </c>
      <c r="I1026" s="520">
        <f>IFERROR(-I1017/I1018*I3/K3,"n/a")</f>
        <v>7.6299976781982819</v>
      </c>
      <c r="J1026" s="520">
        <f>IFERROR(-J1017/J1018*J3/K3,"n/a")</f>
        <v>7.7164143234799329</v>
      </c>
      <c r="K1026" s="519">
        <f>IFERROR(-K1017/K1018,"n/a")</f>
        <v>8.1567796610169498</v>
      </c>
      <c r="L1026" s="520">
        <f>IFERROR(-L1017/L1018*L3/P3,"n/a")</f>
        <v>7.3020908435472238</v>
      </c>
      <c r="M1026" s="520">
        <f>IFERROR(-M1017/M1018*M3/P3,"n/a")</f>
        <v>7.1339101177601538</v>
      </c>
      <c r="N1026" s="520">
        <f>IFERROR(-N1017/N1018*N3/P3,"n/a")</f>
        <v>7.2150684931506852</v>
      </c>
      <c r="O1026" s="520">
        <f>IFERROR(-O1017/O1018*O3/P3,"n/a")</f>
        <v>6.5881908360888053</v>
      </c>
      <c r="P1026" s="519">
        <f>IFERROR(-P1017/P1018,"n/a")</f>
        <v>7.4035087719298245</v>
      </c>
      <c r="Q1026" s="520">
        <f>IFERROR(-Q1017/Q1018*Q3/U3,"n/a")</f>
        <v>6.6761437063840789</v>
      </c>
      <c r="R1026" s="520">
        <f>IFERROR(-R1017/R1018*R3/U3,"n/a")</f>
        <v>6.9608767123287683</v>
      </c>
      <c r="S1026" s="520">
        <f>IFERROR(-S1017/S1018*S3/U3,"n/a")</f>
        <v>5.1747613117476137</v>
      </c>
      <c r="T1026" s="520">
        <f>IFERROR(-T1017/T1018*T3/U3,"n/a")</f>
        <v>11.056803652968037</v>
      </c>
      <c r="U1026" s="519">
        <f>IFERROR(-U1017/U1018,"n/a")</f>
        <v>6.2663755458515285</v>
      </c>
      <c r="V1026" s="520">
        <f>IFERROR(-V1017/V1018*V3/Z3,"n/a")</f>
        <v>9.7984351713859912</v>
      </c>
      <c r="W1026" s="520">
        <f>IFERROR(-W1017/W1018*W3/Z3,"n/a")</f>
        <v>9.6100761715515812</v>
      </c>
      <c r="X1026" s="520">
        <f>IFERROR(-X1017/X1018*X3/Z3,"n/a")</f>
        <v>9.883077456847948</v>
      </c>
      <c r="Y1026" s="520">
        <f>IFERROR(-Y1017/Y1018*Y3/Z3,"n/a")</f>
        <v>9.0866976592447593</v>
      </c>
      <c r="Z1026" s="519">
        <f>IFERROR(-Z1017/Z1018,"n/a")</f>
        <v>9.9274809160305342</v>
      </c>
      <c r="AA1026" s="520">
        <f>IFERROR(-AA1017/AA1018*AA3/AE3,"n/a")</f>
        <v>8.9383561643835616</v>
      </c>
      <c r="AB1026" s="520">
        <f>IFERROR(-AB1017/AB1018*AB3/AE3,"n/a")</f>
        <v>12.036082774701253</v>
      </c>
      <c r="AC1026" s="520">
        <f>IFERROR(-AC1017/AC1018*AC3/AE3,"n/a")</f>
        <v>10.877894171367178</v>
      </c>
      <c r="AD1026" s="520">
        <f>IFERROR(-AD1017/AD1018*AD3/AE3,"n/a")</f>
        <v>7.2134102379235765</v>
      </c>
      <c r="AE1026" s="519">
        <f>IFERROR(-AE1017/AE1018,"n/a")</f>
        <v>9.7478991596638647</v>
      </c>
      <c r="AF1026" s="520">
        <f>IFERROR(-AF1017/AF1018*AF3/AJ3,"n/a")</f>
        <v>11.311643835616438</v>
      </c>
      <c r="AG1026" s="520">
        <f>IFERROR(-AG1017/AG1018*AG3/AJ3,"n/a")</f>
        <v>11.417047184170471</v>
      </c>
      <c r="AH1026" s="520">
        <f>IFERROR(-AH1017/AH1018*AH3/AJ3,"n/a")</f>
        <v>11.516011677520774</v>
      </c>
      <c r="AI1026" s="520">
        <f>IFERROR(-AI1017/AI1018*AI3/AJ3,"n/a")</f>
        <v>11.263956883000226</v>
      </c>
      <c r="AJ1026" s="519">
        <f>IFERROR(-AJ1017/AJ1018,"n/a")</f>
        <v>11.791164658634537</v>
      </c>
      <c r="AK1026" s="520">
        <f>IFERROR(-AK1017/AK1018*AK3/AO3,"n/a")</f>
        <v>9.4949374627754608</v>
      </c>
      <c r="AL1026" s="520">
        <f>IFERROR(-AL1017/AL1018*AL3/AO3,"n/a")</f>
        <v>10.852328767123289</v>
      </c>
      <c r="AM1026" s="520">
        <f>IFERROR(-AM1017/AM1018*AM3/AO3,"n/a")</f>
        <v>10.827397260273973</v>
      </c>
      <c r="AN1026" s="520">
        <f>IFERROR(-AN1017/AN1018*AN3/AO3,"n/a")</f>
        <v>5.3954887218045116</v>
      </c>
      <c r="AO1026" s="519">
        <f>IFERROR(-AO1017/AO1018,"n/a")</f>
        <v>7.7917888563049855</v>
      </c>
      <c r="AP1026" s="520">
        <f>IFERROR(-AP1017/AP1018*AP3/AT3,"n/a")</f>
        <v>11.8360859636245</v>
      </c>
      <c r="AQ1026" s="520">
        <f>IFERROR(-AQ1017/AQ1018*AQ3/AT3,"n/a")</f>
        <v>11.487256341244597</v>
      </c>
      <c r="AR1026" s="520">
        <f>IFERROR(-AR1017/AR1018*AR3/AT3,"n/a")</f>
        <v>11.069283235610865</v>
      </c>
      <c r="AS1026" s="520">
        <f>IFERROR(-AS1017/AS1018*AS3/AT3,"n/a")</f>
        <v>11.284815366782579</v>
      </c>
      <c r="AT1026" s="519">
        <f>IFERROR(-AT1017/AT1018,"n/a")</f>
        <v>11.878957169459962</v>
      </c>
      <c r="AU1026" s="766">
        <f>IFERROR(-AU1017/AU1018*AU3/AY3,"n/a")</f>
        <v>10.817797919456174</v>
      </c>
      <c r="AV1026" s="520">
        <f>IFERROR(-AV1017/AV1018*AV3/AY3,"n/a")</f>
        <v>15.613766143022366</v>
      </c>
      <c r="AW1026" s="520">
        <f>IFERROR(-AW1017/AW1018*AW3/AY3,"n/a")</f>
        <v>16.587241475657191</v>
      </c>
      <c r="AX1026" s="520">
        <f>IFERROR(-AX1017/AX1018*AX3/AY3,"n/a")</f>
        <v>16.710381327902265</v>
      </c>
      <c r="AY1026" s="519">
        <f>AVERAGE(AU1026,AV1026,AW1026,AX1026)</f>
        <v>14.932296716509498</v>
      </c>
      <c r="AZ1026" s="520">
        <f>IFERROR(-AZ1017/AZ1018*AZ3/BD3,"n/a")</f>
        <v>15.197558160789875</v>
      </c>
      <c r="BA1026" s="520">
        <f>IFERROR(-BA1017/BA1018*BA3/BD3,"n/a")</f>
        <v>16.128579340086688</v>
      </c>
      <c r="BB1026" s="520">
        <f>IFERROR(-BB1017/BB1018*BB3/BD3,"n/a")</f>
        <v>17.126860638983441</v>
      </c>
      <c r="BC1026" s="520">
        <f>IFERROR(-BC1017/BC1018*BC3/BD3,"n/a")</f>
        <v>17.249774775521981</v>
      </c>
      <c r="BD1026" s="519">
        <f>AVERAGE(AZ1026,BA1026,BB1026,BC1026)</f>
        <v>16.425693228845496</v>
      </c>
      <c r="BE1026" s="519">
        <f>IFERROR(-BE1017/BE1018,"n/a")</f>
        <v>16.709815220437491</v>
      </c>
      <c r="BF1026" s="519">
        <f>IFERROR(-BF1017/BF1018,"n/a")</f>
        <v>17.232057311921746</v>
      </c>
      <c r="BG1026" s="519">
        <f>IFERROR(-BG1017/BG1018,"n/a")</f>
        <v>17.755759318984236</v>
      </c>
      <c r="BH1026" s="651"/>
    </row>
    <row r="1027" spans="1:60" s="21" customFormat="1" x14ac:dyDescent="0.35">
      <c r="A1027" s="430"/>
      <c r="B1027" s="253"/>
      <c r="C1027" s="445"/>
      <c r="D1027" s="445"/>
      <c r="E1027" s="445"/>
      <c r="F1027" s="445"/>
      <c r="G1027" s="446"/>
      <c r="H1027" s="446"/>
      <c r="I1027" s="446"/>
      <c r="J1027" s="446"/>
      <c r="K1027" s="445"/>
      <c r="L1027" s="446"/>
      <c r="M1027" s="446"/>
      <c r="N1027" s="446"/>
      <c r="O1027" s="446"/>
      <c r="P1027" s="445"/>
      <c r="Q1027" s="446"/>
      <c r="R1027" s="446"/>
      <c r="S1027" s="446"/>
      <c r="T1027" s="446"/>
      <c r="U1027" s="445"/>
      <c r="V1027" s="446"/>
      <c r="W1027" s="446"/>
      <c r="X1027" s="446"/>
      <c r="Y1027" s="446"/>
      <c r="Z1027" s="445"/>
      <c r="AA1027" s="446"/>
      <c r="AB1027" s="446"/>
      <c r="AC1027" s="446"/>
      <c r="AD1027" s="446"/>
      <c r="AE1027" s="445"/>
      <c r="AF1027" s="446"/>
      <c r="AG1027" s="446"/>
      <c r="AH1027" s="446"/>
      <c r="AI1027" s="446"/>
      <c r="AJ1027" s="445"/>
      <c r="AK1027" s="446"/>
      <c r="AL1027" s="446"/>
      <c r="AM1027" s="446"/>
      <c r="AN1027" s="446"/>
      <c r="AO1027" s="445"/>
      <c r="AP1027" s="446"/>
      <c r="AQ1027" s="446"/>
      <c r="AR1027" s="446"/>
      <c r="AS1027" s="446"/>
      <c r="AT1027" s="445"/>
      <c r="AU1027" s="767"/>
      <c r="AV1027" s="446"/>
      <c r="AW1027" s="446"/>
      <c r="AX1027" s="446"/>
      <c r="AY1027" s="445"/>
      <c r="AZ1027" s="446"/>
      <c r="BA1027" s="446"/>
      <c r="BB1027" s="446"/>
      <c r="BC1027" s="446"/>
      <c r="BD1027" s="445"/>
      <c r="BE1027" s="445"/>
      <c r="BF1027" s="445"/>
      <c r="BG1027" s="445"/>
      <c r="BH1027" s="651"/>
    </row>
    <row r="1028" spans="1:60" s="21" customFormat="1" x14ac:dyDescent="0.35">
      <c r="A1028" s="428" t="s">
        <v>767</v>
      </c>
      <c r="B1028" s="429"/>
      <c r="C1028" s="519">
        <f t="shared" ref="C1028:AH1028" si="1457">C799+C800</f>
        <v>1157</v>
      </c>
      <c r="D1028" s="519">
        <f t="shared" si="1457"/>
        <v>1120</v>
      </c>
      <c r="E1028" s="519">
        <f t="shared" si="1457"/>
        <v>1236</v>
      </c>
      <c r="F1028" s="519">
        <f t="shared" si="1457"/>
        <v>1288</v>
      </c>
      <c r="G1028" s="520">
        <f t="shared" si="1457"/>
        <v>336</v>
      </c>
      <c r="H1028" s="520">
        <f t="shared" si="1457"/>
        <v>335</v>
      </c>
      <c r="I1028" s="520">
        <f t="shared" si="1457"/>
        <v>343</v>
      </c>
      <c r="J1028" s="520">
        <f t="shared" si="1457"/>
        <v>357</v>
      </c>
      <c r="K1028" s="519">
        <f t="shared" si="1457"/>
        <v>1371</v>
      </c>
      <c r="L1028" s="520">
        <f t="shared" si="1457"/>
        <v>350</v>
      </c>
      <c r="M1028" s="520">
        <f t="shared" si="1457"/>
        <v>358</v>
      </c>
      <c r="N1028" s="520">
        <f t="shared" si="1457"/>
        <v>350</v>
      </c>
      <c r="O1028" s="520">
        <f t="shared" si="1457"/>
        <v>350</v>
      </c>
      <c r="P1028" s="519">
        <f t="shared" si="1457"/>
        <v>1408</v>
      </c>
      <c r="Q1028" s="520">
        <f t="shared" si="1457"/>
        <v>339</v>
      </c>
      <c r="R1028" s="520">
        <f t="shared" si="1457"/>
        <v>344</v>
      </c>
      <c r="S1028" s="520">
        <f t="shared" si="1457"/>
        <v>355</v>
      </c>
      <c r="T1028" s="520">
        <f t="shared" si="1457"/>
        <v>397</v>
      </c>
      <c r="U1028" s="519">
        <f t="shared" si="1457"/>
        <v>1435</v>
      </c>
      <c r="V1028" s="520">
        <f t="shared" si="1457"/>
        <v>356</v>
      </c>
      <c r="W1028" s="520">
        <f t="shared" si="1457"/>
        <v>366</v>
      </c>
      <c r="X1028" s="520">
        <f t="shared" si="1457"/>
        <v>368</v>
      </c>
      <c r="Y1028" s="520">
        <f t="shared" si="1457"/>
        <v>384</v>
      </c>
      <c r="Z1028" s="519">
        <f t="shared" si="1457"/>
        <v>1474</v>
      </c>
      <c r="AA1028" s="520">
        <f t="shared" si="1457"/>
        <v>438</v>
      </c>
      <c r="AB1028" s="520">
        <f t="shared" si="1457"/>
        <v>380</v>
      </c>
      <c r="AC1028" s="520">
        <f t="shared" si="1457"/>
        <v>377</v>
      </c>
      <c r="AD1028" s="520">
        <f t="shared" si="1457"/>
        <v>349</v>
      </c>
      <c r="AE1028" s="519">
        <f t="shared" si="1457"/>
        <v>1544</v>
      </c>
      <c r="AF1028" s="520">
        <f t="shared" si="1457"/>
        <v>382</v>
      </c>
      <c r="AG1028" s="520">
        <f t="shared" si="1457"/>
        <v>380</v>
      </c>
      <c r="AH1028" s="520">
        <f t="shared" si="1457"/>
        <v>355</v>
      </c>
      <c r="AI1028" s="520">
        <f t="shared" ref="AI1028:AY1028" si="1458">AI799+AI800</f>
        <v>371</v>
      </c>
      <c r="AJ1028" s="519">
        <f t="shared" si="1458"/>
        <v>1488</v>
      </c>
      <c r="AK1028" s="520">
        <f t="shared" si="1458"/>
        <v>375</v>
      </c>
      <c r="AL1028" s="520">
        <f t="shared" si="1458"/>
        <v>376</v>
      </c>
      <c r="AM1028" s="520">
        <f t="shared" si="1458"/>
        <v>379</v>
      </c>
      <c r="AN1028" s="520">
        <f t="shared" si="1458"/>
        <v>463</v>
      </c>
      <c r="AO1028" s="519">
        <f t="shared" si="1458"/>
        <v>1593</v>
      </c>
      <c r="AP1028" s="520">
        <f t="shared" si="1458"/>
        <v>440</v>
      </c>
      <c r="AQ1028" s="520">
        <f t="shared" si="1458"/>
        <v>492</v>
      </c>
      <c r="AR1028" s="520">
        <f t="shared" si="1458"/>
        <v>481</v>
      </c>
      <c r="AS1028" s="520">
        <f t="shared" ref="AS1028" si="1459">AS799+AS800</f>
        <v>498</v>
      </c>
      <c r="AT1028" s="519">
        <f>AT799+AT800</f>
        <v>1911</v>
      </c>
      <c r="AU1028" s="766">
        <f t="shared" ref="AU1028" si="1460">AU799+AU800</f>
        <v>460</v>
      </c>
      <c r="AV1028" s="520">
        <f>AV145+AV225+AV302+AV380+AV424</f>
        <v>425</v>
      </c>
      <c r="AW1028" s="520">
        <f>AW145+AW225+AW302+AW380+AW424</f>
        <v>425</v>
      </c>
      <c r="AX1028" s="520">
        <f>AX145+AX225+AX302+AX380+AX424</f>
        <v>425</v>
      </c>
      <c r="AY1028" s="519">
        <f t="shared" si="1458"/>
        <v>1735</v>
      </c>
      <c r="AZ1028" s="520">
        <f>AZ145+AZ225+AZ302+AZ380+AZ424</f>
        <v>425</v>
      </c>
      <c r="BA1028" s="520">
        <f>BA145+BA225+BA302+BA380+BA424</f>
        <v>425</v>
      </c>
      <c r="BB1028" s="520">
        <f>BB145+BB225+BB302+BB380+BB424</f>
        <v>425</v>
      </c>
      <c r="BC1028" s="520">
        <f>BC145+BC225+BC302+BC380+BC424</f>
        <v>425</v>
      </c>
      <c r="BD1028" s="519">
        <f>BD799+BD800</f>
        <v>1700</v>
      </c>
      <c r="BE1028" s="519">
        <f>BE145+BE225+BE302+BE380+BE424</f>
        <v>1700</v>
      </c>
      <c r="BF1028" s="519">
        <f>BF145+BF225+BF302+BF380+BF424</f>
        <v>1700</v>
      </c>
      <c r="BG1028" s="519">
        <f>BG145+BG225+BG302+BG380+BG424</f>
        <v>1700</v>
      </c>
      <c r="BH1028" s="651"/>
    </row>
    <row r="1029" spans="1:60" s="21" customFormat="1" x14ac:dyDescent="0.35">
      <c r="A1029" s="428" t="s">
        <v>768</v>
      </c>
      <c r="B1029" s="429"/>
      <c r="C1029" s="519">
        <f t="shared" ref="C1029:AH1029" si="1461">-C842</f>
        <v>903</v>
      </c>
      <c r="D1029" s="519">
        <f t="shared" si="1461"/>
        <v>1091</v>
      </c>
      <c r="E1029" s="519">
        <f t="shared" si="1461"/>
        <v>1379</v>
      </c>
      <c r="F1029" s="519">
        <f t="shared" si="1461"/>
        <v>1484</v>
      </c>
      <c r="G1029" s="520">
        <f t="shared" si="1461"/>
        <v>324</v>
      </c>
      <c r="H1029" s="520">
        <f t="shared" si="1461"/>
        <v>394</v>
      </c>
      <c r="I1029" s="520">
        <f t="shared" si="1461"/>
        <v>404</v>
      </c>
      <c r="J1029" s="520">
        <f t="shared" si="1461"/>
        <v>543</v>
      </c>
      <c r="K1029" s="519">
        <f t="shared" si="1461"/>
        <v>1665</v>
      </c>
      <c r="L1029" s="520">
        <f t="shared" si="1461"/>
        <v>293</v>
      </c>
      <c r="M1029" s="520">
        <f t="shared" si="1461"/>
        <v>341</v>
      </c>
      <c r="N1029" s="520">
        <f t="shared" si="1461"/>
        <v>369</v>
      </c>
      <c r="O1029" s="520">
        <f t="shared" si="1461"/>
        <v>490</v>
      </c>
      <c r="P1029" s="519">
        <f t="shared" si="1461"/>
        <v>1493</v>
      </c>
      <c r="Q1029" s="520">
        <f t="shared" si="1461"/>
        <v>291</v>
      </c>
      <c r="R1029" s="520">
        <f t="shared" si="1461"/>
        <v>370</v>
      </c>
      <c r="S1029" s="520">
        <f t="shared" si="1461"/>
        <v>354</v>
      </c>
      <c r="T1029" s="520">
        <f t="shared" si="1461"/>
        <v>446</v>
      </c>
      <c r="U1029" s="519">
        <f t="shared" si="1461"/>
        <v>1461</v>
      </c>
      <c r="V1029" s="520">
        <f t="shared" si="1461"/>
        <v>314</v>
      </c>
      <c r="W1029" s="520">
        <f t="shared" si="1461"/>
        <v>323</v>
      </c>
      <c r="X1029" s="520">
        <f t="shared" si="1461"/>
        <v>347</v>
      </c>
      <c r="Y1029" s="520">
        <f t="shared" si="1461"/>
        <v>436</v>
      </c>
      <c r="Z1029" s="519">
        <f t="shared" si="1461"/>
        <v>1420</v>
      </c>
      <c r="AA1029" s="520">
        <f t="shared" si="1461"/>
        <v>287</v>
      </c>
      <c r="AB1029" s="520">
        <f t="shared" si="1461"/>
        <v>302</v>
      </c>
      <c r="AC1029" s="520">
        <f t="shared" si="1461"/>
        <v>325</v>
      </c>
      <c r="AD1029" s="520">
        <f t="shared" si="1461"/>
        <v>459</v>
      </c>
      <c r="AE1029" s="519">
        <f t="shared" si="1461"/>
        <v>1373</v>
      </c>
      <c r="AF1029" s="520">
        <f t="shared" si="1461"/>
        <v>304</v>
      </c>
      <c r="AG1029" s="520">
        <f t="shared" si="1461"/>
        <v>365</v>
      </c>
      <c r="AH1029" s="520">
        <f t="shared" si="1461"/>
        <v>377</v>
      </c>
      <c r="AI1029" s="520">
        <f t="shared" ref="AI1029:AY1029" si="1462">-AI842</f>
        <v>531</v>
      </c>
      <c r="AJ1029" s="519">
        <f t="shared" si="1462"/>
        <v>1577</v>
      </c>
      <c r="AK1029" s="520">
        <f t="shared" si="1462"/>
        <v>391</v>
      </c>
      <c r="AL1029" s="520">
        <f t="shared" si="1462"/>
        <v>421</v>
      </c>
      <c r="AM1029" s="520">
        <f t="shared" si="1462"/>
        <v>349</v>
      </c>
      <c r="AN1029" s="520">
        <f t="shared" si="1462"/>
        <v>538</v>
      </c>
      <c r="AO1029" s="519">
        <f t="shared" si="1462"/>
        <v>1699</v>
      </c>
      <c r="AP1029" s="520">
        <f t="shared" si="1462"/>
        <v>332</v>
      </c>
      <c r="AQ1029" s="520">
        <f t="shared" si="1462"/>
        <v>379</v>
      </c>
      <c r="AR1029" s="520">
        <f>-AR842</f>
        <v>368</v>
      </c>
      <c r="AS1029" s="520">
        <f t="shared" ref="AS1029" si="1463">-AS842</f>
        <v>422</v>
      </c>
      <c r="AT1029" s="519">
        <f>-AT842</f>
        <v>1501</v>
      </c>
      <c r="AU1029" s="766">
        <f t="shared" ref="AU1029" si="1464">-AU842</f>
        <v>310</v>
      </c>
      <c r="AV1029" s="520">
        <f t="shared" si="1462"/>
        <v>475</v>
      </c>
      <c r="AW1029" s="520">
        <f t="shared" si="1462"/>
        <v>475</v>
      </c>
      <c r="AX1029" s="520">
        <f t="shared" si="1462"/>
        <v>475</v>
      </c>
      <c r="AY1029" s="519">
        <f t="shared" si="1462"/>
        <v>1735</v>
      </c>
      <c r="AZ1029" s="520">
        <f t="shared" ref="AZ1029:BG1029" si="1465">-AZ842</f>
        <v>475</v>
      </c>
      <c r="BA1029" s="520">
        <f t="shared" si="1465"/>
        <v>475</v>
      </c>
      <c r="BB1029" s="520">
        <f t="shared" si="1465"/>
        <v>475</v>
      </c>
      <c r="BC1029" s="520">
        <f t="shared" si="1465"/>
        <v>475</v>
      </c>
      <c r="BD1029" s="519">
        <f t="shared" si="1465"/>
        <v>1900</v>
      </c>
      <c r="BE1029" s="519">
        <f t="shared" si="1465"/>
        <v>1900</v>
      </c>
      <c r="BF1029" s="519">
        <f t="shared" si="1465"/>
        <v>1900</v>
      </c>
      <c r="BG1029" s="519">
        <f t="shared" si="1465"/>
        <v>1900</v>
      </c>
      <c r="BH1029" s="651"/>
    </row>
    <row r="1030" spans="1:60" s="21" customFormat="1" x14ac:dyDescent="0.35">
      <c r="A1030" s="566" t="s">
        <v>769</v>
      </c>
      <c r="B1030" s="432"/>
      <c r="C1030" s="448"/>
      <c r="D1030" s="448"/>
      <c r="E1030" s="448"/>
      <c r="F1030" s="448"/>
      <c r="G1030" s="449"/>
      <c r="H1030" s="449"/>
      <c r="I1030" s="449"/>
      <c r="J1030" s="449"/>
      <c r="K1030" s="448"/>
      <c r="L1030" s="449"/>
      <c r="M1030" s="449"/>
      <c r="N1030" s="449"/>
      <c r="O1030" s="449"/>
      <c r="P1030" s="448"/>
      <c r="Q1030" s="449"/>
      <c r="R1030" s="449"/>
      <c r="S1030" s="449"/>
      <c r="T1030" s="449"/>
      <c r="U1030" s="448"/>
      <c r="V1030" s="449"/>
      <c r="W1030" s="449"/>
      <c r="X1030" s="449"/>
      <c r="Y1030" s="449"/>
      <c r="Z1030" s="448"/>
      <c r="AA1030" s="449"/>
      <c r="AB1030" s="449"/>
      <c r="AC1030" s="449"/>
      <c r="AD1030" s="449"/>
      <c r="AE1030" s="448"/>
      <c r="AF1030" s="449"/>
      <c r="AG1030" s="449"/>
      <c r="AH1030" s="449"/>
      <c r="AI1030" s="449"/>
      <c r="AJ1030" s="448"/>
      <c r="AK1030" s="449"/>
      <c r="AL1030" s="449"/>
      <c r="AM1030" s="449"/>
      <c r="AN1030" s="449"/>
      <c r="AO1030" s="448"/>
      <c r="AP1030" s="449"/>
      <c r="AQ1030" s="449"/>
      <c r="AR1030" s="449"/>
      <c r="AS1030" s="449"/>
      <c r="AT1030" s="448"/>
      <c r="AU1030" s="784"/>
      <c r="AV1030" s="952">
        <f>Drivers!AV129</f>
        <v>0.3</v>
      </c>
      <c r="AW1030" s="952">
        <f>Drivers!AW129</f>
        <v>0.3</v>
      </c>
      <c r="AX1030" s="952">
        <f>Drivers!AX129</f>
        <v>0.3</v>
      </c>
      <c r="AY1030" s="448">
        <f>AVERAGE(AU1030,AV1030,AW1030,AX1030)</f>
        <v>0.3</v>
      </c>
      <c r="AZ1030" s="952">
        <f>Drivers!AZ129</f>
        <v>0.3</v>
      </c>
      <c r="BA1030" s="952">
        <f>Drivers!BA129</f>
        <v>0.3</v>
      </c>
      <c r="BB1030" s="952">
        <f>Drivers!BB129</f>
        <v>0.3</v>
      </c>
      <c r="BC1030" s="952">
        <f>Drivers!BC129</f>
        <v>0.3</v>
      </c>
      <c r="BD1030" s="448">
        <f>AVERAGE(AZ1030,BA1030,BB1030,BC1030)</f>
        <v>0.3</v>
      </c>
      <c r="BE1030" s="952">
        <f>Drivers!BE129</f>
        <v>0.3</v>
      </c>
      <c r="BF1030" s="952">
        <f>Drivers!BF129</f>
        <v>0.3</v>
      </c>
      <c r="BG1030" s="952">
        <f>Drivers!BG129</f>
        <v>0.3</v>
      </c>
      <c r="BH1030" s="651"/>
    </row>
    <row r="1031" spans="1:60" s="21" customFormat="1" x14ac:dyDescent="0.35">
      <c r="A1031" s="430"/>
      <c r="B1031" s="253"/>
      <c r="C1031" s="445"/>
      <c r="D1031" s="445"/>
      <c r="E1031" s="445"/>
      <c r="F1031" s="445"/>
      <c r="G1031" s="446"/>
      <c r="H1031" s="446"/>
      <c r="I1031" s="446"/>
      <c r="J1031" s="446"/>
      <c r="K1031" s="445"/>
      <c r="L1031" s="446"/>
      <c r="M1031" s="446"/>
      <c r="N1031" s="446"/>
      <c r="O1031" s="446"/>
      <c r="P1031" s="445"/>
      <c r="Q1031" s="446"/>
      <c r="R1031" s="446"/>
      <c r="S1031" s="446"/>
      <c r="T1031" s="446"/>
      <c r="U1031" s="445"/>
      <c r="V1031" s="446"/>
      <c r="W1031" s="446"/>
      <c r="X1031" s="446"/>
      <c r="Y1031" s="446"/>
      <c r="Z1031" s="445"/>
      <c r="AA1031" s="446"/>
      <c r="AB1031" s="446"/>
      <c r="AC1031" s="446"/>
      <c r="AD1031" s="446"/>
      <c r="AE1031" s="445"/>
      <c r="AF1031" s="446"/>
      <c r="AG1031" s="446"/>
      <c r="AH1031" s="446"/>
      <c r="AI1031" s="446"/>
      <c r="AJ1031" s="445"/>
      <c r="AK1031" s="446"/>
      <c r="AL1031" s="446"/>
      <c r="AM1031" s="446"/>
      <c r="AN1031" s="446"/>
      <c r="AO1031" s="445"/>
      <c r="AP1031" s="446"/>
      <c r="AQ1031" s="446"/>
      <c r="AR1031" s="446"/>
      <c r="AS1031" s="446"/>
      <c r="AT1031" s="445"/>
      <c r="AU1031" s="767"/>
      <c r="AV1031" s="446"/>
      <c r="AW1031" s="446"/>
      <c r="AX1031" s="446"/>
      <c r="AY1031" s="445"/>
      <c r="AZ1031" s="446"/>
      <c r="BA1031" s="446"/>
      <c r="BB1031" s="446"/>
      <c r="BC1031" s="446"/>
      <c r="BD1031" s="445"/>
      <c r="BE1031" s="445"/>
      <c r="BF1031" s="445"/>
      <c r="BG1031" s="445"/>
      <c r="BH1031" s="651"/>
    </row>
    <row r="1032" spans="1:60" s="21" customFormat="1" x14ac:dyDescent="0.35">
      <c r="A1032" s="746" t="s">
        <v>165</v>
      </c>
      <c r="B1032" s="746"/>
      <c r="C1032" s="874"/>
      <c r="D1032" s="874"/>
      <c r="E1032" s="874"/>
      <c r="F1032" s="874"/>
      <c r="G1032" s="874"/>
      <c r="H1032" s="874"/>
      <c r="I1032" s="874"/>
      <c r="J1032" s="874"/>
      <c r="K1032" s="874"/>
      <c r="L1032" s="874"/>
      <c r="M1032" s="874"/>
      <c r="N1032" s="874"/>
      <c r="O1032" s="874"/>
      <c r="P1032" s="874"/>
      <c r="Q1032" s="874"/>
      <c r="R1032" s="874"/>
      <c r="S1032" s="874"/>
      <c r="T1032" s="874"/>
      <c r="U1032" s="874"/>
      <c r="V1032" s="874"/>
      <c r="W1032" s="874"/>
      <c r="X1032" s="874"/>
      <c r="Y1032" s="874"/>
      <c r="Z1032" s="874"/>
      <c r="AA1032" s="874"/>
      <c r="AB1032" s="874"/>
      <c r="AC1032" s="874"/>
      <c r="AD1032" s="874"/>
      <c r="AE1032" s="874"/>
      <c r="AF1032" s="874"/>
      <c r="AG1032" s="874"/>
      <c r="AH1032" s="874"/>
      <c r="AI1032" s="874"/>
      <c r="AJ1032" s="874"/>
      <c r="AK1032" s="874"/>
      <c r="AL1032" s="874"/>
      <c r="AM1032" s="874"/>
      <c r="AN1032" s="874"/>
      <c r="AO1032" s="874"/>
      <c r="AP1032" s="874"/>
      <c r="AQ1032" s="874"/>
      <c r="AR1032" s="874"/>
      <c r="AS1032" s="874"/>
      <c r="AT1032" s="874"/>
      <c r="AU1032" s="875"/>
      <c r="AV1032" s="874"/>
      <c r="AW1032" s="874"/>
      <c r="AX1032" s="874"/>
      <c r="AY1032" s="874"/>
      <c r="AZ1032" s="874"/>
      <c r="BA1032" s="874"/>
      <c r="BB1032" s="874"/>
      <c r="BC1032" s="874"/>
      <c r="BD1032" s="874"/>
      <c r="BE1032" s="874"/>
      <c r="BF1032" s="874"/>
      <c r="BG1032" s="874"/>
      <c r="BH1032" s="651"/>
    </row>
    <row r="1033" spans="1:60" s="21" customFormat="1" x14ac:dyDescent="0.35">
      <c r="A1033" s="93" t="s">
        <v>166</v>
      </c>
      <c r="B1033" s="429"/>
      <c r="C1033" s="879"/>
      <c r="D1033" s="879"/>
      <c r="E1033" s="879"/>
      <c r="F1033" s="879"/>
      <c r="G1033" s="880"/>
      <c r="H1033" s="880"/>
      <c r="I1033" s="880"/>
      <c r="J1033" s="880"/>
      <c r="K1033" s="879"/>
      <c r="L1033" s="880"/>
      <c r="M1033" s="880"/>
      <c r="N1033" s="880"/>
      <c r="O1033" s="880"/>
      <c r="P1033" s="879"/>
      <c r="Q1033" s="880"/>
      <c r="R1033" s="880"/>
      <c r="S1033" s="880"/>
      <c r="T1033" s="880"/>
      <c r="U1033" s="879"/>
      <c r="V1033" s="880"/>
      <c r="W1033" s="880"/>
      <c r="X1033" s="880"/>
      <c r="Y1033" s="880"/>
      <c r="Z1033" s="879"/>
      <c r="AA1033" s="880"/>
      <c r="AB1033" s="880"/>
      <c r="AC1033" s="880"/>
      <c r="AD1033" s="880"/>
      <c r="AE1033" s="879"/>
      <c r="AF1033" s="880"/>
      <c r="AG1033" s="880"/>
      <c r="AH1033" s="880"/>
      <c r="AI1033" s="880"/>
      <c r="AJ1033" s="879"/>
      <c r="AK1033" s="880"/>
      <c r="AL1033" s="880"/>
      <c r="AM1033" s="880"/>
      <c r="AN1033" s="880"/>
      <c r="AO1033" s="879"/>
      <c r="AP1033" s="880"/>
      <c r="AQ1033" s="880"/>
      <c r="AR1033" s="880"/>
      <c r="AS1033" s="880"/>
      <c r="AT1033" s="879"/>
      <c r="AU1033" s="881"/>
      <c r="AV1033" s="880"/>
      <c r="AW1033" s="880"/>
      <c r="AX1033" s="880"/>
      <c r="AY1033" s="879"/>
      <c r="AZ1033" s="880"/>
      <c r="BA1033" s="880"/>
      <c r="BB1033" s="880"/>
      <c r="BC1033" s="880"/>
      <c r="BD1033" s="879"/>
      <c r="BE1033" s="879"/>
      <c r="BF1033" s="879"/>
      <c r="BG1033" s="879"/>
      <c r="BH1033" s="651"/>
    </row>
    <row r="1034" spans="1:60" s="60" customFormat="1" x14ac:dyDescent="0.35">
      <c r="A1034" s="350" t="s">
        <v>167</v>
      </c>
      <c r="B1034" s="317"/>
      <c r="C1034" s="46">
        <v>3040</v>
      </c>
      <c r="D1034" s="46">
        <v>3377</v>
      </c>
      <c r="E1034" s="46">
        <v>2219</v>
      </c>
      <c r="F1034" s="46">
        <v>2883</v>
      </c>
      <c r="G1034" s="351">
        <v>2928</v>
      </c>
      <c r="H1034" s="351">
        <v>2942</v>
      </c>
      <c r="I1034" s="351">
        <v>2340</v>
      </c>
      <c r="J1034" s="351">
        <f t="shared" ref="J1034:J1039" si="1466">K1034</f>
        <v>2581</v>
      </c>
      <c r="K1034" s="46">
        <v>2581</v>
      </c>
      <c r="L1034" s="351">
        <v>1954</v>
      </c>
      <c r="M1034" s="351">
        <v>2125</v>
      </c>
      <c r="N1034" s="351">
        <v>1929</v>
      </c>
      <c r="O1034" s="351">
        <f t="shared" ref="O1034:O1039" si="1467">P1034</f>
        <v>1897</v>
      </c>
      <c r="P1034" s="46">
        <v>1897</v>
      </c>
      <c r="Q1034" s="351">
        <v>1791</v>
      </c>
      <c r="R1034" s="351">
        <v>2983</v>
      </c>
      <c r="S1034" s="351">
        <v>1605</v>
      </c>
      <c r="T1034" s="351">
        <f t="shared" ref="T1034:T1039" si="1468">U1034</f>
        <v>1798</v>
      </c>
      <c r="U1034" s="46">
        <v>1798</v>
      </c>
      <c r="V1034" s="351">
        <v>1337</v>
      </c>
      <c r="W1034" s="351">
        <v>1688</v>
      </c>
      <c r="X1034" s="351">
        <v>2308</v>
      </c>
      <c r="Y1034" s="351">
        <f t="shared" ref="Y1034:Y1039" si="1469">Z1034</f>
        <v>2398</v>
      </c>
      <c r="Z1034" s="46">
        <v>2398</v>
      </c>
      <c r="AA1034" s="351">
        <v>2173</v>
      </c>
      <c r="AB1034" s="351">
        <v>2654</v>
      </c>
      <c r="AC1034" s="351">
        <v>2831</v>
      </c>
      <c r="AD1034" s="351">
        <f t="shared" ref="AD1034:AD1039" si="1470">AE1034</f>
        <v>3053</v>
      </c>
      <c r="AE1034" s="46">
        <v>3053</v>
      </c>
      <c r="AF1034" s="351">
        <v>3491</v>
      </c>
      <c r="AG1034" s="351">
        <v>2801</v>
      </c>
      <c r="AH1034" s="351">
        <v>3185</v>
      </c>
      <c r="AI1034" s="351">
        <f t="shared" ref="AI1034:AI1042" si="1471">AJ1034</f>
        <v>2853</v>
      </c>
      <c r="AJ1034" s="46">
        <v>2853</v>
      </c>
      <c r="AK1034" s="351">
        <v>2938</v>
      </c>
      <c r="AL1034" s="351">
        <v>2849</v>
      </c>
      <c r="AM1034" s="351">
        <v>7731</v>
      </c>
      <c r="AN1034" s="351">
        <f t="shared" ref="AN1034:AN1039" si="1472">AO1034</f>
        <v>2353</v>
      </c>
      <c r="AO1034" s="46">
        <v>2353</v>
      </c>
      <c r="AP1034" s="351">
        <v>4253</v>
      </c>
      <c r="AQ1034" s="351">
        <v>4219</v>
      </c>
      <c r="AR1034" s="351">
        <v>4121</v>
      </c>
      <c r="AS1034" s="351">
        <f t="shared" ref="AS1034:AS1039" si="1473">AT1034</f>
        <v>4634</v>
      </c>
      <c r="AT1034" s="46">
        <v>4634</v>
      </c>
      <c r="AU1034" s="805">
        <v>4636</v>
      </c>
      <c r="AV1034" s="203">
        <f>AV995</f>
        <v>3991.7841643512947</v>
      </c>
      <c r="AW1034" s="203">
        <f>AW995</f>
        <v>4510.2465038109558</v>
      </c>
      <c r="AX1034" s="203">
        <f>AX995</f>
        <v>4835.9694701172075</v>
      </c>
      <c r="AY1034" s="108">
        <f>AX1034</f>
        <v>4835.9694701172075</v>
      </c>
      <c r="AZ1034" s="203">
        <f ca="1">AZ995</f>
        <v>5090.6088184094424</v>
      </c>
      <c r="BA1034" s="203">
        <f ca="1">BA995</f>
        <v>4662.3816536209424</v>
      </c>
      <c r="BB1034" s="203">
        <f ca="1">BB995</f>
        <v>5247.1035654897278</v>
      </c>
      <c r="BC1034" s="203">
        <f ca="1">BC995</f>
        <v>5719.5870887616948</v>
      </c>
      <c r="BD1034" s="108">
        <f ca="1">BC1034</f>
        <v>5719.5870887616948</v>
      </c>
      <c r="BE1034" s="108">
        <f ca="1">BE995</f>
        <v>7310.3924869533312</v>
      </c>
      <c r="BF1034" s="108">
        <f ca="1">BF995</f>
        <v>9627.5350390568019</v>
      </c>
      <c r="BG1034" s="108">
        <f ca="1">BG995</f>
        <v>12727.783412970231</v>
      </c>
      <c r="BH1034" s="351"/>
    </row>
    <row r="1035" spans="1:60" s="60" customFormat="1" x14ac:dyDescent="0.35">
      <c r="A1035" s="350" t="s">
        <v>168</v>
      </c>
      <c r="B1035" s="317"/>
      <c r="C1035" s="46">
        <v>744</v>
      </c>
      <c r="D1035" s="46">
        <v>1101</v>
      </c>
      <c r="E1035" s="46">
        <v>1461</v>
      </c>
      <c r="F1035" s="46">
        <v>1648</v>
      </c>
      <c r="G1035" s="351">
        <v>1448</v>
      </c>
      <c r="H1035" s="351">
        <v>1310</v>
      </c>
      <c r="I1035" s="351">
        <v>971</v>
      </c>
      <c r="J1035" s="351">
        <f t="shared" si="1466"/>
        <v>756</v>
      </c>
      <c r="K1035" s="46">
        <v>756</v>
      </c>
      <c r="L1035" s="351">
        <v>860</v>
      </c>
      <c r="M1035" s="351">
        <v>884</v>
      </c>
      <c r="N1035" s="351">
        <v>767</v>
      </c>
      <c r="O1035" s="351">
        <f t="shared" si="1467"/>
        <v>1439</v>
      </c>
      <c r="P1035" s="46">
        <v>1439</v>
      </c>
      <c r="Q1035" s="351">
        <v>1018</v>
      </c>
      <c r="R1035" s="351">
        <v>502</v>
      </c>
      <c r="S1035" s="351">
        <v>153</v>
      </c>
      <c r="T1035" s="351">
        <f t="shared" si="1468"/>
        <v>118</v>
      </c>
      <c r="U1035" s="46">
        <v>118</v>
      </c>
      <c r="V1035" s="351">
        <v>176</v>
      </c>
      <c r="W1035" s="351">
        <v>177</v>
      </c>
      <c r="X1035" s="351">
        <v>358</v>
      </c>
      <c r="Y1035" s="351">
        <f t="shared" si="1469"/>
        <v>280</v>
      </c>
      <c r="Z1035" s="46">
        <v>280</v>
      </c>
      <c r="AA1035" s="351">
        <v>141</v>
      </c>
      <c r="AB1035" s="351">
        <v>140</v>
      </c>
      <c r="AC1035" s="351">
        <v>586</v>
      </c>
      <c r="AD1035" s="351">
        <f t="shared" si="1470"/>
        <v>1076</v>
      </c>
      <c r="AE1035" s="46">
        <v>1076</v>
      </c>
      <c r="AF1035" s="351">
        <v>604</v>
      </c>
      <c r="AG1035" s="351">
        <v>385</v>
      </c>
      <c r="AH1035" s="351">
        <v>338</v>
      </c>
      <c r="AI1035" s="351">
        <f t="shared" si="1471"/>
        <v>380</v>
      </c>
      <c r="AJ1035" s="46">
        <v>380</v>
      </c>
      <c r="AK1035" s="351">
        <v>539</v>
      </c>
      <c r="AL1035" s="351">
        <v>139</v>
      </c>
      <c r="AM1035" s="351">
        <v>30</v>
      </c>
      <c r="AN1035" s="351">
        <f t="shared" si="1472"/>
        <v>98</v>
      </c>
      <c r="AO1035" s="46">
        <v>98</v>
      </c>
      <c r="AP1035" s="351">
        <v>224</v>
      </c>
      <c r="AQ1035" s="351">
        <v>247</v>
      </c>
      <c r="AR1035" s="351">
        <v>440</v>
      </c>
      <c r="AS1035" s="351">
        <f t="shared" si="1473"/>
        <v>404</v>
      </c>
      <c r="AT1035" s="46">
        <v>404</v>
      </c>
      <c r="AU1035" s="805">
        <v>501</v>
      </c>
      <c r="AV1035" s="203">
        <f>AU1035</f>
        <v>501</v>
      </c>
      <c r="AW1035" s="203">
        <f>AV1035</f>
        <v>501</v>
      </c>
      <c r="AX1035" s="203">
        <f>AW1035</f>
        <v>501</v>
      </c>
      <c r="AY1035" s="108">
        <f>AX1035</f>
        <v>501</v>
      </c>
      <c r="AZ1035" s="203">
        <f>AY1035</f>
        <v>501</v>
      </c>
      <c r="BA1035" s="203">
        <f>AZ1035</f>
        <v>501</v>
      </c>
      <c r="BB1035" s="203">
        <f>BA1035</f>
        <v>501</v>
      </c>
      <c r="BC1035" s="203">
        <f>BB1035</f>
        <v>501</v>
      </c>
      <c r="BD1035" s="108">
        <f>BC1035</f>
        <v>501</v>
      </c>
      <c r="BE1035" s="108">
        <f>BD1035</f>
        <v>501</v>
      </c>
      <c r="BF1035" s="108">
        <f>BE1035</f>
        <v>501</v>
      </c>
      <c r="BG1035" s="108">
        <f>BF1035</f>
        <v>501</v>
      </c>
      <c r="BH1035" s="351"/>
    </row>
    <row r="1036" spans="1:60" s="60" customFormat="1" x14ac:dyDescent="0.35">
      <c r="A1036" s="350" t="s">
        <v>169</v>
      </c>
      <c r="B1036" s="317"/>
      <c r="C1036" s="46">
        <v>3250</v>
      </c>
      <c r="D1036" s="46">
        <v>3615</v>
      </c>
      <c r="E1036" s="46">
        <v>3867</v>
      </c>
      <c r="F1036" s="46">
        <v>4061</v>
      </c>
      <c r="G1036" s="351">
        <v>4418</v>
      </c>
      <c r="H1036" s="351">
        <v>4542</v>
      </c>
      <c r="I1036" s="351">
        <v>4594</v>
      </c>
      <c r="J1036" s="351">
        <f t="shared" si="1466"/>
        <v>4253</v>
      </c>
      <c r="K1036" s="46">
        <v>4253</v>
      </c>
      <c r="L1036" s="351">
        <v>4598</v>
      </c>
      <c r="M1036" s="351">
        <v>4759</v>
      </c>
      <c r="N1036" s="351">
        <v>4711</v>
      </c>
      <c r="O1036" s="351">
        <f t="shared" si="1467"/>
        <v>4238</v>
      </c>
      <c r="P1036" s="46">
        <v>4238</v>
      </c>
      <c r="Q1036" s="351">
        <v>4408</v>
      </c>
      <c r="R1036" s="351">
        <v>4578</v>
      </c>
      <c r="S1036" s="351">
        <v>4610</v>
      </c>
      <c r="T1036" s="351">
        <f t="shared" si="1468"/>
        <v>4154</v>
      </c>
      <c r="U1036" s="46">
        <v>4154</v>
      </c>
      <c r="V1036" s="351">
        <v>4485</v>
      </c>
      <c r="W1036" s="351">
        <v>4667</v>
      </c>
      <c r="X1036" s="351">
        <v>4743</v>
      </c>
      <c r="Y1036" s="351">
        <f t="shared" si="1469"/>
        <v>4392</v>
      </c>
      <c r="Z1036" s="46">
        <v>4392</v>
      </c>
      <c r="AA1036" s="351">
        <v>4722</v>
      </c>
      <c r="AB1036" s="351">
        <v>4919</v>
      </c>
      <c r="AC1036" s="351">
        <v>5156</v>
      </c>
      <c r="AD1036" s="351">
        <f t="shared" si="1470"/>
        <v>4911</v>
      </c>
      <c r="AE1036" s="46">
        <v>4911</v>
      </c>
      <c r="AF1036" s="351">
        <v>5252</v>
      </c>
      <c r="AG1036" s="351">
        <v>5383</v>
      </c>
      <c r="AH1036" s="351">
        <v>5329</v>
      </c>
      <c r="AI1036" s="351">
        <f t="shared" si="1471"/>
        <v>5020</v>
      </c>
      <c r="AJ1036" s="46">
        <v>5020</v>
      </c>
      <c r="AK1036" s="351">
        <v>5173</v>
      </c>
      <c r="AL1036" s="351">
        <v>5374</v>
      </c>
      <c r="AM1036" s="351">
        <v>5020</v>
      </c>
      <c r="AN1036" s="351">
        <f t="shared" si="1472"/>
        <v>4791</v>
      </c>
      <c r="AO1036" s="46">
        <v>4791</v>
      </c>
      <c r="AP1036" s="351">
        <v>4821</v>
      </c>
      <c r="AQ1036" s="351">
        <v>4459</v>
      </c>
      <c r="AR1036" s="351">
        <v>4623</v>
      </c>
      <c r="AS1036" s="351">
        <f t="shared" si="1473"/>
        <v>4705</v>
      </c>
      <c r="AT1036" s="46">
        <v>4705</v>
      </c>
      <c r="AU1036" s="805">
        <v>4817</v>
      </c>
      <c r="AV1036" s="203">
        <f>(AV$787+AU$787+AS$787+AR$787)*AV1000</f>
        <v>4757.549370484483</v>
      </c>
      <c r="AW1036" s="203">
        <f>(AW$787+AV$787+AU$787+AS$787)*AW1000</f>
        <v>4934.357300630676</v>
      </c>
      <c r="AX1036" s="203">
        <f>(AX$787+AW$787+AV$787+AU$787)*AX1000</f>
        <v>4835.3760571210541</v>
      </c>
      <c r="AY1036" s="108">
        <f>AX1036</f>
        <v>4835.3760571210541</v>
      </c>
      <c r="AZ1036" s="203">
        <f>(AZ$787+AX$787+AW$787+AV$787)*AZ1000</f>
        <v>5097.6489279581319</v>
      </c>
      <c r="BA1036" s="203">
        <f>(BA$787+AZ$787+AX$787+AW$787)*BA1000</f>
        <v>5030.3327925365047</v>
      </c>
      <c r="BB1036" s="203">
        <f>(BB$787+BA$787+AZ$787+AX$787)*BB1000</f>
        <v>5238.296247719255</v>
      </c>
      <c r="BC1036" s="203">
        <f>(BC$787+BB$787+BA$787+AZ$787)*BC1000</f>
        <v>5154.8744600779237</v>
      </c>
      <c r="BD1036" s="108">
        <f>BC1036</f>
        <v>5154.8744600779237</v>
      </c>
      <c r="BE1036" s="108">
        <f>BE787*BE1000</f>
        <v>5486.7128074085322</v>
      </c>
      <c r="BF1036" s="108">
        <f>BF787*BF1000</f>
        <v>5840.8376959715642</v>
      </c>
      <c r="BG1036" s="108">
        <f>BG787*BG1000</f>
        <v>6218.7993721553448</v>
      </c>
      <c r="BH1036" s="351"/>
    </row>
    <row r="1037" spans="1:60" s="60" customFormat="1" hidden="1" outlineLevel="1" x14ac:dyDescent="0.35">
      <c r="A1037" s="161" t="s">
        <v>170</v>
      </c>
      <c r="B1037" s="317"/>
      <c r="C1037" s="46">
        <v>1255</v>
      </c>
      <c r="D1037" s="46">
        <v>1476</v>
      </c>
      <c r="E1037" s="46">
        <v>1536</v>
      </c>
      <c r="F1037" s="46">
        <v>1754</v>
      </c>
      <c r="G1037" s="351">
        <v>1775</v>
      </c>
      <c r="H1037" s="351">
        <v>1792</v>
      </c>
      <c r="I1037" s="351">
        <v>1799</v>
      </c>
      <c r="J1037" s="351">
        <f t="shared" si="1466"/>
        <v>1790</v>
      </c>
      <c r="K1037" s="46">
        <v>1790</v>
      </c>
      <c r="L1037" s="351">
        <v>1846</v>
      </c>
      <c r="M1037" s="351">
        <v>1898</v>
      </c>
      <c r="N1037" s="351">
        <v>1850</v>
      </c>
      <c r="O1037" s="351">
        <f t="shared" si="1467"/>
        <v>1723</v>
      </c>
      <c r="P1037" s="46">
        <v>1723</v>
      </c>
      <c r="Q1037" s="351">
        <v>1713</v>
      </c>
      <c r="R1037" s="351">
        <v>1765</v>
      </c>
      <c r="S1037" s="351">
        <v>1745</v>
      </c>
      <c r="T1037" s="351">
        <f t="shared" si="1468"/>
        <v>1655</v>
      </c>
      <c r="U1037" s="46">
        <v>1655</v>
      </c>
      <c r="V1037" s="351">
        <v>1699</v>
      </c>
      <c r="W1037" s="351">
        <v>1676</v>
      </c>
      <c r="X1037" s="351">
        <v>1672</v>
      </c>
      <c r="Y1037" s="351">
        <f t="shared" si="1469"/>
        <v>1629</v>
      </c>
      <c r="Z1037" s="46">
        <v>1629</v>
      </c>
      <c r="AA1037" s="351">
        <v>1764</v>
      </c>
      <c r="AB1037" s="351">
        <v>1863</v>
      </c>
      <c r="AC1037" s="351">
        <v>1962</v>
      </c>
      <c r="AD1037" s="351">
        <f t="shared" si="1470"/>
        <v>1915</v>
      </c>
      <c r="AE1037" s="46">
        <v>1915</v>
      </c>
      <c r="AF1037" s="351">
        <v>2025</v>
      </c>
      <c r="AG1037" s="351">
        <v>1979</v>
      </c>
      <c r="AH1037" s="351">
        <v>2125</v>
      </c>
      <c r="AI1037" s="351">
        <f t="shared" si="1471"/>
        <v>2120</v>
      </c>
      <c r="AJ1037" s="46">
        <v>2120</v>
      </c>
      <c r="AK1037" s="351">
        <v>2221</v>
      </c>
      <c r="AL1037" s="351">
        <v>1980</v>
      </c>
      <c r="AM1037" s="351">
        <v>1890</v>
      </c>
      <c r="AN1037" s="351">
        <f t="shared" si="1472"/>
        <v>2003</v>
      </c>
      <c r="AO1037" s="46">
        <v>2003</v>
      </c>
      <c r="AP1037" s="351">
        <v>2021</v>
      </c>
      <c r="AQ1037" s="351">
        <v>1932</v>
      </c>
      <c r="AR1037" s="351">
        <v>1859</v>
      </c>
      <c r="AS1037" s="351">
        <f t="shared" si="1473"/>
        <v>2081</v>
      </c>
      <c r="AT1037" s="46">
        <v>2081</v>
      </c>
      <c r="AU1037" s="790">
        <v>2215</v>
      </c>
      <c r="AV1037" s="203"/>
      <c r="AW1037" s="203"/>
      <c r="AX1037" s="203"/>
      <c r="AY1037" s="108"/>
      <c r="AZ1037" s="203"/>
      <c r="BA1037" s="203"/>
      <c r="BB1037" s="203"/>
      <c r="BC1037" s="203"/>
      <c r="BD1037" s="108"/>
      <c r="BE1037" s="108"/>
      <c r="BF1037" s="108"/>
      <c r="BG1037" s="108"/>
      <c r="BH1037" s="351"/>
    </row>
    <row r="1038" spans="1:60" s="60" customFormat="1" hidden="1" outlineLevel="1" x14ac:dyDescent="0.35">
      <c r="A1038" s="161" t="s">
        <v>171</v>
      </c>
      <c r="B1038" s="317"/>
      <c r="C1038" s="46">
        <v>815</v>
      </c>
      <c r="D1038" s="46">
        <v>950</v>
      </c>
      <c r="E1038" s="46">
        <v>1061</v>
      </c>
      <c r="F1038" s="46">
        <v>1186</v>
      </c>
      <c r="G1038" s="351">
        <v>1179</v>
      </c>
      <c r="H1038" s="351">
        <v>1222</v>
      </c>
      <c r="I1038" s="351">
        <v>1213</v>
      </c>
      <c r="J1038" s="351">
        <f t="shared" si="1466"/>
        <v>1139</v>
      </c>
      <c r="K1038" s="46">
        <v>1139</v>
      </c>
      <c r="L1038" s="351">
        <v>1170</v>
      </c>
      <c r="M1038" s="351">
        <v>1220</v>
      </c>
      <c r="N1038" s="351">
        <v>1167</v>
      </c>
      <c r="O1038" s="351">
        <f t="shared" si="1467"/>
        <v>1081</v>
      </c>
      <c r="P1038" s="46">
        <v>1081</v>
      </c>
      <c r="Q1038" s="351">
        <v>1116</v>
      </c>
      <c r="R1038" s="351">
        <v>1132</v>
      </c>
      <c r="S1038" s="351">
        <v>1061</v>
      </c>
      <c r="T1038" s="351">
        <f t="shared" si="1468"/>
        <v>1008</v>
      </c>
      <c r="U1038" s="46">
        <v>1008</v>
      </c>
      <c r="V1038" s="351">
        <v>1157</v>
      </c>
      <c r="W1038" s="351">
        <v>1165</v>
      </c>
      <c r="X1038" s="351">
        <v>1157</v>
      </c>
      <c r="Y1038" s="351">
        <f t="shared" si="1469"/>
        <v>1039</v>
      </c>
      <c r="Z1038" s="46">
        <v>1039</v>
      </c>
      <c r="AA1038" s="351">
        <v>1078</v>
      </c>
      <c r="AB1038" s="351">
        <v>1145</v>
      </c>
      <c r="AC1038" s="351">
        <v>1164</v>
      </c>
      <c r="AD1038" s="351">
        <f t="shared" si="1470"/>
        <v>1218</v>
      </c>
      <c r="AE1038" s="46">
        <v>1218</v>
      </c>
      <c r="AF1038" s="351">
        <v>1313</v>
      </c>
      <c r="AG1038" s="351">
        <v>1292</v>
      </c>
      <c r="AH1038" s="351">
        <v>1350</v>
      </c>
      <c r="AI1038" s="351">
        <f t="shared" si="1471"/>
        <v>1292</v>
      </c>
      <c r="AJ1038" s="46">
        <v>1292</v>
      </c>
      <c r="AK1038" s="351">
        <v>1333</v>
      </c>
      <c r="AL1038" s="351">
        <v>1348</v>
      </c>
      <c r="AM1038" s="351">
        <v>1231</v>
      </c>
      <c r="AN1038" s="351">
        <f t="shared" si="1472"/>
        <v>1194</v>
      </c>
      <c r="AO1038" s="46">
        <v>1194</v>
      </c>
      <c r="AP1038" s="351">
        <v>1214</v>
      </c>
      <c r="AQ1038" s="351">
        <v>1246</v>
      </c>
      <c r="AR1038" s="351">
        <v>1224</v>
      </c>
      <c r="AS1038" s="351">
        <f t="shared" si="1473"/>
        <v>1226</v>
      </c>
      <c r="AT1038" s="46">
        <v>1226</v>
      </c>
      <c r="AU1038" s="790">
        <v>1249</v>
      </c>
      <c r="AV1038" s="203"/>
      <c r="AW1038" s="203"/>
      <c r="AX1038" s="203"/>
      <c r="AY1038" s="108"/>
      <c r="AZ1038" s="203"/>
      <c r="BA1038" s="203"/>
      <c r="BB1038" s="203"/>
      <c r="BC1038" s="203"/>
      <c r="BD1038" s="108"/>
      <c r="BE1038" s="108"/>
      <c r="BF1038" s="108"/>
      <c r="BG1038" s="108"/>
      <c r="BH1038" s="351"/>
    </row>
    <row r="1039" spans="1:60" s="60" customFormat="1" hidden="1" outlineLevel="1" x14ac:dyDescent="0.35">
      <c r="A1039" s="101" t="s">
        <v>172</v>
      </c>
      <c r="B1039" s="467"/>
      <c r="C1039" s="67">
        <v>569</v>
      </c>
      <c r="D1039" s="67">
        <v>729</v>
      </c>
      <c r="E1039" s="67">
        <v>819</v>
      </c>
      <c r="F1039" s="67">
        <v>897</v>
      </c>
      <c r="G1039" s="80">
        <v>865</v>
      </c>
      <c r="H1039" s="80">
        <v>905</v>
      </c>
      <c r="I1039" s="80">
        <v>936</v>
      </c>
      <c r="J1039" s="80">
        <f t="shared" si="1466"/>
        <v>935</v>
      </c>
      <c r="K1039" s="67">
        <v>935</v>
      </c>
      <c r="L1039" s="80">
        <v>956</v>
      </c>
      <c r="M1039" s="80">
        <v>975</v>
      </c>
      <c r="N1039" s="80">
        <v>928</v>
      </c>
      <c r="O1039" s="80">
        <f t="shared" si="1467"/>
        <v>902</v>
      </c>
      <c r="P1039" s="67">
        <v>902</v>
      </c>
      <c r="Q1039" s="80">
        <v>875</v>
      </c>
      <c r="R1039" s="80">
        <v>950</v>
      </c>
      <c r="S1039" s="80">
        <v>903</v>
      </c>
      <c r="T1039" s="80">
        <f t="shared" si="1468"/>
        <v>855</v>
      </c>
      <c r="U1039" s="67">
        <v>855</v>
      </c>
      <c r="V1039" s="80">
        <v>771</v>
      </c>
      <c r="W1039" s="80">
        <v>772</v>
      </c>
      <c r="X1039" s="80">
        <v>782</v>
      </c>
      <c r="Y1039" s="80">
        <f t="shared" si="1469"/>
        <v>717</v>
      </c>
      <c r="Z1039" s="67">
        <v>717</v>
      </c>
      <c r="AA1039" s="80">
        <v>770</v>
      </c>
      <c r="AB1039" s="80">
        <v>830</v>
      </c>
      <c r="AC1039" s="80">
        <v>849</v>
      </c>
      <c r="AD1039" s="80">
        <f t="shared" si="1470"/>
        <v>901</v>
      </c>
      <c r="AE1039" s="67">
        <v>901</v>
      </c>
      <c r="AF1039" s="80">
        <v>957</v>
      </c>
      <c r="AG1039" s="80">
        <v>967</v>
      </c>
      <c r="AH1039" s="80">
        <v>962</v>
      </c>
      <c r="AI1039" s="80">
        <f t="shared" si="1471"/>
        <v>954</v>
      </c>
      <c r="AJ1039" s="67">
        <v>954</v>
      </c>
      <c r="AK1039" s="80">
        <v>984</v>
      </c>
      <c r="AL1039" s="80">
        <v>972</v>
      </c>
      <c r="AM1039" s="80">
        <v>886</v>
      </c>
      <c r="AN1039" s="80">
        <f t="shared" si="1472"/>
        <v>937</v>
      </c>
      <c r="AO1039" s="67">
        <v>937</v>
      </c>
      <c r="AP1039" s="80">
        <v>982</v>
      </c>
      <c r="AQ1039" s="80">
        <v>990</v>
      </c>
      <c r="AR1039" s="80">
        <v>901</v>
      </c>
      <c r="AS1039" s="80">
        <f t="shared" si="1473"/>
        <v>932</v>
      </c>
      <c r="AT1039" s="67">
        <v>932</v>
      </c>
      <c r="AU1039" s="791">
        <v>994</v>
      </c>
      <c r="AV1039" s="123"/>
      <c r="AW1039" s="123"/>
      <c r="AX1039" s="123"/>
      <c r="AY1039" s="124"/>
      <c r="AZ1039" s="123"/>
      <c r="BA1039" s="123"/>
      <c r="BB1039" s="123"/>
      <c r="BC1039" s="123"/>
      <c r="BD1039" s="124"/>
      <c r="BE1039" s="124"/>
      <c r="BF1039" s="124"/>
      <c r="BG1039" s="124"/>
      <c r="BH1039" s="351"/>
    </row>
    <row r="1040" spans="1:60" s="60" customFormat="1" collapsed="1" x14ac:dyDescent="0.35">
      <c r="A1040" s="350" t="s">
        <v>173</v>
      </c>
      <c r="B1040" s="317"/>
      <c r="C1040" s="46">
        <f t="shared" ref="C1040:AH1040" si="1474">+SUM(C1037:C1039)</f>
        <v>2639</v>
      </c>
      <c r="D1040" s="46">
        <f t="shared" si="1474"/>
        <v>3155</v>
      </c>
      <c r="E1040" s="46">
        <f t="shared" si="1474"/>
        <v>3416</v>
      </c>
      <c r="F1040" s="46">
        <f t="shared" si="1474"/>
        <v>3837</v>
      </c>
      <c r="G1040" s="351">
        <f t="shared" si="1474"/>
        <v>3819</v>
      </c>
      <c r="H1040" s="351">
        <f t="shared" si="1474"/>
        <v>3919</v>
      </c>
      <c r="I1040" s="351">
        <f t="shared" si="1474"/>
        <v>3948</v>
      </c>
      <c r="J1040" s="351">
        <f t="shared" si="1474"/>
        <v>3864</v>
      </c>
      <c r="K1040" s="46">
        <f t="shared" si="1474"/>
        <v>3864</v>
      </c>
      <c r="L1040" s="351">
        <f t="shared" si="1474"/>
        <v>3972</v>
      </c>
      <c r="M1040" s="351">
        <f t="shared" si="1474"/>
        <v>4093</v>
      </c>
      <c r="N1040" s="351">
        <f t="shared" si="1474"/>
        <v>3945</v>
      </c>
      <c r="O1040" s="351">
        <f t="shared" si="1474"/>
        <v>3706</v>
      </c>
      <c r="P1040" s="46">
        <f t="shared" si="1474"/>
        <v>3706</v>
      </c>
      <c r="Q1040" s="351">
        <f t="shared" si="1474"/>
        <v>3704</v>
      </c>
      <c r="R1040" s="351">
        <f t="shared" si="1474"/>
        <v>3847</v>
      </c>
      <c r="S1040" s="351">
        <f t="shared" si="1474"/>
        <v>3709</v>
      </c>
      <c r="T1040" s="351">
        <f t="shared" si="1474"/>
        <v>3518</v>
      </c>
      <c r="U1040" s="46">
        <f t="shared" si="1474"/>
        <v>3518</v>
      </c>
      <c r="V1040" s="351">
        <f t="shared" si="1474"/>
        <v>3627</v>
      </c>
      <c r="W1040" s="351">
        <f t="shared" si="1474"/>
        <v>3613</v>
      </c>
      <c r="X1040" s="351">
        <f t="shared" si="1474"/>
        <v>3611</v>
      </c>
      <c r="Y1040" s="351">
        <f t="shared" si="1474"/>
        <v>3385</v>
      </c>
      <c r="Z1040" s="46">
        <f t="shared" si="1474"/>
        <v>3385</v>
      </c>
      <c r="AA1040" s="351">
        <f t="shared" si="1474"/>
        <v>3612</v>
      </c>
      <c r="AB1040" s="351">
        <f t="shared" si="1474"/>
        <v>3838</v>
      </c>
      <c r="AC1040" s="351">
        <f t="shared" si="1474"/>
        <v>3975</v>
      </c>
      <c r="AD1040" s="351">
        <f t="shared" si="1474"/>
        <v>4034</v>
      </c>
      <c r="AE1040" s="46">
        <f t="shared" si="1474"/>
        <v>4034</v>
      </c>
      <c r="AF1040" s="351">
        <f t="shared" si="1474"/>
        <v>4295</v>
      </c>
      <c r="AG1040" s="351">
        <f t="shared" si="1474"/>
        <v>4238</v>
      </c>
      <c r="AH1040" s="351">
        <f t="shared" si="1474"/>
        <v>4437</v>
      </c>
      <c r="AI1040" s="351">
        <f t="shared" si="1471"/>
        <v>4366</v>
      </c>
      <c r="AJ1040" s="46">
        <f t="shared" ref="AJ1040:AU1040" si="1475">+SUM(AJ1037:AJ1039)</f>
        <v>4366</v>
      </c>
      <c r="AK1040" s="351">
        <f t="shared" si="1475"/>
        <v>4538</v>
      </c>
      <c r="AL1040" s="351">
        <f t="shared" si="1475"/>
        <v>4300</v>
      </c>
      <c r="AM1040" s="351">
        <f t="shared" si="1475"/>
        <v>4007</v>
      </c>
      <c r="AN1040" s="351">
        <f t="shared" si="1475"/>
        <v>4134</v>
      </c>
      <c r="AO1040" s="46">
        <f t="shared" si="1475"/>
        <v>4134</v>
      </c>
      <c r="AP1040" s="351">
        <f t="shared" si="1475"/>
        <v>4217</v>
      </c>
      <c r="AQ1040" s="351">
        <f t="shared" si="1475"/>
        <v>4168</v>
      </c>
      <c r="AR1040" s="351">
        <f t="shared" si="1475"/>
        <v>3984</v>
      </c>
      <c r="AS1040" s="351">
        <f t="shared" si="1475"/>
        <v>4239</v>
      </c>
      <c r="AT1040" s="46">
        <f t="shared" si="1475"/>
        <v>4239</v>
      </c>
      <c r="AU1040" s="805">
        <f t="shared" si="1475"/>
        <v>4458</v>
      </c>
      <c r="AV1040" s="203">
        <f>(AV$787+AU$787+AS$787+AR$787)*AV1001</f>
        <v>4447.0656596051413</v>
      </c>
      <c r="AW1040" s="203">
        <f>(AW$787+AV$787+AU$787+AS$787)*AW1001</f>
        <v>4252.3208924318869</v>
      </c>
      <c r="AX1040" s="203">
        <f>(AX$787+AW$787+AV$787+AU$787)*AX1001</f>
        <v>4510.7390508389262</v>
      </c>
      <c r="AY1040" s="108">
        <f>AX1040</f>
        <v>4510.7390508389262</v>
      </c>
      <c r="AZ1040" s="203">
        <f>(AZ$787+AX$787+AW$787+AV$787)*AZ1001</f>
        <v>4717.7328048240297</v>
      </c>
      <c r="BA1040" s="203">
        <f>(BA$787+AZ$787+AX$787+AW$787)*BA1001</f>
        <v>4702.0468892783465</v>
      </c>
      <c r="BB1040" s="203">
        <f>(BB$787+BA$787+AZ$787+AX$787)*BB1001</f>
        <v>4514.2488104939457</v>
      </c>
      <c r="BC1040" s="203">
        <f>(BC$787+BB$787+BA$787+AZ$787)*BC1001</f>
        <v>4808.7870011686236</v>
      </c>
      <c r="BD1040" s="108">
        <f>BC1040</f>
        <v>4808.7870011686236</v>
      </c>
      <c r="BE1040" s="108">
        <f>BE787*BE1001</f>
        <v>5118.3464178898193</v>
      </c>
      <c r="BF1040" s="108">
        <f>BF787*BF1001</f>
        <v>5448.6961042110743</v>
      </c>
      <c r="BG1040" s="108">
        <f>BG787*BG1001</f>
        <v>5801.2822262298432</v>
      </c>
      <c r="BH1040" s="351"/>
    </row>
    <row r="1041" spans="1:60" s="60" customFormat="1" x14ac:dyDescent="0.35">
      <c r="A1041" s="350" t="s">
        <v>174</v>
      </c>
      <c r="B1041" s="317"/>
      <c r="C1041" s="108"/>
      <c r="D1041" s="108"/>
      <c r="E1041" s="108"/>
      <c r="F1041" s="108"/>
      <c r="G1041" s="203"/>
      <c r="H1041" s="203"/>
      <c r="I1041" s="203"/>
      <c r="J1041" s="203"/>
      <c r="K1041" s="108"/>
      <c r="L1041" s="203"/>
      <c r="M1041" s="203"/>
      <c r="N1041" s="203"/>
      <c r="O1041" s="203"/>
      <c r="P1041" s="108"/>
      <c r="Q1041" s="203"/>
      <c r="R1041" s="203"/>
      <c r="S1041" s="203"/>
      <c r="T1041" s="203"/>
      <c r="U1041" s="108"/>
      <c r="V1041" s="203"/>
      <c r="W1041" s="203"/>
      <c r="X1041" s="203"/>
      <c r="Y1041" s="203"/>
      <c r="Z1041" s="108"/>
      <c r="AA1041" s="203"/>
      <c r="AB1041" s="203"/>
      <c r="AC1041" s="203"/>
      <c r="AD1041" s="351">
        <f>AE1041</f>
        <v>937</v>
      </c>
      <c r="AE1041" s="46">
        <v>937</v>
      </c>
      <c r="AF1041" s="351">
        <v>832</v>
      </c>
      <c r="AG1041" s="351">
        <v>713</v>
      </c>
      <c r="AH1041" s="351">
        <v>745</v>
      </c>
      <c r="AI1041" s="351">
        <f t="shared" si="1471"/>
        <v>741</v>
      </c>
      <c r="AJ1041" s="46">
        <v>741</v>
      </c>
      <c r="AK1041" s="351">
        <v>713</v>
      </c>
      <c r="AL1041" s="351">
        <v>949</v>
      </c>
      <c r="AM1041" s="351">
        <v>717</v>
      </c>
      <c r="AN1041" s="351">
        <f>AO1041</f>
        <v>704</v>
      </c>
      <c r="AO1041" s="46">
        <v>704</v>
      </c>
      <c r="AP1041" s="351">
        <v>604</v>
      </c>
      <c r="AQ1041" s="351">
        <v>567</v>
      </c>
      <c r="AR1041" s="351">
        <v>516</v>
      </c>
      <c r="AS1041" s="351">
        <f>AT1041</f>
        <v>675</v>
      </c>
      <c r="AT1041" s="46">
        <v>675</v>
      </c>
      <c r="AU1041" s="805">
        <v>535</v>
      </c>
      <c r="AV1041" s="203">
        <f>(AV$787+AU$787+AS$787+AR$787)*AV1002</f>
        <v>604.96310676490293</v>
      </c>
      <c r="AW1041" s="203">
        <f>(AW$787+AV$787+AU$787+AS$787)*AW1002</f>
        <v>550.75240474268412</v>
      </c>
      <c r="AX1041" s="203">
        <f>(AX$787+AW$787+AV$787+AU$787)*AX1002</f>
        <v>718.27054949664443</v>
      </c>
      <c r="AY1041" s="108">
        <f>AX1041</f>
        <v>718.27054949664443</v>
      </c>
      <c r="AZ1041" s="203">
        <f>(AZ$787+AX$787+AW$787+AV$787)*AZ1002</f>
        <v>566.17026706614081</v>
      </c>
      <c r="BA1041" s="203">
        <f>(BA$787+AZ$787+AX$787+AW$787)*BA1002</f>
        <v>639.64985274012065</v>
      </c>
      <c r="BB1041" s="203">
        <f>(BB$787+BA$787+AZ$787+AX$787)*BB1002</f>
        <v>584.67680376879423</v>
      </c>
      <c r="BC1041" s="203">
        <f>(BC$787+BB$787+BA$787+AZ$787)*BC1002</f>
        <v>765.73041419882554</v>
      </c>
      <c r="BD1041" s="108">
        <f>BC1041</f>
        <v>765.73041419882554</v>
      </c>
      <c r="BE1041" s="108">
        <f>BE787*BE1002</f>
        <v>815.02331495060821</v>
      </c>
      <c r="BF1041" s="108">
        <f>BF787*BF1002</f>
        <v>867.62676818647697</v>
      </c>
      <c r="BG1041" s="108">
        <f>BG787*BG1002</f>
        <v>923.77105513214076</v>
      </c>
      <c r="BH1041" s="351"/>
    </row>
    <row r="1042" spans="1:60" s="60" customFormat="1" x14ac:dyDescent="0.35">
      <c r="A1042" s="91" t="s">
        <v>175</v>
      </c>
      <c r="B1042" s="467"/>
      <c r="C1042" s="67">
        <v>1122</v>
      </c>
      <c r="D1042" s="67">
        <v>967</v>
      </c>
      <c r="E1042" s="67">
        <v>1277</v>
      </c>
      <c r="F1042" s="67">
        <v>1201</v>
      </c>
      <c r="G1042" s="80">
        <v>1242</v>
      </c>
      <c r="H1042" s="80">
        <v>1270</v>
      </c>
      <c r="I1042" s="80">
        <v>1429</v>
      </c>
      <c r="J1042" s="80">
        <f>K1042</f>
        <v>1279</v>
      </c>
      <c r="K1042" s="67">
        <v>1279</v>
      </c>
      <c r="L1042" s="80">
        <v>1378</v>
      </c>
      <c r="M1042" s="80">
        <v>1332</v>
      </c>
      <c r="N1042" s="80">
        <v>1329</v>
      </c>
      <c r="O1042" s="80">
        <f>P1042</f>
        <v>1023</v>
      </c>
      <c r="P1042" s="67">
        <v>1023</v>
      </c>
      <c r="Q1042" s="80">
        <v>1597</v>
      </c>
      <c r="R1042" s="80">
        <v>1521</v>
      </c>
      <c r="S1042" s="80">
        <v>1531</v>
      </c>
      <c r="T1042" s="80">
        <f>U1042</f>
        <v>1398</v>
      </c>
      <c r="U1042" s="67">
        <v>1398</v>
      </c>
      <c r="V1042" s="80">
        <v>1249</v>
      </c>
      <c r="W1042" s="80">
        <v>1291</v>
      </c>
      <c r="X1042" s="80">
        <v>1159</v>
      </c>
      <c r="Y1042" s="80">
        <f>Z1042</f>
        <v>1271</v>
      </c>
      <c r="Z1042" s="67">
        <v>1271</v>
      </c>
      <c r="AA1042" s="80">
        <v>1253</v>
      </c>
      <c r="AB1042" s="80">
        <v>1090</v>
      </c>
      <c r="AC1042" s="80">
        <v>1108</v>
      </c>
      <c r="AD1042" s="80">
        <f>AE1042</f>
        <v>266</v>
      </c>
      <c r="AE1042" s="67">
        <v>266</v>
      </c>
      <c r="AF1042" s="80">
        <v>344</v>
      </c>
      <c r="AG1042" s="80">
        <v>370</v>
      </c>
      <c r="AH1042" s="80">
        <v>385</v>
      </c>
      <c r="AI1042" s="80">
        <f t="shared" si="1471"/>
        <v>349</v>
      </c>
      <c r="AJ1042" s="67">
        <v>349</v>
      </c>
      <c r="AK1042" s="80">
        <v>473</v>
      </c>
      <c r="AL1042" s="80">
        <v>440</v>
      </c>
      <c r="AM1042" s="80">
        <v>515</v>
      </c>
      <c r="AN1042" s="80">
        <f>AO1042</f>
        <v>891</v>
      </c>
      <c r="AO1042" s="67">
        <v>891</v>
      </c>
      <c r="AP1042" s="80">
        <v>971</v>
      </c>
      <c r="AQ1042" s="80">
        <v>446</v>
      </c>
      <c r="AR1042" s="80">
        <v>426</v>
      </c>
      <c r="AS1042" s="80">
        <f>AT1042</f>
        <v>325</v>
      </c>
      <c r="AT1042" s="67">
        <v>325</v>
      </c>
      <c r="AU1042" s="804">
        <v>398</v>
      </c>
      <c r="AV1042" s="123">
        <f>AU1042</f>
        <v>398</v>
      </c>
      <c r="AW1042" s="123">
        <f>AV1042</f>
        <v>398</v>
      </c>
      <c r="AX1042" s="123">
        <f>AW1042</f>
        <v>398</v>
      </c>
      <c r="AY1042" s="124">
        <f>AX1042</f>
        <v>398</v>
      </c>
      <c r="AZ1042" s="123">
        <f>AY1042</f>
        <v>398</v>
      </c>
      <c r="BA1042" s="123">
        <f>AZ1042</f>
        <v>398</v>
      </c>
      <c r="BB1042" s="123">
        <f>BA1042</f>
        <v>398</v>
      </c>
      <c r="BC1042" s="123">
        <f>BB1042</f>
        <v>398</v>
      </c>
      <c r="BD1042" s="124">
        <f>BC1042</f>
        <v>398</v>
      </c>
      <c r="BE1042" s="124">
        <f>BD1042</f>
        <v>398</v>
      </c>
      <c r="BF1042" s="124">
        <f>BE1042</f>
        <v>398</v>
      </c>
      <c r="BG1042" s="124">
        <f>BF1042</f>
        <v>398</v>
      </c>
      <c r="BH1042" s="351"/>
    </row>
    <row r="1043" spans="1:60" s="69" customFormat="1" x14ac:dyDescent="0.35">
      <c r="A1043" s="89" t="s">
        <v>176</v>
      </c>
      <c r="B1043" s="319"/>
      <c r="C1043" s="68">
        <f t="shared" ref="C1043:AH1043" si="1476">SUM(C1034:C1036,C1040:C1042)</f>
        <v>10795</v>
      </c>
      <c r="D1043" s="68">
        <f t="shared" si="1476"/>
        <v>12215</v>
      </c>
      <c r="E1043" s="68">
        <f t="shared" si="1476"/>
        <v>12240</v>
      </c>
      <c r="F1043" s="68">
        <f t="shared" si="1476"/>
        <v>13630</v>
      </c>
      <c r="G1043" s="76">
        <f t="shared" si="1476"/>
        <v>13855</v>
      </c>
      <c r="H1043" s="76">
        <f t="shared" si="1476"/>
        <v>13983</v>
      </c>
      <c r="I1043" s="76">
        <f t="shared" si="1476"/>
        <v>13282</v>
      </c>
      <c r="J1043" s="76">
        <f t="shared" si="1476"/>
        <v>12733</v>
      </c>
      <c r="K1043" s="68">
        <f t="shared" si="1476"/>
        <v>12733</v>
      </c>
      <c r="L1043" s="76">
        <f t="shared" si="1476"/>
        <v>12762</v>
      </c>
      <c r="M1043" s="76">
        <f t="shared" si="1476"/>
        <v>13193</v>
      </c>
      <c r="N1043" s="76">
        <f t="shared" si="1476"/>
        <v>12681</v>
      </c>
      <c r="O1043" s="76">
        <f t="shared" si="1476"/>
        <v>12303</v>
      </c>
      <c r="P1043" s="68">
        <f t="shared" si="1476"/>
        <v>12303</v>
      </c>
      <c r="Q1043" s="76">
        <f t="shared" si="1476"/>
        <v>12518</v>
      </c>
      <c r="R1043" s="76">
        <f t="shared" si="1476"/>
        <v>13431</v>
      </c>
      <c r="S1043" s="76">
        <f t="shared" si="1476"/>
        <v>11608</v>
      </c>
      <c r="T1043" s="76">
        <f t="shared" si="1476"/>
        <v>10986</v>
      </c>
      <c r="U1043" s="68">
        <f t="shared" si="1476"/>
        <v>10986</v>
      </c>
      <c r="V1043" s="76">
        <f t="shared" si="1476"/>
        <v>10874</v>
      </c>
      <c r="W1043" s="76">
        <f t="shared" si="1476"/>
        <v>11436</v>
      </c>
      <c r="X1043" s="76">
        <f t="shared" si="1476"/>
        <v>12179</v>
      </c>
      <c r="Y1043" s="76">
        <f t="shared" si="1476"/>
        <v>11726</v>
      </c>
      <c r="Z1043" s="68">
        <f t="shared" si="1476"/>
        <v>11726</v>
      </c>
      <c r="AA1043" s="76">
        <f t="shared" si="1476"/>
        <v>11901</v>
      </c>
      <c r="AB1043" s="76">
        <f t="shared" si="1476"/>
        <v>12641</v>
      </c>
      <c r="AC1043" s="76">
        <f t="shared" si="1476"/>
        <v>13656</v>
      </c>
      <c r="AD1043" s="76">
        <f t="shared" si="1476"/>
        <v>14277</v>
      </c>
      <c r="AE1043" s="68">
        <f t="shared" si="1476"/>
        <v>14277</v>
      </c>
      <c r="AF1043" s="76">
        <f t="shared" si="1476"/>
        <v>14818</v>
      </c>
      <c r="AG1043" s="76">
        <f t="shared" si="1476"/>
        <v>13890</v>
      </c>
      <c r="AH1043" s="76">
        <f t="shared" si="1476"/>
        <v>14419</v>
      </c>
      <c r="AI1043" s="76">
        <f t="shared" ref="AI1043:AY1043" si="1477">SUM(AI1034:AI1036,AI1040:AI1042)</f>
        <v>13709</v>
      </c>
      <c r="AJ1043" s="68">
        <f t="shared" si="1477"/>
        <v>13709</v>
      </c>
      <c r="AK1043" s="76">
        <f t="shared" si="1477"/>
        <v>14374</v>
      </c>
      <c r="AL1043" s="76">
        <f t="shared" si="1477"/>
        <v>14051</v>
      </c>
      <c r="AM1043" s="76">
        <f t="shared" si="1477"/>
        <v>18020</v>
      </c>
      <c r="AN1043" s="76">
        <f t="shared" si="1477"/>
        <v>12971</v>
      </c>
      <c r="AO1043" s="68">
        <f t="shared" si="1477"/>
        <v>12971</v>
      </c>
      <c r="AP1043" s="76">
        <f t="shared" si="1477"/>
        <v>15090</v>
      </c>
      <c r="AQ1043" s="76">
        <f t="shared" si="1477"/>
        <v>14106</v>
      </c>
      <c r="AR1043" s="76">
        <f>SUM(AR1034:AR1036,AR1040:AR1042)</f>
        <v>14110</v>
      </c>
      <c r="AS1043" s="76">
        <f>SUM(AS1034:AS1036,AS1040:AS1042)</f>
        <v>14982</v>
      </c>
      <c r="AT1043" s="68">
        <f>SUM(AT1034:AT1036,AT1040:AT1042)</f>
        <v>14982</v>
      </c>
      <c r="AU1043" s="812">
        <f t="shared" ref="AU1043" si="1478">SUM(AU1034:AU1036,AU1040:AU1042)</f>
        <v>15345</v>
      </c>
      <c r="AV1043" s="109">
        <f t="shared" si="1477"/>
        <v>14700.362301205821</v>
      </c>
      <c r="AW1043" s="109">
        <f t="shared" si="1477"/>
        <v>15146.677101616202</v>
      </c>
      <c r="AX1043" s="109">
        <f t="shared" si="1477"/>
        <v>15799.355127573834</v>
      </c>
      <c r="AY1043" s="110">
        <f t="shared" si="1477"/>
        <v>15799.355127573834</v>
      </c>
      <c r="AZ1043" s="109">
        <f t="shared" ref="AZ1043:BG1043" ca="1" si="1479">SUM(AZ1034:AZ1036,AZ1040:AZ1042)</f>
        <v>16371.160818257746</v>
      </c>
      <c r="BA1043" s="109">
        <f t="shared" ca="1" si="1479"/>
        <v>15933.411188175913</v>
      </c>
      <c r="BB1043" s="109">
        <f t="shared" ca="1" si="1479"/>
        <v>16483.325427471726</v>
      </c>
      <c r="BC1043" s="109">
        <f t="shared" ca="1" si="1479"/>
        <v>17347.978964207068</v>
      </c>
      <c r="BD1043" s="110">
        <f t="shared" ca="1" si="1479"/>
        <v>17347.978964207068</v>
      </c>
      <c r="BE1043" s="110">
        <f t="shared" ca="1" si="1479"/>
        <v>19629.475027202294</v>
      </c>
      <c r="BF1043" s="110">
        <f t="shared" ca="1" si="1479"/>
        <v>22683.695607425918</v>
      </c>
      <c r="BG1043" s="110">
        <f t="shared" ca="1" si="1479"/>
        <v>26570.636066487557</v>
      </c>
      <c r="BH1043" s="79"/>
    </row>
    <row r="1044" spans="1:60" s="21" customFormat="1" x14ac:dyDescent="0.35">
      <c r="A1044" s="428"/>
      <c r="B1044" s="429"/>
      <c r="C1044" s="879"/>
      <c r="D1044" s="879"/>
      <c r="E1044" s="879"/>
      <c r="F1044" s="879"/>
      <c r="G1044" s="880"/>
      <c r="H1044" s="880"/>
      <c r="I1044" s="880"/>
      <c r="J1044" s="880"/>
      <c r="K1044" s="879"/>
      <c r="L1044" s="880"/>
      <c r="M1044" s="880"/>
      <c r="N1044" s="880"/>
      <c r="O1044" s="880"/>
      <c r="P1044" s="879"/>
      <c r="Q1044" s="880"/>
      <c r="R1044" s="880"/>
      <c r="S1044" s="880"/>
      <c r="T1044" s="880"/>
      <c r="U1044" s="879"/>
      <c r="V1044" s="880"/>
      <c r="W1044" s="880"/>
      <c r="X1044" s="880"/>
      <c r="Y1044" s="880"/>
      <c r="Z1044" s="879"/>
      <c r="AA1044" s="880"/>
      <c r="AB1044" s="880"/>
      <c r="AC1044" s="880"/>
      <c r="AD1044" s="880"/>
      <c r="AE1044" s="879"/>
      <c r="AF1044" s="880"/>
      <c r="AG1044" s="880"/>
      <c r="AH1044" s="880"/>
      <c r="AI1044" s="880"/>
      <c r="AJ1044" s="879"/>
      <c r="AK1044" s="880"/>
      <c r="AL1044" s="880"/>
      <c r="AM1044" s="880"/>
      <c r="AN1044" s="880"/>
      <c r="AO1044" s="879"/>
      <c r="AP1044" s="880"/>
      <c r="AQ1044" s="880"/>
      <c r="AR1044" s="880"/>
      <c r="AS1044" s="880"/>
      <c r="AT1044" s="879"/>
      <c r="AU1044" s="881"/>
      <c r="AV1044" s="880"/>
      <c r="AW1044" s="880"/>
      <c r="AX1044" s="880"/>
      <c r="AY1044" s="879"/>
      <c r="AZ1044" s="880"/>
      <c r="BA1044" s="880"/>
      <c r="BB1044" s="880"/>
      <c r="BC1044" s="880"/>
      <c r="BD1044" s="879"/>
      <c r="BE1044" s="879"/>
      <c r="BF1044" s="879"/>
      <c r="BG1044" s="879"/>
      <c r="BH1044" s="651"/>
    </row>
    <row r="1045" spans="1:60" s="21" customFormat="1" x14ac:dyDescent="0.35">
      <c r="A1045" s="102" t="s">
        <v>177</v>
      </c>
      <c r="B1045" s="429"/>
      <c r="C1045" s="879"/>
      <c r="D1045" s="879"/>
      <c r="E1045" s="879"/>
      <c r="F1045" s="879"/>
      <c r="G1045" s="880"/>
      <c r="H1045" s="880"/>
      <c r="I1045" s="880"/>
      <c r="J1045" s="880"/>
      <c r="K1045" s="879"/>
      <c r="L1045" s="880"/>
      <c r="M1045" s="880"/>
      <c r="N1045" s="880"/>
      <c r="O1045" s="880"/>
      <c r="P1045" s="879"/>
      <c r="Q1045" s="880"/>
      <c r="R1045" s="880"/>
      <c r="S1045" s="880"/>
      <c r="T1045" s="880"/>
      <c r="U1045" s="879"/>
      <c r="V1045" s="880"/>
      <c r="W1045" s="880"/>
      <c r="X1045" s="880"/>
      <c r="Y1045" s="880"/>
      <c r="Z1045" s="879"/>
      <c r="AA1045" s="880"/>
      <c r="AB1045" s="880"/>
      <c r="AC1045" s="880"/>
      <c r="AD1045" s="880"/>
      <c r="AE1045" s="879"/>
      <c r="AF1045" s="880"/>
      <c r="AG1045" s="880"/>
      <c r="AH1045" s="880"/>
      <c r="AI1045" s="880"/>
      <c r="AJ1045" s="879"/>
      <c r="AK1045" s="880"/>
      <c r="AL1045" s="880"/>
      <c r="AM1045" s="880"/>
      <c r="AN1045" s="880"/>
      <c r="AO1045" s="879"/>
      <c r="AP1045" s="880"/>
      <c r="AQ1045" s="880"/>
      <c r="AR1045" s="880"/>
      <c r="AS1045" s="880"/>
      <c r="AT1045" s="879"/>
      <c r="AU1045" s="881"/>
      <c r="AV1045" s="880"/>
      <c r="AW1045" s="880"/>
      <c r="AX1045" s="880"/>
      <c r="AY1045" s="879"/>
      <c r="AZ1045" s="880"/>
      <c r="BA1045" s="880"/>
      <c r="BB1045" s="880"/>
      <c r="BC1045" s="880"/>
      <c r="BD1045" s="879"/>
      <c r="BE1045" s="879"/>
      <c r="BF1045" s="879"/>
      <c r="BG1045" s="879"/>
      <c r="BH1045" s="651"/>
    </row>
    <row r="1046" spans="1:60" s="60" customFormat="1" x14ac:dyDescent="0.35">
      <c r="A1046" s="350" t="s">
        <v>178</v>
      </c>
      <c r="B1046" s="317"/>
      <c r="C1046" s="46">
        <v>825</v>
      </c>
      <c r="D1046" s="46">
        <v>540</v>
      </c>
      <c r="E1046" s="46">
        <v>896</v>
      </c>
      <c r="F1046" s="46">
        <v>1162</v>
      </c>
      <c r="G1046" s="351">
        <v>1452</v>
      </c>
      <c r="H1046" s="351">
        <v>1542</v>
      </c>
      <c r="I1046" s="351">
        <v>1547</v>
      </c>
      <c r="J1046" s="351">
        <f>K1046</f>
        <v>1453</v>
      </c>
      <c r="K1046" s="46">
        <v>1453</v>
      </c>
      <c r="L1046" s="351">
        <v>1360</v>
      </c>
      <c r="M1046" s="351">
        <v>1204</v>
      </c>
      <c r="N1046" s="351">
        <v>1105</v>
      </c>
      <c r="O1046" s="351">
        <f>P1046</f>
        <v>15</v>
      </c>
      <c r="P1046" s="46">
        <v>15</v>
      </c>
      <c r="Q1046" s="351">
        <v>13</v>
      </c>
      <c r="R1046" s="351">
        <v>13</v>
      </c>
      <c r="S1046" s="351">
        <v>13</v>
      </c>
      <c r="T1046" s="351">
        <f>U1046</f>
        <v>9</v>
      </c>
      <c r="U1046" s="46">
        <v>9</v>
      </c>
      <c r="V1046" s="351">
        <v>15</v>
      </c>
      <c r="W1046" s="351">
        <v>14</v>
      </c>
      <c r="X1046" s="351">
        <v>14</v>
      </c>
      <c r="Y1046" s="351">
        <f>Z1046</f>
        <v>17</v>
      </c>
      <c r="Z1046" s="46">
        <v>17</v>
      </c>
      <c r="AA1046" s="351">
        <v>17</v>
      </c>
      <c r="AB1046" s="351">
        <v>17</v>
      </c>
      <c r="AC1046" s="351">
        <v>17</v>
      </c>
      <c r="AD1046" s="351">
        <f>AE1046</f>
        <v>0</v>
      </c>
      <c r="AE1046" s="108"/>
      <c r="AF1046" s="203"/>
      <c r="AG1046" s="203"/>
      <c r="AH1046" s="203"/>
      <c r="AI1046" s="203"/>
      <c r="AJ1046" s="108"/>
      <c r="AK1046" s="203"/>
      <c r="AL1046" s="203"/>
      <c r="AM1046" s="203"/>
      <c r="AN1046" s="203"/>
      <c r="AO1046" s="108"/>
      <c r="AP1046" s="203"/>
      <c r="AQ1046" s="203"/>
      <c r="AR1046" s="203"/>
      <c r="AS1046" s="203"/>
      <c r="AT1046" s="108"/>
      <c r="AU1046" s="790"/>
      <c r="AV1046" s="203"/>
      <c r="AW1046" s="203"/>
      <c r="AX1046" s="203"/>
      <c r="AY1046" s="108"/>
      <c r="AZ1046" s="203"/>
      <c r="BA1046" s="203"/>
      <c r="BB1046" s="203"/>
      <c r="BC1046" s="203"/>
      <c r="BD1046" s="108"/>
      <c r="BE1046" s="108"/>
      <c r="BF1046" s="108"/>
      <c r="BG1046" s="108"/>
      <c r="BH1046" s="351"/>
    </row>
    <row r="1047" spans="1:60" s="60" customFormat="1" x14ac:dyDescent="0.35">
      <c r="A1047" s="350" t="s">
        <v>179</v>
      </c>
      <c r="B1047" s="317"/>
      <c r="C1047" s="46">
        <v>103</v>
      </c>
      <c r="D1047" s="46">
        <v>146</v>
      </c>
      <c r="E1047" s="46">
        <v>155</v>
      </c>
      <c r="F1047" s="46">
        <v>163</v>
      </c>
      <c r="G1047" s="351">
        <v>161</v>
      </c>
      <c r="H1047" s="351">
        <v>154</v>
      </c>
      <c r="I1047" s="351">
        <v>150</v>
      </c>
      <c r="J1047" s="351">
        <f>K1047</f>
        <v>122</v>
      </c>
      <c r="K1047" s="46">
        <v>122</v>
      </c>
      <c r="L1047" s="351">
        <v>120</v>
      </c>
      <c r="M1047" s="351">
        <v>113</v>
      </c>
      <c r="N1047" s="351">
        <v>108</v>
      </c>
      <c r="O1047" s="351">
        <f>P1047</f>
        <v>102</v>
      </c>
      <c r="P1047" s="46">
        <v>102</v>
      </c>
      <c r="Q1047" s="351">
        <v>102</v>
      </c>
      <c r="R1047" s="351">
        <v>106</v>
      </c>
      <c r="S1047" s="351">
        <v>112</v>
      </c>
      <c r="T1047" s="351">
        <f>U1047</f>
        <v>117</v>
      </c>
      <c r="U1047" s="46">
        <v>117</v>
      </c>
      <c r="V1047" s="351">
        <v>115</v>
      </c>
      <c r="W1047" s="351">
        <v>121</v>
      </c>
      <c r="X1047" s="351">
        <v>127</v>
      </c>
      <c r="Y1047" s="351">
        <f>Z1047</f>
        <v>128</v>
      </c>
      <c r="Z1047" s="46">
        <v>128</v>
      </c>
      <c r="AA1047" s="351">
        <v>133</v>
      </c>
      <c r="AB1047" s="351">
        <v>137</v>
      </c>
      <c r="AC1047" s="351">
        <v>139</v>
      </c>
      <c r="AD1047" s="351">
        <f>AE1047</f>
        <v>0</v>
      </c>
      <c r="AE1047" s="108"/>
      <c r="AF1047" s="203"/>
      <c r="AG1047" s="203"/>
      <c r="AH1047" s="203"/>
      <c r="AI1047" s="203"/>
      <c r="AJ1047" s="108"/>
      <c r="AK1047" s="203"/>
      <c r="AL1047" s="203"/>
      <c r="AM1047" s="203"/>
      <c r="AN1047" s="203"/>
      <c r="AO1047" s="108"/>
      <c r="AP1047" s="203"/>
      <c r="AQ1047" s="203"/>
      <c r="AR1047" s="203"/>
      <c r="AS1047" s="203"/>
      <c r="AT1047" s="108"/>
      <c r="AU1047" s="790"/>
      <c r="AV1047" s="203"/>
      <c r="AW1047" s="203"/>
      <c r="AX1047" s="203"/>
      <c r="AY1047" s="108"/>
      <c r="AZ1047" s="203"/>
      <c r="BA1047" s="203"/>
      <c r="BB1047" s="203"/>
      <c r="BC1047" s="203"/>
      <c r="BD1047" s="108"/>
      <c r="BE1047" s="108"/>
      <c r="BF1047" s="108"/>
      <c r="BG1047" s="108"/>
      <c r="BH1047" s="351"/>
    </row>
    <row r="1048" spans="1:60" s="60" customFormat="1" hidden="1" outlineLevel="1" x14ac:dyDescent="0.35">
      <c r="A1048" s="161" t="s">
        <v>180</v>
      </c>
      <c r="B1048" s="317"/>
      <c r="C1048" s="46">
        <v>19440</v>
      </c>
      <c r="D1048" s="46">
        <v>20253</v>
      </c>
      <c r="E1048" s="46">
        <v>21166</v>
      </c>
      <c r="F1048" s="46">
        <v>22525</v>
      </c>
      <c r="G1048" s="351">
        <v>22468</v>
      </c>
      <c r="H1048" s="351">
        <v>22417</v>
      </c>
      <c r="I1048" s="351">
        <v>22869</v>
      </c>
      <c r="J1048" s="351">
        <f>K1048</f>
        <v>23068</v>
      </c>
      <c r="K1048" s="46">
        <v>23068</v>
      </c>
      <c r="L1048" s="351">
        <v>23241</v>
      </c>
      <c r="M1048" s="351">
        <v>23447</v>
      </c>
      <c r="N1048" s="351">
        <v>23095</v>
      </c>
      <c r="O1048" s="351">
        <f>P1048</f>
        <v>22841</v>
      </c>
      <c r="P1048" s="46">
        <v>22841</v>
      </c>
      <c r="Q1048" s="351">
        <v>22473</v>
      </c>
      <c r="R1048" s="351">
        <v>22851</v>
      </c>
      <c r="S1048" s="351">
        <v>22940</v>
      </c>
      <c r="T1048" s="351">
        <f>U1048</f>
        <v>23098</v>
      </c>
      <c r="U1048" s="46">
        <v>23098</v>
      </c>
      <c r="V1048" s="351">
        <v>23564</v>
      </c>
      <c r="W1048" s="351">
        <v>23793</v>
      </c>
      <c r="X1048" s="351">
        <v>24142</v>
      </c>
      <c r="Y1048" s="351">
        <f>Z1048</f>
        <v>23499</v>
      </c>
      <c r="Z1048" s="46">
        <v>23499</v>
      </c>
      <c r="AA1048" s="351">
        <v>23946</v>
      </c>
      <c r="AB1048" s="351">
        <v>24292</v>
      </c>
      <c r="AC1048" s="351">
        <v>24659</v>
      </c>
      <c r="AD1048" s="351">
        <f>AE1048</f>
        <v>24914</v>
      </c>
      <c r="AE1048" s="46">
        <v>24914</v>
      </c>
      <c r="AF1048" s="351">
        <v>25174</v>
      </c>
      <c r="AG1048" s="351">
        <v>24758</v>
      </c>
      <c r="AH1048" s="351">
        <v>24765</v>
      </c>
      <c r="AI1048" s="351">
        <f>AJ1048</f>
        <v>24873</v>
      </c>
      <c r="AJ1048" s="46">
        <v>24873</v>
      </c>
      <c r="AK1048" s="351">
        <v>25124</v>
      </c>
      <c r="AL1048" s="351">
        <v>25565</v>
      </c>
      <c r="AM1048" s="351">
        <v>25508</v>
      </c>
      <c r="AN1048" s="351">
        <f t="shared" ref="AN1048:AN1055" si="1480">AO1048</f>
        <v>26124</v>
      </c>
      <c r="AO1048" s="46">
        <v>26124</v>
      </c>
      <c r="AP1048" s="351">
        <v>26000</v>
      </c>
      <c r="AQ1048" s="351">
        <v>25943</v>
      </c>
      <c r="AR1048" s="351">
        <v>26452</v>
      </c>
      <c r="AS1048" s="351">
        <f t="shared" ref="AS1048:AS1049" si="1481">AT1048</f>
        <v>26650</v>
      </c>
      <c r="AT1048" s="46">
        <v>26650</v>
      </c>
      <c r="AU1048" s="790">
        <v>26705</v>
      </c>
      <c r="AV1048" s="203"/>
      <c r="AW1048" s="203"/>
      <c r="AX1048" s="203"/>
      <c r="AY1048" s="108"/>
      <c r="AZ1048" s="203"/>
      <c r="BA1048" s="203"/>
      <c r="BB1048" s="203"/>
      <c r="BC1048" s="203"/>
      <c r="BD1048" s="108"/>
      <c r="BE1048" s="108"/>
      <c r="BF1048" s="108"/>
      <c r="BG1048" s="108"/>
      <c r="BH1048" s="351"/>
    </row>
    <row r="1049" spans="1:60" s="60" customFormat="1" hidden="1" outlineLevel="1" x14ac:dyDescent="0.35">
      <c r="A1049" s="101" t="s">
        <v>181</v>
      </c>
      <c r="B1049" s="467"/>
      <c r="C1049" s="67">
        <v>-12440</v>
      </c>
      <c r="D1049" s="67">
        <v>-12974</v>
      </c>
      <c r="E1049" s="67">
        <v>-13500</v>
      </c>
      <c r="F1049" s="67">
        <v>-14147</v>
      </c>
      <c r="G1049" s="80">
        <v>-14150</v>
      </c>
      <c r="H1049" s="80">
        <v>-14088</v>
      </c>
      <c r="I1049" s="80">
        <v>-14421</v>
      </c>
      <c r="J1049" s="80">
        <f>K1049</f>
        <v>-14416</v>
      </c>
      <c r="K1049" s="67">
        <v>-14416</v>
      </c>
      <c r="L1049" s="80">
        <v>-14611</v>
      </c>
      <c r="M1049" s="80">
        <v>-14762</v>
      </c>
      <c r="N1049" s="80">
        <v>-14596</v>
      </c>
      <c r="O1049" s="80">
        <f>P1049</f>
        <v>-14352</v>
      </c>
      <c r="P1049" s="67">
        <v>-14352</v>
      </c>
      <c r="Q1049" s="80">
        <v>-14187</v>
      </c>
      <c r="R1049" s="80">
        <v>-14462</v>
      </c>
      <c r="S1049" s="80">
        <v>-14470</v>
      </c>
      <c r="T1049" s="80">
        <f>U1049</f>
        <v>-14583</v>
      </c>
      <c r="U1049" s="67">
        <v>-14583</v>
      </c>
      <c r="V1049" s="80">
        <v>-14950</v>
      </c>
      <c r="W1049" s="80">
        <v>-15189</v>
      </c>
      <c r="X1049" s="80">
        <v>-15471</v>
      </c>
      <c r="Y1049" s="80">
        <f>Z1049</f>
        <v>-14983</v>
      </c>
      <c r="Z1049" s="67">
        <v>-14983</v>
      </c>
      <c r="AA1049" s="80">
        <v>-15395</v>
      </c>
      <c r="AB1049" s="80">
        <v>-15726</v>
      </c>
      <c r="AC1049" s="80">
        <v>-16001</v>
      </c>
      <c r="AD1049" s="80">
        <f>AE1049</f>
        <v>-16048</v>
      </c>
      <c r="AE1049" s="67">
        <v>-16048</v>
      </c>
      <c r="AF1049" s="80">
        <v>-16310</v>
      </c>
      <c r="AG1049" s="80">
        <v>-16113</v>
      </c>
      <c r="AH1049" s="80">
        <v>-16135</v>
      </c>
      <c r="AI1049" s="80">
        <f>AJ1049</f>
        <v>-16135</v>
      </c>
      <c r="AJ1049" s="67">
        <v>-16135</v>
      </c>
      <c r="AK1049" s="80">
        <v>-16295</v>
      </c>
      <c r="AL1049" s="80">
        <v>-16567</v>
      </c>
      <c r="AM1049" s="80">
        <v>-16617</v>
      </c>
      <c r="AN1049" s="80">
        <f t="shared" si="1480"/>
        <v>-16791</v>
      </c>
      <c r="AO1049" s="67">
        <v>-16791</v>
      </c>
      <c r="AP1049" s="80">
        <v>-16835</v>
      </c>
      <c r="AQ1049" s="80">
        <v>-16854</v>
      </c>
      <c r="AR1049" s="80">
        <v>-17236</v>
      </c>
      <c r="AS1049" s="80">
        <f t="shared" si="1481"/>
        <v>-17229</v>
      </c>
      <c r="AT1049" s="67">
        <v>-17229</v>
      </c>
      <c r="AU1049" s="791">
        <v>-17465</v>
      </c>
      <c r="AV1049" s="123"/>
      <c r="AW1049" s="123"/>
      <c r="AX1049" s="123"/>
      <c r="AY1049" s="124"/>
      <c r="AZ1049" s="123"/>
      <c r="BA1049" s="123"/>
      <c r="BB1049" s="123"/>
      <c r="BC1049" s="123"/>
      <c r="BD1049" s="124"/>
      <c r="BE1049" s="124"/>
      <c r="BF1049" s="124"/>
      <c r="BG1049" s="124"/>
      <c r="BH1049" s="351"/>
    </row>
    <row r="1050" spans="1:60" s="60" customFormat="1" collapsed="1" x14ac:dyDescent="0.35">
      <c r="A1050" s="350" t="s">
        <v>182</v>
      </c>
      <c r="B1050" s="317"/>
      <c r="C1050" s="46">
        <f t="shared" ref="C1050:AM1050" si="1482">+SUM(C1048:C1049)</f>
        <v>7000</v>
      </c>
      <c r="D1050" s="46">
        <f t="shared" si="1482"/>
        <v>7279</v>
      </c>
      <c r="E1050" s="46">
        <f t="shared" si="1482"/>
        <v>7666</v>
      </c>
      <c r="F1050" s="46">
        <f t="shared" si="1482"/>
        <v>8378</v>
      </c>
      <c r="G1050" s="351">
        <f t="shared" si="1482"/>
        <v>8318</v>
      </c>
      <c r="H1050" s="351">
        <f t="shared" si="1482"/>
        <v>8329</v>
      </c>
      <c r="I1050" s="351">
        <f t="shared" si="1482"/>
        <v>8448</v>
      </c>
      <c r="J1050" s="351">
        <f t="shared" si="1482"/>
        <v>8652</v>
      </c>
      <c r="K1050" s="46">
        <f t="shared" si="1482"/>
        <v>8652</v>
      </c>
      <c r="L1050" s="351">
        <f t="shared" si="1482"/>
        <v>8630</v>
      </c>
      <c r="M1050" s="351">
        <f t="shared" si="1482"/>
        <v>8685</v>
      </c>
      <c r="N1050" s="351">
        <f t="shared" si="1482"/>
        <v>8499</v>
      </c>
      <c r="O1050" s="351">
        <f t="shared" si="1482"/>
        <v>8489</v>
      </c>
      <c r="P1050" s="46">
        <f t="shared" si="1482"/>
        <v>8489</v>
      </c>
      <c r="Q1050" s="351">
        <f t="shared" si="1482"/>
        <v>8286</v>
      </c>
      <c r="R1050" s="351">
        <f t="shared" si="1482"/>
        <v>8389</v>
      </c>
      <c r="S1050" s="351">
        <f t="shared" si="1482"/>
        <v>8470</v>
      </c>
      <c r="T1050" s="351">
        <f t="shared" si="1482"/>
        <v>8515</v>
      </c>
      <c r="U1050" s="46">
        <f t="shared" si="1482"/>
        <v>8515</v>
      </c>
      <c r="V1050" s="351">
        <f t="shared" si="1482"/>
        <v>8614</v>
      </c>
      <c r="W1050" s="351">
        <f t="shared" si="1482"/>
        <v>8604</v>
      </c>
      <c r="X1050" s="351">
        <f t="shared" si="1482"/>
        <v>8671</v>
      </c>
      <c r="Y1050" s="351">
        <f t="shared" si="1482"/>
        <v>8516</v>
      </c>
      <c r="Z1050" s="46">
        <f t="shared" si="1482"/>
        <v>8516</v>
      </c>
      <c r="AA1050" s="351">
        <f t="shared" si="1482"/>
        <v>8551</v>
      </c>
      <c r="AB1050" s="351">
        <f t="shared" si="1482"/>
        <v>8566</v>
      </c>
      <c r="AC1050" s="351">
        <f t="shared" si="1482"/>
        <v>8658</v>
      </c>
      <c r="AD1050" s="351">
        <f t="shared" si="1482"/>
        <v>8866</v>
      </c>
      <c r="AE1050" s="46">
        <f t="shared" si="1482"/>
        <v>8866</v>
      </c>
      <c r="AF1050" s="351">
        <f t="shared" si="1482"/>
        <v>8864</v>
      </c>
      <c r="AG1050" s="351">
        <f t="shared" si="1482"/>
        <v>8645</v>
      </c>
      <c r="AH1050" s="351">
        <f t="shared" si="1482"/>
        <v>8630</v>
      </c>
      <c r="AI1050" s="351">
        <f t="shared" si="1482"/>
        <v>8738</v>
      </c>
      <c r="AJ1050" s="46">
        <f t="shared" si="1482"/>
        <v>8738</v>
      </c>
      <c r="AK1050" s="351">
        <f t="shared" si="1482"/>
        <v>8829</v>
      </c>
      <c r="AL1050" s="351">
        <f t="shared" si="1482"/>
        <v>8998</v>
      </c>
      <c r="AM1050" s="351">
        <f t="shared" si="1482"/>
        <v>8891</v>
      </c>
      <c r="AN1050" s="351">
        <f t="shared" si="1480"/>
        <v>9333</v>
      </c>
      <c r="AO1050" s="46">
        <f>+SUM(AO1048:AO1049)</f>
        <v>9333</v>
      </c>
      <c r="AP1050" s="351">
        <f>+SUM(AP1048:AP1049)</f>
        <v>9165</v>
      </c>
      <c r="AQ1050" s="351">
        <f>+SUM(AQ1048:AQ1049)</f>
        <v>9089</v>
      </c>
      <c r="AR1050" s="351">
        <f>+SUM(AR1048:AR1049)</f>
        <v>9216</v>
      </c>
      <c r="AS1050" s="351">
        <f t="shared" ref="AS1050:AU1050" si="1483">+SUM(AS1048:AS1049)</f>
        <v>9421</v>
      </c>
      <c r="AT1050" s="46">
        <f t="shared" si="1483"/>
        <v>9421</v>
      </c>
      <c r="AU1050" s="805">
        <f t="shared" si="1483"/>
        <v>9240</v>
      </c>
      <c r="AV1050" s="203">
        <f>AU1050-AV971-AV975+AV1013+AV1012</f>
        <v>9238.4676712328765</v>
      </c>
      <c r="AW1050" s="203">
        <f>AV1050-AW971-AW975+AW1013+AW1012</f>
        <v>9233.3206610020643</v>
      </c>
      <c r="AX1050" s="203">
        <f>AW1050-AX971-AX975+AX1013+AX1012</f>
        <v>9228.3617634191396</v>
      </c>
      <c r="AY1050" s="108">
        <f t="shared" ref="AY1050:AY1055" si="1484">AX1050</f>
        <v>9228.3617634191396</v>
      </c>
      <c r="AZ1050" s="203">
        <f>AY1050-AZ971-AZ975+AZ1013+AZ1012</f>
        <v>9230.9162263982635</v>
      </c>
      <c r="BA1050" s="203">
        <f>AZ1050-BA971-BA975+BA1013+BA1012</f>
        <v>9229.7122822686051</v>
      </c>
      <c r="BB1050" s="203">
        <f>BA1050-BB971-BB975+BB1013+BB1012</f>
        <v>9224.8852635139119</v>
      </c>
      <c r="BC1050" s="203">
        <f>BB1050-BC971-BC975+BC1013+BC1012</f>
        <v>9220.2346623761714</v>
      </c>
      <c r="BD1050" s="108">
        <f t="shared" ref="BD1050:BD1055" si="1485">BC1050</f>
        <v>9220.2346623761714</v>
      </c>
      <c r="BE1050" s="108">
        <f>BD1050-BE971-BE975+BE1013+BE1012</f>
        <v>9213.3006363316272</v>
      </c>
      <c r="BF1050" s="108">
        <f>BE1050-BF971-BF975+BF1013+BF1012</f>
        <v>9207.3720440635407</v>
      </c>
      <c r="BG1050" s="108">
        <f>BF1050-BG971-BG975+BG1013+BG1012</f>
        <v>9202.3030976743266</v>
      </c>
      <c r="BH1050" s="351"/>
    </row>
    <row r="1051" spans="1:60" s="60" customFormat="1" x14ac:dyDescent="0.35">
      <c r="A1051" s="350" t="s">
        <v>377</v>
      </c>
      <c r="B1051" s="317"/>
      <c r="C1051" s="108"/>
      <c r="D1051" s="108"/>
      <c r="E1051" s="108"/>
      <c r="F1051" s="108"/>
      <c r="G1051" s="203"/>
      <c r="H1051" s="203"/>
      <c r="I1051" s="203"/>
      <c r="J1051" s="203"/>
      <c r="K1051" s="108"/>
      <c r="L1051" s="203"/>
      <c r="M1051" s="203"/>
      <c r="N1051" s="203"/>
      <c r="O1051" s="203"/>
      <c r="P1051" s="108"/>
      <c r="Q1051" s="203"/>
      <c r="R1051" s="203"/>
      <c r="S1051" s="203"/>
      <c r="T1051" s="203"/>
      <c r="U1051" s="108"/>
      <c r="V1051" s="203"/>
      <c r="W1051" s="203"/>
      <c r="X1051" s="203"/>
      <c r="Y1051" s="203"/>
      <c r="Z1051" s="108"/>
      <c r="AA1051" s="203"/>
      <c r="AB1051" s="203"/>
      <c r="AC1051" s="203"/>
      <c r="AD1051" s="203"/>
      <c r="AE1051" s="108"/>
      <c r="AF1051" s="203"/>
      <c r="AG1051" s="203"/>
      <c r="AH1051" s="203"/>
      <c r="AI1051" s="203"/>
      <c r="AJ1051" s="108"/>
      <c r="AK1051" s="351">
        <v>797</v>
      </c>
      <c r="AL1051" s="351">
        <v>879</v>
      </c>
      <c r="AM1051" s="351">
        <v>834</v>
      </c>
      <c r="AN1051" s="351">
        <f t="shared" si="1480"/>
        <v>858</v>
      </c>
      <c r="AO1051" s="46">
        <v>858</v>
      </c>
      <c r="AP1051" s="351">
        <v>849</v>
      </c>
      <c r="AQ1051" s="351">
        <v>840</v>
      </c>
      <c r="AR1051" s="351">
        <v>844</v>
      </c>
      <c r="AS1051" s="351">
        <f t="shared" ref="AS1051:AS1055" si="1486">AT1051</f>
        <v>864</v>
      </c>
      <c r="AT1051" s="46">
        <v>864</v>
      </c>
      <c r="AU1051" s="805">
        <v>871</v>
      </c>
      <c r="AV1051" s="203">
        <f t="shared" ref="AV1051:AX1052" si="1487">AU1051</f>
        <v>871</v>
      </c>
      <c r="AW1051" s="203">
        <f t="shared" si="1487"/>
        <v>871</v>
      </c>
      <c r="AX1051" s="203">
        <f t="shared" si="1487"/>
        <v>871</v>
      </c>
      <c r="AY1051" s="108">
        <f t="shared" si="1484"/>
        <v>871</v>
      </c>
      <c r="AZ1051" s="203">
        <f t="shared" ref="AZ1051:BC1052" si="1488">AY1051</f>
        <v>871</v>
      </c>
      <c r="BA1051" s="203">
        <f t="shared" si="1488"/>
        <v>871</v>
      </c>
      <c r="BB1051" s="203">
        <f t="shared" si="1488"/>
        <v>871</v>
      </c>
      <c r="BC1051" s="203">
        <f t="shared" si="1488"/>
        <v>871</v>
      </c>
      <c r="BD1051" s="108">
        <f t="shared" si="1485"/>
        <v>871</v>
      </c>
      <c r="BE1051" s="108">
        <f t="shared" ref="BE1051:BG1052" si="1489">BD1051</f>
        <v>871</v>
      </c>
      <c r="BF1051" s="108">
        <f t="shared" si="1489"/>
        <v>871</v>
      </c>
      <c r="BG1051" s="108">
        <f t="shared" si="1489"/>
        <v>871</v>
      </c>
      <c r="BH1051" s="351"/>
    </row>
    <row r="1052" spans="1:60" s="60" customFormat="1" x14ac:dyDescent="0.35">
      <c r="A1052" s="316" t="s">
        <v>183</v>
      </c>
      <c r="B1052" s="317"/>
      <c r="C1052" s="108">
        <v>5832</v>
      </c>
      <c r="D1052" s="108">
        <v>6820</v>
      </c>
      <c r="E1052" s="108">
        <v>7047</v>
      </c>
      <c r="F1052" s="108">
        <v>7385</v>
      </c>
      <c r="G1052" s="203">
        <v>7247</v>
      </c>
      <c r="H1052" s="203">
        <v>7231</v>
      </c>
      <c r="I1052" s="203">
        <v>7342</v>
      </c>
      <c r="J1052" s="203">
        <f>K1052</f>
        <v>7345</v>
      </c>
      <c r="K1052" s="108">
        <v>7345</v>
      </c>
      <c r="L1052" s="203">
        <v>7357</v>
      </c>
      <c r="M1052" s="203">
        <v>7422</v>
      </c>
      <c r="N1052" s="203">
        <v>7213</v>
      </c>
      <c r="O1052" s="203">
        <f>P1052</f>
        <v>7050</v>
      </c>
      <c r="P1052" s="108">
        <v>7050</v>
      </c>
      <c r="Q1052" s="203">
        <v>6934</v>
      </c>
      <c r="R1052" s="203">
        <v>6985</v>
      </c>
      <c r="S1052" s="203">
        <v>9354</v>
      </c>
      <c r="T1052" s="203">
        <f>U1052</f>
        <v>9249</v>
      </c>
      <c r="U1052" s="108">
        <v>9249</v>
      </c>
      <c r="V1052" s="203">
        <v>9375</v>
      </c>
      <c r="W1052" s="203">
        <v>9356</v>
      </c>
      <c r="X1052" s="203">
        <v>9430</v>
      </c>
      <c r="Y1052" s="203">
        <f>Z1052</f>
        <v>9166</v>
      </c>
      <c r="Z1052" s="108">
        <v>9166</v>
      </c>
      <c r="AA1052" s="203">
        <v>9258</v>
      </c>
      <c r="AB1052" s="203">
        <v>9105</v>
      </c>
      <c r="AC1052" s="203">
        <v>9221</v>
      </c>
      <c r="AD1052" s="203">
        <f>AE1052</f>
        <v>10513</v>
      </c>
      <c r="AE1052" s="108">
        <v>10513</v>
      </c>
      <c r="AF1052" s="203">
        <v>10570</v>
      </c>
      <c r="AG1052" s="203">
        <v>10107</v>
      </c>
      <c r="AH1052" s="203">
        <v>10123</v>
      </c>
      <c r="AI1052" s="203">
        <f>AJ1052</f>
        <v>10051</v>
      </c>
      <c r="AJ1052" s="108">
        <v>10051</v>
      </c>
      <c r="AK1052" s="203">
        <v>10611</v>
      </c>
      <c r="AL1052" s="203">
        <v>10574</v>
      </c>
      <c r="AM1052" s="203">
        <v>10410</v>
      </c>
      <c r="AN1052" s="203">
        <f t="shared" si="1480"/>
        <v>13444</v>
      </c>
      <c r="AO1052" s="108">
        <v>13444</v>
      </c>
      <c r="AP1052" s="203">
        <v>13312</v>
      </c>
      <c r="AQ1052" s="203">
        <v>13360</v>
      </c>
      <c r="AR1052" s="203">
        <v>13535</v>
      </c>
      <c r="AS1052" s="203">
        <f t="shared" si="1486"/>
        <v>13802</v>
      </c>
      <c r="AT1052" s="108">
        <v>13802</v>
      </c>
      <c r="AU1052" s="790">
        <v>13654</v>
      </c>
      <c r="AV1052" s="203">
        <f t="shared" si="1487"/>
        <v>13654</v>
      </c>
      <c r="AW1052" s="203">
        <f t="shared" si="1487"/>
        <v>13654</v>
      </c>
      <c r="AX1052" s="203">
        <f t="shared" si="1487"/>
        <v>13654</v>
      </c>
      <c r="AY1052" s="108">
        <f t="shared" si="1484"/>
        <v>13654</v>
      </c>
      <c r="AZ1052" s="203">
        <f t="shared" si="1488"/>
        <v>13654</v>
      </c>
      <c r="BA1052" s="203">
        <f t="shared" si="1488"/>
        <v>13654</v>
      </c>
      <c r="BB1052" s="203">
        <f t="shared" si="1488"/>
        <v>13654</v>
      </c>
      <c r="BC1052" s="203">
        <f t="shared" si="1488"/>
        <v>13654</v>
      </c>
      <c r="BD1052" s="108">
        <f t="shared" si="1485"/>
        <v>13654</v>
      </c>
      <c r="BE1052" s="108">
        <f t="shared" si="1489"/>
        <v>13654</v>
      </c>
      <c r="BF1052" s="108">
        <f t="shared" si="1489"/>
        <v>13654</v>
      </c>
      <c r="BG1052" s="108">
        <f t="shared" si="1489"/>
        <v>13654</v>
      </c>
      <c r="BH1052" s="351"/>
    </row>
    <row r="1053" spans="1:60" s="60" customFormat="1" x14ac:dyDescent="0.35">
      <c r="A1053" s="316" t="s">
        <v>184</v>
      </c>
      <c r="B1053" s="317"/>
      <c r="C1053" s="108">
        <v>1342</v>
      </c>
      <c r="D1053" s="108">
        <v>1820</v>
      </c>
      <c r="E1053" s="108">
        <v>1916</v>
      </c>
      <c r="F1053" s="108">
        <v>1925</v>
      </c>
      <c r="G1053" s="203">
        <v>1840</v>
      </c>
      <c r="H1053" s="203">
        <v>1786</v>
      </c>
      <c r="I1053" s="203">
        <v>1745</v>
      </c>
      <c r="J1053" s="203">
        <f>K1053</f>
        <v>1688</v>
      </c>
      <c r="K1053" s="108">
        <v>1688</v>
      </c>
      <c r="L1053" s="203">
        <v>1631</v>
      </c>
      <c r="M1053" s="203">
        <v>1603</v>
      </c>
      <c r="N1053" s="203">
        <v>1516</v>
      </c>
      <c r="O1053" s="203">
        <f>P1053</f>
        <v>1435</v>
      </c>
      <c r="P1053" s="108">
        <v>1435</v>
      </c>
      <c r="Q1053" s="203">
        <v>1396</v>
      </c>
      <c r="R1053" s="203">
        <v>1355</v>
      </c>
      <c r="S1053" s="203">
        <v>2632</v>
      </c>
      <c r="T1053" s="203">
        <f>U1053</f>
        <v>2601</v>
      </c>
      <c r="U1053" s="108">
        <v>2601</v>
      </c>
      <c r="V1053" s="203">
        <v>2551</v>
      </c>
      <c r="W1053" s="203">
        <v>2477</v>
      </c>
      <c r="X1053" s="203">
        <v>2422</v>
      </c>
      <c r="Y1053" s="203">
        <f>Z1053</f>
        <v>2320</v>
      </c>
      <c r="Z1053" s="108">
        <v>2320</v>
      </c>
      <c r="AA1053" s="203">
        <v>2269</v>
      </c>
      <c r="AB1053" s="203">
        <v>2201</v>
      </c>
      <c r="AC1053" s="203">
        <v>2175</v>
      </c>
      <c r="AD1053" s="203">
        <f>AE1053</f>
        <v>2936</v>
      </c>
      <c r="AE1053" s="108">
        <v>2936</v>
      </c>
      <c r="AF1053" s="203">
        <v>2885</v>
      </c>
      <c r="AG1053" s="203">
        <v>2787</v>
      </c>
      <c r="AH1053" s="203">
        <v>2726</v>
      </c>
      <c r="AI1053" s="203">
        <f>AJ1053</f>
        <v>2657</v>
      </c>
      <c r="AJ1053" s="108">
        <v>2657</v>
      </c>
      <c r="AK1053" s="203">
        <v>3047</v>
      </c>
      <c r="AL1053" s="203">
        <v>2964</v>
      </c>
      <c r="AM1053" s="203">
        <v>2847</v>
      </c>
      <c r="AN1053" s="203">
        <f t="shared" si="1480"/>
        <v>6379</v>
      </c>
      <c r="AO1053" s="108">
        <v>6379</v>
      </c>
      <c r="AP1053" s="203">
        <v>6191</v>
      </c>
      <c r="AQ1053" s="203">
        <v>6033</v>
      </c>
      <c r="AR1053" s="203">
        <v>5926</v>
      </c>
      <c r="AS1053" s="203">
        <f t="shared" si="1486"/>
        <v>5835</v>
      </c>
      <c r="AT1053" s="108">
        <v>5835</v>
      </c>
      <c r="AU1053" s="790">
        <v>5697</v>
      </c>
      <c r="AV1053" s="203">
        <f>AU1053+AV1019+AV1018</f>
        <v>5748.5323287671235</v>
      </c>
      <c r="AW1053" s="203">
        <f>AV1053+AW1019+AW1018</f>
        <v>5803.6793389979357</v>
      </c>
      <c r="AX1053" s="203">
        <f>AW1053+AX1019+AX1018</f>
        <v>5858.6382365808604</v>
      </c>
      <c r="AY1053" s="108">
        <f t="shared" si="1484"/>
        <v>5858.6382365808604</v>
      </c>
      <c r="AZ1053" s="203">
        <f>AY1053+AZ1019+AZ1018</f>
        <v>5906.0837736017365</v>
      </c>
      <c r="BA1053" s="203">
        <f>AZ1053+BA1019+BA1018</f>
        <v>5957.287717731394</v>
      </c>
      <c r="BB1053" s="203">
        <f>BA1053+BB1019+BB1018</f>
        <v>6012.1147364860881</v>
      </c>
      <c r="BC1053" s="203">
        <f>BB1053+BC1019+BC1018</f>
        <v>6066.7653376238295</v>
      </c>
      <c r="BD1053" s="108">
        <f t="shared" si="1485"/>
        <v>6066.7653376238295</v>
      </c>
      <c r="BE1053" s="108">
        <f>BD1053+BE1019+BE1018</f>
        <v>6273.6993636683746</v>
      </c>
      <c r="BF1053" s="108">
        <f>BE1053+BF1019+BF1018</f>
        <v>6479.6279559364602</v>
      </c>
      <c r="BG1053" s="108">
        <f>BF1053+BG1019+BG1018</f>
        <v>6684.6969023256734</v>
      </c>
      <c r="BH1053" s="351"/>
    </row>
    <row r="1054" spans="1:60" s="60" customFormat="1" x14ac:dyDescent="0.35">
      <c r="A1054" s="350" t="s">
        <v>185</v>
      </c>
      <c r="B1054" s="317"/>
      <c r="C1054" s="46">
        <v>78</v>
      </c>
      <c r="D1054" s="46">
        <v>74</v>
      </c>
      <c r="E1054" s="46">
        <v>40</v>
      </c>
      <c r="F1054" s="46">
        <v>16</v>
      </c>
      <c r="G1054" s="351">
        <v>19</v>
      </c>
      <c r="H1054" s="351">
        <v>22</v>
      </c>
      <c r="I1054" s="351">
        <v>24</v>
      </c>
      <c r="J1054" s="351">
        <f>K1054</f>
        <v>577</v>
      </c>
      <c r="K1054" s="46">
        <v>577</v>
      </c>
      <c r="L1054" s="351">
        <v>624</v>
      </c>
      <c r="M1054" s="351">
        <v>672</v>
      </c>
      <c r="N1054" s="351">
        <v>720</v>
      </c>
      <c r="O1054" s="351">
        <f>P1054</f>
        <v>46</v>
      </c>
      <c r="P1054" s="46">
        <v>46</v>
      </c>
      <c r="Q1054" s="351">
        <v>56</v>
      </c>
      <c r="R1054" s="351">
        <v>54</v>
      </c>
      <c r="S1054" s="351">
        <v>60</v>
      </c>
      <c r="T1054" s="351">
        <f>U1054</f>
        <v>188</v>
      </c>
      <c r="U1054" s="46">
        <v>188</v>
      </c>
      <c r="V1054" s="351">
        <v>226</v>
      </c>
      <c r="W1054" s="351">
        <v>242</v>
      </c>
      <c r="X1054" s="351">
        <v>256</v>
      </c>
      <c r="Y1054" s="351">
        <f>Z1054</f>
        <v>52</v>
      </c>
      <c r="Z1054" s="46">
        <v>52</v>
      </c>
      <c r="AA1054" s="351">
        <v>61</v>
      </c>
      <c r="AB1054" s="351">
        <v>83</v>
      </c>
      <c r="AC1054" s="351">
        <v>105</v>
      </c>
      <c r="AD1054" s="351">
        <f>AE1054</f>
        <v>0</v>
      </c>
      <c r="AE1054" s="108"/>
      <c r="AF1054" s="203"/>
      <c r="AG1054" s="203"/>
      <c r="AH1054" s="203"/>
      <c r="AI1054" s="351">
        <f>AJ1054</f>
        <v>0</v>
      </c>
      <c r="AJ1054" s="108"/>
      <c r="AK1054" s="203"/>
      <c r="AL1054" s="203"/>
      <c r="AM1054" s="203"/>
      <c r="AN1054" s="351">
        <f t="shared" si="1480"/>
        <v>0</v>
      </c>
      <c r="AO1054" s="108"/>
      <c r="AP1054" s="203"/>
      <c r="AQ1054" s="203"/>
      <c r="AR1054" s="203"/>
      <c r="AS1054" s="351">
        <f t="shared" si="1486"/>
        <v>0</v>
      </c>
      <c r="AT1054" s="108"/>
      <c r="AU1054" s="790"/>
      <c r="AV1054" s="203">
        <f t="shared" ref="AV1054:AX1055" si="1490">AU1054</f>
        <v>0</v>
      </c>
      <c r="AW1054" s="203">
        <f t="shared" si="1490"/>
        <v>0</v>
      </c>
      <c r="AX1054" s="203">
        <f t="shared" si="1490"/>
        <v>0</v>
      </c>
      <c r="AY1054" s="108">
        <f t="shared" si="1484"/>
        <v>0</v>
      </c>
      <c r="AZ1054" s="203">
        <f t="shared" ref="AZ1054:BC1055" si="1491">AY1054</f>
        <v>0</v>
      </c>
      <c r="BA1054" s="203">
        <f t="shared" si="1491"/>
        <v>0</v>
      </c>
      <c r="BB1054" s="203">
        <f t="shared" si="1491"/>
        <v>0</v>
      </c>
      <c r="BC1054" s="203">
        <f t="shared" si="1491"/>
        <v>0</v>
      </c>
      <c r="BD1054" s="108">
        <f t="shared" si="1485"/>
        <v>0</v>
      </c>
      <c r="BE1054" s="108">
        <f t="shared" ref="BE1054:BG1055" si="1492">BD1054</f>
        <v>0</v>
      </c>
      <c r="BF1054" s="108">
        <f t="shared" si="1492"/>
        <v>0</v>
      </c>
      <c r="BG1054" s="108">
        <f t="shared" si="1492"/>
        <v>0</v>
      </c>
      <c r="BH1054" s="351"/>
    </row>
    <row r="1055" spans="1:60" s="60" customFormat="1" x14ac:dyDescent="0.35">
      <c r="A1055" s="91" t="s">
        <v>186</v>
      </c>
      <c r="B1055" s="467"/>
      <c r="C1055" s="67">
        <v>1275</v>
      </c>
      <c r="D1055" s="67">
        <v>1262</v>
      </c>
      <c r="E1055" s="67">
        <v>1656</v>
      </c>
      <c r="F1055" s="67">
        <v>1217</v>
      </c>
      <c r="G1055" s="80">
        <v>1137</v>
      </c>
      <c r="H1055" s="80">
        <v>1083</v>
      </c>
      <c r="I1055" s="80">
        <v>1066</v>
      </c>
      <c r="J1055" s="80">
        <f>K1055</f>
        <v>980</v>
      </c>
      <c r="K1055" s="67">
        <v>980</v>
      </c>
      <c r="L1055" s="80">
        <v>1063</v>
      </c>
      <c r="M1055" s="80">
        <v>1078</v>
      </c>
      <c r="N1055" s="80">
        <v>934</v>
      </c>
      <c r="O1055" s="80">
        <f>P1055</f>
        <v>1769</v>
      </c>
      <c r="P1055" s="67">
        <v>1769</v>
      </c>
      <c r="Q1055" s="80">
        <v>1338</v>
      </c>
      <c r="R1055" s="80">
        <v>1055</v>
      </c>
      <c r="S1055" s="80">
        <v>1009</v>
      </c>
      <c r="T1055" s="80">
        <f>U1055</f>
        <v>1053</v>
      </c>
      <c r="U1055" s="67">
        <v>1053</v>
      </c>
      <c r="V1055" s="80">
        <v>1212</v>
      </c>
      <c r="W1055" s="80">
        <v>985</v>
      </c>
      <c r="X1055" s="80">
        <v>952</v>
      </c>
      <c r="Y1055" s="80">
        <f>Z1055</f>
        <v>981</v>
      </c>
      <c r="Z1055" s="67">
        <v>981</v>
      </c>
      <c r="AA1055" s="80">
        <v>1102</v>
      </c>
      <c r="AB1055" s="80">
        <v>1207</v>
      </c>
      <c r="AC1055" s="80">
        <v>1266</v>
      </c>
      <c r="AD1055" s="80">
        <f>AE1055</f>
        <v>1395</v>
      </c>
      <c r="AE1055" s="67">
        <v>1395</v>
      </c>
      <c r="AF1055" s="80">
        <v>1438</v>
      </c>
      <c r="AG1055" s="80">
        <v>1349</v>
      </c>
      <c r="AH1055" s="80">
        <v>1377</v>
      </c>
      <c r="AI1055" s="80">
        <f>AJ1055</f>
        <v>1345</v>
      </c>
      <c r="AJ1055" s="67">
        <v>1345</v>
      </c>
      <c r="AK1055" s="80">
        <v>1482</v>
      </c>
      <c r="AL1055" s="80">
        <v>1503</v>
      </c>
      <c r="AM1055" s="80">
        <v>1548</v>
      </c>
      <c r="AN1055" s="80">
        <f t="shared" si="1480"/>
        <v>1674</v>
      </c>
      <c r="AO1055" s="67">
        <v>1674</v>
      </c>
      <c r="AP1055" s="80">
        <v>1605</v>
      </c>
      <c r="AQ1055" s="80">
        <v>1651</v>
      </c>
      <c r="AR1055" s="80">
        <v>1759</v>
      </c>
      <c r="AS1055" s="80">
        <f t="shared" si="1486"/>
        <v>2440</v>
      </c>
      <c r="AT1055" s="67">
        <v>2440</v>
      </c>
      <c r="AU1055" s="804">
        <v>2373</v>
      </c>
      <c r="AV1055" s="123">
        <f t="shared" si="1490"/>
        <v>2373</v>
      </c>
      <c r="AW1055" s="123">
        <f t="shared" si="1490"/>
        <v>2373</v>
      </c>
      <c r="AX1055" s="123">
        <f t="shared" si="1490"/>
        <v>2373</v>
      </c>
      <c r="AY1055" s="124">
        <f t="shared" si="1484"/>
        <v>2373</v>
      </c>
      <c r="AZ1055" s="123">
        <f t="shared" si="1491"/>
        <v>2373</v>
      </c>
      <c r="BA1055" s="123">
        <f t="shared" si="1491"/>
        <v>2373</v>
      </c>
      <c r="BB1055" s="123">
        <f t="shared" si="1491"/>
        <v>2373</v>
      </c>
      <c r="BC1055" s="123">
        <f t="shared" si="1491"/>
        <v>2373</v>
      </c>
      <c r="BD1055" s="124">
        <f t="shared" si="1485"/>
        <v>2373</v>
      </c>
      <c r="BE1055" s="124">
        <f t="shared" si="1492"/>
        <v>2373</v>
      </c>
      <c r="BF1055" s="124">
        <f t="shared" si="1492"/>
        <v>2373</v>
      </c>
      <c r="BG1055" s="124">
        <f t="shared" si="1492"/>
        <v>2373</v>
      </c>
      <c r="BH1055" s="351"/>
    </row>
    <row r="1056" spans="1:60" s="69" customFormat="1" x14ac:dyDescent="0.35">
      <c r="A1056" s="89" t="s">
        <v>187</v>
      </c>
      <c r="B1056" s="319"/>
      <c r="C1056" s="68">
        <f t="shared" ref="C1056:AH1056" si="1493">SUM(C1050:C1055,C1046:C1047)</f>
        <v>16455</v>
      </c>
      <c r="D1056" s="68">
        <f t="shared" si="1493"/>
        <v>17941</v>
      </c>
      <c r="E1056" s="68">
        <f t="shared" si="1493"/>
        <v>19376</v>
      </c>
      <c r="F1056" s="68">
        <f t="shared" si="1493"/>
        <v>20246</v>
      </c>
      <c r="G1056" s="76">
        <f t="shared" si="1493"/>
        <v>20174</v>
      </c>
      <c r="H1056" s="76">
        <f t="shared" si="1493"/>
        <v>20147</v>
      </c>
      <c r="I1056" s="76">
        <f t="shared" si="1493"/>
        <v>20322</v>
      </c>
      <c r="J1056" s="76">
        <f t="shared" si="1493"/>
        <v>20817</v>
      </c>
      <c r="K1056" s="68">
        <f t="shared" si="1493"/>
        <v>20817</v>
      </c>
      <c r="L1056" s="76">
        <f t="shared" si="1493"/>
        <v>20785</v>
      </c>
      <c r="M1056" s="76">
        <f t="shared" si="1493"/>
        <v>20777</v>
      </c>
      <c r="N1056" s="76">
        <f t="shared" si="1493"/>
        <v>20095</v>
      </c>
      <c r="O1056" s="76">
        <f t="shared" si="1493"/>
        <v>18906</v>
      </c>
      <c r="P1056" s="68">
        <f t="shared" si="1493"/>
        <v>18906</v>
      </c>
      <c r="Q1056" s="76">
        <f t="shared" si="1493"/>
        <v>18125</v>
      </c>
      <c r="R1056" s="76">
        <f t="shared" si="1493"/>
        <v>17957</v>
      </c>
      <c r="S1056" s="76">
        <f t="shared" si="1493"/>
        <v>21650</v>
      </c>
      <c r="T1056" s="76">
        <f t="shared" si="1493"/>
        <v>21732</v>
      </c>
      <c r="U1056" s="68">
        <f t="shared" si="1493"/>
        <v>21732</v>
      </c>
      <c r="V1056" s="76">
        <f t="shared" si="1493"/>
        <v>22108</v>
      </c>
      <c r="W1056" s="76">
        <f t="shared" si="1493"/>
        <v>21799</v>
      </c>
      <c r="X1056" s="76">
        <f t="shared" si="1493"/>
        <v>21872</v>
      </c>
      <c r="Y1056" s="76">
        <f t="shared" si="1493"/>
        <v>21180</v>
      </c>
      <c r="Z1056" s="68">
        <f t="shared" si="1493"/>
        <v>21180</v>
      </c>
      <c r="AA1056" s="76">
        <f t="shared" si="1493"/>
        <v>21391</v>
      </c>
      <c r="AB1056" s="76">
        <f t="shared" si="1493"/>
        <v>21316</v>
      </c>
      <c r="AC1056" s="76">
        <f t="shared" si="1493"/>
        <v>21581</v>
      </c>
      <c r="AD1056" s="76">
        <f t="shared" si="1493"/>
        <v>23710</v>
      </c>
      <c r="AE1056" s="68">
        <f t="shared" si="1493"/>
        <v>23710</v>
      </c>
      <c r="AF1056" s="76">
        <f t="shared" si="1493"/>
        <v>23757</v>
      </c>
      <c r="AG1056" s="76">
        <f t="shared" si="1493"/>
        <v>22888</v>
      </c>
      <c r="AH1056" s="76">
        <f t="shared" si="1493"/>
        <v>22856</v>
      </c>
      <c r="AI1056" s="76">
        <f t="shared" ref="AI1056:AY1056" si="1494">SUM(AI1050:AI1055,AI1046:AI1047)</f>
        <v>22791</v>
      </c>
      <c r="AJ1056" s="68">
        <f t="shared" si="1494"/>
        <v>22791</v>
      </c>
      <c r="AK1056" s="76">
        <f t="shared" si="1494"/>
        <v>24766</v>
      </c>
      <c r="AL1056" s="76">
        <f t="shared" si="1494"/>
        <v>24918</v>
      </c>
      <c r="AM1056" s="76">
        <f t="shared" si="1494"/>
        <v>24530</v>
      </c>
      <c r="AN1056" s="76">
        <f t="shared" si="1494"/>
        <v>31688</v>
      </c>
      <c r="AO1056" s="68">
        <f t="shared" si="1494"/>
        <v>31688</v>
      </c>
      <c r="AP1056" s="76">
        <f t="shared" si="1494"/>
        <v>31122</v>
      </c>
      <c r="AQ1056" s="76">
        <f t="shared" si="1494"/>
        <v>30973</v>
      </c>
      <c r="AR1056" s="76">
        <f>SUM(AR1050:AR1055,AR1046:AR1047)</f>
        <v>31280</v>
      </c>
      <c r="AS1056" s="76">
        <f>SUM(AS1050:AS1055,AS1046:AS1047)</f>
        <v>32362</v>
      </c>
      <c r="AT1056" s="68">
        <f>SUM(AT1050:AT1055,AT1046:AT1047)</f>
        <v>32362</v>
      </c>
      <c r="AU1056" s="812">
        <f t="shared" ref="AU1056" si="1495">SUM(AU1050:AU1055,AU1046:AU1047)</f>
        <v>31835</v>
      </c>
      <c r="AV1056" s="109">
        <f t="shared" si="1494"/>
        <v>31885</v>
      </c>
      <c r="AW1056" s="109">
        <f t="shared" si="1494"/>
        <v>31935</v>
      </c>
      <c r="AX1056" s="109">
        <f t="shared" si="1494"/>
        <v>31985</v>
      </c>
      <c r="AY1056" s="110">
        <f t="shared" si="1494"/>
        <v>31985</v>
      </c>
      <c r="AZ1056" s="109">
        <f t="shared" ref="AZ1056:BG1056" si="1496">SUM(AZ1050:AZ1055,AZ1046:AZ1047)</f>
        <v>32035</v>
      </c>
      <c r="BA1056" s="109">
        <f t="shared" si="1496"/>
        <v>32085</v>
      </c>
      <c r="BB1056" s="109">
        <f t="shared" si="1496"/>
        <v>32135</v>
      </c>
      <c r="BC1056" s="109">
        <f t="shared" si="1496"/>
        <v>32185</v>
      </c>
      <c r="BD1056" s="110">
        <f t="shared" si="1496"/>
        <v>32185</v>
      </c>
      <c r="BE1056" s="110">
        <f t="shared" si="1496"/>
        <v>32385</v>
      </c>
      <c r="BF1056" s="110">
        <f t="shared" si="1496"/>
        <v>32585</v>
      </c>
      <c r="BG1056" s="110">
        <f t="shared" si="1496"/>
        <v>32785</v>
      </c>
      <c r="BH1056" s="79"/>
    </row>
    <row r="1057" spans="1:60" s="69" customFormat="1" x14ac:dyDescent="0.35">
      <c r="A1057" s="90" t="s">
        <v>188</v>
      </c>
      <c r="B1057" s="427"/>
      <c r="C1057" s="70">
        <f t="shared" ref="C1057:AH1057" si="1497">C1043+C1056</f>
        <v>27250</v>
      </c>
      <c r="D1057" s="70">
        <f t="shared" si="1497"/>
        <v>30156</v>
      </c>
      <c r="E1057" s="70">
        <f t="shared" si="1497"/>
        <v>31616</v>
      </c>
      <c r="F1057" s="70">
        <f t="shared" si="1497"/>
        <v>33876</v>
      </c>
      <c r="G1057" s="79">
        <f t="shared" si="1497"/>
        <v>34029</v>
      </c>
      <c r="H1057" s="79">
        <f t="shared" si="1497"/>
        <v>34130</v>
      </c>
      <c r="I1057" s="79">
        <f t="shared" si="1497"/>
        <v>33604</v>
      </c>
      <c r="J1057" s="79">
        <f t="shared" si="1497"/>
        <v>33550</v>
      </c>
      <c r="K1057" s="70">
        <f t="shared" si="1497"/>
        <v>33550</v>
      </c>
      <c r="L1057" s="79">
        <f t="shared" si="1497"/>
        <v>33547</v>
      </c>
      <c r="M1057" s="79">
        <f t="shared" si="1497"/>
        <v>33970</v>
      </c>
      <c r="N1057" s="79">
        <f t="shared" si="1497"/>
        <v>32776</v>
      </c>
      <c r="O1057" s="79">
        <f t="shared" si="1497"/>
        <v>31209</v>
      </c>
      <c r="P1057" s="70">
        <f t="shared" si="1497"/>
        <v>31209</v>
      </c>
      <c r="Q1057" s="79">
        <f t="shared" si="1497"/>
        <v>30643</v>
      </c>
      <c r="R1057" s="79">
        <f t="shared" si="1497"/>
        <v>31388</v>
      </c>
      <c r="S1057" s="79">
        <f t="shared" si="1497"/>
        <v>33258</v>
      </c>
      <c r="T1057" s="79">
        <f t="shared" si="1497"/>
        <v>32718</v>
      </c>
      <c r="U1057" s="70">
        <f t="shared" si="1497"/>
        <v>32718</v>
      </c>
      <c r="V1057" s="79">
        <f t="shared" si="1497"/>
        <v>32982</v>
      </c>
      <c r="W1057" s="79">
        <f t="shared" si="1497"/>
        <v>33235</v>
      </c>
      <c r="X1057" s="79">
        <f t="shared" si="1497"/>
        <v>34051</v>
      </c>
      <c r="Y1057" s="79">
        <f t="shared" si="1497"/>
        <v>32906</v>
      </c>
      <c r="Z1057" s="70">
        <f t="shared" si="1497"/>
        <v>32906</v>
      </c>
      <c r="AA1057" s="79">
        <f t="shared" si="1497"/>
        <v>33292</v>
      </c>
      <c r="AB1057" s="79">
        <f t="shared" si="1497"/>
        <v>33957</v>
      </c>
      <c r="AC1057" s="79">
        <f t="shared" si="1497"/>
        <v>35237</v>
      </c>
      <c r="AD1057" s="79">
        <f t="shared" si="1497"/>
        <v>37987</v>
      </c>
      <c r="AE1057" s="70">
        <f t="shared" si="1497"/>
        <v>37987</v>
      </c>
      <c r="AF1057" s="79">
        <f t="shared" si="1497"/>
        <v>38575</v>
      </c>
      <c r="AG1057" s="79">
        <f t="shared" si="1497"/>
        <v>36778</v>
      </c>
      <c r="AH1057" s="79">
        <f t="shared" si="1497"/>
        <v>37275</v>
      </c>
      <c r="AI1057" s="79">
        <f t="shared" ref="AI1057:AY1057" si="1498">AI1043+AI1056</f>
        <v>36500</v>
      </c>
      <c r="AJ1057" s="70">
        <f t="shared" si="1498"/>
        <v>36500</v>
      </c>
      <c r="AK1057" s="79">
        <f t="shared" si="1498"/>
        <v>39140</v>
      </c>
      <c r="AL1057" s="79">
        <f t="shared" si="1498"/>
        <v>38969</v>
      </c>
      <c r="AM1057" s="79">
        <f t="shared" si="1498"/>
        <v>42550</v>
      </c>
      <c r="AN1057" s="79">
        <f t="shared" si="1498"/>
        <v>44659</v>
      </c>
      <c r="AO1057" s="70">
        <f t="shared" si="1498"/>
        <v>44659</v>
      </c>
      <c r="AP1057" s="79">
        <f t="shared" si="1498"/>
        <v>46212</v>
      </c>
      <c r="AQ1057" s="79">
        <f t="shared" si="1498"/>
        <v>45079</v>
      </c>
      <c r="AR1057" s="79">
        <f>AR1043+AR1056</f>
        <v>45390</v>
      </c>
      <c r="AS1057" s="79">
        <f>AS1043+AS1056</f>
        <v>47344</v>
      </c>
      <c r="AT1057" s="70">
        <f>AT1043+AT1056</f>
        <v>47344</v>
      </c>
      <c r="AU1057" s="803">
        <f t="shared" ref="AU1057" si="1499">AU1043+AU1056</f>
        <v>47180</v>
      </c>
      <c r="AV1057" s="111">
        <f t="shared" si="1498"/>
        <v>46585.362301205823</v>
      </c>
      <c r="AW1057" s="111">
        <f t="shared" si="1498"/>
        <v>47081.677101616202</v>
      </c>
      <c r="AX1057" s="111">
        <f t="shared" si="1498"/>
        <v>47784.355127573835</v>
      </c>
      <c r="AY1057" s="112">
        <f t="shared" si="1498"/>
        <v>47784.355127573835</v>
      </c>
      <c r="AZ1057" s="111">
        <f t="shared" ref="AZ1057:BG1057" ca="1" si="1500">AZ1043+AZ1056</f>
        <v>48406.160818257747</v>
      </c>
      <c r="BA1057" s="111">
        <f t="shared" ca="1" si="1500"/>
        <v>48018.411188175916</v>
      </c>
      <c r="BB1057" s="111">
        <f t="shared" ca="1" si="1500"/>
        <v>48618.325427471726</v>
      </c>
      <c r="BC1057" s="111">
        <f t="shared" ca="1" si="1500"/>
        <v>49532.978964207068</v>
      </c>
      <c r="BD1057" s="112">
        <f t="shared" ca="1" si="1500"/>
        <v>49532.978964207068</v>
      </c>
      <c r="BE1057" s="112">
        <f t="shared" ca="1" si="1500"/>
        <v>52014.475027202294</v>
      </c>
      <c r="BF1057" s="112">
        <f t="shared" ca="1" si="1500"/>
        <v>55268.695607425921</v>
      </c>
      <c r="BG1057" s="112">
        <f t="shared" ca="1" si="1500"/>
        <v>59355.636066487554</v>
      </c>
      <c r="BH1057" s="79"/>
    </row>
    <row r="1058" spans="1:60" s="21" customFormat="1" x14ac:dyDescent="0.35">
      <c r="A1058" s="428"/>
      <c r="B1058" s="429"/>
      <c r="C1058" s="879"/>
      <c r="D1058" s="879"/>
      <c r="E1058" s="879"/>
      <c r="F1058" s="879"/>
      <c r="G1058" s="880"/>
      <c r="H1058" s="880"/>
      <c r="I1058" s="880"/>
      <c r="J1058" s="880"/>
      <c r="K1058" s="879"/>
      <c r="L1058" s="880"/>
      <c r="M1058" s="880"/>
      <c r="N1058" s="880"/>
      <c r="O1058" s="880"/>
      <c r="P1058" s="879"/>
      <c r="Q1058" s="880"/>
      <c r="R1058" s="880"/>
      <c r="S1058" s="880"/>
      <c r="T1058" s="880"/>
      <c r="U1058" s="879"/>
      <c r="V1058" s="880"/>
      <c r="W1058" s="880"/>
      <c r="X1058" s="880"/>
      <c r="Y1058" s="880"/>
      <c r="Z1058" s="879"/>
      <c r="AA1058" s="880"/>
      <c r="AB1058" s="880"/>
      <c r="AC1058" s="880"/>
      <c r="AD1058" s="880"/>
      <c r="AE1058" s="879"/>
      <c r="AF1058" s="880"/>
      <c r="AG1058" s="880"/>
      <c r="AH1058" s="880"/>
      <c r="AI1058" s="880"/>
      <c r="AJ1058" s="879"/>
      <c r="AK1058" s="880"/>
      <c r="AL1058" s="880"/>
      <c r="AM1058" s="880"/>
      <c r="AN1058" s="880"/>
      <c r="AO1058" s="879"/>
      <c r="AP1058" s="880"/>
      <c r="AQ1058" s="880"/>
      <c r="AR1058" s="880"/>
      <c r="AS1058" s="880"/>
      <c r="AT1058" s="879"/>
      <c r="AU1058" s="881"/>
      <c r="AV1058" s="880"/>
      <c r="AW1058" s="880"/>
      <c r="AX1058" s="880"/>
      <c r="AY1058" s="879"/>
      <c r="AZ1058" s="880"/>
      <c r="BA1058" s="880"/>
      <c r="BB1058" s="880"/>
      <c r="BC1058" s="880"/>
      <c r="BD1058" s="879"/>
      <c r="BE1058" s="879"/>
      <c r="BF1058" s="879"/>
      <c r="BG1058" s="879"/>
      <c r="BH1058" s="651"/>
    </row>
    <row r="1059" spans="1:60" s="21" customFormat="1" x14ac:dyDescent="0.35">
      <c r="A1059" s="93" t="s">
        <v>189</v>
      </c>
      <c r="B1059" s="429"/>
      <c r="C1059" s="879"/>
      <c r="D1059" s="879"/>
      <c r="E1059" s="879"/>
      <c r="F1059" s="879"/>
      <c r="G1059" s="880"/>
      <c r="H1059" s="880"/>
      <c r="I1059" s="880"/>
      <c r="J1059" s="880"/>
      <c r="K1059" s="879"/>
      <c r="L1059" s="880"/>
      <c r="M1059" s="880"/>
      <c r="N1059" s="880"/>
      <c r="O1059" s="880"/>
      <c r="P1059" s="879"/>
      <c r="Q1059" s="880"/>
      <c r="R1059" s="880"/>
      <c r="S1059" s="880"/>
      <c r="T1059" s="880"/>
      <c r="U1059" s="879"/>
      <c r="V1059" s="880"/>
      <c r="W1059" s="880"/>
      <c r="X1059" s="880"/>
      <c r="Y1059" s="880"/>
      <c r="Z1059" s="879"/>
      <c r="AA1059" s="880"/>
      <c r="AB1059" s="880"/>
      <c r="AC1059" s="880"/>
      <c r="AD1059" s="880"/>
      <c r="AE1059" s="879"/>
      <c r="AF1059" s="880"/>
      <c r="AG1059" s="880"/>
      <c r="AH1059" s="880"/>
      <c r="AI1059" s="880"/>
      <c r="AJ1059" s="879"/>
      <c r="AK1059" s="880"/>
      <c r="AL1059" s="880"/>
      <c r="AM1059" s="880"/>
      <c r="AN1059" s="880"/>
      <c r="AO1059" s="879"/>
      <c r="AP1059" s="880"/>
      <c r="AQ1059" s="880"/>
      <c r="AR1059" s="880"/>
      <c r="AS1059" s="880"/>
      <c r="AT1059" s="879"/>
      <c r="AU1059" s="881"/>
      <c r="AV1059" s="880"/>
      <c r="AW1059" s="880"/>
      <c r="AX1059" s="880"/>
      <c r="AY1059" s="879"/>
      <c r="AZ1059" s="880"/>
      <c r="BA1059" s="880"/>
      <c r="BB1059" s="880"/>
      <c r="BC1059" s="880"/>
      <c r="BD1059" s="879"/>
      <c r="BE1059" s="879"/>
      <c r="BF1059" s="879"/>
      <c r="BG1059" s="879"/>
      <c r="BH1059" s="651"/>
    </row>
    <row r="1060" spans="1:60" s="60" customFormat="1" x14ac:dyDescent="0.35">
      <c r="A1060" s="350" t="s">
        <v>190</v>
      </c>
      <c r="B1060" s="317"/>
      <c r="C1060" s="46">
        <v>613</v>
      </c>
      <c r="D1060" s="46">
        <v>1269</v>
      </c>
      <c r="E1060" s="46">
        <v>682</v>
      </c>
      <c r="F1060" s="46">
        <v>1085</v>
      </c>
      <c r="G1060" s="351">
        <v>1072</v>
      </c>
      <c r="H1060" s="351">
        <v>1062</v>
      </c>
      <c r="I1060" s="351">
        <v>2244</v>
      </c>
      <c r="J1060" s="351">
        <f>K1060</f>
        <v>1683</v>
      </c>
      <c r="K1060" s="46">
        <v>1683</v>
      </c>
      <c r="L1060" s="351">
        <v>2176</v>
      </c>
      <c r="M1060" s="351">
        <v>1650</v>
      </c>
      <c r="N1060" s="351">
        <v>2119</v>
      </c>
      <c r="O1060" s="351">
        <f>P1060</f>
        <v>106</v>
      </c>
      <c r="P1060" s="46">
        <v>106</v>
      </c>
      <c r="Q1060" s="351">
        <v>132</v>
      </c>
      <c r="R1060" s="351">
        <v>86</v>
      </c>
      <c r="S1060" s="351">
        <v>2279</v>
      </c>
      <c r="T1060" s="351">
        <f>U1060</f>
        <v>2044</v>
      </c>
      <c r="U1060" s="46">
        <v>2044</v>
      </c>
      <c r="V1060" s="351">
        <v>2212</v>
      </c>
      <c r="W1060" s="351">
        <v>2450</v>
      </c>
      <c r="X1060" s="351">
        <v>1282</v>
      </c>
      <c r="Y1060" s="351">
        <f>Z1060</f>
        <v>972</v>
      </c>
      <c r="Z1060" s="46">
        <v>972</v>
      </c>
      <c r="AA1060" s="351">
        <v>909</v>
      </c>
      <c r="AB1060" s="351">
        <v>213</v>
      </c>
      <c r="AC1060" s="351">
        <v>835</v>
      </c>
      <c r="AD1060" s="351">
        <f>AE1060</f>
        <v>1853</v>
      </c>
      <c r="AE1060" s="46">
        <v>1853</v>
      </c>
      <c r="AF1060" s="351">
        <v>3449</v>
      </c>
      <c r="AG1060" s="351">
        <v>3225</v>
      </c>
      <c r="AH1060" s="351">
        <v>1307</v>
      </c>
      <c r="AI1060" s="351">
        <f>AJ1060</f>
        <v>1211</v>
      </c>
      <c r="AJ1060" s="46">
        <v>1211</v>
      </c>
      <c r="AK1060" s="351">
        <v>790</v>
      </c>
      <c r="AL1060" s="351">
        <v>892</v>
      </c>
      <c r="AM1060" s="351">
        <v>1960</v>
      </c>
      <c r="AN1060" s="351">
        <f t="shared" ref="AN1060:AN1065" si="1501">AO1060</f>
        <v>2795</v>
      </c>
      <c r="AO1060" s="46">
        <v>2795</v>
      </c>
      <c r="AP1060" s="351">
        <v>3248</v>
      </c>
      <c r="AQ1060" s="351">
        <v>1486</v>
      </c>
      <c r="AR1060" s="351">
        <v>1169</v>
      </c>
      <c r="AS1060" s="351">
        <f t="shared" ref="AS1060:AS1065" si="1502">AT1060</f>
        <v>806</v>
      </c>
      <c r="AT1060" s="46">
        <v>806</v>
      </c>
      <c r="AU1060" s="805">
        <v>1368</v>
      </c>
      <c r="AV1060" s="203">
        <f>AV860</f>
        <v>1368</v>
      </c>
      <c r="AW1060" s="203">
        <f>AW860</f>
        <v>1368</v>
      </c>
      <c r="AX1060" s="203">
        <f>AX860</f>
        <v>1368</v>
      </c>
      <c r="AY1060" s="108">
        <f t="shared" ref="AY1060:AY1065" si="1503">AX1060</f>
        <v>1368</v>
      </c>
      <c r="AZ1060" s="203">
        <f>AZ860</f>
        <v>1368</v>
      </c>
      <c r="BA1060" s="203">
        <f>BA860</f>
        <v>1368</v>
      </c>
      <c r="BB1060" s="203">
        <f>BB860</f>
        <v>1368</v>
      </c>
      <c r="BC1060" s="203">
        <f>BC860</f>
        <v>1368</v>
      </c>
      <c r="BD1060" s="108">
        <f t="shared" ref="BD1060:BD1065" si="1504">BC1060</f>
        <v>1368</v>
      </c>
      <c r="BE1060" s="108">
        <f>BE860</f>
        <v>1368</v>
      </c>
      <c r="BF1060" s="108">
        <f>BF860</f>
        <v>1368</v>
      </c>
      <c r="BG1060" s="108">
        <f>BG860</f>
        <v>1368</v>
      </c>
      <c r="BH1060" s="351"/>
    </row>
    <row r="1061" spans="1:60" s="60" customFormat="1" x14ac:dyDescent="0.35">
      <c r="A1061" s="350" t="s">
        <v>126</v>
      </c>
      <c r="B1061" s="317"/>
      <c r="C1061" s="46">
        <v>1453</v>
      </c>
      <c r="D1061" s="46">
        <v>1662</v>
      </c>
      <c r="E1061" s="46">
        <v>1643</v>
      </c>
      <c r="F1061" s="46">
        <v>1762</v>
      </c>
      <c r="G1061" s="351">
        <v>1820</v>
      </c>
      <c r="H1061" s="351">
        <v>1920</v>
      </c>
      <c r="I1061" s="351">
        <v>1718</v>
      </c>
      <c r="J1061" s="351">
        <f>K1061</f>
        <v>1799</v>
      </c>
      <c r="K1061" s="46">
        <v>1799</v>
      </c>
      <c r="L1061" s="351">
        <v>1866</v>
      </c>
      <c r="M1061" s="351">
        <v>1844</v>
      </c>
      <c r="N1061" s="351">
        <v>1796</v>
      </c>
      <c r="O1061" s="351">
        <f>P1061</f>
        <v>1807</v>
      </c>
      <c r="P1061" s="46">
        <v>1807</v>
      </c>
      <c r="Q1061" s="351">
        <v>1801</v>
      </c>
      <c r="R1061" s="351">
        <v>1714</v>
      </c>
      <c r="S1061" s="351">
        <v>1600</v>
      </c>
      <c r="T1061" s="351">
        <f>U1061</f>
        <v>1694</v>
      </c>
      <c r="U1061" s="46">
        <v>1694</v>
      </c>
      <c r="V1061" s="351">
        <v>1581</v>
      </c>
      <c r="W1061" s="351">
        <v>1650</v>
      </c>
      <c r="X1061" s="351">
        <v>1621</v>
      </c>
      <c r="Y1061" s="351">
        <f>Z1061</f>
        <v>1798</v>
      </c>
      <c r="Z1061" s="46">
        <v>1798</v>
      </c>
      <c r="AA1061" s="351">
        <v>1701</v>
      </c>
      <c r="AB1061" s="351">
        <v>1782</v>
      </c>
      <c r="AC1061" s="351">
        <v>1824</v>
      </c>
      <c r="AD1061" s="351">
        <f>AE1061</f>
        <v>1945</v>
      </c>
      <c r="AE1061" s="46">
        <v>1945</v>
      </c>
      <c r="AF1061" s="351">
        <v>1874</v>
      </c>
      <c r="AG1061" s="351">
        <v>1871</v>
      </c>
      <c r="AH1061" s="351">
        <v>2029</v>
      </c>
      <c r="AI1061" s="351">
        <f>AJ1061</f>
        <v>2266</v>
      </c>
      <c r="AJ1061" s="46">
        <v>2266</v>
      </c>
      <c r="AK1061" s="351">
        <v>2309</v>
      </c>
      <c r="AL1061" s="351">
        <v>2130</v>
      </c>
      <c r="AM1061" s="351">
        <v>2079</v>
      </c>
      <c r="AN1061" s="351">
        <f t="shared" si="1501"/>
        <v>2228</v>
      </c>
      <c r="AO1061" s="46">
        <v>2228</v>
      </c>
      <c r="AP1061" s="351">
        <v>2207</v>
      </c>
      <c r="AQ1061" s="351">
        <v>1975</v>
      </c>
      <c r="AR1061" s="351">
        <v>2208</v>
      </c>
      <c r="AS1061" s="351">
        <f t="shared" si="1502"/>
        <v>2561</v>
      </c>
      <c r="AT1061" s="46">
        <v>2561</v>
      </c>
      <c r="AU1061" s="805">
        <v>2670</v>
      </c>
      <c r="AV1061" s="203">
        <f>(AV$787+AU$787+AS$787+AR$787)*AV1003</f>
        <v>2107.2348075144323</v>
      </c>
      <c r="AW1061" s="203">
        <f>(AW$787+AV$787+AU$787+AS$787)*AW1003</f>
        <v>2356.707964480323</v>
      </c>
      <c r="AX1061" s="203">
        <f>(AX$787+AW$787+AV$787+AU$787)*AX1003</f>
        <v>2725.1716700161573</v>
      </c>
      <c r="AY1061" s="108">
        <f t="shared" si="1503"/>
        <v>2725.1716700161573</v>
      </c>
      <c r="AZ1061" s="203">
        <f>(AZ$787+AX$787+AW$787+AV$787)*AZ1003</f>
        <v>2825.5600244235443</v>
      </c>
      <c r="BA1061" s="203">
        <f>(BA$787+AZ$787+AX$787+AW$787)*BA1003</f>
        <v>2228.057247198833</v>
      </c>
      <c r="BB1061" s="203">
        <f>(BB$787+BA$787+AZ$787+AX$787)*BB1003</f>
        <v>2501.8728347315841</v>
      </c>
      <c r="BC1061" s="203">
        <f>(BC$787+BB$787+BA$787+AZ$787)*BC1003</f>
        <v>2905.237912241766</v>
      </c>
      <c r="BD1061" s="108">
        <f t="shared" si="1504"/>
        <v>2905.237912241766</v>
      </c>
      <c r="BE1061" s="108">
        <f>BE787*BE1003</f>
        <v>3092.258829020011</v>
      </c>
      <c r="BF1061" s="108">
        <f>BF787*BF1003</f>
        <v>3291.8402271489886</v>
      </c>
      <c r="BG1061" s="108">
        <f>BG787*BG1003</f>
        <v>3504.8558106569076</v>
      </c>
      <c r="BH1061" s="351"/>
    </row>
    <row r="1062" spans="1:60" s="60" customFormat="1" x14ac:dyDescent="0.35">
      <c r="A1062" s="350" t="s">
        <v>191</v>
      </c>
      <c r="B1062" s="317"/>
      <c r="C1062" s="46">
        <v>680</v>
      </c>
      <c r="D1062" s="46">
        <v>778</v>
      </c>
      <c r="E1062" s="46">
        <v>676</v>
      </c>
      <c r="F1062" s="46">
        <v>701</v>
      </c>
      <c r="G1062" s="351">
        <v>466</v>
      </c>
      <c r="H1062" s="351">
        <v>589</v>
      </c>
      <c r="I1062" s="351">
        <v>688</v>
      </c>
      <c r="J1062" s="351">
        <f>K1062</f>
        <v>708</v>
      </c>
      <c r="K1062" s="46">
        <v>708</v>
      </c>
      <c r="L1062" s="351">
        <v>491</v>
      </c>
      <c r="M1062" s="351">
        <v>656</v>
      </c>
      <c r="N1062" s="351">
        <v>728</v>
      </c>
      <c r="O1062" s="351">
        <f>P1062</f>
        <v>732</v>
      </c>
      <c r="P1062" s="46">
        <v>732</v>
      </c>
      <c r="Q1062" s="351">
        <v>446</v>
      </c>
      <c r="R1062" s="351">
        <v>582</v>
      </c>
      <c r="S1062" s="351">
        <v>684</v>
      </c>
      <c r="T1062" s="351">
        <f>U1062</f>
        <v>644</v>
      </c>
      <c r="U1062" s="46">
        <v>644</v>
      </c>
      <c r="V1062" s="351">
        <v>468</v>
      </c>
      <c r="W1062" s="351">
        <v>580</v>
      </c>
      <c r="X1062" s="351">
        <v>729</v>
      </c>
      <c r="Y1062" s="351">
        <f>Z1062</f>
        <v>678</v>
      </c>
      <c r="Z1062" s="46">
        <v>678</v>
      </c>
      <c r="AA1062" s="351">
        <v>532</v>
      </c>
      <c r="AB1062" s="351">
        <v>666</v>
      </c>
      <c r="AC1062" s="351">
        <v>856</v>
      </c>
      <c r="AD1062" s="351">
        <f>AE1062</f>
        <v>870</v>
      </c>
      <c r="AE1062" s="46">
        <v>870</v>
      </c>
      <c r="AF1062" s="351">
        <v>563</v>
      </c>
      <c r="AG1062" s="351">
        <v>646</v>
      </c>
      <c r="AH1062" s="351">
        <v>783</v>
      </c>
      <c r="AI1062" s="351">
        <f>AJ1062</f>
        <v>749</v>
      </c>
      <c r="AJ1062" s="46">
        <v>749</v>
      </c>
      <c r="AK1062" s="351">
        <v>517</v>
      </c>
      <c r="AL1062" s="351">
        <v>604</v>
      </c>
      <c r="AM1062" s="351">
        <v>669</v>
      </c>
      <c r="AN1062" s="351">
        <f t="shared" si="1501"/>
        <v>702</v>
      </c>
      <c r="AO1062" s="46">
        <v>702</v>
      </c>
      <c r="AP1062" s="351">
        <v>523</v>
      </c>
      <c r="AQ1062" s="351">
        <v>500</v>
      </c>
      <c r="AR1062" s="351">
        <v>721</v>
      </c>
      <c r="AS1062" s="351">
        <f t="shared" si="1502"/>
        <v>747</v>
      </c>
      <c r="AT1062" s="46">
        <v>747</v>
      </c>
      <c r="AU1062" s="805">
        <v>655</v>
      </c>
      <c r="AV1062" s="203">
        <f>AU1062</f>
        <v>655</v>
      </c>
      <c r="AW1062" s="203">
        <f>AV1062</f>
        <v>655</v>
      </c>
      <c r="AX1062" s="203">
        <f>AW1062</f>
        <v>655</v>
      </c>
      <c r="AY1062" s="108">
        <f t="shared" si="1503"/>
        <v>655</v>
      </c>
      <c r="AZ1062" s="203">
        <f>AY1062</f>
        <v>655</v>
      </c>
      <c r="BA1062" s="203">
        <f>AZ1062</f>
        <v>655</v>
      </c>
      <c r="BB1062" s="203">
        <f>BA1062</f>
        <v>655</v>
      </c>
      <c r="BC1062" s="203">
        <f>BB1062</f>
        <v>655</v>
      </c>
      <c r="BD1062" s="108">
        <f t="shared" si="1504"/>
        <v>655</v>
      </c>
      <c r="BE1062" s="108">
        <f>BD1062</f>
        <v>655</v>
      </c>
      <c r="BF1062" s="108">
        <f>BE1062</f>
        <v>655</v>
      </c>
      <c r="BG1062" s="108">
        <f>BF1062</f>
        <v>655</v>
      </c>
      <c r="BH1062" s="351"/>
    </row>
    <row r="1063" spans="1:60" s="60" customFormat="1" x14ac:dyDescent="0.35">
      <c r="A1063" s="350" t="s">
        <v>192</v>
      </c>
      <c r="B1063" s="317"/>
      <c r="C1063" s="46">
        <v>252</v>
      </c>
      <c r="D1063" s="46">
        <v>358</v>
      </c>
      <c r="E1063" s="46">
        <v>355</v>
      </c>
      <c r="F1063" s="46">
        <v>371</v>
      </c>
      <c r="G1063" s="351">
        <v>392</v>
      </c>
      <c r="H1063" s="351">
        <v>460</v>
      </c>
      <c r="I1063" s="351">
        <v>373</v>
      </c>
      <c r="J1063" s="351">
        <f>K1063</f>
        <v>417</v>
      </c>
      <c r="K1063" s="46">
        <v>417</v>
      </c>
      <c r="L1063" s="351">
        <v>481</v>
      </c>
      <c r="M1063" s="351">
        <v>478</v>
      </c>
      <c r="N1063" s="351">
        <v>382</v>
      </c>
      <c r="O1063" s="351">
        <f>P1063</f>
        <v>435</v>
      </c>
      <c r="P1063" s="46">
        <v>435</v>
      </c>
      <c r="Q1063" s="351">
        <v>464</v>
      </c>
      <c r="R1063" s="351">
        <v>327</v>
      </c>
      <c r="S1063" s="351">
        <v>105</v>
      </c>
      <c r="T1063" s="351">
        <f>U1063</f>
        <v>332</v>
      </c>
      <c r="U1063" s="46">
        <v>332</v>
      </c>
      <c r="V1063" s="351">
        <v>590</v>
      </c>
      <c r="W1063" s="351">
        <v>169</v>
      </c>
      <c r="X1063" s="351">
        <v>364</v>
      </c>
      <c r="Y1063" s="351">
        <f>Z1063</f>
        <v>299</v>
      </c>
      <c r="Z1063" s="46">
        <v>299</v>
      </c>
      <c r="AA1063" s="351">
        <v>433</v>
      </c>
      <c r="AB1063" s="351">
        <v>432</v>
      </c>
      <c r="AC1063" s="351">
        <v>374</v>
      </c>
      <c r="AD1063" s="351">
        <f>AE1063</f>
        <v>310</v>
      </c>
      <c r="AE1063" s="46">
        <v>310</v>
      </c>
      <c r="AF1063" s="351">
        <v>282</v>
      </c>
      <c r="AG1063" s="351">
        <v>293</v>
      </c>
      <c r="AH1063" s="351">
        <v>186</v>
      </c>
      <c r="AI1063" s="351">
        <f>AJ1063</f>
        <v>243</v>
      </c>
      <c r="AJ1063" s="46">
        <v>243</v>
      </c>
      <c r="AK1063" s="351">
        <v>183</v>
      </c>
      <c r="AL1063" s="351">
        <v>223</v>
      </c>
      <c r="AM1063" s="351">
        <v>137</v>
      </c>
      <c r="AN1063" s="351">
        <f t="shared" si="1501"/>
        <v>194</v>
      </c>
      <c r="AO1063" s="46">
        <v>194</v>
      </c>
      <c r="AP1063" s="351">
        <v>136</v>
      </c>
      <c r="AQ1063" s="351">
        <v>371</v>
      </c>
      <c r="AR1063" s="351">
        <v>220</v>
      </c>
      <c r="AS1063" s="351">
        <f t="shared" si="1502"/>
        <v>300</v>
      </c>
      <c r="AT1063" s="46">
        <v>300</v>
      </c>
      <c r="AU1063" s="805">
        <v>277</v>
      </c>
      <c r="AV1063" s="203">
        <f>AU1063+AV956</f>
        <v>308.44328544942465</v>
      </c>
      <c r="AW1063" s="203">
        <f>AV1063+AW956</f>
        <v>346.67421822634094</v>
      </c>
      <c r="AX1063" s="203">
        <f>AW1063+AX956</f>
        <v>386.96831752146988</v>
      </c>
      <c r="AY1063" s="108">
        <f t="shared" si="1503"/>
        <v>386.96831752146988</v>
      </c>
      <c r="AZ1063" s="203">
        <f>AY1063+AZ956</f>
        <v>429.70016588946243</v>
      </c>
      <c r="BA1063" s="203">
        <f ca="1">AZ1063+BA956</f>
        <v>466.749585429371</v>
      </c>
      <c r="BB1063" s="203">
        <f ca="1">BA1063+BB956</f>
        <v>506.58595129561093</v>
      </c>
      <c r="BC1063" s="203">
        <f ca="1">BB1063+BC956</f>
        <v>550.90912281761257</v>
      </c>
      <c r="BD1063" s="108">
        <f t="shared" si="1504"/>
        <v>550.90912281761257</v>
      </c>
      <c r="BE1063" s="108">
        <f ca="1">BD1063+BE956</f>
        <v>731.00978467643506</v>
      </c>
      <c r="BF1063" s="108">
        <f ca="1">BE1063+BF956</f>
        <v>928.74239707765651</v>
      </c>
      <c r="BG1063" s="108">
        <f ca="1">BF1063+BG956</f>
        <v>1145.6712622598332</v>
      </c>
      <c r="BH1063" s="351"/>
    </row>
    <row r="1064" spans="1:60" s="60" customFormat="1" x14ac:dyDescent="0.35">
      <c r="A1064" s="350" t="s">
        <v>378</v>
      </c>
      <c r="B1064" s="317"/>
      <c r="C1064" s="108"/>
      <c r="D1064" s="108"/>
      <c r="E1064" s="108"/>
      <c r="F1064" s="108"/>
      <c r="G1064" s="203"/>
      <c r="H1064" s="203"/>
      <c r="I1064" s="203"/>
      <c r="J1064" s="203"/>
      <c r="K1064" s="108"/>
      <c r="L1064" s="203"/>
      <c r="M1064" s="203"/>
      <c r="N1064" s="203"/>
      <c r="O1064" s="203"/>
      <c r="P1064" s="108"/>
      <c r="Q1064" s="203"/>
      <c r="R1064" s="203"/>
      <c r="S1064" s="203"/>
      <c r="T1064" s="203"/>
      <c r="U1064" s="108"/>
      <c r="V1064" s="203"/>
      <c r="W1064" s="203"/>
      <c r="X1064" s="203"/>
      <c r="Y1064" s="203"/>
      <c r="Z1064" s="108"/>
      <c r="AA1064" s="203"/>
      <c r="AB1064" s="203"/>
      <c r="AC1064" s="203"/>
      <c r="AD1064" s="203"/>
      <c r="AE1064" s="108"/>
      <c r="AF1064" s="203"/>
      <c r="AG1064" s="203"/>
      <c r="AH1064" s="203"/>
      <c r="AI1064" s="203"/>
      <c r="AJ1064" s="108"/>
      <c r="AK1064" s="351">
        <v>255</v>
      </c>
      <c r="AL1064" s="351">
        <v>247</v>
      </c>
      <c r="AM1064" s="351">
        <v>241</v>
      </c>
      <c r="AN1064" s="351">
        <f t="shared" si="1501"/>
        <v>247</v>
      </c>
      <c r="AO1064" s="46">
        <v>247</v>
      </c>
      <c r="AP1064" s="351">
        <v>244</v>
      </c>
      <c r="AQ1064" s="351">
        <v>248</v>
      </c>
      <c r="AR1064" s="351">
        <v>252</v>
      </c>
      <c r="AS1064" s="351">
        <f t="shared" si="1502"/>
        <v>256</v>
      </c>
      <c r="AT1064" s="46">
        <v>256</v>
      </c>
      <c r="AU1064" s="805">
        <v>267</v>
      </c>
      <c r="AV1064" s="203">
        <f t="shared" ref="AV1064:AX1065" si="1505">AU1064</f>
        <v>267</v>
      </c>
      <c r="AW1064" s="203">
        <f t="shared" si="1505"/>
        <v>267</v>
      </c>
      <c r="AX1064" s="203">
        <f t="shared" si="1505"/>
        <v>267</v>
      </c>
      <c r="AY1064" s="108">
        <f t="shared" si="1503"/>
        <v>267</v>
      </c>
      <c r="AZ1064" s="203">
        <f t="shared" ref="AZ1064:BC1065" si="1506">AY1064</f>
        <v>267</v>
      </c>
      <c r="BA1064" s="203">
        <f t="shared" si="1506"/>
        <v>267</v>
      </c>
      <c r="BB1064" s="203">
        <f t="shared" si="1506"/>
        <v>267</v>
      </c>
      <c r="BC1064" s="203">
        <f t="shared" si="1506"/>
        <v>267</v>
      </c>
      <c r="BD1064" s="108">
        <f t="shared" si="1504"/>
        <v>267</v>
      </c>
      <c r="BE1064" s="108">
        <f t="shared" ref="BE1064:BG1065" si="1507">BD1064</f>
        <v>267</v>
      </c>
      <c r="BF1064" s="108">
        <f t="shared" si="1507"/>
        <v>267</v>
      </c>
      <c r="BG1064" s="108">
        <f t="shared" si="1507"/>
        <v>267</v>
      </c>
      <c r="BH1064" s="351"/>
    </row>
    <row r="1065" spans="1:60" s="60" customFormat="1" x14ac:dyDescent="0.35">
      <c r="A1065" s="91" t="s">
        <v>193</v>
      </c>
      <c r="B1065" s="467"/>
      <c r="C1065" s="67">
        <v>1899</v>
      </c>
      <c r="D1065" s="67">
        <v>2022</v>
      </c>
      <c r="E1065" s="67">
        <v>2085</v>
      </c>
      <c r="F1065" s="67">
        <v>2281</v>
      </c>
      <c r="G1065" s="80">
        <v>2187</v>
      </c>
      <c r="H1065" s="80">
        <v>2304</v>
      </c>
      <c r="I1065" s="80">
        <v>2416</v>
      </c>
      <c r="J1065" s="80">
        <f>K1065</f>
        <v>2891</v>
      </c>
      <c r="K1065" s="67">
        <v>2891</v>
      </c>
      <c r="L1065" s="80">
        <v>2436</v>
      </c>
      <c r="M1065" s="80">
        <v>2412</v>
      </c>
      <c r="N1065" s="80">
        <v>2680</v>
      </c>
      <c r="O1065" s="80">
        <f>P1065</f>
        <v>2884</v>
      </c>
      <c r="P1065" s="67">
        <v>2884</v>
      </c>
      <c r="Q1065" s="80">
        <v>2239</v>
      </c>
      <c r="R1065" s="80">
        <v>2386</v>
      </c>
      <c r="S1065" s="80">
        <v>2364</v>
      </c>
      <c r="T1065" s="80">
        <f>U1065</f>
        <v>2404</v>
      </c>
      <c r="U1065" s="67">
        <v>2404</v>
      </c>
      <c r="V1065" s="80">
        <v>2327</v>
      </c>
      <c r="W1065" s="80">
        <v>2405</v>
      </c>
      <c r="X1065" s="80">
        <v>2404</v>
      </c>
      <c r="Y1065" s="80">
        <f>Z1065</f>
        <v>2472</v>
      </c>
      <c r="Z1065" s="67">
        <v>2472</v>
      </c>
      <c r="AA1065" s="80">
        <v>2420</v>
      </c>
      <c r="AB1065" s="80">
        <v>2604</v>
      </c>
      <c r="AC1065" s="80">
        <v>2709</v>
      </c>
      <c r="AD1065" s="80">
        <f>AE1065</f>
        <v>2709</v>
      </c>
      <c r="AE1065" s="67">
        <v>2709</v>
      </c>
      <c r="AF1065" s="80">
        <v>2791</v>
      </c>
      <c r="AG1065" s="80">
        <v>2867</v>
      </c>
      <c r="AH1065" s="80">
        <v>3031</v>
      </c>
      <c r="AI1065" s="80">
        <f>AJ1065</f>
        <v>2775</v>
      </c>
      <c r="AJ1065" s="67">
        <v>2775</v>
      </c>
      <c r="AK1065" s="80">
        <v>3071</v>
      </c>
      <c r="AL1065" s="80">
        <v>3169</v>
      </c>
      <c r="AM1065" s="80">
        <v>2735</v>
      </c>
      <c r="AN1065" s="80">
        <f t="shared" si="1501"/>
        <v>3056</v>
      </c>
      <c r="AO1065" s="67">
        <v>3056</v>
      </c>
      <c r="AP1065" s="80">
        <v>2776</v>
      </c>
      <c r="AQ1065" s="80">
        <v>2702</v>
      </c>
      <c r="AR1065" s="80">
        <v>2840</v>
      </c>
      <c r="AS1065" s="80">
        <f t="shared" si="1502"/>
        <v>3278</v>
      </c>
      <c r="AT1065" s="67">
        <v>3278</v>
      </c>
      <c r="AU1065" s="804">
        <v>3126</v>
      </c>
      <c r="AV1065" s="123">
        <f t="shared" si="1505"/>
        <v>3126</v>
      </c>
      <c r="AW1065" s="123">
        <f t="shared" si="1505"/>
        <v>3126</v>
      </c>
      <c r="AX1065" s="123">
        <f t="shared" si="1505"/>
        <v>3126</v>
      </c>
      <c r="AY1065" s="124">
        <f t="shared" si="1503"/>
        <v>3126</v>
      </c>
      <c r="AZ1065" s="123">
        <f t="shared" si="1506"/>
        <v>3126</v>
      </c>
      <c r="BA1065" s="123">
        <f t="shared" si="1506"/>
        <v>3126</v>
      </c>
      <c r="BB1065" s="123">
        <f t="shared" si="1506"/>
        <v>3126</v>
      </c>
      <c r="BC1065" s="123">
        <f t="shared" si="1506"/>
        <v>3126</v>
      </c>
      <c r="BD1065" s="124">
        <f t="shared" si="1504"/>
        <v>3126</v>
      </c>
      <c r="BE1065" s="124">
        <f t="shared" si="1507"/>
        <v>3126</v>
      </c>
      <c r="BF1065" s="124">
        <f t="shared" si="1507"/>
        <v>3126</v>
      </c>
      <c r="BG1065" s="124">
        <f t="shared" si="1507"/>
        <v>3126</v>
      </c>
      <c r="BH1065" s="351"/>
    </row>
    <row r="1066" spans="1:60" s="69" customFormat="1" x14ac:dyDescent="0.35">
      <c r="A1066" s="89" t="s">
        <v>194</v>
      </c>
      <c r="B1066" s="319"/>
      <c r="C1066" s="68">
        <f t="shared" ref="C1066:AH1066" si="1508">SUM(C1060:C1065)</f>
        <v>4897</v>
      </c>
      <c r="D1066" s="68">
        <f t="shared" si="1508"/>
        <v>6089</v>
      </c>
      <c r="E1066" s="68">
        <f t="shared" si="1508"/>
        <v>5441</v>
      </c>
      <c r="F1066" s="68">
        <f t="shared" si="1508"/>
        <v>6200</v>
      </c>
      <c r="G1066" s="76">
        <f t="shared" si="1508"/>
        <v>5937</v>
      </c>
      <c r="H1066" s="76">
        <f t="shared" si="1508"/>
        <v>6335</v>
      </c>
      <c r="I1066" s="76">
        <f t="shared" si="1508"/>
        <v>7439</v>
      </c>
      <c r="J1066" s="76">
        <f t="shared" si="1508"/>
        <v>7498</v>
      </c>
      <c r="K1066" s="68">
        <f t="shared" si="1508"/>
        <v>7498</v>
      </c>
      <c r="L1066" s="76">
        <f t="shared" si="1508"/>
        <v>7450</v>
      </c>
      <c r="M1066" s="76">
        <f t="shared" si="1508"/>
        <v>7040</v>
      </c>
      <c r="N1066" s="76">
        <f t="shared" si="1508"/>
        <v>7705</v>
      </c>
      <c r="O1066" s="76">
        <f t="shared" si="1508"/>
        <v>5964</v>
      </c>
      <c r="P1066" s="68">
        <f t="shared" si="1508"/>
        <v>5964</v>
      </c>
      <c r="Q1066" s="76">
        <f t="shared" si="1508"/>
        <v>5082</v>
      </c>
      <c r="R1066" s="76">
        <f t="shared" si="1508"/>
        <v>5095</v>
      </c>
      <c r="S1066" s="76">
        <f t="shared" si="1508"/>
        <v>7032</v>
      </c>
      <c r="T1066" s="76">
        <f t="shared" si="1508"/>
        <v>7118</v>
      </c>
      <c r="U1066" s="68">
        <f t="shared" si="1508"/>
        <v>7118</v>
      </c>
      <c r="V1066" s="76">
        <f t="shared" si="1508"/>
        <v>7178</v>
      </c>
      <c r="W1066" s="76">
        <f t="shared" si="1508"/>
        <v>7254</v>
      </c>
      <c r="X1066" s="76">
        <f t="shared" si="1508"/>
        <v>6400</v>
      </c>
      <c r="Y1066" s="76">
        <f t="shared" si="1508"/>
        <v>6219</v>
      </c>
      <c r="Z1066" s="68">
        <f t="shared" si="1508"/>
        <v>6219</v>
      </c>
      <c r="AA1066" s="76">
        <f t="shared" si="1508"/>
        <v>5995</v>
      </c>
      <c r="AB1066" s="76">
        <f t="shared" si="1508"/>
        <v>5697</v>
      </c>
      <c r="AC1066" s="76">
        <f t="shared" si="1508"/>
        <v>6598</v>
      </c>
      <c r="AD1066" s="76">
        <f t="shared" si="1508"/>
        <v>7687</v>
      </c>
      <c r="AE1066" s="68">
        <f t="shared" si="1508"/>
        <v>7687</v>
      </c>
      <c r="AF1066" s="76">
        <f t="shared" si="1508"/>
        <v>8959</v>
      </c>
      <c r="AG1066" s="76">
        <f t="shared" si="1508"/>
        <v>8902</v>
      </c>
      <c r="AH1066" s="76">
        <f t="shared" si="1508"/>
        <v>7336</v>
      </c>
      <c r="AI1066" s="76">
        <f t="shared" ref="AI1066:AY1066" si="1509">SUM(AI1060:AI1065)</f>
        <v>7244</v>
      </c>
      <c r="AJ1066" s="68">
        <f t="shared" si="1509"/>
        <v>7244</v>
      </c>
      <c r="AK1066" s="76">
        <f t="shared" si="1509"/>
        <v>7125</v>
      </c>
      <c r="AL1066" s="76">
        <f t="shared" si="1509"/>
        <v>7265</v>
      </c>
      <c r="AM1066" s="76">
        <f t="shared" si="1509"/>
        <v>7821</v>
      </c>
      <c r="AN1066" s="76">
        <f t="shared" si="1509"/>
        <v>9222</v>
      </c>
      <c r="AO1066" s="68">
        <f t="shared" si="1509"/>
        <v>9222</v>
      </c>
      <c r="AP1066" s="76">
        <f t="shared" si="1509"/>
        <v>9134</v>
      </c>
      <c r="AQ1066" s="76">
        <f t="shared" si="1509"/>
        <v>7282</v>
      </c>
      <c r="AR1066" s="76">
        <f>SUM(AR1060:AR1065)</f>
        <v>7410</v>
      </c>
      <c r="AS1066" s="76">
        <f>SUM(AS1060:AS1065)</f>
        <v>7948</v>
      </c>
      <c r="AT1066" s="68">
        <f>SUM(AT1060:AT1065)</f>
        <v>7948</v>
      </c>
      <c r="AU1066" s="812">
        <f t="shared" ref="AU1066" si="1510">SUM(AU1060:AU1065)</f>
        <v>8363</v>
      </c>
      <c r="AV1066" s="109">
        <f t="shared" si="1509"/>
        <v>7831.6780929638571</v>
      </c>
      <c r="AW1066" s="109">
        <f t="shared" si="1509"/>
        <v>8119.382182706664</v>
      </c>
      <c r="AX1066" s="109">
        <f t="shared" si="1509"/>
        <v>8528.1399875376264</v>
      </c>
      <c r="AY1066" s="110">
        <f t="shared" si="1509"/>
        <v>8528.1399875376264</v>
      </c>
      <c r="AZ1066" s="109">
        <f t="shared" ref="AZ1066:BG1066" si="1511">SUM(AZ1060:AZ1065)</f>
        <v>8671.2601903130071</v>
      </c>
      <c r="BA1066" s="109">
        <f t="shared" ca="1" si="1511"/>
        <v>8110.8068326282037</v>
      </c>
      <c r="BB1066" s="109">
        <f t="shared" ca="1" si="1511"/>
        <v>8424.4587860271968</v>
      </c>
      <c r="BC1066" s="109">
        <f t="shared" ca="1" si="1511"/>
        <v>8872.147035059379</v>
      </c>
      <c r="BD1066" s="110">
        <f t="shared" si="1511"/>
        <v>8872.147035059379</v>
      </c>
      <c r="BE1066" s="110">
        <f t="shared" ca="1" si="1511"/>
        <v>9239.2686136964458</v>
      </c>
      <c r="BF1066" s="110">
        <f t="shared" ca="1" si="1511"/>
        <v>9636.5826242266448</v>
      </c>
      <c r="BG1066" s="110">
        <f t="shared" ca="1" si="1511"/>
        <v>10066.527072916741</v>
      </c>
      <c r="BH1066" s="79"/>
    </row>
    <row r="1067" spans="1:60" s="21" customFormat="1" x14ac:dyDescent="0.35">
      <c r="A1067" s="428"/>
      <c r="B1067" s="429"/>
      <c r="C1067" s="879"/>
      <c r="D1067" s="879"/>
      <c r="E1067" s="879"/>
      <c r="F1067" s="879"/>
      <c r="G1067" s="880"/>
      <c r="H1067" s="880"/>
      <c r="I1067" s="880"/>
      <c r="J1067" s="880"/>
      <c r="K1067" s="879"/>
      <c r="L1067" s="880"/>
      <c r="M1067" s="880"/>
      <c r="N1067" s="880"/>
      <c r="O1067" s="880"/>
      <c r="P1067" s="879"/>
      <c r="Q1067" s="880"/>
      <c r="R1067" s="880"/>
      <c r="S1067" s="880"/>
      <c r="T1067" s="880"/>
      <c r="U1067" s="879"/>
      <c r="V1067" s="880"/>
      <c r="W1067" s="880"/>
      <c r="X1067" s="880"/>
      <c r="Y1067" s="880"/>
      <c r="Z1067" s="879"/>
      <c r="AA1067" s="880"/>
      <c r="AB1067" s="880"/>
      <c r="AC1067" s="880"/>
      <c r="AD1067" s="880"/>
      <c r="AE1067" s="879"/>
      <c r="AF1067" s="880"/>
      <c r="AG1067" s="880"/>
      <c r="AH1067" s="880"/>
      <c r="AI1067" s="880"/>
      <c r="AJ1067" s="879"/>
      <c r="AK1067" s="880"/>
      <c r="AL1067" s="880"/>
      <c r="AM1067" s="880"/>
      <c r="AN1067" s="880"/>
      <c r="AO1067" s="879"/>
      <c r="AP1067" s="880"/>
      <c r="AQ1067" s="880"/>
      <c r="AR1067" s="880"/>
      <c r="AS1067" s="880"/>
      <c r="AT1067" s="879"/>
      <c r="AU1067" s="881"/>
      <c r="AV1067" s="880"/>
      <c r="AW1067" s="880"/>
      <c r="AX1067" s="880"/>
      <c r="AY1067" s="879"/>
      <c r="AZ1067" s="880"/>
      <c r="BA1067" s="880"/>
      <c r="BB1067" s="880"/>
      <c r="BC1067" s="880"/>
      <c r="BD1067" s="879"/>
      <c r="BE1067" s="879"/>
      <c r="BF1067" s="879"/>
      <c r="BG1067" s="879"/>
      <c r="BH1067" s="651"/>
    </row>
    <row r="1068" spans="1:60" s="21" customFormat="1" x14ac:dyDescent="0.35">
      <c r="A1068" s="102" t="s">
        <v>195</v>
      </c>
      <c r="B1068" s="429"/>
      <c r="C1068" s="879"/>
      <c r="D1068" s="879"/>
      <c r="E1068" s="879"/>
      <c r="F1068" s="879"/>
      <c r="G1068" s="880"/>
      <c r="H1068" s="880"/>
      <c r="I1068" s="880"/>
      <c r="J1068" s="880"/>
      <c r="K1068" s="879"/>
      <c r="L1068" s="880"/>
      <c r="M1068" s="880"/>
      <c r="N1068" s="880"/>
      <c r="O1068" s="880"/>
      <c r="P1068" s="879"/>
      <c r="Q1068" s="880"/>
      <c r="R1068" s="880"/>
      <c r="S1068" s="880"/>
      <c r="T1068" s="880"/>
      <c r="U1068" s="879"/>
      <c r="V1068" s="880"/>
      <c r="W1068" s="880"/>
      <c r="X1068" s="880"/>
      <c r="Y1068" s="880"/>
      <c r="Z1068" s="879"/>
      <c r="AA1068" s="880"/>
      <c r="AB1068" s="880"/>
      <c r="AC1068" s="880"/>
      <c r="AD1068" s="880"/>
      <c r="AE1068" s="879"/>
      <c r="AF1068" s="880"/>
      <c r="AG1068" s="880"/>
      <c r="AH1068" s="880"/>
      <c r="AI1068" s="880"/>
      <c r="AJ1068" s="879"/>
      <c r="AK1068" s="880"/>
      <c r="AL1068" s="880"/>
      <c r="AM1068" s="880"/>
      <c r="AN1068" s="880"/>
      <c r="AO1068" s="879"/>
      <c r="AP1068" s="880"/>
      <c r="AQ1068" s="880"/>
      <c r="AR1068" s="880"/>
      <c r="AS1068" s="880"/>
      <c r="AT1068" s="879"/>
      <c r="AU1068" s="881"/>
      <c r="AV1068" s="880"/>
      <c r="AW1068" s="880"/>
      <c r="AX1068" s="880"/>
      <c r="AY1068" s="879"/>
      <c r="AZ1068" s="880"/>
      <c r="BA1068" s="880"/>
      <c r="BB1068" s="880"/>
      <c r="BC1068" s="880"/>
      <c r="BD1068" s="879"/>
      <c r="BE1068" s="879"/>
      <c r="BF1068" s="879"/>
      <c r="BG1068" s="879"/>
      <c r="BH1068" s="651"/>
    </row>
    <row r="1069" spans="1:60" s="60" customFormat="1" x14ac:dyDescent="0.35">
      <c r="A1069" s="316" t="s">
        <v>196</v>
      </c>
      <c r="B1069" s="317"/>
      <c r="C1069" s="108">
        <v>5097</v>
      </c>
      <c r="D1069" s="108">
        <v>4183</v>
      </c>
      <c r="E1069" s="108">
        <v>4484</v>
      </c>
      <c r="F1069" s="108">
        <v>4916</v>
      </c>
      <c r="G1069" s="203">
        <v>4864</v>
      </c>
      <c r="H1069" s="203">
        <v>4884</v>
      </c>
      <c r="I1069" s="203">
        <v>3533</v>
      </c>
      <c r="J1069" s="203">
        <f>K1069</f>
        <v>4326</v>
      </c>
      <c r="K1069" s="108">
        <v>4326</v>
      </c>
      <c r="L1069" s="203">
        <v>4401</v>
      </c>
      <c r="M1069" s="203">
        <v>5323</v>
      </c>
      <c r="N1069" s="203">
        <v>5225</v>
      </c>
      <c r="O1069" s="203">
        <f>P1069</f>
        <v>6705</v>
      </c>
      <c r="P1069" s="108">
        <v>6705</v>
      </c>
      <c r="Q1069" s="203">
        <v>6459</v>
      </c>
      <c r="R1069" s="203">
        <v>8431</v>
      </c>
      <c r="S1069" s="203">
        <v>8974</v>
      </c>
      <c r="T1069" s="203">
        <f>U1069</f>
        <v>8753</v>
      </c>
      <c r="U1069" s="108">
        <v>8753</v>
      </c>
      <c r="V1069" s="203">
        <v>8927</v>
      </c>
      <c r="W1069" s="203">
        <v>9299</v>
      </c>
      <c r="X1069" s="203">
        <v>11079</v>
      </c>
      <c r="Y1069" s="203">
        <f>Z1069</f>
        <v>10678</v>
      </c>
      <c r="Z1069" s="108">
        <v>10678</v>
      </c>
      <c r="AA1069" s="203">
        <v>10802</v>
      </c>
      <c r="AB1069" s="203">
        <v>11088</v>
      </c>
      <c r="AC1069" s="203">
        <v>10828</v>
      </c>
      <c r="AD1069" s="203">
        <f>AE1069</f>
        <v>12096</v>
      </c>
      <c r="AE1069" s="108">
        <v>12096</v>
      </c>
      <c r="AF1069" s="203">
        <v>12211</v>
      </c>
      <c r="AG1069" s="203">
        <v>11294</v>
      </c>
      <c r="AH1069" s="203">
        <v>13539</v>
      </c>
      <c r="AI1069" s="203">
        <f>AJ1069</f>
        <v>13411</v>
      </c>
      <c r="AJ1069" s="108">
        <v>13411</v>
      </c>
      <c r="AK1069" s="203">
        <v>15580</v>
      </c>
      <c r="AL1069" s="203">
        <v>14914</v>
      </c>
      <c r="AM1069" s="203">
        <v>17479</v>
      </c>
      <c r="AN1069" s="203">
        <f>AO1069</f>
        <v>17518</v>
      </c>
      <c r="AO1069" s="108">
        <v>17518</v>
      </c>
      <c r="AP1069" s="203">
        <v>19247</v>
      </c>
      <c r="AQ1069" s="203">
        <v>19276</v>
      </c>
      <c r="AR1069" s="203">
        <v>18429</v>
      </c>
      <c r="AS1069" s="203">
        <f>AT1069</f>
        <v>17989</v>
      </c>
      <c r="AT1069" s="108">
        <v>17989</v>
      </c>
      <c r="AU1069" s="790">
        <v>16819</v>
      </c>
      <c r="AV1069" s="203">
        <f>AV861</f>
        <v>16819</v>
      </c>
      <c r="AW1069" s="203">
        <f>AW861</f>
        <v>16819</v>
      </c>
      <c r="AX1069" s="203">
        <f>AX861</f>
        <v>16819</v>
      </c>
      <c r="AY1069" s="108">
        <f>AX1069</f>
        <v>16819</v>
      </c>
      <c r="AZ1069" s="203">
        <f>AZ861</f>
        <v>16819</v>
      </c>
      <c r="BA1069" s="203">
        <f>BA861</f>
        <v>16819</v>
      </c>
      <c r="BB1069" s="203">
        <f>BB861</f>
        <v>16819</v>
      </c>
      <c r="BC1069" s="203">
        <f>BC861</f>
        <v>16819</v>
      </c>
      <c r="BD1069" s="108">
        <f>BC1069</f>
        <v>16819</v>
      </c>
      <c r="BE1069" s="108">
        <f>BE861</f>
        <v>16819</v>
      </c>
      <c r="BF1069" s="108">
        <f>BF861</f>
        <v>16819</v>
      </c>
      <c r="BG1069" s="108">
        <f>BG861</f>
        <v>16819</v>
      </c>
      <c r="BH1069" s="351"/>
    </row>
    <row r="1070" spans="1:60" s="60" customFormat="1" x14ac:dyDescent="0.35">
      <c r="A1070" s="316" t="s">
        <v>197</v>
      </c>
      <c r="B1070" s="317"/>
      <c r="C1070" s="108">
        <v>2227</v>
      </c>
      <c r="D1070" s="108">
        <v>2013</v>
      </c>
      <c r="E1070" s="108">
        <v>3972</v>
      </c>
      <c r="F1070" s="108">
        <v>3086</v>
      </c>
      <c r="G1070" s="203">
        <v>3014</v>
      </c>
      <c r="H1070" s="203">
        <v>2909</v>
      </c>
      <c r="I1070" s="203">
        <v>2694</v>
      </c>
      <c r="J1070" s="203">
        <f>K1070</f>
        <v>1794</v>
      </c>
      <c r="K1070" s="108">
        <v>1794</v>
      </c>
      <c r="L1070" s="203">
        <v>1809</v>
      </c>
      <c r="M1070" s="203">
        <v>1829</v>
      </c>
      <c r="N1070" s="203">
        <v>1849</v>
      </c>
      <c r="O1070" s="203">
        <f>P1070</f>
        <v>3843</v>
      </c>
      <c r="P1070" s="108">
        <v>3843</v>
      </c>
      <c r="Q1070" s="203">
        <v>3764</v>
      </c>
      <c r="R1070" s="203">
        <v>3683</v>
      </c>
      <c r="S1070" s="203">
        <v>3462</v>
      </c>
      <c r="T1070" s="203">
        <f>U1070</f>
        <v>3520</v>
      </c>
      <c r="U1070" s="108">
        <v>3520</v>
      </c>
      <c r="V1070" s="203">
        <v>3454</v>
      </c>
      <c r="W1070" s="203">
        <v>3418</v>
      </c>
      <c r="X1070" s="203">
        <v>3179</v>
      </c>
      <c r="Y1070" s="203">
        <f>Z1070</f>
        <v>4018</v>
      </c>
      <c r="Z1070" s="108">
        <v>4018</v>
      </c>
      <c r="AA1070" s="203">
        <v>3764</v>
      </c>
      <c r="AB1070" s="203">
        <v>3761</v>
      </c>
      <c r="AC1070" s="203">
        <v>3748</v>
      </c>
      <c r="AD1070" s="203">
        <f>AE1070</f>
        <v>3620</v>
      </c>
      <c r="AE1070" s="108">
        <v>3620</v>
      </c>
      <c r="AF1070" s="203">
        <v>3381</v>
      </c>
      <c r="AG1070" s="203">
        <v>3254</v>
      </c>
      <c r="AH1070" s="203">
        <v>3183</v>
      </c>
      <c r="AI1070" s="203">
        <f>AJ1070</f>
        <v>2987</v>
      </c>
      <c r="AJ1070" s="108">
        <v>2987</v>
      </c>
      <c r="AK1070" s="203">
        <v>2919</v>
      </c>
      <c r="AL1070" s="203">
        <v>2761</v>
      </c>
      <c r="AM1070" s="203">
        <v>2667</v>
      </c>
      <c r="AN1070" s="203">
        <f>AO1070</f>
        <v>3911</v>
      </c>
      <c r="AO1070" s="108">
        <v>3911</v>
      </c>
      <c r="AP1070" s="203">
        <v>3794</v>
      </c>
      <c r="AQ1070" s="203">
        <v>3724</v>
      </c>
      <c r="AR1070" s="203">
        <v>3679</v>
      </c>
      <c r="AS1070" s="203">
        <f>AT1070</f>
        <v>4405</v>
      </c>
      <c r="AT1070" s="108">
        <v>4405</v>
      </c>
      <c r="AU1070" s="790">
        <v>4231</v>
      </c>
      <c r="AV1070" s="203">
        <f t="shared" ref="AV1070:AX1072" si="1512">AU1070</f>
        <v>4231</v>
      </c>
      <c r="AW1070" s="203">
        <f t="shared" si="1512"/>
        <v>4231</v>
      </c>
      <c r="AX1070" s="203">
        <f t="shared" si="1512"/>
        <v>4231</v>
      </c>
      <c r="AY1070" s="108">
        <f>AX1070</f>
        <v>4231</v>
      </c>
      <c r="AZ1070" s="203">
        <f t="shared" ref="AZ1070:BC1072" si="1513">AY1070</f>
        <v>4231</v>
      </c>
      <c r="BA1070" s="203">
        <f t="shared" si="1513"/>
        <v>4231</v>
      </c>
      <c r="BB1070" s="203">
        <f t="shared" si="1513"/>
        <v>4231</v>
      </c>
      <c r="BC1070" s="203">
        <f t="shared" si="1513"/>
        <v>4231</v>
      </c>
      <c r="BD1070" s="108">
        <f>BC1070</f>
        <v>4231</v>
      </c>
      <c r="BE1070" s="108">
        <f t="shared" ref="BE1070:BG1072" si="1514">BD1070</f>
        <v>4231</v>
      </c>
      <c r="BF1070" s="108">
        <f t="shared" si="1514"/>
        <v>4231</v>
      </c>
      <c r="BG1070" s="108">
        <f t="shared" si="1514"/>
        <v>4231</v>
      </c>
      <c r="BH1070" s="351"/>
    </row>
    <row r="1071" spans="1:60" s="60" customFormat="1" x14ac:dyDescent="0.35">
      <c r="A1071" s="316" t="s">
        <v>378</v>
      </c>
      <c r="B1071" s="317"/>
      <c r="C1071" s="108"/>
      <c r="D1071" s="108"/>
      <c r="E1071" s="108"/>
      <c r="F1071" s="108"/>
      <c r="G1071" s="203"/>
      <c r="H1071" s="203"/>
      <c r="I1071" s="203"/>
      <c r="J1071" s="203"/>
      <c r="K1071" s="108"/>
      <c r="L1071" s="203"/>
      <c r="M1071" s="203"/>
      <c r="N1071" s="203"/>
      <c r="O1071" s="203"/>
      <c r="P1071" s="108"/>
      <c r="Q1071" s="203"/>
      <c r="R1071" s="203"/>
      <c r="S1071" s="203"/>
      <c r="T1071" s="203"/>
      <c r="U1071" s="108"/>
      <c r="V1071" s="203"/>
      <c r="W1071" s="203"/>
      <c r="X1071" s="203"/>
      <c r="Y1071" s="203"/>
      <c r="Z1071" s="108"/>
      <c r="AA1071" s="203"/>
      <c r="AB1071" s="203"/>
      <c r="AC1071" s="203"/>
      <c r="AD1071" s="203"/>
      <c r="AE1071" s="108"/>
      <c r="AF1071" s="203"/>
      <c r="AG1071" s="203"/>
      <c r="AH1071" s="203"/>
      <c r="AI1071" s="203"/>
      <c r="AJ1071" s="108"/>
      <c r="AK1071" s="203">
        <v>531</v>
      </c>
      <c r="AL1071" s="203">
        <v>619</v>
      </c>
      <c r="AM1071" s="203">
        <v>584</v>
      </c>
      <c r="AN1071" s="203">
        <f>AO1071</f>
        <v>607</v>
      </c>
      <c r="AO1071" s="108">
        <v>607</v>
      </c>
      <c r="AP1071" s="203">
        <v>603</v>
      </c>
      <c r="AQ1071" s="203">
        <v>607</v>
      </c>
      <c r="AR1071" s="203">
        <v>605</v>
      </c>
      <c r="AS1071" s="203">
        <f>AT1071</f>
        <v>609</v>
      </c>
      <c r="AT1071" s="108">
        <v>609</v>
      </c>
      <c r="AU1071" s="790">
        <v>609</v>
      </c>
      <c r="AV1071" s="203">
        <f t="shared" si="1512"/>
        <v>609</v>
      </c>
      <c r="AW1071" s="203">
        <f t="shared" si="1512"/>
        <v>609</v>
      </c>
      <c r="AX1071" s="203">
        <f t="shared" si="1512"/>
        <v>609</v>
      </c>
      <c r="AY1071" s="108">
        <f>AX1071</f>
        <v>609</v>
      </c>
      <c r="AZ1071" s="203">
        <f t="shared" si="1513"/>
        <v>609</v>
      </c>
      <c r="BA1071" s="203">
        <f t="shared" si="1513"/>
        <v>609</v>
      </c>
      <c r="BB1071" s="203">
        <f t="shared" si="1513"/>
        <v>609</v>
      </c>
      <c r="BC1071" s="203">
        <f t="shared" si="1513"/>
        <v>609</v>
      </c>
      <c r="BD1071" s="108">
        <f>BC1071</f>
        <v>609</v>
      </c>
      <c r="BE1071" s="108">
        <f t="shared" si="1514"/>
        <v>609</v>
      </c>
      <c r="BF1071" s="108">
        <f t="shared" si="1514"/>
        <v>609</v>
      </c>
      <c r="BG1071" s="108">
        <f t="shared" si="1514"/>
        <v>609</v>
      </c>
      <c r="BH1071" s="351"/>
    </row>
    <row r="1072" spans="1:60" s="60" customFormat="1" x14ac:dyDescent="0.35">
      <c r="A1072" s="466" t="s">
        <v>198</v>
      </c>
      <c r="B1072" s="467"/>
      <c r="C1072" s="124">
        <v>1727</v>
      </c>
      <c r="D1072" s="124">
        <v>1854</v>
      </c>
      <c r="E1072" s="124">
        <v>1857</v>
      </c>
      <c r="F1072" s="124">
        <v>1634</v>
      </c>
      <c r="G1072" s="123">
        <v>1686</v>
      </c>
      <c r="H1072" s="123">
        <v>1683</v>
      </c>
      <c r="I1072" s="123">
        <v>1686</v>
      </c>
      <c r="J1072" s="123">
        <f>K1072</f>
        <v>1984</v>
      </c>
      <c r="K1072" s="124">
        <v>1984</v>
      </c>
      <c r="L1072" s="123">
        <v>1963</v>
      </c>
      <c r="M1072" s="123">
        <v>1932</v>
      </c>
      <c r="N1072" s="123">
        <v>1791</v>
      </c>
      <c r="O1072" s="123">
        <f>P1072</f>
        <v>1555</v>
      </c>
      <c r="P1072" s="124">
        <v>1555</v>
      </c>
      <c r="Q1072" s="123">
        <v>1386</v>
      </c>
      <c r="R1072" s="123">
        <v>1049</v>
      </c>
      <c r="S1072" s="123">
        <v>1566</v>
      </c>
      <c r="T1072" s="123">
        <f>U1072</f>
        <v>1580</v>
      </c>
      <c r="U1072" s="124">
        <v>1580</v>
      </c>
      <c r="V1072" s="123">
        <v>1649</v>
      </c>
      <c r="W1072" s="123">
        <v>1327</v>
      </c>
      <c r="X1072" s="123">
        <v>1345</v>
      </c>
      <c r="Y1072" s="123">
        <f>Z1072</f>
        <v>1648</v>
      </c>
      <c r="Z1072" s="124">
        <v>1648</v>
      </c>
      <c r="AA1072" s="123">
        <v>1691</v>
      </c>
      <c r="AB1072" s="123">
        <v>1767</v>
      </c>
      <c r="AC1072" s="123">
        <v>1861</v>
      </c>
      <c r="AD1072" s="123">
        <f>AE1072</f>
        <v>2962</v>
      </c>
      <c r="AE1072" s="124">
        <v>2962</v>
      </c>
      <c r="AF1072" s="123">
        <v>2985</v>
      </c>
      <c r="AG1072" s="123">
        <v>2900</v>
      </c>
      <c r="AH1072" s="123">
        <v>2906</v>
      </c>
      <c r="AI1072" s="123">
        <f>AJ1072</f>
        <v>3010</v>
      </c>
      <c r="AJ1072" s="124">
        <v>3010</v>
      </c>
      <c r="AK1072" s="123">
        <v>3228</v>
      </c>
      <c r="AL1072" s="123">
        <v>3268</v>
      </c>
      <c r="AM1072" s="123">
        <v>3235</v>
      </c>
      <c r="AN1072" s="123">
        <f>AO1072</f>
        <v>3275</v>
      </c>
      <c r="AO1072" s="124">
        <v>3275</v>
      </c>
      <c r="AP1072" s="203">
        <v>3225</v>
      </c>
      <c r="AQ1072" s="123">
        <v>3275</v>
      </c>
      <c r="AR1072" s="123">
        <v>3324</v>
      </c>
      <c r="AS1072" s="123">
        <f>AT1072</f>
        <v>3462</v>
      </c>
      <c r="AT1072" s="124">
        <v>3462</v>
      </c>
      <c r="AU1072" s="790">
        <v>3330</v>
      </c>
      <c r="AV1072" s="123">
        <f t="shared" si="1512"/>
        <v>3330</v>
      </c>
      <c r="AW1072" s="123">
        <f t="shared" si="1512"/>
        <v>3330</v>
      </c>
      <c r="AX1072" s="123">
        <f t="shared" si="1512"/>
        <v>3330</v>
      </c>
      <c r="AY1072" s="124">
        <f>AX1072</f>
        <v>3330</v>
      </c>
      <c r="AZ1072" s="123">
        <f t="shared" si="1513"/>
        <v>3330</v>
      </c>
      <c r="BA1072" s="123">
        <f t="shared" si="1513"/>
        <v>3330</v>
      </c>
      <c r="BB1072" s="123">
        <f t="shared" si="1513"/>
        <v>3330</v>
      </c>
      <c r="BC1072" s="123">
        <f t="shared" si="1513"/>
        <v>3330</v>
      </c>
      <c r="BD1072" s="124">
        <f>BC1072</f>
        <v>3330</v>
      </c>
      <c r="BE1072" s="124">
        <f t="shared" si="1514"/>
        <v>3330</v>
      </c>
      <c r="BF1072" s="124">
        <f t="shared" si="1514"/>
        <v>3330</v>
      </c>
      <c r="BG1072" s="124">
        <f t="shared" si="1514"/>
        <v>3330</v>
      </c>
      <c r="BH1072" s="351"/>
    </row>
    <row r="1073" spans="1:60" s="69" customFormat="1" x14ac:dyDescent="0.35">
      <c r="A1073" s="89" t="s">
        <v>199</v>
      </c>
      <c r="B1073" s="319"/>
      <c r="C1073" s="68">
        <f t="shared" ref="C1073:AH1073" si="1515">SUM(C1069:C1072)</f>
        <v>9051</v>
      </c>
      <c r="D1073" s="68">
        <f t="shared" si="1515"/>
        <v>8050</v>
      </c>
      <c r="E1073" s="68">
        <f t="shared" si="1515"/>
        <v>10313</v>
      </c>
      <c r="F1073" s="68">
        <f t="shared" si="1515"/>
        <v>9636</v>
      </c>
      <c r="G1073" s="76">
        <f t="shared" si="1515"/>
        <v>9564</v>
      </c>
      <c r="H1073" s="76">
        <f t="shared" si="1515"/>
        <v>9476</v>
      </c>
      <c r="I1073" s="76">
        <f t="shared" si="1515"/>
        <v>7913</v>
      </c>
      <c r="J1073" s="76">
        <f t="shared" si="1515"/>
        <v>8104</v>
      </c>
      <c r="K1073" s="68">
        <f t="shared" si="1515"/>
        <v>8104</v>
      </c>
      <c r="L1073" s="76">
        <f t="shared" si="1515"/>
        <v>8173</v>
      </c>
      <c r="M1073" s="76">
        <f t="shared" si="1515"/>
        <v>9084</v>
      </c>
      <c r="N1073" s="76">
        <f t="shared" si="1515"/>
        <v>8865</v>
      </c>
      <c r="O1073" s="76">
        <f t="shared" si="1515"/>
        <v>12103</v>
      </c>
      <c r="P1073" s="68">
        <f t="shared" si="1515"/>
        <v>12103</v>
      </c>
      <c r="Q1073" s="76">
        <f t="shared" si="1515"/>
        <v>11609</v>
      </c>
      <c r="R1073" s="76">
        <f t="shared" si="1515"/>
        <v>13163</v>
      </c>
      <c r="S1073" s="76">
        <f t="shared" si="1515"/>
        <v>14002</v>
      </c>
      <c r="T1073" s="76">
        <f t="shared" si="1515"/>
        <v>13853</v>
      </c>
      <c r="U1073" s="68">
        <f t="shared" si="1515"/>
        <v>13853</v>
      </c>
      <c r="V1073" s="76">
        <f t="shared" si="1515"/>
        <v>14030</v>
      </c>
      <c r="W1073" s="76">
        <f t="shared" si="1515"/>
        <v>14044</v>
      </c>
      <c r="X1073" s="76">
        <f t="shared" si="1515"/>
        <v>15603</v>
      </c>
      <c r="Y1073" s="76">
        <f t="shared" si="1515"/>
        <v>16344</v>
      </c>
      <c r="Z1073" s="68">
        <f t="shared" si="1515"/>
        <v>16344</v>
      </c>
      <c r="AA1073" s="76">
        <f t="shared" si="1515"/>
        <v>16257</v>
      </c>
      <c r="AB1073" s="76">
        <f t="shared" si="1515"/>
        <v>16616</v>
      </c>
      <c r="AC1073" s="76">
        <f t="shared" si="1515"/>
        <v>16437</v>
      </c>
      <c r="AD1073" s="76">
        <f t="shared" si="1515"/>
        <v>18678</v>
      </c>
      <c r="AE1073" s="68">
        <f t="shared" si="1515"/>
        <v>18678</v>
      </c>
      <c r="AF1073" s="76">
        <f t="shared" si="1515"/>
        <v>18577</v>
      </c>
      <c r="AG1073" s="76">
        <f t="shared" si="1515"/>
        <v>17448</v>
      </c>
      <c r="AH1073" s="76">
        <f t="shared" si="1515"/>
        <v>19628</v>
      </c>
      <c r="AI1073" s="76">
        <f t="shared" ref="AI1073:AY1073" si="1516">SUM(AI1069:AI1072)</f>
        <v>19408</v>
      </c>
      <c r="AJ1073" s="68">
        <f t="shared" si="1516"/>
        <v>19408</v>
      </c>
      <c r="AK1073" s="76">
        <f t="shared" si="1516"/>
        <v>22258</v>
      </c>
      <c r="AL1073" s="76">
        <f t="shared" si="1516"/>
        <v>21562</v>
      </c>
      <c r="AM1073" s="76">
        <f t="shared" si="1516"/>
        <v>23965</v>
      </c>
      <c r="AN1073" s="76">
        <f t="shared" si="1516"/>
        <v>25311</v>
      </c>
      <c r="AO1073" s="68">
        <f t="shared" si="1516"/>
        <v>25311</v>
      </c>
      <c r="AP1073" s="76">
        <f t="shared" si="1516"/>
        <v>26869</v>
      </c>
      <c r="AQ1073" s="76">
        <f t="shared" si="1516"/>
        <v>26882</v>
      </c>
      <c r="AR1073" s="76">
        <f>SUM(AR1069:AR1072)</f>
        <v>26037</v>
      </c>
      <c r="AS1073" s="76">
        <f>SUM(AS1069:AS1072)</f>
        <v>26465</v>
      </c>
      <c r="AT1073" s="68">
        <f>SUM(AT1069:AT1072)</f>
        <v>26465</v>
      </c>
      <c r="AU1073" s="812">
        <f t="shared" ref="AU1073" si="1517">SUM(AU1069:AU1072)</f>
        <v>24989</v>
      </c>
      <c r="AV1073" s="109">
        <f t="shared" si="1516"/>
        <v>24989</v>
      </c>
      <c r="AW1073" s="109">
        <f t="shared" si="1516"/>
        <v>24989</v>
      </c>
      <c r="AX1073" s="109">
        <f t="shared" si="1516"/>
        <v>24989</v>
      </c>
      <c r="AY1073" s="110">
        <f t="shared" si="1516"/>
        <v>24989</v>
      </c>
      <c r="AZ1073" s="109">
        <f t="shared" ref="AZ1073:BG1073" si="1518">SUM(AZ1069:AZ1072)</f>
        <v>24989</v>
      </c>
      <c r="BA1073" s="109">
        <f t="shared" si="1518"/>
        <v>24989</v>
      </c>
      <c r="BB1073" s="109">
        <f t="shared" si="1518"/>
        <v>24989</v>
      </c>
      <c r="BC1073" s="109">
        <f t="shared" si="1518"/>
        <v>24989</v>
      </c>
      <c r="BD1073" s="110">
        <f t="shared" si="1518"/>
        <v>24989</v>
      </c>
      <c r="BE1073" s="110">
        <f t="shared" si="1518"/>
        <v>24989</v>
      </c>
      <c r="BF1073" s="110">
        <f t="shared" si="1518"/>
        <v>24989</v>
      </c>
      <c r="BG1073" s="110">
        <f t="shared" si="1518"/>
        <v>24989</v>
      </c>
      <c r="BH1073" s="79"/>
    </row>
    <row r="1074" spans="1:60" s="69" customFormat="1" x14ac:dyDescent="0.35">
      <c r="A1074" s="90" t="s">
        <v>200</v>
      </c>
      <c r="B1074" s="427"/>
      <c r="C1074" s="70">
        <f t="shared" ref="C1074:AH1074" si="1519">C1066+C1073</f>
        <v>13948</v>
      </c>
      <c r="D1074" s="70">
        <f t="shared" si="1519"/>
        <v>14139</v>
      </c>
      <c r="E1074" s="70">
        <f t="shared" si="1519"/>
        <v>15754</v>
      </c>
      <c r="F1074" s="70">
        <f t="shared" si="1519"/>
        <v>15836</v>
      </c>
      <c r="G1074" s="79">
        <f t="shared" si="1519"/>
        <v>15501</v>
      </c>
      <c r="H1074" s="79">
        <f t="shared" si="1519"/>
        <v>15811</v>
      </c>
      <c r="I1074" s="79">
        <f t="shared" si="1519"/>
        <v>15352</v>
      </c>
      <c r="J1074" s="79">
        <f t="shared" si="1519"/>
        <v>15602</v>
      </c>
      <c r="K1074" s="70">
        <f t="shared" si="1519"/>
        <v>15602</v>
      </c>
      <c r="L1074" s="79">
        <f t="shared" si="1519"/>
        <v>15623</v>
      </c>
      <c r="M1074" s="79">
        <f t="shared" si="1519"/>
        <v>16124</v>
      </c>
      <c r="N1074" s="79">
        <f t="shared" si="1519"/>
        <v>16570</v>
      </c>
      <c r="O1074" s="79">
        <f t="shared" si="1519"/>
        <v>18067</v>
      </c>
      <c r="P1074" s="70">
        <f t="shared" si="1519"/>
        <v>18067</v>
      </c>
      <c r="Q1074" s="79">
        <f t="shared" si="1519"/>
        <v>16691</v>
      </c>
      <c r="R1074" s="79">
        <f t="shared" si="1519"/>
        <v>18258</v>
      </c>
      <c r="S1074" s="79">
        <f t="shared" si="1519"/>
        <v>21034</v>
      </c>
      <c r="T1074" s="79">
        <f t="shared" si="1519"/>
        <v>20971</v>
      </c>
      <c r="U1074" s="70">
        <f t="shared" si="1519"/>
        <v>20971</v>
      </c>
      <c r="V1074" s="79">
        <f t="shared" si="1519"/>
        <v>21208</v>
      </c>
      <c r="W1074" s="79">
        <f t="shared" si="1519"/>
        <v>21298</v>
      </c>
      <c r="X1074" s="79">
        <f t="shared" si="1519"/>
        <v>22003</v>
      </c>
      <c r="Y1074" s="79">
        <f t="shared" si="1519"/>
        <v>22563</v>
      </c>
      <c r="Z1074" s="70">
        <f t="shared" si="1519"/>
        <v>22563</v>
      </c>
      <c r="AA1074" s="79">
        <f t="shared" si="1519"/>
        <v>22252</v>
      </c>
      <c r="AB1074" s="79">
        <f t="shared" si="1519"/>
        <v>22313</v>
      </c>
      <c r="AC1074" s="79">
        <f t="shared" si="1519"/>
        <v>23035</v>
      </c>
      <c r="AD1074" s="79">
        <f t="shared" si="1519"/>
        <v>26365</v>
      </c>
      <c r="AE1074" s="70">
        <f t="shared" si="1519"/>
        <v>26365</v>
      </c>
      <c r="AF1074" s="79">
        <f t="shared" si="1519"/>
        <v>27536</v>
      </c>
      <c r="AG1074" s="79">
        <f t="shared" si="1519"/>
        <v>26350</v>
      </c>
      <c r="AH1074" s="79">
        <f t="shared" si="1519"/>
        <v>26964</v>
      </c>
      <c r="AI1074" s="79">
        <f t="shared" ref="AI1074:AY1074" si="1520">AI1066+AI1073</f>
        <v>26652</v>
      </c>
      <c r="AJ1074" s="70">
        <f t="shared" si="1520"/>
        <v>26652</v>
      </c>
      <c r="AK1074" s="79">
        <f t="shared" si="1520"/>
        <v>29383</v>
      </c>
      <c r="AL1074" s="79">
        <f t="shared" si="1520"/>
        <v>28827</v>
      </c>
      <c r="AM1074" s="79">
        <f t="shared" si="1520"/>
        <v>31786</v>
      </c>
      <c r="AN1074" s="79">
        <f t="shared" si="1520"/>
        <v>34533</v>
      </c>
      <c r="AO1074" s="70">
        <f t="shared" si="1520"/>
        <v>34533</v>
      </c>
      <c r="AP1074" s="79">
        <f t="shared" si="1520"/>
        <v>36003</v>
      </c>
      <c r="AQ1074" s="79">
        <f t="shared" si="1520"/>
        <v>34164</v>
      </c>
      <c r="AR1074" s="79">
        <f>AR1066+AR1073</f>
        <v>33447</v>
      </c>
      <c r="AS1074" s="79">
        <f>AS1066+AS1073</f>
        <v>34413</v>
      </c>
      <c r="AT1074" s="70">
        <f>AT1066+AT1073</f>
        <v>34413</v>
      </c>
      <c r="AU1074" s="803">
        <f t="shared" ref="AU1074" si="1521">AU1066+AU1073</f>
        <v>33352</v>
      </c>
      <c r="AV1074" s="111">
        <f t="shared" si="1520"/>
        <v>32820.678092963855</v>
      </c>
      <c r="AW1074" s="111">
        <f t="shared" si="1520"/>
        <v>33108.382182706664</v>
      </c>
      <c r="AX1074" s="111">
        <f t="shared" si="1520"/>
        <v>33517.139987537623</v>
      </c>
      <c r="AY1074" s="112">
        <f t="shared" si="1520"/>
        <v>33517.139987537623</v>
      </c>
      <c r="AZ1074" s="111">
        <f t="shared" ref="AZ1074:BG1074" si="1522">AZ1066+AZ1073</f>
        <v>33660.260190313005</v>
      </c>
      <c r="BA1074" s="111">
        <f t="shared" ca="1" si="1522"/>
        <v>33099.806832628201</v>
      </c>
      <c r="BB1074" s="111">
        <f t="shared" ca="1" si="1522"/>
        <v>33413.4587860272</v>
      </c>
      <c r="BC1074" s="111">
        <f t="shared" ca="1" si="1522"/>
        <v>33861.147035059381</v>
      </c>
      <c r="BD1074" s="112">
        <f t="shared" si="1522"/>
        <v>33861.147035059381</v>
      </c>
      <c r="BE1074" s="112">
        <f t="shared" ca="1" si="1522"/>
        <v>34228.268613696448</v>
      </c>
      <c r="BF1074" s="112">
        <f t="shared" ca="1" si="1522"/>
        <v>34625.582624226648</v>
      </c>
      <c r="BG1074" s="112">
        <f t="shared" ca="1" si="1522"/>
        <v>35055.527072916739</v>
      </c>
      <c r="BH1074" s="79"/>
    </row>
    <row r="1075" spans="1:60" s="21" customFormat="1" x14ac:dyDescent="0.35">
      <c r="A1075" s="428"/>
      <c r="B1075" s="429"/>
      <c r="C1075" s="879"/>
      <c r="D1075" s="879"/>
      <c r="E1075" s="879"/>
      <c r="F1075" s="879"/>
      <c r="G1075" s="880"/>
      <c r="H1075" s="880"/>
      <c r="I1075" s="880"/>
      <c r="J1075" s="880"/>
      <c r="K1075" s="879"/>
      <c r="L1075" s="880"/>
      <c r="M1075" s="880"/>
      <c r="N1075" s="880"/>
      <c r="O1075" s="880"/>
      <c r="P1075" s="879"/>
      <c r="Q1075" s="880"/>
      <c r="R1075" s="880"/>
      <c r="S1075" s="880"/>
      <c r="T1075" s="880"/>
      <c r="U1075" s="879"/>
      <c r="V1075" s="880"/>
      <c r="W1075" s="880"/>
      <c r="X1075" s="880"/>
      <c r="Y1075" s="880"/>
      <c r="Z1075" s="879"/>
      <c r="AA1075" s="880"/>
      <c r="AB1075" s="880"/>
      <c r="AC1075" s="880"/>
      <c r="AD1075" s="880"/>
      <c r="AE1075" s="879"/>
      <c r="AF1075" s="880"/>
      <c r="AG1075" s="880"/>
      <c r="AH1075" s="880"/>
      <c r="AI1075" s="880"/>
      <c r="AJ1075" s="879"/>
      <c r="AK1075" s="880"/>
      <c r="AL1075" s="880"/>
      <c r="AM1075" s="880"/>
      <c r="AN1075" s="880"/>
      <c r="AO1075" s="879"/>
      <c r="AP1075" s="880"/>
      <c r="AQ1075" s="880"/>
      <c r="AR1075" s="880"/>
      <c r="AS1075" s="880"/>
      <c r="AT1075" s="879"/>
      <c r="AU1075" s="881"/>
      <c r="AV1075" s="880"/>
      <c r="AW1075" s="880"/>
      <c r="AX1075" s="880"/>
      <c r="AY1075" s="879"/>
      <c r="AZ1075" s="880"/>
      <c r="BA1075" s="880"/>
      <c r="BB1075" s="880"/>
      <c r="BC1075" s="880"/>
      <c r="BD1075" s="879"/>
      <c r="BE1075" s="879"/>
      <c r="BF1075" s="879"/>
      <c r="BG1075" s="879"/>
      <c r="BH1075" s="651"/>
    </row>
    <row r="1076" spans="1:60" s="21" customFormat="1" x14ac:dyDescent="0.35">
      <c r="A1076" s="102" t="s">
        <v>201</v>
      </c>
      <c r="B1076" s="429"/>
      <c r="C1076" s="879"/>
      <c r="D1076" s="879"/>
      <c r="E1076" s="879"/>
      <c r="F1076" s="879"/>
      <c r="G1076" s="880"/>
      <c r="H1076" s="880"/>
      <c r="I1076" s="880"/>
      <c r="J1076" s="880"/>
      <c r="K1076" s="879"/>
      <c r="L1076" s="880"/>
      <c r="M1076" s="880"/>
      <c r="N1076" s="880"/>
      <c r="O1076" s="880"/>
      <c r="P1076" s="879"/>
      <c r="Q1076" s="880"/>
      <c r="R1076" s="880"/>
      <c r="S1076" s="880"/>
      <c r="T1076" s="880"/>
      <c r="U1076" s="879"/>
      <c r="V1076" s="880"/>
      <c r="W1076" s="880"/>
      <c r="X1076" s="880"/>
      <c r="Y1076" s="880"/>
      <c r="Z1076" s="879"/>
      <c r="AA1076" s="880"/>
      <c r="AB1076" s="880"/>
      <c r="AC1076" s="880"/>
      <c r="AD1076" s="880"/>
      <c r="AE1076" s="879"/>
      <c r="AF1076" s="880"/>
      <c r="AG1076" s="880"/>
      <c r="AH1076" s="880"/>
      <c r="AI1076" s="880"/>
      <c r="AJ1076" s="879"/>
      <c r="AK1076" s="880"/>
      <c r="AL1076" s="880"/>
      <c r="AM1076" s="880"/>
      <c r="AN1076" s="880"/>
      <c r="AO1076" s="879"/>
      <c r="AP1076" s="880"/>
      <c r="AQ1076" s="880"/>
      <c r="AR1076" s="880"/>
      <c r="AS1076" s="880"/>
      <c r="AT1076" s="879"/>
      <c r="AU1076" s="881"/>
      <c r="AV1076" s="880"/>
      <c r="AW1076" s="880"/>
      <c r="AX1076" s="880"/>
      <c r="AY1076" s="879"/>
      <c r="AZ1076" s="880"/>
      <c r="BA1076" s="880"/>
      <c r="BB1076" s="880"/>
      <c r="BC1076" s="880"/>
      <c r="BD1076" s="879"/>
      <c r="BE1076" s="879"/>
      <c r="BF1076" s="879"/>
      <c r="BG1076" s="879"/>
      <c r="BH1076" s="651"/>
    </row>
    <row r="1077" spans="1:60" s="60" customFormat="1" x14ac:dyDescent="0.35">
      <c r="A1077" s="316" t="s">
        <v>202</v>
      </c>
      <c r="B1077" s="317"/>
      <c r="C1077" s="108">
        <v>9</v>
      </c>
      <c r="D1077" s="108">
        <v>9</v>
      </c>
      <c r="E1077" s="108">
        <v>9</v>
      </c>
      <c r="F1077" s="108">
        <v>9</v>
      </c>
      <c r="G1077" s="203">
        <v>9</v>
      </c>
      <c r="H1077" s="203">
        <v>9</v>
      </c>
      <c r="I1077" s="203">
        <v>9</v>
      </c>
      <c r="J1077" s="203">
        <f>K1077</f>
        <v>9</v>
      </c>
      <c r="K1077" s="108">
        <v>9</v>
      </c>
      <c r="L1077" s="203">
        <v>9</v>
      </c>
      <c r="M1077" s="203">
        <v>9</v>
      </c>
      <c r="N1077" s="203">
        <v>9</v>
      </c>
      <c r="O1077" s="203">
        <f>P1077</f>
        <v>9</v>
      </c>
      <c r="P1077" s="108">
        <v>9</v>
      </c>
      <c r="Q1077" s="203">
        <v>9</v>
      </c>
      <c r="R1077" s="203">
        <v>9</v>
      </c>
      <c r="S1077" s="203">
        <v>9</v>
      </c>
      <c r="T1077" s="203">
        <f>U1077</f>
        <v>9</v>
      </c>
      <c r="U1077" s="108">
        <v>9</v>
      </c>
      <c r="V1077" s="203">
        <v>9</v>
      </c>
      <c r="W1077" s="203">
        <v>9</v>
      </c>
      <c r="X1077" s="203">
        <v>9</v>
      </c>
      <c r="Y1077" s="203">
        <f>Z1077</f>
        <v>9</v>
      </c>
      <c r="Z1077" s="108">
        <v>9</v>
      </c>
      <c r="AA1077" s="203">
        <v>9</v>
      </c>
      <c r="AB1077" s="203">
        <v>9</v>
      </c>
      <c r="AC1077" s="203">
        <v>9</v>
      </c>
      <c r="AD1077" s="203">
        <f>AE1077</f>
        <v>9</v>
      </c>
      <c r="AE1077" s="108">
        <v>9</v>
      </c>
      <c r="AF1077" s="203">
        <v>9</v>
      </c>
      <c r="AG1077" s="203">
        <v>9</v>
      </c>
      <c r="AH1077" s="203">
        <v>9</v>
      </c>
      <c r="AI1077" s="203">
        <f>AJ1077</f>
        <v>9</v>
      </c>
      <c r="AJ1077" s="108">
        <v>9</v>
      </c>
      <c r="AK1077" s="203">
        <v>9</v>
      </c>
      <c r="AL1077" s="203">
        <v>9</v>
      </c>
      <c r="AM1077" s="203">
        <v>9</v>
      </c>
      <c r="AN1077" s="203">
        <f>AO1077</f>
        <v>9</v>
      </c>
      <c r="AO1077" s="108">
        <v>9</v>
      </c>
      <c r="AP1077" s="203">
        <v>9</v>
      </c>
      <c r="AQ1077" s="203">
        <v>9</v>
      </c>
      <c r="AR1077" s="203">
        <v>9</v>
      </c>
      <c r="AS1077" s="203">
        <f t="shared" ref="AS1077:AY1077" si="1523">AR1077</f>
        <v>9</v>
      </c>
      <c r="AT1077" s="108">
        <v>9</v>
      </c>
      <c r="AU1077" s="790">
        <v>9</v>
      </c>
      <c r="AV1077" s="203">
        <f t="shared" si="1523"/>
        <v>9</v>
      </c>
      <c r="AW1077" s="203">
        <f t="shared" si="1523"/>
        <v>9</v>
      </c>
      <c r="AX1077" s="203">
        <f t="shared" si="1523"/>
        <v>9</v>
      </c>
      <c r="AY1077" s="108">
        <f t="shared" si="1523"/>
        <v>9</v>
      </c>
      <c r="AZ1077" s="203">
        <f t="shared" ref="AZ1077:BG1077" si="1524">AY1077</f>
        <v>9</v>
      </c>
      <c r="BA1077" s="203">
        <f t="shared" si="1524"/>
        <v>9</v>
      </c>
      <c r="BB1077" s="203">
        <f t="shared" si="1524"/>
        <v>9</v>
      </c>
      <c r="BC1077" s="203">
        <f t="shared" si="1524"/>
        <v>9</v>
      </c>
      <c r="BD1077" s="108">
        <f t="shared" si="1524"/>
        <v>9</v>
      </c>
      <c r="BE1077" s="108">
        <f t="shared" si="1524"/>
        <v>9</v>
      </c>
      <c r="BF1077" s="108">
        <f t="shared" si="1524"/>
        <v>9</v>
      </c>
      <c r="BG1077" s="108">
        <f t="shared" si="1524"/>
        <v>9</v>
      </c>
      <c r="BH1077" s="351"/>
    </row>
    <row r="1078" spans="1:60" s="60" customFormat="1" x14ac:dyDescent="0.35">
      <c r="A1078" s="316" t="s">
        <v>203</v>
      </c>
      <c r="B1078" s="317"/>
      <c r="C1078" s="108">
        <v>3153</v>
      </c>
      <c r="D1078" s="108">
        <v>3468</v>
      </c>
      <c r="E1078" s="108">
        <v>3767</v>
      </c>
      <c r="F1078" s="108">
        <v>4044</v>
      </c>
      <c r="G1078" s="203">
        <v>4179</v>
      </c>
      <c r="H1078" s="203">
        <v>4243</v>
      </c>
      <c r="I1078" s="203">
        <v>4309</v>
      </c>
      <c r="J1078" s="203">
        <f>K1078</f>
        <v>4375</v>
      </c>
      <c r="K1078" s="108">
        <v>4375</v>
      </c>
      <c r="L1078" s="203">
        <v>4545</v>
      </c>
      <c r="M1078" s="203">
        <v>4641</v>
      </c>
      <c r="N1078" s="203">
        <v>4277</v>
      </c>
      <c r="O1078" s="203">
        <f>P1078</f>
        <v>4379</v>
      </c>
      <c r="P1078" s="108">
        <v>4379</v>
      </c>
      <c r="Q1078" s="203">
        <v>4607</v>
      </c>
      <c r="R1078" s="203">
        <v>4685</v>
      </c>
      <c r="S1078" s="203">
        <v>4731</v>
      </c>
      <c r="T1078" s="203">
        <f>U1078</f>
        <v>4791</v>
      </c>
      <c r="U1078" s="108">
        <v>4791</v>
      </c>
      <c r="V1078" s="203">
        <v>4916</v>
      </c>
      <c r="W1078" s="203">
        <v>4963</v>
      </c>
      <c r="X1078" s="203">
        <v>5012</v>
      </c>
      <c r="Y1078" s="203">
        <f>Z1078</f>
        <v>5061</v>
      </c>
      <c r="Z1078" s="108">
        <v>5061</v>
      </c>
      <c r="AA1078" s="203">
        <v>5189</v>
      </c>
      <c r="AB1078" s="203">
        <v>5244</v>
      </c>
      <c r="AC1078" s="203">
        <v>5302</v>
      </c>
      <c r="AD1078" s="203">
        <f>AE1078</f>
        <v>5352</v>
      </c>
      <c r="AE1078" s="108">
        <v>5352</v>
      </c>
      <c r="AF1078" s="203">
        <v>5496</v>
      </c>
      <c r="AG1078" s="203">
        <v>5550</v>
      </c>
      <c r="AH1078" s="203">
        <v>5597</v>
      </c>
      <c r="AI1078" s="203">
        <f>AJ1078</f>
        <v>5643</v>
      </c>
      <c r="AJ1078" s="108">
        <v>5643</v>
      </c>
      <c r="AK1078" s="203">
        <v>5755</v>
      </c>
      <c r="AL1078" s="203">
        <v>5812</v>
      </c>
      <c r="AM1078" s="203">
        <v>5861</v>
      </c>
      <c r="AN1078" s="203">
        <f>AO1078</f>
        <v>5907</v>
      </c>
      <c r="AO1078" s="108">
        <v>5907</v>
      </c>
      <c r="AP1078" s="203">
        <v>6024</v>
      </c>
      <c r="AQ1078" s="203">
        <v>6074</v>
      </c>
      <c r="AR1078" s="203">
        <v>6116</v>
      </c>
      <c r="AS1078" s="203">
        <f>AR1078+AS954</f>
        <v>6162</v>
      </c>
      <c r="AT1078" s="108">
        <v>6162</v>
      </c>
      <c r="AU1078" s="790">
        <v>6283</v>
      </c>
      <c r="AV1078" s="203">
        <f>AU1078+AV954</f>
        <v>6333</v>
      </c>
      <c r="AW1078" s="203">
        <f>AV1078+AW954</f>
        <v>6383</v>
      </c>
      <c r="AX1078" s="203">
        <f>AW1078+AX954</f>
        <v>6433</v>
      </c>
      <c r="AY1078" s="108">
        <f>AX1078</f>
        <v>6433</v>
      </c>
      <c r="AZ1078" s="203">
        <f>AY1078+AZ954</f>
        <v>6568</v>
      </c>
      <c r="BA1078" s="203">
        <f>AZ1078+BA954</f>
        <v>6618</v>
      </c>
      <c r="BB1078" s="203">
        <f>BA1078+BB954</f>
        <v>6668</v>
      </c>
      <c r="BC1078" s="203">
        <f>BB1078+BC954</f>
        <v>6718</v>
      </c>
      <c r="BD1078" s="108">
        <f>BC1078</f>
        <v>6718</v>
      </c>
      <c r="BE1078" s="108">
        <f>BD1078+BE954</f>
        <v>7003</v>
      </c>
      <c r="BF1078" s="108">
        <f>BE1078+BF954</f>
        <v>7288</v>
      </c>
      <c r="BG1078" s="108">
        <f>BF1078+BG954</f>
        <v>7573</v>
      </c>
      <c r="BH1078" s="351"/>
    </row>
    <row r="1079" spans="1:60" s="60" customFormat="1" x14ac:dyDescent="0.35">
      <c r="A1079" s="316" t="s">
        <v>204</v>
      </c>
      <c r="B1079" s="317"/>
      <c r="C1079" s="108">
        <v>23753</v>
      </c>
      <c r="D1079" s="108">
        <v>25995</v>
      </c>
      <c r="E1079" s="108">
        <v>28348</v>
      </c>
      <c r="F1079" s="108">
        <v>30679</v>
      </c>
      <c r="G1079" s="203">
        <v>31073</v>
      </c>
      <c r="H1079" s="203">
        <v>31716</v>
      </c>
      <c r="I1079" s="203">
        <v>32412</v>
      </c>
      <c r="J1079" s="203">
        <f>K1079</f>
        <v>32416</v>
      </c>
      <c r="K1079" s="108">
        <v>32416</v>
      </c>
      <c r="L1079" s="203">
        <v>33312</v>
      </c>
      <c r="M1079" s="203">
        <v>33836</v>
      </c>
      <c r="N1079" s="203">
        <v>34484</v>
      </c>
      <c r="O1079" s="203">
        <f>P1079</f>
        <v>34317</v>
      </c>
      <c r="P1079" s="108">
        <v>34317</v>
      </c>
      <c r="Q1079" s="203">
        <v>35080</v>
      </c>
      <c r="R1079" s="203">
        <v>35615</v>
      </c>
      <c r="S1079" s="203">
        <v>36235</v>
      </c>
      <c r="T1079" s="203">
        <f>U1079</f>
        <v>36575</v>
      </c>
      <c r="U1079" s="108">
        <v>36575</v>
      </c>
      <c r="V1079" s="203">
        <v>36785</v>
      </c>
      <c r="W1079" s="203">
        <v>37194</v>
      </c>
      <c r="X1079" s="203">
        <v>37745</v>
      </c>
      <c r="Y1079" s="203">
        <f>Z1079</f>
        <v>37907</v>
      </c>
      <c r="Z1079" s="108">
        <v>37907</v>
      </c>
      <c r="AA1079" s="203">
        <v>38094</v>
      </c>
      <c r="AB1079" s="203">
        <v>38793</v>
      </c>
      <c r="AC1079" s="203">
        <v>39454</v>
      </c>
      <c r="AD1079" s="203">
        <f>AE1079</f>
        <v>39115</v>
      </c>
      <c r="AE1079" s="108">
        <v>39115</v>
      </c>
      <c r="AF1079" s="203">
        <v>38453</v>
      </c>
      <c r="AG1079" s="203">
        <v>39442</v>
      </c>
      <c r="AH1079" s="203">
        <v>40120</v>
      </c>
      <c r="AI1079" s="203">
        <f>AJ1079</f>
        <v>40636</v>
      </c>
      <c r="AJ1079" s="108">
        <v>40636</v>
      </c>
      <c r="AK1079" s="203">
        <v>41159</v>
      </c>
      <c r="AL1079" s="203">
        <v>41362</v>
      </c>
      <c r="AM1079" s="203">
        <v>42085</v>
      </c>
      <c r="AN1079" s="203">
        <f>AO1079</f>
        <v>42135</v>
      </c>
      <c r="AO1079" s="108">
        <v>42135</v>
      </c>
      <c r="AP1079" s="203">
        <v>42345</v>
      </c>
      <c r="AQ1079" s="203">
        <v>42759</v>
      </c>
      <c r="AR1079" s="203">
        <v>43285</v>
      </c>
      <c r="AS1079" s="203">
        <f>AR1079+AS950+AS985</f>
        <v>43827</v>
      </c>
      <c r="AT1079" s="108">
        <v>43761</v>
      </c>
      <c r="AU1079" s="790">
        <v>44255</v>
      </c>
      <c r="AV1079" s="203">
        <f ca="1">AU1079+AV950+AV985</f>
        <v>44641.684208241961</v>
      </c>
      <c r="AW1079" s="203">
        <f ca="1">AV1079+AW950+AW985</f>
        <v>45300.294918909531</v>
      </c>
      <c r="AX1079" s="203">
        <f ca="1">AW1079+AX950+AX985</f>
        <v>46044.215140036191</v>
      </c>
      <c r="AY1079" s="108">
        <f ca="1">AX1079</f>
        <v>46044.215140036191</v>
      </c>
      <c r="AZ1079" s="203">
        <f ca="1">AY1079+AZ950+AZ985</f>
        <v>46887.900627944728</v>
      </c>
      <c r="BA1079" s="203">
        <f ca="1">AZ1079+BA950+BA985</f>
        <v>47510.604355547701</v>
      </c>
      <c r="BB1079" s="203">
        <f ca="1">BA1079+BB950+BB985</f>
        <v>48246.866641444518</v>
      </c>
      <c r="BC1079" s="203">
        <f ca="1">BB1079+BC950+BC985</f>
        <v>49163.83192914768</v>
      </c>
      <c r="BD1079" s="108">
        <f ca="1">BC1079</f>
        <v>49163.83192914768</v>
      </c>
      <c r="BE1079" s="108">
        <f ca="1">BD1079+BE950+BE985</f>
        <v>52993.206413505839</v>
      </c>
      <c r="BF1079" s="108">
        <f ca="1">BE1079+BF950+BF985</f>
        <v>57565.112983199266</v>
      </c>
      <c r="BG1079" s="108">
        <f ca="1">BF1079+BG950+BG985</f>
        <v>62937.108993570815</v>
      </c>
      <c r="BH1079" s="351"/>
    </row>
    <row r="1080" spans="1:60" s="60" customFormat="1" x14ac:dyDescent="0.35">
      <c r="A1080" s="316" t="s">
        <v>205</v>
      </c>
      <c r="B1080" s="317"/>
      <c r="C1080" s="108">
        <v>-10397</v>
      </c>
      <c r="D1080" s="108">
        <v>-10266</v>
      </c>
      <c r="E1080" s="108">
        <v>-11679</v>
      </c>
      <c r="F1080" s="108">
        <v>-12407</v>
      </c>
      <c r="G1080" s="203">
        <v>-12178</v>
      </c>
      <c r="H1080" s="203">
        <v>-12926</v>
      </c>
      <c r="I1080" s="203">
        <v>-14124</v>
      </c>
      <c r="J1080" s="203">
        <f>K1080</f>
        <v>-15385</v>
      </c>
      <c r="K1080" s="108">
        <v>-15385</v>
      </c>
      <c r="L1080" s="203">
        <v>-16577</v>
      </c>
      <c r="M1080" s="203">
        <v>-17466</v>
      </c>
      <c r="N1080" s="203">
        <v>-18489</v>
      </c>
      <c r="O1080" s="203">
        <f>P1080</f>
        <v>-19307</v>
      </c>
      <c r="P1080" s="108">
        <v>-19307</v>
      </c>
      <c r="Q1080" s="203">
        <v>-19458</v>
      </c>
      <c r="R1080" s="203">
        <v>-20983</v>
      </c>
      <c r="S1080" s="203">
        <v>-22322</v>
      </c>
      <c r="T1080" s="203">
        <f>U1080</f>
        <v>-23308</v>
      </c>
      <c r="U1080" s="108">
        <v>-23308</v>
      </c>
      <c r="V1080" s="203">
        <v>-23716</v>
      </c>
      <c r="W1080" s="203">
        <v>-24088</v>
      </c>
      <c r="X1080" s="203">
        <v>-24618</v>
      </c>
      <c r="Y1080" s="203">
        <f>Z1080</f>
        <v>-25434</v>
      </c>
      <c r="Z1080" s="108">
        <v>-25434</v>
      </c>
      <c r="AA1080" s="203">
        <v>-25354</v>
      </c>
      <c r="AB1080" s="203">
        <v>-25466</v>
      </c>
      <c r="AC1080" s="203">
        <v>-25706</v>
      </c>
      <c r="AD1080" s="203">
        <f>AE1080</f>
        <v>-25887</v>
      </c>
      <c r="AE1080" s="108">
        <v>-25887</v>
      </c>
      <c r="AF1080" s="203">
        <v>-26178</v>
      </c>
      <c r="AG1080" s="203">
        <v>-27617</v>
      </c>
      <c r="AH1080" s="203">
        <v>-28510</v>
      </c>
      <c r="AI1080" s="203">
        <f>AJ1080</f>
        <v>-29626</v>
      </c>
      <c r="AJ1080" s="108">
        <v>-29626</v>
      </c>
      <c r="AK1080" s="203">
        <v>-29668</v>
      </c>
      <c r="AL1080" s="203">
        <v>-29828</v>
      </c>
      <c r="AM1080" s="203">
        <v>-29865</v>
      </c>
      <c r="AN1080" s="203">
        <f>AO1080</f>
        <v>-29849</v>
      </c>
      <c r="AO1080" s="108">
        <v>-29849</v>
      </c>
      <c r="AP1080" s="203">
        <v>-29817</v>
      </c>
      <c r="AQ1080" s="203">
        <v>-29699</v>
      </c>
      <c r="AR1080" s="203">
        <v>-29570</v>
      </c>
      <c r="AS1080" s="203">
        <f>AR1080+INDEX(MO_CFS_Buyback,0,COLUMN())</f>
        <v>-29572</v>
      </c>
      <c r="AT1080" s="108">
        <v>-29404</v>
      </c>
      <c r="AU1080" s="790">
        <v>-29020</v>
      </c>
      <c r="AV1080" s="203">
        <f>AU1080+INDEX(MO_CFS_Buyback,0,COLUMN())</f>
        <v>-29520</v>
      </c>
      <c r="AW1080" s="203">
        <f>AV1080+INDEX(MO_CFS_Buyback,0,COLUMN())</f>
        <v>-30020</v>
      </c>
      <c r="AX1080" s="203">
        <f>AW1080+INDEX(MO_CFS_Buyback,0,COLUMN())</f>
        <v>-30520</v>
      </c>
      <c r="AY1080" s="108">
        <f>AX1080</f>
        <v>-30520</v>
      </c>
      <c r="AZ1080" s="203">
        <f>AY1080+INDEX(MO_CFS_Buyback,0,COLUMN())</f>
        <v>-31020</v>
      </c>
      <c r="BA1080" s="203">
        <f>AZ1080+INDEX(MO_CFS_Buyback,0,COLUMN())</f>
        <v>-31520</v>
      </c>
      <c r="BB1080" s="203">
        <f>BA1080+INDEX(MO_CFS_Buyback,0,COLUMN())</f>
        <v>-32020</v>
      </c>
      <c r="BC1080" s="203">
        <f>BB1080+INDEX(MO_CFS_Buyback,0,COLUMN())</f>
        <v>-32520</v>
      </c>
      <c r="BD1080" s="108">
        <f>BC1080</f>
        <v>-32520</v>
      </c>
      <c r="BE1080" s="108">
        <f>BD1080+INDEX(MO_CFS_Buyback,0,COLUMN())</f>
        <v>-34520</v>
      </c>
      <c r="BF1080" s="108">
        <f>BE1080+INDEX(MO_CFS_Buyback,0,COLUMN())</f>
        <v>-36520</v>
      </c>
      <c r="BG1080" s="108">
        <f>BF1080+INDEX(MO_CFS_Buyback,0,COLUMN())</f>
        <v>-38520</v>
      </c>
      <c r="BH1080" s="351"/>
    </row>
    <row r="1081" spans="1:60" s="60" customFormat="1" x14ac:dyDescent="0.35">
      <c r="A1081" s="466" t="s">
        <v>206</v>
      </c>
      <c r="B1081" s="467"/>
      <c r="C1081" s="124">
        <v>-3754</v>
      </c>
      <c r="D1081" s="124">
        <v>-3543</v>
      </c>
      <c r="E1081" s="124">
        <v>-5025</v>
      </c>
      <c r="F1081" s="124">
        <v>-4750</v>
      </c>
      <c r="G1081" s="123">
        <v>-5001</v>
      </c>
      <c r="H1081" s="123">
        <v>-5166</v>
      </c>
      <c r="I1081" s="123">
        <v>-4810</v>
      </c>
      <c r="J1081" s="123">
        <f>K1081</f>
        <v>-3913</v>
      </c>
      <c r="K1081" s="124">
        <v>-3913</v>
      </c>
      <c r="L1081" s="123">
        <v>-3841</v>
      </c>
      <c r="M1081" s="123">
        <v>-3666</v>
      </c>
      <c r="N1081" s="123">
        <v>-4108</v>
      </c>
      <c r="O1081" s="123">
        <f>P1081</f>
        <v>-6289</v>
      </c>
      <c r="P1081" s="124">
        <v>-6289</v>
      </c>
      <c r="Q1081" s="123">
        <v>-6321</v>
      </c>
      <c r="R1081" s="123">
        <v>-6233</v>
      </c>
      <c r="S1081" s="123">
        <v>-6467</v>
      </c>
      <c r="T1081" s="123">
        <f>U1081</f>
        <v>-6359</v>
      </c>
      <c r="U1081" s="124">
        <v>-6359</v>
      </c>
      <c r="V1081" s="123">
        <v>-6261</v>
      </c>
      <c r="W1081" s="123">
        <v>-6184</v>
      </c>
      <c r="X1081" s="123">
        <v>-6146</v>
      </c>
      <c r="Y1081" s="123">
        <f>Z1081</f>
        <v>-7245</v>
      </c>
      <c r="Z1081" s="124">
        <v>-7245</v>
      </c>
      <c r="AA1081" s="123">
        <v>-6949</v>
      </c>
      <c r="AB1081" s="123">
        <v>-6989</v>
      </c>
      <c r="AC1081" s="123">
        <v>-6913</v>
      </c>
      <c r="AD1081" s="123">
        <f>AE1081</f>
        <v>-7026</v>
      </c>
      <c r="AE1081" s="124">
        <v>-7026</v>
      </c>
      <c r="AF1081" s="123">
        <v>-6803</v>
      </c>
      <c r="AG1081" s="123">
        <v>-7019</v>
      </c>
      <c r="AH1081" s="123">
        <v>-6968</v>
      </c>
      <c r="AI1081" s="123">
        <f>AJ1081</f>
        <v>-6866</v>
      </c>
      <c r="AJ1081" s="124">
        <v>-6866</v>
      </c>
      <c r="AK1081" s="123">
        <v>-7552</v>
      </c>
      <c r="AL1081" s="123">
        <v>-7272</v>
      </c>
      <c r="AM1081" s="123">
        <v>-7388</v>
      </c>
      <c r="AN1081" s="123">
        <f>AO1081</f>
        <v>-8139</v>
      </c>
      <c r="AO1081" s="124">
        <v>-8139</v>
      </c>
      <c r="AP1081" s="203">
        <v>-8414</v>
      </c>
      <c r="AQ1081" s="123">
        <v>-8286</v>
      </c>
      <c r="AR1081" s="123">
        <v>-7960</v>
      </c>
      <c r="AS1081" s="123">
        <f>12931-AS1083-SUM(AS1077:AS1080)</f>
        <v>-7558</v>
      </c>
      <c r="AT1081" s="124">
        <v>-7661</v>
      </c>
      <c r="AU1081" s="790">
        <v>-7767</v>
      </c>
      <c r="AV1081" s="123">
        <f>AU1081</f>
        <v>-7767</v>
      </c>
      <c r="AW1081" s="123">
        <f>AV1081</f>
        <v>-7767</v>
      </c>
      <c r="AX1081" s="123">
        <f>AW1081</f>
        <v>-7767</v>
      </c>
      <c r="AY1081" s="124">
        <f>AX1081</f>
        <v>-7767</v>
      </c>
      <c r="AZ1081" s="123">
        <f>AY1081</f>
        <v>-7767</v>
      </c>
      <c r="BA1081" s="123">
        <f>AZ1081</f>
        <v>-7767</v>
      </c>
      <c r="BB1081" s="123">
        <f>BA1081</f>
        <v>-7767</v>
      </c>
      <c r="BC1081" s="123">
        <f>BB1081</f>
        <v>-7767</v>
      </c>
      <c r="BD1081" s="124">
        <f>BC1081</f>
        <v>-7767</v>
      </c>
      <c r="BE1081" s="124">
        <f>BD1081</f>
        <v>-7767</v>
      </c>
      <c r="BF1081" s="124">
        <f>BE1081</f>
        <v>-7767</v>
      </c>
      <c r="BG1081" s="124">
        <f>BF1081</f>
        <v>-7767</v>
      </c>
      <c r="BH1081" s="351"/>
    </row>
    <row r="1082" spans="1:60" s="69" customFormat="1" x14ac:dyDescent="0.35">
      <c r="A1082" s="318" t="s">
        <v>207</v>
      </c>
      <c r="B1082" s="319"/>
      <c r="C1082" s="110">
        <f t="shared" ref="C1082:AH1082" si="1525">SUM(C1077:C1081)</f>
        <v>12764</v>
      </c>
      <c r="D1082" s="110">
        <f t="shared" si="1525"/>
        <v>15663</v>
      </c>
      <c r="E1082" s="110">
        <f t="shared" si="1525"/>
        <v>15420</v>
      </c>
      <c r="F1082" s="110">
        <f t="shared" si="1525"/>
        <v>17575</v>
      </c>
      <c r="G1082" s="109">
        <f t="shared" si="1525"/>
        <v>18082</v>
      </c>
      <c r="H1082" s="109">
        <f t="shared" si="1525"/>
        <v>17876</v>
      </c>
      <c r="I1082" s="109">
        <f t="shared" si="1525"/>
        <v>17796</v>
      </c>
      <c r="J1082" s="109">
        <f t="shared" si="1525"/>
        <v>17502</v>
      </c>
      <c r="K1082" s="110">
        <f t="shared" si="1525"/>
        <v>17502</v>
      </c>
      <c r="L1082" s="109">
        <f t="shared" si="1525"/>
        <v>17448</v>
      </c>
      <c r="M1082" s="109">
        <f t="shared" si="1525"/>
        <v>17354</v>
      </c>
      <c r="N1082" s="109">
        <f t="shared" si="1525"/>
        <v>16173</v>
      </c>
      <c r="O1082" s="109">
        <f t="shared" si="1525"/>
        <v>13109</v>
      </c>
      <c r="P1082" s="110">
        <f t="shared" si="1525"/>
        <v>13109</v>
      </c>
      <c r="Q1082" s="109">
        <f t="shared" si="1525"/>
        <v>13917</v>
      </c>
      <c r="R1082" s="109">
        <f t="shared" si="1525"/>
        <v>13093</v>
      </c>
      <c r="S1082" s="109">
        <f t="shared" si="1525"/>
        <v>12186</v>
      </c>
      <c r="T1082" s="109">
        <f t="shared" si="1525"/>
        <v>11708</v>
      </c>
      <c r="U1082" s="110">
        <f t="shared" si="1525"/>
        <v>11708</v>
      </c>
      <c r="V1082" s="109">
        <f t="shared" si="1525"/>
        <v>11733</v>
      </c>
      <c r="W1082" s="109">
        <f t="shared" si="1525"/>
        <v>11894</v>
      </c>
      <c r="X1082" s="109">
        <f t="shared" si="1525"/>
        <v>12002</v>
      </c>
      <c r="Y1082" s="109">
        <f t="shared" si="1525"/>
        <v>10298</v>
      </c>
      <c r="Z1082" s="110">
        <f t="shared" si="1525"/>
        <v>10298</v>
      </c>
      <c r="AA1082" s="109">
        <f t="shared" si="1525"/>
        <v>10989</v>
      </c>
      <c r="AB1082" s="109">
        <f t="shared" si="1525"/>
        <v>11591</v>
      </c>
      <c r="AC1082" s="109">
        <f t="shared" si="1525"/>
        <v>12146</v>
      </c>
      <c r="AD1082" s="109">
        <f t="shared" si="1525"/>
        <v>11563</v>
      </c>
      <c r="AE1082" s="110">
        <f t="shared" si="1525"/>
        <v>11563</v>
      </c>
      <c r="AF1082" s="109">
        <f t="shared" si="1525"/>
        <v>10977</v>
      </c>
      <c r="AG1082" s="109">
        <f t="shared" si="1525"/>
        <v>10365</v>
      </c>
      <c r="AH1082" s="109">
        <f t="shared" si="1525"/>
        <v>10248</v>
      </c>
      <c r="AI1082" s="109">
        <f t="shared" ref="AI1082:AQ1082" si="1526">SUM(AI1077:AI1081)</f>
        <v>9796</v>
      </c>
      <c r="AJ1082" s="110">
        <f t="shared" si="1526"/>
        <v>9796</v>
      </c>
      <c r="AK1082" s="109">
        <f t="shared" si="1526"/>
        <v>9703</v>
      </c>
      <c r="AL1082" s="109">
        <f t="shared" si="1526"/>
        <v>10083</v>
      </c>
      <c r="AM1082" s="109">
        <f t="shared" si="1526"/>
        <v>10702</v>
      </c>
      <c r="AN1082" s="109">
        <f t="shared" si="1526"/>
        <v>10063</v>
      </c>
      <c r="AO1082" s="110">
        <f t="shared" si="1526"/>
        <v>10063</v>
      </c>
      <c r="AP1082" s="109">
        <f t="shared" si="1526"/>
        <v>10147</v>
      </c>
      <c r="AQ1082" s="109">
        <f t="shared" si="1526"/>
        <v>10857</v>
      </c>
      <c r="AR1082" s="109">
        <f>SUM(AR1077:AR1081)</f>
        <v>11880</v>
      </c>
      <c r="AS1082" s="109">
        <f>SUM(AS1077:AS1081)</f>
        <v>12868</v>
      </c>
      <c r="AT1082" s="110">
        <f>SUM(AT1077:AT1081)</f>
        <v>12867</v>
      </c>
      <c r="AU1082" s="796">
        <f t="shared" ref="AU1082:AY1082" si="1527">SUM(AU1077:AU1081)</f>
        <v>13760</v>
      </c>
      <c r="AV1082" s="109">
        <f t="shared" ca="1" si="1527"/>
        <v>13696.684208241961</v>
      </c>
      <c r="AW1082" s="109">
        <f t="shared" ca="1" si="1527"/>
        <v>13905.294918909531</v>
      </c>
      <c r="AX1082" s="109">
        <f t="shared" ca="1" si="1527"/>
        <v>14199.215140036191</v>
      </c>
      <c r="AY1082" s="110">
        <f t="shared" ca="1" si="1527"/>
        <v>14199.215140036191</v>
      </c>
      <c r="AZ1082" s="109">
        <f t="shared" ref="AZ1082:BG1082" ca="1" si="1528">SUM(AZ1077:AZ1081)</f>
        <v>14677.900627944728</v>
      </c>
      <c r="BA1082" s="109">
        <f t="shared" ca="1" si="1528"/>
        <v>14850.604355547701</v>
      </c>
      <c r="BB1082" s="109">
        <f t="shared" ca="1" si="1528"/>
        <v>15136.866641444518</v>
      </c>
      <c r="BC1082" s="109">
        <f t="shared" ca="1" si="1528"/>
        <v>15603.83192914768</v>
      </c>
      <c r="BD1082" s="110">
        <f t="shared" ca="1" si="1528"/>
        <v>15603.83192914768</v>
      </c>
      <c r="BE1082" s="110">
        <f t="shared" ca="1" si="1528"/>
        <v>17718.206413505839</v>
      </c>
      <c r="BF1082" s="110">
        <f t="shared" ca="1" si="1528"/>
        <v>20575.112983199266</v>
      </c>
      <c r="BG1082" s="110">
        <f t="shared" ca="1" si="1528"/>
        <v>24232.108993570815</v>
      </c>
      <c r="BH1082" s="79"/>
    </row>
    <row r="1083" spans="1:60" s="60" customFormat="1" x14ac:dyDescent="0.35">
      <c r="A1083" s="316" t="s">
        <v>208</v>
      </c>
      <c r="B1083" s="317"/>
      <c r="C1083" s="108">
        <v>538</v>
      </c>
      <c r="D1083" s="108">
        <v>354</v>
      </c>
      <c r="E1083" s="108">
        <v>442</v>
      </c>
      <c r="F1083" s="108">
        <v>465</v>
      </c>
      <c r="G1083" s="203">
        <v>446</v>
      </c>
      <c r="H1083" s="203">
        <v>443</v>
      </c>
      <c r="I1083" s="203">
        <v>456</v>
      </c>
      <c r="J1083" s="203">
        <f>K1083</f>
        <v>446</v>
      </c>
      <c r="K1083" s="108">
        <v>446</v>
      </c>
      <c r="L1083" s="203">
        <v>476</v>
      </c>
      <c r="M1083" s="203">
        <v>492</v>
      </c>
      <c r="N1083" s="203">
        <v>33</v>
      </c>
      <c r="O1083" s="203">
        <f>P1083</f>
        <v>33</v>
      </c>
      <c r="P1083" s="108">
        <v>33</v>
      </c>
      <c r="Q1083" s="203">
        <v>35</v>
      </c>
      <c r="R1083" s="203">
        <v>37</v>
      </c>
      <c r="S1083" s="203">
        <v>38</v>
      </c>
      <c r="T1083" s="203">
        <f>U1083</f>
        <v>39</v>
      </c>
      <c r="U1083" s="108">
        <v>39</v>
      </c>
      <c r="V1083" s="203">
        <v>41</v>
      </c>
      <c r="W1083" s="203">
        <v>43</v>
      </c>
      <c r="X1083" s="203">
        <v>46</v>
      </c>
      <c r="Y1083" s="203">
        <f>Z1083</f>
        <v>45</v>
      </c>
      <c r="Z1083" s="108">
        <v>45</v>
      </c>
      <c r="AA1083" s="203">
        <v>51</v>
      </c>
      <c r="AB1083" s="203">
        <v>53</v>
      </c>
      <c r="AC1083" s="203">
        <v>56</v>
      </c>
      <c r="AD1083" s="203">
        <f>AE1083</f>
        <v>59</v>
      </c>
      <c r="AE1083" s="108">
        <v>59</v>
      </c>
      <c r="AF1083" s="203">
        <v>62</v>
      </c>
      <c r="AG1083" s="203">
        <v>63</v>
      </c>
      <c r="AH1083" s="203">
        <v>63</v>
      </c>
      <c r="AI1083" s="203">
        <f>AJ1083</f>
        <v>52</v>
      </c>
      <c r="AJ1083" s="108">
        <v>52</v>
      </c>
      <c r="AK1083" s="203">
        <v>54</v>
      </c>
      <c r="AL1083" s="203">
        <v>59</v>
      </c>
      <c r="AM1083" s="203">
        <v>62</v>
      </c>
      <c r="AN1083" s="203">
        <f>AO1083</f>
        <v>63</v>
      </c>
      <c r="AO1083" s="108">
        <v>63</v>
      </c>
      <c r="AP1083" s="203">
        <v>62</v>
      </c>
      <c r="AQ1083" s="203">
        <v>58</v>
      </c>
      <c r="AR1083" s="203">
        <v>63</v>
      </c>
      <c r="AS1083" s="203">
        <f>AR1083</f>
        <v>63</v>
      </c>
      <c r="AT1083" s="108">
        <v>64</v>
      </c>
      <c r="AU1083" s="790">
        <v>68</v>
      </c>
      <c r="AV1083" s="203">
        <f t="shared" ref="AV1083:AY1083" si="1529">AU1083</f>
        <v>68</v>
      </c>
      <c r="AW1083" s="203">
        <f t="shared" si="1529"/>
        <v>68</v>
      </c>
      <c r="AX1083" s="203">
        <f t="shared" si="1529"/>
        <v>68</v>
      </c>
      <c r="AY1083" s="108">
        <f t="shared" si="1529"/>
        <v>68</v>
      </c>
      <c r="AZ1083" s="203">
        <f t="shared" ref="AZ1083:BG1083" si="1530">AY1083</f>
        <v>68</v>
      </c>
      <c r="BA1083" s="203">
        <f t="shared" si="1530"/>
        <v>68</v>
      </c>
      <c r="BB1083" s="203">
        <f t="shared" si="1530"/>
        <v>68</v>
      </c>
      <c r="BC1083" s="203">
        <f t="shared" si="1530"/>
        <v>68</v>
      </c>
      <c r="BD1083" s="108">
        <f t="shared" si="1530"/>
        <v>68</v>
      </c>
      <c r="BE1083" s="108">
        <f t="shared" si="1530"/>
        <v>68</v>
      </c>
      <c r="BF1083" s="108">
        <f t="shared" si="1530"/>
        <v>68</v>
      </c>
      <c r="BG1083" s="108">
        <f t="shared" si="1530"/>
        <v>68</v>
      </c>
      <c r="BH1083" s="351"/>
    </row>
    <row r="1084" spans="1:60" s="69" customFormat="1" x14ac:dyDescent="0.35">
      <c r="A1084" s="90" t="s">
        <v>209</v>
      </c>
      <c r="B1084" s="427"/>
      <c r="C1084" s="70">
        <f t="shared" ref="C1084:AH1084" si="1531">C1082+C1074+C1083</f>
        <v>27250</v>
      </c>
      <c r="D1084" s="70">
        <f t="shared" si="1531"/>
        <v>30156</v>
      </c>
      <c r="E1084" s="70">
        <f t="shared" si="1531"/>
        <v>31616</v>
      </c>
      <c r="F1084" s="70">
        <f t="shared" si="1531"/>
        <v>33876</v>
      </c>
      <c r="G1084" s="79">
        <f t="shared" si="1531"/>
        <v>34029</v>
      </c>
      <c r="H1084" s="79">
        <f t="shared" si="1531"/>
        <v>34130</v>
      </c>
      <c r="I1084" s="79">
        <f t="shared" si="1531"/>
        <v>33604</v>
      </c>
      <c r="J1084" s="79">
        <f t="shared" si="1531"/>
        <v>33550</v>
      </c>
      <c r="K1084" s="70">
        <f t="shared" si="1531"/>
        <v>33550</v>
      </c>
      <c r="L1084" s="79">
        <f t="shared" si="1531"/>
        <v>33547</v>
      </c>
      <c r="M1084" s="79">
        <f t="shared" si="1531"/>
        <v>33970</v>
      </c>
      <c r="N1084" s="79">
        <f t="shared" si="1531"/>
        <v>32776</v>
      </c>
      <c r="O1084" s="79">
        <f t="shared" si="1531"/>
        <v>31209</v>
      </c>
      <c r="P1084" s="70">
        <f t="shared" si="1531"/>
        <v>31209</v>
      </c>
      <c r="Q1084" s="79">
        <f t="shared" si="1531"/>
        <v>30643</v>
      </c>
      <c r="R1084" s="79">
        <f t="shared" si="1531"/>
        <v>31388</v>
      </c>
      <c r="S1084" s="79">
        <f t="shared" si="1531"/>
        <v>33258</v>
      </c>
      <c r="T1084" s="79">
        <f t="shared" si="1531"/>
        <v>32718</v>
      </c>
      <c r="U1084" s="70">
        <f t="shared" si="1531"/>
        <v>32718</v>
      </c>
      <c r="V1084" s="79">
        <f t="shared" si="1531"/>
        <v>32982</v>
      </c>
      <c r="W1084" s="79">
        <f t="shared" si="1531"/>
        <v>33235</v>
      </c>
      <c r="X1084" s="79">
        <f t="shared" si="1531"/>
        <v>34051</v>
      </c>
      <c r="Y1084" s="79">
        <f t="shared" si="1531"/>
        <v>32906</v>
      </c>
      <c r="Z1084" s="70">
        <f t="shared" si="1531"/>
        <v>32906</v>
      </c>
      <c r="AA1084" s="79">
        <f t="shared" si="1531"/>
        <v>33292</v>
      </c>
      <c r="AB1084" s="79">
        <f t="shared" si="1531"/>
        <v>33957</v>
      </c>
      <c r="AC1084" s="79">
        <f t="shared" si="1531"/>
        <v>35237</v>
      </c>
      <c r="AD1084" s="79">
        <f t="shared" si="1531"/>
        <v>37987</v>
      </c>
      <c r="AE1084" s="70">
        <f t="shared" si="1531"/>
        <v>37987</v>
      </c>
      <c r="AF1084" s="79">
        <f t="shared" si="1531"/>
        <v>38575</v>
      </c>
      <c r="AG1084" s="79">
        <f t="shared" si="1531"/>
        <v>36778</v>
      </c>
      <c r="AH1084" s="79">
        <f t="shared" si="1531"/>
        <v>37275</v>
      </c>
      <c r="AI1084" s="79">
        <f t="shared" ref="AI1084:AY1084" si="1532">AI1082+AI1074+AI1083</f>
        <v>36500</v>
      </c>
      <c r="AJ1084" s="70">
        <f t="shared" si="1532"/>
        <v>36500</v>
      </c>
      <c r="AK1084" s="79">
        <f t="shared" si="1532"/>
        <v>39140</v>
      </c>
      <c r="AL1084" s="79">
        <f t="shared" si="1532"/>
        <v>38969</v>
      </c>
      <c r="AM1084" s="79">
        <f t="shared" si="1532"/>
        <v>42550</v>
      </c>
      <c r="AN1084" s="79">
        <f t="shared" si="1532"/>
        <v>44659</v>
      </c>
      <c r="AO1084" s="70">
        <f t="shared" si="1532"/>
        <v>44659</v>
      </c>
      <c r="AP1084" s="79">
        <f t="shared" si="1532"/>
        <v>46212</v>
      </c>
      <c r="AQ1084" s="79">
        <f t="shared" si="1532"/>
        <v>45079</v>
      </c>
      <c r="AR1084" s="79">
        <f>AR1082+AR1074+AR1083</f>
        <v>45390</v>
      </c>
      <c r="AS1084" s="79">
        <f>AS1082+AS1074+AS1083</f>
        <v>47344</v>
      </c>
      <c r="AT1084" s="70">
        <f>AT1082+AT1074+AT1083</f>
        <v>47344</v>
      </c>
      <c r="AU1084" s="803">
        <f t="shared" ref="AU1084" si="1533">AU1082+AU1074+AU1083</f>
        <v>47180</v>
      </c>
      <c r="AV1084" s="111">
        <f t="shared" ca="1" si="1532"/>
        <v>46585.362301205816</v>
      </c>
      <c r="AW1084" s="111">
        <f t="shared" ca="1" si="1532"/>
        <v>47081.677101616195</v>
      </c>
      <c r="AX1084" s="111">
        <f t="shared" ca="1" si="1532"/>
        <v>47784.355127573814</v>
      </c>
      <c r="AY1084" s="112">
        <f t="shared" ca="1" si="1532"/>
        <v>47784.355127573814</v>
      </c>
      <c r="AZ1084" s="111">
        <f t="shared" ref="AZ1084:BG1084" ca="1" si="1534">AZ1082+AZ1074+AZ1083</f>
        <v>48406.160818257733</v>
      </c>
      <c r="BA1084" s="111">
        <f t="shared" ca="1" si="1534"/>
        <v>48018.411188175902</v>
      </c>
      <c r="BB1084" s="111">
        <f t="shared" ca="1" si="1534"/>
        <v>48618.325427471718</v>
      </c>
      <c r="BC1084" s="111">
        <f t="shared" ca="1" si="1534"/>
        <v>49532.978964207061</v>
      </c>
      <c r="BD1084" s="112">
        <f t="shared" ca="1" si="1534"/>
        <v>49532.978964207061</v>
      </c>
      <c r="BE1084" s="112">
        <f t="shared" ca="1" si="1534"/>
        <v>52014.475027202287</v>
      </c>
      <c r="BF1084" s="112">
        <f t="shared" ca="1" si="1534"/>
        <v>55268.695607425914</v>
      </c>
      <c r="BG1084" s="112">
        <f t="shared" ca="1" si="1534"/>
        <v>59355.636066487554</v>
      </c>
      <c r="BH1084" s="79"/>
    </row>
    <row r="1085" spans="1:60" s="48" customFormat="1" x14ac:dyDescent="0.35">
      <c r="A1085" s="747"/>
      <c r="B1085" s="747"/>
      <c r="C1085" s="877"/>
      <c r="D1085" s="877"/>
      <c r="E1085" s="877"/>
      <c r="F1085" s="877"/>
      <c r="G1085" s="877"/>
      <c r="H1085" s="877"/>
      <c r="I1085" s="877"/>
      <c r="J1085" s="877"/>
      <c r="K1085" s="877"/>
      <c r="L1085" s="877"/>
      <c r="M1085" s="877"/>
      <c r="N1085" s="877"/>
      <c r="O1085" s="877"/>
      <c r="P1085" s="877"/>
      <c r="Q1085" s="877"/>
      <c r="R1085" s="877"/>
      <c r="S1085" s="877"/>
      <c r="T1085" s="877"/>
      <c r="U1085" s="877"/>
      <c r="V1085" s="877"/>
      <c r="W1085" s="877"/>
      <c r="X1085" s="877"/>
      <c r="Y1085" s="877"/>
      <c r="Z1085" s="877"/>
      <c r="AA1085" s="877"/>
      <c r="AB1085" s="877"/>
      <c r="AC1085" s="877"/>
      <c r="AD1085" s="877"/>
      <c r="AE1085" s="877"/>
      <c r="AF1085" s="877"/>
      <c r="AG1085" s="877"/>
      <c r="AH1085" s="877"/>
      <c r="AI1085" s="877"/>
      <c r="AJ1085" s="877"/>
      <c r="AK1085" s="877"/>
      <c r="AL1085" s="877"/>
      <c r="AM1085" s="877"/>
      <c r="AN1085" s="877"/>
      <c r="AO1085" s="877"/>
      <c r="AP1085" s="877"/>
      <c r="AQ1085" s="877"/>
      <c r="AR1085" s="877"/>
      <c r="AS1085" s="877"/>
      <c r="AT1085" s="877"/>
      <c r="AU1085" s="878"/>
      <c r="AV1085" s="877"/>
      <c r="AW1085" s="877"/>
      <c r="AX1085" s="877"/>
      <c r="AY1085" s="877"/>
      <c r="AZ1085" s="877"/>
      <c r="BA1085" s="877"/>
      <c r="BB1085" s="877"/>
      <c r="BC1085" s="877"/>
      <c r="BD1085" s="877"/>
      <c r="BE1085" s="877"/>
      <c r="BF1085" s="877"/>
      <c r="BG1085" s="877"/>
      <c r="BH1085" s="749"/>
    </row>
    <row r="1086" spans="1:60" s="48" customFormat="1" x14ac:dyDescent="0.35">
      <c r="A1086" s="125" t="s">
        <v>210</v>
      </c>
      <c r="B1086" s="125"/>
      <c r="C1086" s="893">
        <f t="shared" ref="C1086:AH1086" si="1535">ROUND(C1057-C1084,6)</f>
        <v>0</v>
      </c>
      <c r="D1086" s="893">
        <f t="shared" si="1535"/>
        <v>0</v>
      </c>
      <c r="E1086" s="893">
        <f t="shared" si="1535"/>
        <v>0</v>
      </c>
      <c r="F1086" s="893">
        <f t="shared" si="1535"/>
        <v>0</v>
      </c>
      <c r="G1086" s="893">
        <f t="shared" si="1535"/>
        <v>0</v>
      </c>
      <c r="H1086" s="893">
        <f t="shared" si="1535"/>
        <v>0</v>
      </c>
      <c r="I1086" s="893">
        <f t="shared" si="1535"/>
        <v>0</v>
      </c>
      <c r="J1086" s="893">
        <f t="shared" si="1535"/>
        <v>0</v>
      </c>
      <c r="K1086" s="893">
        <f t="shared" si="1535"/>
        <v>0</v>
      </c>
      <c r="L1086" s="893">
        <f t="shared" si="1535"/>
        <v>0</v>
      </c>
      <c r="M1086" s="893">
        <f t="shared" si="1535"/>
        <v>0</v>
      </c>
      <c r="N1086" s="893">
        <f t="shared" si="1535"/>
        <v>0</v>
      </c>
      <c r="O1086" s="893">
        <f t="shared" si="1535"/>
        <v>0</v>
      </c>
      <c r="P1086" s="893">
        <f t="shared" si="1535"/>
        <v>0</v>
      </c>
      <c r="Q1086" s="893">
        <f t="shared" si="1535"/>
        <v>0</v>
      </c>
      <c r="R1086" s="893">
        <f t="shared" si="1535"/>
        <v>0</v>
      </c>
      <c r="S1086" s="893">
        <f t="shared" si="1535"/>
        <v>0</v>
      </c>
      <c r="T1086" s="893">
        <f t="shared" si="1535"/>
        <v>0</v>
      </c>
      <c r="U1086" s="893">
        <f t="shared" si="1535"/>
        <v>0</v>
      </c>
      <c r="V1086" s="893">
        <f t="shared" si="1535"/>
        <v>0</v>
      </c>
      <c r="W1086" s="893">
        <f t="shared" si="1535"/>
        <v>0</v>
      </c>
      <c r="X1086" s="893">
        <f t="shared" si="1535"/>
        <v>0</v>
      </c>
      <c r="Y1086" s="893">
        <f t="shared" si="1535"/>
        <v>0</v>
      </c>
      <c r="Z1086" s="893">
        <f t="shared" si="1535"/>
        <v>0</v>
      </c>
      <c r="AA1086" s="893">
        <f t="shared" si="1535"/>
        <v>0</v>
      </c>
      <c r="AB1086" s="893">
        <f t="shared" si="1535"/>
        <v>0</v>
      </c>
      <c r="AC1086" s="893">
        <f t="shared" si="1535"/>
        <v>0</v>
      </c>
      <c r="AD1086" s="893">
        <f t="shared" si="1535"/>
        <v>0</v>
      </c>
      <c r="AE1086" s="893">
        <f t="shared" si="1535"/>
        <v>0</v>
      </c>
      <c r="AF1086" s="893">
        <f t="shared" si="1535"/>
        <v>0</v>
      </c>
      <c r="AG1086" s="893">
        <f t="shared" si="1535"/>
        <v>0</v>
      </c>
      <c r="AH1086" s="893">
        <f t="shared" si="1535"/>
        <v>0</v>
      </c>
      <c r="AI1086" s="893">
        <f t="shared" ref="AI1086:AY1086" si="1536">ROUND(AI1057-AI1084,6)</f>
        <v>0</v>
      </c>
      <c r="AJ1086" s="893">
        <f t="shared" si="1536"/>
        <v>0</v>
      </c>
      <c r="AK1086" s="893">
        <f t="shared" si="1536"/>
        <v>0</v>
      </c>
      <c r="AL1086" s="893">
        <f t="shared" si="1536"/>
        <v>0</v>
      </c>
      <c r="AM1086" s="893">
        <f t="shared" si="1536"/>
        <v>0</v>
      </c>
      <c r="AN1086" s="893">
        <f t="shared" si="1536"/>
        <v>0</v>
      </c>
      <c r="AO1086" s="893">
        <f t="shared" si="1536"/>
        <v>0</v>
      </c>
      <c r="AP1086" s="893">
        <f t="shared" si="1536"/>
        <v>0</v>
      </c>
      <c r="AQ1086" s="893">
        <f t="shared" si="1536"/>
        <v>0</v>
      </c>
      <c r="AR1086" s="893">
        <f>ROUND(AR1057-AR1084,6)</f>
        <v>0</v>
      </c>
      <c r="AS1086" s="893">
        <f>ROUND(AS1057-AS1084,6)</f>
        <v>0</v>
      </c>
      <c r="AT1086" s="893">
        <f>ROUND(AT1057-AT1084,6)</f>
        <v>0</v>
      </c>
      <c r="AU1086" s="894">
        <f t="shared" ref="AU1086" si="1537">ROUND(AU1057-AU1084,6)</f>
        <v>0</v>
      </c>
      <c r="AV1086" s="893">
        <f t="shared" ca="1" si="1536"/>
        <v>0</v>
      </c>
      <c r="AW1086" s="893">
        <f t="shared" ca="1" si="1536"/>
        <v>0</v>
      </c>
      <c r="AX1086" s="893">
        <f t="shared" ca="1" si="1536"/>
        <v>0</v>
      </c>
      <c r="AY1086" s="893">
        <f t="shared" ca="1" si="1536"/>
        <v>0</v>
      </c>
      <c r="AZ1086" s="893">
        <f t="shared" ref="AZ1086:BG1086" ca="1" si="1538">ROUND(AZ1057-AZ1084,6)</f>
        <v>0</v>
      </c>
      <c r="BA1086" s="893">
        <f t="shared" ca="1" si="1538"/>
        <v>0</v>
      </c>
      <c r="BB1086" s="893">
        <f t="shared" ca="1" si="1538"/>
        <v>0</v>
      </c>
      <c r="BC1086" s="893">
        <f t="shared" ca="1" si="1538"/>
        <v>0</v>
      </c>
      <c r="BD1086" s="893">
        <f t="shared" ca="1" si="1538"/>
        <v>0</v>
      </c>
      <c r="BE1086" s="893">
        <f t="shared" ca="1" si="1538"/>
        <v>0</v>
      </c>
      <c r="BF1086" s="893">
        <f t="shared" ca="1" si="1538"/>
        <v>0</v>
      </c>
      <c r="BG1086" s="893">
        <f t="shared" ca="1" si="1538"/>
        <v>0</v>
      </c>
      <c r="BH1086" s="749"/>
    </row>
    <row r="1087" spans="1:60" s="48" customFormat="1" x14ac:dyDescent="0.35">
      <c r="A1087" s="747"/>
      <c r="B1087" s="747"/>
      <c r="C1087" s="877"/>
      <c r="D1087" s="877"/>
      <c r="E1087" s="877"/>
      <c r="F1087" s="877"/>
      <c r="G1087" s="877"/>
      <c r="H1087" s="877"/>
      <c r="I1087" s="877"/>
      <c r="J1087" s="877"/>
      <c r="K1087" s="877"/>
      <c r="L1087" s="877"/>
      <c r="M1087" s="877"/>
      <c r="N1087" s="877"/>
      <c r="O1087" s="877"/>
      <c r="P1087" s="877"/>
      <c r="Q1087" s="877"/>
      <c r="R1087" s="877"/>
      <c r="S1087" s="877"/>
      <c r="T1087" s="877"/>
      <c r="U1087" s="877"/>
      <c r="V1087" s="877"/>
      <c r="W1087" s="877"/>
      <c r="X1087" s="877"/>
      <c r="Y1087" s="877"/>
      <c r="Z1087" s="877"/>
      <c r="AA1087" s="877"/>
      <c r="AB1087" s="877"/>
      <c r="AC1087" s="877"/>
      <c r="AD1087" s="877"/>
      <c r="AE1087" s="877"/>
      <c r="AF1087" s="877"/>
      <c r="AG1087" s="877"/>
      <c r="AH1087" s="877"/>
      <c r="AI1087" s="877"/>
      <c r="AJ1087" s="877"/>
      <c r="AK1087" s="877"/>
      <c r="AL1087" s="877"/>
      <c r="AM1087" s="877"/>
      <c r="AN1087" s="877"/>
      <c r="AO1087" s="877"/>
      <c r="AP1087" s="877"/>
      <c r="AQ1087" s="877"/>
      <c r="AR1087" s="877"/>
      <c r="AS1087" s="877"/>
      <c r="AT1087" s="877"/>
      <c r="AU1087" s="878"/>
      <c r="AV1087" s="877"/>
      <c r="AW1087" s="877"/>
      <c r="AX1087" s="877"/>
      <c r="AY1087" s="877"/>
      <c r="AZ1087" s="877"/>
      <c r="BA1087" s="877"/>
      <c r="BB1087" s="877"/>
      <c r="BC1087" s="877"/>
      <c r="BD1087" s="877"/>
      <c r="BE1087" s="877"/>
      <c r="BF1087" s="877"/>
      <c r="BG1087" s="877"/>
      <c r="BH1087" s="749"/>
    </row>
    <row r="1088" spans="1:60" s="21" customFormat="1" x14ac:dyDescent="0.35">
      <c r="A1088" s="750" t="s">
        <v>211</v>
      </c>
      <c r="B1088" s="750"/>
      <c r="C1088" s="889"/>
      <c r="D1088" s="889"/>
      <c r="E1088" s="889"/>
      <c r="F1088" s="889"/>
      <c r="G1088" s="889"/>
      <c r="H1088" s="889"/>
      <c r="I1088" s="889"/>
      <c r="J1088" s="889"/>
      <c r="K1088" s="889"/>
      <c r="L1088" s="889"/>
      <c r="M1088" s="889"/>
      <c r="N1088" s="889"/>
      <c r="O1088" s="889"/>
      <c r="P1088" s="889"/>
      <c r="Q1088" s="889"/>
      <c r="R1088" s="889"/>
      <c r="S1088" s="889"/>
      <c r="T1088" s="889"/>
      <c r="U1088" s="889"/>
      <c r="V1088" s="889"/>
      <c r="W1088" s="889"/>
      <c r="X1088" s="889"/>
      <c r="Y1088" s="889"/>
      <c r="Z1088" s="889"/>
      <c r="AA1088" s="889"/>
      <c r="AB1088" s="889"/>
      <c r="AC1088" s="889"/>
      <c r="AD1088" s="889"/>
      <c r="AE1088" s="889"/>
      <c r="AF1088" s="889"/>
      <c r="AG1088" s="889"/>
      <c r="AH1088" s="889"/>
      <c r="AI1088" s="889"/>
      <c r="AJ1088" s="889"/>
      <c r="AK1088" s="889"/>
      <c r="AL1088" s="889"/>
      <c r="AM1088" s="889"/>
      <c r="AN1088" s="889"/>
      <c r="AO1088" s="889"/>
      <c r="AP1088" s="889"/>
      <c r="AQ1088" s="889"/>
      <c r="AR1088" s="889"/>
      <c r="AS1088" s="889"/>
      <c r="AT1088" s="889"/>
      <c r="AU1088" s="890"/>
      <c r="AV1088" s="889"/>
      <c r="AW1088" s="889"/>
      <c r="AX1088" s="889"/>
      <c r="AY1088" s="889"/>
      <c r="AZ1088" s="889"/>
      <c r="BA1088" s="889"/>
      <c r="BB1088" s="889"/>
      <c r="BC1088" s="889"/>
      <c r="BD1088" s="889"/>
      <c r="BE1088" s="889"/>
      <c r="BF1088" s="889"/>
      <c r="BG1088" s="889"/>
      <c r="BH1088" s="651"/>
    </row>
    <row r="1089" spans="1:60" s="48" customFormat="1" x14ac:dyDescent="0.35">
      <c r="A1089" s="749" t="s">
        <v>212</v>
      </c>
      <c r="B1089" s="751"/>
      <c r="C1089" s="893">
        <f t="shared" ref="C1089:AH1089" si="1539">IF(ISBLANK(INDEX(MO_IS_FirstRow,0,COLUMN())),0,ROUND(C950-C819-C817,6))</f>
        <v>0</v>
      </c>
      <c r="D1089" s="893">
        <f t="shared" si="1539"/>
        <v>0</v>
      </c>
      <c r="E1089" s="893">
        <f t="shared" si="1539"/>
        <v>0</v>
      </c>
      <c r="F1089" s="893">
        <f t="shared" si="1539"/>
        <v>0</v>
      </c>
      <c r="G1089" s="893">
        <f t="shared" si="1539"/>
        <v>0</v>
      </c>
      <c r="H1089" s="893">
        <f t="shared" si="1539"/>
        <v>0</v>
      </c>
      <c r="I1089" s="893">
        <f t="shared" si="1539"/>
        <v>0</v>
      </c>
      <c r="J1089" s="893">
        <f t="shared" si="1539"/>
        <v>0</v>
      </c>
      <c r="K1089" s="893">
        <f t="shared" si="1539"/>
        <v>0</v>
      </c>
      <c r="L1089" s="893">
        <f t="shared" si="1539"/>
        <v>0</v>
      </c>
      <c r="M1089" s="893">
        <f t="shared" si="1539"/>
        <v>0</v>
      </c>
      <c r="N1089" s="893">
        <f t="shared" si="1539"/>
        <v>0</v>
      </c>
      <c r="O1089" s="893">
        <f t="shared" si="1539"/>
        <v>0</v>
      </c>
      <c r="P1089" s="893">
        <f t="shared" si="1539"/>
        <v>0</v>
      </c>
      <c r="Q1089" s="893">
        <f t="shared" si="1539"/>
        <v>0</v>
      </c>
      <c r="R1089" s="893">
        <f t="shared" si="1539"/>
        <v>0</v>
      </c>
      <c r="S1089" s="893">
        <f t="shared" si="1539"/>
        <v>0</v>
      </c>
      <c r="T1089" s="893">
        <f t="shared" si="1539"/>
        <v>0</v>
      </c>
      <c r="U1089" s="893">
        <f t="shared" si="1539"/>
        <v>0</v>
      </c>
      <c r="V1089" s="893">
        <f t="shared" si="1539"/>
        <v>0</v>
      </c>
      <c r="W1089" s="893">
        <f t="shared" si="1539"/>
        <v>0</v>
      </c>
      <c r="X1089" s="893">
        <f t="shared" si="1539"/>
        <v>0</v>
      </c>
      <c r="Y1089" s="893">
        <f t="shared" si="1539"/>
        <v>0</v>
      </c>
      <c r="Z1089" s="893">
        <f t="shared" si="1539"/>
        <v>0</v>
      </c>
      <c r="AA1089" s="893">
        <f t="shared" si="1539"/>
        <v>0</v>
      </c>
      <c r="AB1089" s="893">
        <f t="shared" si="1539"/>
        <v>0</v>
      </c>
      <c r="AC1089" s="893">
        <f t="shared" si="1539"/>
        <v>0</v>
      </c>
      <c r="AD1089" s="893">
        <f t="shared" si="1539"/>
        <v>0</v>
      </c>
      <c r="AE1089" s="893">
        <f t="shared" si="1539"/>
        <v>0</v>
      </c>
      <c r="AF1089" s="893">
        <f t="shared" si="1539"/>
        <v>0</v>
      </c>
      <c r="AG1089" s="893">
        <f t="shared" si="1539"/>
        <v>0</v>
      </c>
      <c r="AH1089" s="893">
        <f t="shared" si="1539"/>
        <v>0</v>
      </c>
      <c r="AI1089" s="893">
        <f t="shared" ref="AI1089:AY1089" si="1540">IF(ISBLANK(INDEX(MO_IS_FirstRow,0,COLUMN())),0,ROUND(AI950-AI819-AI817,6))</f>
        <v>0</v>
      </c>
      <c r="AJ1089" s="893">
        <f t="shared" si="1540"/>
        <v>0</v>
      </c>
      <c r="AK1089" s="893">
        <f t="shared" si="1540"/>
        <v>0</v>
      </c>
      <c r="AL1089" s="893">
        <f t="shared" si="1540"/>
        <v>0</v>
      </c>
      <c r="AM1089" s="893">
        <f t="shared" si="1540"/>
        <v>0</v>
      </c>
      <c r="AN1089" s="893">
        <f t="shared" si="1540"/>
        <v>0</v>
      </c>
      <c r="AO1089" s="893">
        <f t="shared" si="1540"/>
        <v>0</v>
      </c>
      <c r="AP1089" s="893">
        <f t="shared" si="1540"/>
        <v>0</v>
      </c>
      <c r="AQ1089" s="893">
        <f t="shared" si="1540"/>
        <v>0</v>
      </c>
      <c r="AR1089" s="893">
        <f t="shared" si="1540"/>
        <v>0</v>
      </c>
      <c r="AS1089" s="893">
        <f>IF(ISBLANK(INDEX(MO_IS_FirstRow,0,COLUMN())),0,ROUND(AS950-AS819-AS817,6))</f>
        <v>0</v>
      </c>
      <c r="AT1089" s="893">
        <f>IF(ISBLANK(INDEX(MO_IS_FirstRow,0,COLUMN())),0,ROUND(AT950-AT819-AT817,6))</f>
        <v>0</v>
      </c>
      <c r="AU1089" s="894">
        <f>IF(ISBLANK(INDEX(MO_IS_FirstRow,0,COLUMN())),0,ROUND(AU950-AU819-AU817,6))</f>
        <v>0</v>
      </c>
      <c r="AV1089" s="893">
        <f t="shared" si="1540"/>
        <v>0</v>
      </c>
      <c r="AW1089" s="893">
        <f t="shared" si="1540"/>
        <v>0</v>
      </c>
      <c r="AX1089" s="893">
        <f t="shared" si="1540"/>
        <v>0</v>
      </c>
      <c r="AY1089" s="893">
        <f t="shared" si="1540"/>
        <v>0</v>
      </c>
      <c r="AZ1089" s="893">
        <f t="shared" ref="AZ1089:BG1089" si="1541">IF(ISBLANK(INDEX(MO_IS_FirstRow,0,COLUMN())),0,ROUND(AZ950-AZ819-AZ817,6))</f>
        <v>0</v>
      </c>
      <c r="BA1089" s="893">
        <f t="shared" si="1541"/>
        <v>0</v>
      </c>
      <c r="BB1089" s="893">
        <f t="shared" si="1541"/>
        <v>0</v>
      </c>
      <c r="BC1089" s="893">
        <f t="shared" si="1541"/>
        <v>0</v>
      </c>
      <c r="BD1089" s="893">
        <f t="shared" si="1541"/>
        <v>0</v>
      </c>
      <c r="BE1089" s="893">
        <f t="shared" si="1541"/>
        <v>0</v>
      </c>
      <c r="BF1089" s="893">
        <f t="shared" si="1541"/>
        <v>0</v>
      </c>
      <c r="BG1089" s="893">
        <f t="shared" si="1541"/>
        <v>0</v>
      </c>
      <c r="BH1089" s="749"/>
    </row>
    <row r="1090" spans="1:60" s="48" customFormat="1" x14ac:dyDescent="0.35">
      <c r="A1090" s="749" t="s">
        <v>213</v>
      </c>
      <c r="B1090" s="751"/>
      <c r="C1090" s="893">
        <f t="shared" ref="C1090:AH1090" si="1542">IF(ISBLANK(INDEX(MO_IS_FirstRow,0,COLUMN())),0,ROUND(-C740+C741-C815,6))</f>
        <v>0</v>
      </c>
      <c r="D1090" s="893">
        <f t="shared" si="1542"/>
        <v>0</v>
      </c>
      <c r="E1090" s="893">
        <f t="shared" si="1542"/>
        <v>0</v>
      </c>
      <c r="F1090" s="893">
        <f t="shared" si="1542"/>
        <v>0</v>
      </c>
      <c r="G1090" s="893">
        <f t="shared" si="1542"/>
        <v>0</v>
      </c>
      <c r="H1090" s="893">
        <f t="shared" si="1542"/>
        <v>0</v>
      </c>
      <c r="I1090" s="893">
        <f t="shared" si="1542"/>
        <v>0</v>
      </c>
      <c r="J1090" s="893">
        <f t="shared" si="1542"/>
        <v>0</v>
      </c>
      <c r="K1090" s="893">
        <f t="shared" si="1542"/>
        <v>0</v>
      </c>
      <c r="L1090" s="893">
        <f t="shared" si="1542"/>
        <v>0</v>
      </c>
      <c r="M1090" s="893">
        <f t="shared" si="1542"/>
        <v>0</v>
      </c>
      <c r="N1090" s="893">
        <f t="shared" si="1542"/>
        <v>0</v>
      </c>
      <c r="O1090" s="893">
        <f t="shared" si="1542"/>
        <v>0</v>
      </c>
      <c r="P1090" s="893">
        <f t="shared" si="1542"/>
        <v>0</v>
      </c>
      <c r="Q1090" s="893">
        <f t="shared" si="1542"/>
        <v>0</v>
      </c>
      <c r="R1090" s="893">
        <f t="shared" si="1542"/>
        <v>0</v>
      </c>
      <c r="S1090" s="893">
        <f t="shared" si="1542"/>
        <v>0</v>
      </c>
      <c r="T1090" s="893">
        <f t="shared" si="1542"/>
        <v>0</v>
      </c>
      <c r="U1090" s="893">
        <f t="shared" si="1542"/>
        <v>0</v>
      </c>
      <c r="V1090" s="893">
        <f t="shared" si="1542"/>
        <v>0</v>
      </c>
      <c r="W1090" s="893">
        <f t="shared" si="1542"/>
        <v>0</v>
      </c>
      <c r="X1090" s="893">
        <f t="shared" si="1542"/>
        <v>0</v>
      </c>
      <c r="Y1090" s="893">
        <f t="shared" si="1542"/>
        <v>0</v>
      </c>
      <c r="Z1090" s="893">
        <f t="shared" si="1542"/>
        <v>0</v>
      </c>
      <c r="AA1090" s="893">
        <f t="shared" si="1542"/>
        <v>0</v>
      </c>
      <c r="AB1090" s="893">
        <f t="shared" si="1542"/>
        <v>0</v>
      </c>
      <c r="AC1090" s="893">
        <f t="shared" si="1542"/>
        <v>0</v>
      </c>
      <c r="AD1090" s="893">
        <f t="shared" si="1542"/>
        <v>0</v>
      </c>
      <c r="AE1090" s="893">
        <f t="shared" si="1542"/>
        <v>0</v>
      </c>
      <c r="AF1090" s="893">
        <f t="shared" si="1542"/>
        <v>0</v>
      </c>
      <c r="AG1090" s="893">
        <f t="shared" si="1542"/>
        <v>0</v>
      </c>
      <c r="AH1090" s="893">
        <f t="shared" si="1542"/>
        <v>0</v>
      </c>
      <c r="AI1090" s="893">
        <f t="shared" ref="AI1090:AY1090" si="1543">IF(ISBLANK(INDEX(MO_IS_FirstRow,0,COLUMN())),0,ROUND(-AI740+AI741-AI815,6))</f>
        <v>0</v>
      </c>
      <c r="AJ1090" s="893">
        <f t="shared" si="1543"/>
        <v>0</v>
      </c>
      <c r="AK1090" s="893">
        <f t="shared" si="1543"/>
        <v>0</v>
      </c>
      <c r="AL1090" s="893">
        <f t="shared" si="1543"/>
        <v>0</v>
      </c>
      <c r="AM1090" s="893">
        <f t="shared" si="1543"/>
        <v>0</v>
      </c>
      <c r="AN1090" s="893">
        <f t="shared" si="1543"/>
        <v>0</v>
      </c>
      <c r="AO1090" s="893">
        <f t="shared" si="1543"/>
        <v>0</v>
      </c>
      <c r="AP1090" s="893">
        <f t="shared" si="1543"/>
        <v>0</v>
      </c>
      <c r="AQ1090" s="893">
        <f t="shared" si="1543"/>
        <v>0</v>
      </c>
      <c r="AR1090" s="893">
        <f t="shared" si="1543"/>
        <v>0</v>
      </c>
      <c r="AS1090" s="893">
        <f>IF(ISBLANK(INDEX(MO_IS_FirstRow,0,COLUMN())),0,ROUND(-AS740+AS741-AS815,6))</f>
        <v>0</v>
      </c>
      <c r="AT1090" s="893">
        <f>IF(ISBLANK(INDEX(MO_IS_FirstRow,0,COLUMN())),0,ROUND(-AT740+AT741-AT815,6))</f>
        <v>0</v>
      </c>
      <c r="AU1090" s="894">
        <f t="shared" ref="AU1090" si="1544">IF(ISBLANK(INDEX(MO_IS_FirstRow,0,COLUMN())),0,ROUND(-AU740+AU741-AU815,6))</f>
        <v>0</v>
      </c>
      <c r="AV1090" s="893">
        <f t="shared" si="1543"/>
        <v>0</v>
      </c>
      <c r="AW1090" s="893">
        <f t="shared" si="1543"/>
        <v>0</v>
      </c>
      <c r="AX1090" s="893">
        <f t="shared" si="1543"/>
        <v>0</v>
      </c>
      <c r="AY1090" s="893">
        <f t="shared" si="1543"/>
        <v>0</v>
      </c>
      <c r="AZ1090" s="893">
        <f t="shared" ref="AZ1090:BG1090" si="1545">IF(ISBLANK(INDEX(MO_IS_FirstRow,0,COLUMN())),0,ROUND(-AZ740+AZ741-AZ815,6))</f>
        <v>0</v>
      </c>
      <c r="BA1090" s="893">
        <f t="shared" si="1545"/>
        <v>0</v>
      </c>
      <c r="BB1090" s="893">
        <f t="shared" si="1545"/>
        <v>0</v>
      </c>
      <c r="BC1090" s="893">
        <f t="shared" si="1545"/>
        <v>0</v>
      </c>
      <c r="BD1090" s="893">
        <f t="shared" si="1545"/>
        <v>0</v>
      </c>
      <c r="BE1090" s="893">
        <f t="shared" si="1545"/>
        <v>0</v>
      </c>
      <c r="BF1090" s="893">
        <f t="shared" si="1545"/>
        <v>0</v>
      </c>
      <c r="BG1090" s="893">
        <f t="shared" si="1545"/>
        <v>0</v>
      </c>
      <c r="BH1090" s="749"/>
    </row>
    <row r="1091" spans="1:60" s="383" customFormat="1" x14ac:dyDescent="0.35">
      <c r="A1091" s="749" t="s">
        <v>720</v>
      </c>
      <c r="B1091" s="751"/>
      <c r="C1091" s="893">
        <f t="shared" ref="C1091:AH1091" si="1546">IF(C859&lt;0,C859,0)</f>
        <v>0</v>
      </c>
      <c r="D1091" s="893">
        <f t="shared" si="1546"/>
        <v>0</v>
      </c>
      <c r="E1091" s="893">
        <f t="shared" si="1546"/>
        <v>0</v>
      </c>
      <c r="F1091" s="893">
        <f t="shared" si="1546"/>
        <v>0</v>
      </c>
      <c r="G1091" s="893">
        <f t="shared" si="1546"/>
        <v>0</v>
      </c>
      <c r="H1091" s="893">
        <f t="shared" si="1546"/>
        <v>0</v>
      </c>
      <c r="I1091" s="893">
        <f t="shared" si="1546"/>
        <v>0</v>
      </c>
      <c r="J1091" s="893">
        <f t="shared" si="1546"/>
        <v>0</v>
      </c>
      <c r="K1091" s="893">
        <f t="shared" si="1546"/>
        <v>0</v>
      </c>
      <c r="L1091" s="893">
        <f t="shared" si="1546"/>
        <v>0</v>
      </c>
      <c r="M1091" s="893">
        <f t="shared" si="1546"/>
        <v>0</v>
      </c>
      <c r="N1091" s="893">
        <f t="shared" si="1546"/>
        <v>0</v>
      </c>
      <c r="O1091" s="893">
        <f t="shared" si="1546"/>
        <v>0</v>
      </c>
      <c r="P1091" s="893">
        <f t="shared" si="1546"/>
        <v>0</v>
      </c>
      <c r="Q1091" s="893">
        <f t="shared" si="1546"/>
        <v>0</v>
      </c>
      <c r="R1091" s="893">
        <f t="shared" si="1546"/>
        <v>0</v>
      </c>
      <c r="S1091" s="893">
        <f t="shared" si="1546"/>
        <v>0</v>
      </c>
      <c r="T1091" s="893">
        <f t="shared" si="1546"/>
        <v>0</v>
      </c>
      <c r="U1091" s="893">
        <f t="shared" si="1546"/>
        <v>0</v>
      </c>
      <c r="V1091" s="893">
        <f t="shared" si="1546"/>
        <v>0</v>
      </c>
      <c r="W1091" s="893">
        <f t="shared" si="1546"/>
        <v>0</v>
      </c>
      <c r="X1091" s="893">
        <f t="shared" si="1546"/>
        <v>0</v>
      </c>
      <c r="Y1091" s="893">
        <f t="shared" si="1546"/>
        <v>0</v>
      </c>
      <c r="Z1091" s="893">
        <f t="shared" si="1546"/>
        <v>0</v>
      </c>
      <c r="AA1091" s="893">
        <f t="shared" si="1546"/>
        <v>0</v>
      </c>
      <c r="AB1091" s="893">
        <f t="shared" si="1546"/>
        <v>0</v>
      </c>
      <c r="AC1091" s="893">
        <f t="shared" si="1546"/>
        <v>0</v>
      </c>
      <c r="AD1091" s="893">
        <f t="shared" si="1546"/>
        <v>0</v>
      </c>
      <c r="AE1091" s="893">
        <f t="shared" si="1546"/>
        <v>0</v>
      </c>
      <c r="AF1091" s="893">
        <f t="shared" si="1546"/>
        <v>0</v>
      </c>
      <c r="AG1091" s="893">
        <f t="shared" si="1546"/>
        <v>0</v>
      </c>
      <c r="AH1091" s="893">
        <f t="shared" si="1546"/>
        <v>0</v>
      </c>
      <c r="AI1091" s="893">
        <f t="shared" ref="AI1091:AY1091" si="1547">IF(AI859&lt;0,AI859,0)</f>
        <v>0</v>
      </c>
      <c r="AJ1091" s="893">
        <f t="shared" si="1547"/>
        <v>0</v>
      </c>
      <c r="AK1091" s="893">
        <f t="shared" si="1547"/>
        <v>0</v>
      </c>
      <c r="AL1091" s="893">
        <f t="shared" si="1547"/>
        <v>0</v>
      </c>
      <c r="AM1091" s="893">
        <f t="shared" si="1547"/>
        <v>0</v>
      </c>
      <c r="AN1091" s="893">
        <f t="shared" si="1547"/>
        <v>0</v>
      </c>
      <c r="AO1091" s="893">
        <f t="shared" si="1547"/>
        <v>0</v>
      </c>
      <c r="AP1091" s="893">
        <f t="shared" si="1547"/>
        <v>0</v>
      </c>
      <c r="AQ1091" s="893">
        <f t="shared" si="1547"/>
        <v>0</v>
      </c>
      <c r="AR1091" s="893">
        <f>IF(AR859&lt;0,AR859,0)</f>
        <v>0</v>
      </c>
      <c r="AS1091" s="893">
        <f>IF(AS859&lt;0,AS859,0)</f>
        <v>0</v>
      </c>
      <c r="AT1091" s="893">
        <f>IF(AT859&lt;0,AT859,0)</f>
        <v>0</v>
      </c>
      <c r="AU1091" s="894">
        <f t="shared" ref="AU1091" si="1548">IF(AU859&lt;0,AU859,0)</f>
        <v>0</v>
      </c>
      <c r="AV1091" s="893">
        <f t="shared" si="1547"/>
        <v>0</v>
      </c>
      <c r="AW1091" s="893">
        <f t="shared" si="1547"/>
        <v>0</v>
      </c>
      <c r="AX1091" s="893">
        <f t="shared" si="1547"/>
        <v>0</v>
      </c>
      <c r="AY1091" s="893">
        <f t="shared" si="1547"/>
        <v>0</v>
      </c>
      <c r="AZ1091" s="893">
        <f t="shared" ref="AZ1091:BG1091" ca="1" si="1549">IF(AZ859&lt;0,AZ859,0)</f>
        <v>0</v>
      </c>
      <c r="BA1091" s="893">
        <f t="shared" ca="1" si="1549"/>
        <v>0</v>
      </c>
      <c r="BB1091" s="893">
        <f t="shared" ca="1" si="1549"/>
        <v>0</v>
      </c>
      <c r="BC1091" s="893">
        <f t="shared" ca="1" si="1549"/>
        <v>0</v>
      </c>
      <c r="BD1091" s="893">
        <f t="shared" ca="1" si="1549"/>
        <v>0</v>
      </c>
      <c r="BE1091" s="893">
        <f t="shared" ca="1" si="1549"/>
        <v>0</v>
      </c>
      <c r="BF1091" s="893">
        <f t="shared" ca="1" si="1549"/>
        <v>0</v>
      </c>
      <c r="BG1091" s="893">
        <f t="shared" ca="1" si="1549"/>
        <v>0</v>
      </c>
      <c r="BH1091" s="749"/>
    </row>
    <row r="1092" spans="1:60" s="383" customFormat="1" x14ac:dyDescent="0.35">
      <c r="A1092" s="749" t="s">
        <v>721</v>
      </c>
      <c r="B1092" s="751"/>
      <c r="C1092" s="893">
        <f t="shared" ref="C1092:AH1092" si="1550">IF(C862&lt;0,C862,0)</f>
        <v>0</v>
      </c>
      <c r="D1092" s="893">
        <f t="shared" si="1550"/>
        <v>0</v>
      </c>
      <c r="E1092" s="893">
        <f t="shared" si="1550"/>
        <v>0</v>
      </c>
      <c r="F1092" s="893">
        <f t="shared" si="1550"/>
        <v>0</v>
      </c>
      <c r="G1092" s="893">
        <f t="shared" si="1550"/>
        <v>0</v>
      </c>
      <c r="H1092" s="893">
        <f t="shared" si="1550"/>
        <v>0</v>
      </c>
      <c r="I1092" s="893">
        <f t="shared" si="1550"/>
        <v>0</v>
      </c>
      <c r="J1092" s="893">
        <f t="shared" si="1550"/>
        <v>0</v>
      </c>
      <c r="K1092" s="893">
        <f t="shared" si="1550"/>
        <v>0</v>
      </c>
      <c r="L1092" s="893">
        <f t="shared" si="1550"/>
        <v>0</v>
      </c>
      <c r="M1092" s="893">
        <f t="shared" si="1550"/>
        <v>0</v>
      </c>
      <c r="N1092" s="893">
        <f t="shared" si="1550"/>
        <v>0</v>
      </c>
      <c r="O1092" s="893">
        <f t="shared" si="1550"/>
        <v>0</v>
      </c>
      <c r="P1092" s="893">
        <f t="shared" si="1550"/>
        <v>0</v>
      </c>
      <c r="Q1092" s="893">
        <f t="shared" si="1550"/>
        <v>0</v>
      </c>
      <c r="R1092" s="893">
        <f t="shared" si="1550"/>
        <v>0</v>
      </c>
      <c r="S1092" s="893">
        <f t="shared" si="1550"/>
        <v>0</v>
      </c>
      <c r="T1092" s="893">
        <f t="shared" si="1550"/>
        <v>0</v>
      </c>
      <c r="U1092" s="893">
        <f t="shared" si="1550"/>
        <v>0</v>
      </c>
      <c r="V1092" s="893">
        <f t="shared" si="1550"/>
        <v>0</v>
      </c>
      <c r="W1092" s="893">
        <f t="shared" si="1550"/>
        <v>0</v>
      </c>
      <c r="X1092" s="893">
        <f t="shared" si="1550"/>
        <v>0</v>
      </c>
      <c r="Y1092" s="893">
        <f t="shared" si="1550"/>
        <v>0</v>
      </c>
      <c r="Z1092" s="893">
        <f t="shared" si="1550"/>
        <v>0</v>
      </c>
      <c r="AA1092" s="893">
        <f t="shared" si="1550"/>
        <v>0</v>
      </c>
      <c r="AB1092" s="893">
        <f t="shared" si="1550"/>
        <v>0</v>
      </c>
      <c r="AC1092" s="893">
        <f t="shared" si="1550"/>
        <v>0</v>
      </c>
      <c r="AD1092" s="893">
        <f t="shared" si="1550"/>
        <v>0</v>
      </c>
      <c r="AE1092" s="893">
        <f t="shared" si="1550"/>
        <v>0</v>
      </c>
      <c r="AF1092" s="893">
        <f t="shared" si="1550"/>
        <v>0</v>
      </c>
      <c r="AG1092" s="893">
        <f t="shared" si="1550"/>
        <v>0</v>
      </c>
      <c r="AH1092" s="893">
        <f t="shared" si="1550"/>
        <v>0</v>
      </c>
      <c r="AI1092" s="893">
        <f t="shared" ref="AI1092:AY1092" si="1551">IF(AI862&lt;0,AI862,0)</f>
        <v>0</v>
      </c>
      <c r="AJ1092" s="893">
        <f t="shared" si="1551"/>
        <v>0</v>
      </c>
      <c r="AK1092" s="893">
        <f t="shared" si="1551"/>
        <v>0</v>
      </c>
      <c r="AL1092" s="893">
        <f t="shared" si="1551"/>
        <v>0</v>
      </c>
      <c r="AM1092" s="893">
        <f t="shared" si="1551"/>
        <v>0</v>
      </c>
      <c r="AN1092" s="893">
        <f t="shared" si="1551"/>
        <v>0</v>
      </c>
      <c r="AO1092" s="893">
        <f t="shared" si="1551"/>
        <v>0</v>
      </c>
      <c r="AP1092" s="893">
        <f t="shared" si="1551"/>
        <v>0</v>
      </c>
      <c r="AQ1092" s="893">
        <f t="shared" si="1551"/>
        <v>0</v>
      </c>
      <c r="AR1092" s="893">
        <f>IF(AR862&lt;0,AR862,0)</f>
        <v>0</v>
      </c>
      <c r="AS1092" s="893">
        <f>IF(AS862&lt;0,AS862,0)</f>
        <v>0</v>
      </c>
      <c r="AT1092" s="893">
        <f>IF(AT862&lt;0,AT862,0)</f>
        <v>0</v>
      </c>
      <c r="AU1092" s="894">
        <f t="shared" ref="AU1092" si="1552">IF(AU862&lt;0,AU862,0)</f>
        <v>0</v>
      </c>
      <c r="AV1092" s="893">
        <f t="shared" si="1551"/>
        <v>0</v>
      </c>
      <c r="AW1092" s="893">
        <f t="shared" si="1551"/>
        <v>0</v>
      </c>
      <c r="AX1092" s="893">
        <f t="shared" si="1551"/>
        <v>0</v>
      </c>
      <c r="AY1092" s="893">
        <f t="shared" si="1551"/>
        <v>0</v>
      </c>
      <c r="AZ1092" s="893">
        <f t="shared" ref="AZ1092:BG1092" si="1553">IF(AZ862&lt;0,AZ862,0)</f>
        <v>0</v>
      </c>
      <c r="BA1092" s="893">
        <f t="shared" si="1553"/>
        <v>0</v>
      </c>
      <c r="BB1092" s="893">
        <f t="shared" si="1553"/>
        <v>0</v>
      </c>
      <c r="BC1092" s="893">
        <f t="shared" si="1553"/>
        <v>0</v>
      </c>
      <c r="BD1092" s="893">
        <f t="shared" si="1553"/>
        <v>0</v>
      </c>
      <c r="BE1092" s="893">
        <f t="shared" si="1553"/>
        <v>0</v>
      </c>
      <c r="BF1092" s="893">
        <f t="shared" si="1553"/>
        <v>0</v>
      </c>
      <c r="BG1092" s="893">
        <f t="shared" si="1553"/>
        <v>0</v>
      </c>
      <c r="BH1092" s="749"/>
    </row>
    <row r="1093" spans="1:60" s="48" customFormat="1" x14ac:dyDescent="0.35">
      <c r="A1093" s="749" t="s">
        <v>214</v>
      </c>
      <c r="B1093" s="751"/>
      <c r="C1093" s="893">
        <f t="shared" ref="C1093:U1093" si="1554">IF(AND(ISBLANK(C675)),0,ROUND(C787-C675,6))</f>
        <v>0</v>
      </c>
      <c r="D1093" s="893">
        <f t="shared" si="1554"/>
        <v>0</v>
      </c>
      <c r="E1093" s="893">
        <f t="shared" si="1554"/>
        <v>0</v>
      </c>
      <c r="F1093" s="893">
        <f t="shared" si="1554"/>
        <v>0</v>
      </c>
      <c r="G1093" s="893">
        <f t="shared" si="1554"/>
        <v>0</v>
      </c>
      <c r="H1093" s="893">
        <f t="shared" si="1554"/>
        <v>0</v>
      </c>
      <c r="I1093" s="893">
        <f t="shared" si="1554"/>
        <v>0</v>
      </c>
      <c r="J1093" s="893">
        <f t="shared" si="1554"/>
        <v>0</v>
      </c>
      <c r="K1093" s="893">
        <f t="shared" si="1554"/>
        <v>0</v>
      </c>
      <c r="L1093" s="893">
        <f t="shared" si="1554"/>
        <v>0</v>
      </c>
      <c r="M1093" s="893">
        <f t="shared" si="1554"/>
        <v>0</v>
      </c>
      <c r="N1093" s="893">
        <f t="shared" si="1554"/>
        <v>0</v>
      </c>
      <c r="O1093" s="893">
        <f t="shared" si="1554"/>
        <v>0</v>
      </c>
      <c r="P1093" s="893">
        <f t="shared" si="1554"/>
        <v>0</v>
      </c>
      <c r="Q1093" s="893">
        <f t="shared" si="1554"/>
        <v>0</v>
      </c>
      <c r="R1093" s="893">
        <f t="shared" si="1554"/>
        <v>0</v>
      </c>
      <c r="S1093" s="893">
        <f t="shared" si="1554"/>
        <v>0</v>
      </c>
      <c r="T1093" s="893">
        <f t="shared" si="1554"/>
        <v>0</v>
      </c>
      <c r="U1093" s="893">
        <f t="shared" si="1554"/>
        <v>0</v>
      </c>
      <c r="V1093" s="893">
        <f t="shared" ref="V1093:BG1093" si="1555">IF(AND(ISBLANK(V42)),0,ROUND(V787-V42,6))</f>
        <v>0</v>
      </c>
      <c r="W1093" s="893">
        <f t="shared" si="1555"/>
        <v>0</v>
      </c>
      <c r="X1093" s="893">
        <f t="shared" si="1555"/>
        <v>0</v>
      </c>
      <c r="Y1093" s="893">
        <f t="shared" si="1555"/>
        <v>0</v>
      </c>
      <c r="Z1093" s="893">
        <f t="shared" si="1555"/>
        <v>0</v>
      </c>
      <c r="AA1093" s="893">
        <f t="shared" si="1555"/>
        <v>0</v>
      </c>
      <c r="AB1093" s="893">
        <f t="shared" si="1555"/>
        <v>0</v>
      </c>
      <c r="AC1093" s="893">
        <f t="shared" si="1555"/>
        <v>0</v>
      </c>
      <c r="AD1093" s="893">
        <f t="shared" si="1555"/>
        <v>0</v>
      </c>
      <c r="AE1093" s="893">
        <f t="shared" si="1555"/>
        <v>0</v>
      </c>
      <c r="AF1093" s="893">
        <f t="shared" si="1555"/>
        <v>0</v>
      </c>
      <c r="AG1093" s="893">
        <f t="shared" si="1555"/>
        <v>0</v>
      </c>
      <c r="AH1093" s="893">
        <f t="shared" si="1555"/>
        <v>0</v>
      </c>
      <c r="AI1093" s="893">
        <f t="shared" si="1555"/>
        <v>0</v>
      </c>
      <c r="AJ1093" s="893">
        <f t="shared" si="1555"/>
        <v>0</v>
      </c>
      <c r="AK1093" s="893">
        <f t="shared" si="1555"/>
        <v>0</v>
      </c>
      <c r="AL1093" s="893">
        <f t="shared" si="1555"/>
        <v>0</v>
      </c>
      <c r="AM1093" s="893">
        <f t="shared" si="1555"/>
        <v>0</v>
      </c>
      <c r="AN1093" s="893">
        <f t="shared" si="1555"/>
        <v>0</v>
      </c>
      <c r="AO1093" s="893">
        <f t="shared" si="1555"/>
        <v>0</v>
      </c>
      <c r="AP1093" s="893">
        <f t="shared" si="1555"/>
        <v>0</v>
      </c>
      <c r="AQ1093" s="893">
        <f t="shared" si="1555"/>
        <v>0</v>
      </c>
      <c r="AR1093" s="893">
        <f t="shared" si="1555"/>
        <v>0</v>
      </c>
      <c r="AS1093" s="893">
        <f t="shared" si="1555"/>
        <v>0</v>
      </c>
      <c r="AT1093" s="893">
        <f t="shared" si="1555"/>
        <v>0</v>
      </c>
      <c r="AU1093" s="894">
        <f t="shared" ref="AU1093" si="1556">IF(AND(ISBLANK(AU42)),0,ROUND(AU787-AU42,6))</f>
        <v>0</v>
      </c>
      <c r="AV1093" s="893">
        <f t="shared" si="1555"/>
        <v>0</v>
      </c>
      <c r="AW1093" s="893">
        <f t="shared" si="1555"/>
        <v>0</v>
      </c>
      <c r="AX1093" s="893">
        <f t="shared" si="1555"/>
        <v>0</v>
      </c>
      <c r="AY1093" s="893">
        <f t="shared" si="1555"/>
        <v>0</v>
      </c>
      <c r="AZ1093" s="893">
        <f t="shared" si="1555"/>
        <v>0</v>
      </c>
      <c r="BA1093" s="893">
        <f t="shared" si="1555"/>
        <v>0</v>
      </c>
      <c r="BB1093" s="893">
        <f t="shared" si="1555"/>
        <v>0</v>
      </c>
      <c r="BC1093" s="893">
        <f t="shared" si="1555"/>
        <v>0</v>
      </c>
      <c r="BD1093" s="893">
        <f t="shared" si="1555"/>
        <v>0</v>
      </c>
      <c r="BE1093" s="893">
        <f t="shared" si="1555"/>
        <v>0</v>
      </c>
      <c r="BF1093" s="893">
        <f t="shared" si="1555"/>
        <v>0</v>
      </c>
      <c r="BG1093" s="893">
        <f t="shared" si="1555"/>
        <v>0</v>
      </c>
      <c r="BH1093" s="749"/>
    </row>
    <row r="1094" spans="1:60" s="383" customFormat="1" x14ac:dyDescent="0.35">
      <c r="A1094" s="749" t="s">
        <v>615</v>
      </c>
      <c r="B1094" s="751"/>
      <c r="C1094" s="893">
        <f t="shared" ref="C1094:AH1094" si="1557">IF(AND(ISBLANK(C64)),0,ROUND(C803-C64,6))</f>
        <v>0</v>
      </c>
      <c r="D1094" s="893">
        <f t="shared" si="1557"/>
        <v>0</v>
      </c>
      <c r="E1094" s="893">
        <f t="shared" si="1557"/>
        <v>0</v>
      </c>
      <c r="F1094" s="893">
        <f t="shared" si="1557"/>
        <v>0</v>
      </c>
      <c r="G1094" s="893">
        <f t="shared" si="1557"/>
        <v>0</v>
      </c>
      <c r="H1094" s="893">
        <f t="shared" si="1557"/>
        <v>0</v>
      </c>
      <c r="I1094" s="893">
        <f t="shared" si="1557"/>
        <v>0</v>
      </c>
      <c r="J1094" s="893">
        <f t="shared" si="1557"/>
        <v>0</v>
      </c>
      <c r="K1094" s="893">
        <f t="shared" si="1557"/>
        <v>0</v>
      </c>
      <c r="L1094" s="893">
        <f t="shared" si="1557"/>
        <v>0</v>
      </c>
      <c r="M1094" s="893">
        <f t="shared" si="1557"/>
        <v>0</v>
      </c>
      <c r="N1094" s="893">
        <f t="shared" si="1557"/>
        <v>0</v>
      </c>
      <c r="O1094" s="893">
        <f t="shared" si="1557"/>
        <v>0</v>
      </c>
      <c r="P1094" s="893">
        <f t="shared" si="1557"/>
        <v>0</v>
      </c>
      <c r="Q1094" s="893">
        <f t="shared" si="1557"/>
        <v>0</v>
      </c>
      <c r="R1094" s="893">
        <f t="shared" si="1557"/>
        <v>0</v>
      </c>
      <c r="S1094" s="893">
        <f t="shared" si="1557"/>
        <v>0</v>
      </c>
      <c r="T1094" s="893">
        <f t="shared" si="1557"/>
        <v>0</v>
      </c>
      <c r="U1094" s="893">
        <f t="shared" si="1557"/>
        <v>0</v>
      </c>
      <c r="V1094" s="893">
        <f t="shared" si="1557"/>
        <v>49</v>
      </c>
      <c r="W1094" s="893">
        <f t="shared" si="1557"/>
        <v>49</v>
      </c>
      <c r="X1094" s="893">
        <f t="shared" si="1557"/>
        <v>49</v>
      </c>
      <c r="Y1094" s="893">
        <f t="shared" si="1557"/>
        <v>49</v>
      </c>
      <c r="Z1094" s="893">
        <f t="shared" si="1557"/>
        <v>196</v>
      </c>
      <c r="AA1094" s="893">
        <f t="shared" si="1557"/>
        <v>0</v>
      </c>
      <c r="AB1094" s="893">
        <f t="shared" si="1557"/>
        <v>0</v>
      </c>
      <c r="AC1094" s="893">
        <f t="shared" si="1557"/>
        <v>0</v>
      </c>
      <c r="AD1094" s="893">
        <f t="shared" si="1557"/>
        <v>0</v>
      </c>
      <c r="AE1094" s="893">
        <f t="shared" si="1557"/>
        <v>0</v>
      </c>
      <c r="AF1094" s="893">
        <f t="shared" si="1557"/>
        <v>0</v>
      </c>
      <c r="AG1094" s="893">
        <f t="shared" si="1557"/>
        <v>0</v>
      </c>
      <c r="AH1094" s="893">
        <f t="shared" si="1557"/>
        <v>0</v>
      </c>
      <c r="AI1094" s="893">
        <f t="shared" ref="AI1094:BG1094" si="1558">IF(AND(ISBLANK(AI64)),0,ROUND(AI803-AI64,6))</f>
        <v>0</v>
      </c>
      <c r="AJ1094" s="893">
        <f t="shared" si="1558"/>
        <v>0</v>
      </c>
      <c r="AK1094" s="893">
        <f t="shared" si="1558"/>
        <v>0</v>
      </c>
      <c r="AL1094" s="893">
        <f t="shared" si="1558"/>
        <v>0</v>
      </c>
      <c r="AM1094" s="893">
        <f t="shared" si="1558"/>
        <v>0</v>
      </c>
      <c r="AN1094" s="893">
        <f t="shared" si="1558"/>
        <v>0</v>
      </c>
      <c r="AO1094" s="893">
        <f t="shared" si="1558"/>
        <v>0</v>
      </c>
      <c r="AP1094" s="893">
        <f t="shared" si="1558"/>
        <v>0</v>
      </c>
      <c r="AQ1094" s="893">
        <f t="shared" si="1558"/>
        <v>0</v>
      </c>
      <c r="AR1094" s="893">
        <f t="shared" si="1558"/>
        <v>0</v>
      </c>
      <c r="AS1094" s="893">
        <f t="shared" si="1558"/>
        <v>0</v>
      </c>
      <c r="AT1094" s="893">
        <f t="shared" si="1558"/>
        <v>0</v>
      </c>
      <c r="AU1094" s="894">
        <f t="shared" ref="AU1094" si="1559">IF(AND(ISBLANK(AU64)),0,ROUND(AU803-AU64,6))</f>
        <v>0</v>
      </c>
      <c r="AV1094" s="893">
        <f t="shared" si="1558"/>
        <v>0</v>
      </c>
      <c r="AW1094" s="893">
        <f t="shared" si="1558"/>
        <v>0</v>
      </c>
      <c r="AX1094" s="893">
        <f t="shared" si="1558"/>
        <v>0</v>
      </c>
      <c r="AY1094" s="893">
        <f t="shared" si="1558"/>
        <v>0</v>
      </c>
      <c r="AZ1094" s="893">
        <f t="shared" si="1558"/>
        <v>0</v>
      </c>
      <c r="BA1094" s="893">
        <f t="shared" si="1558"/>
        <v>0</v>
      </c>
      <c r="BB1094" s="893">
        <f t="shared" si="1558"/>
        <v>0</v>
      </c>
      <c r="BC1094" s="893">
        <f t="shared" si="1558"/>
        <v>0</v>
      </c>
      <c r="BD1094" s="893">
        <f t="shared" si="1558"/>
        <v>0</v>
      </c>
      <c r="BE1094" s="893">
        <f t="shared" si="1558"/>
        <v>0</v>
      </c>
      <c r="BF1094" s="893">
        <f t="shared" si="1558"/>
        <v>0</v>
      </c>
      <c r="BG1094" s="893">
        <f t="shared" si="1558"/>
        <v>0</v>
      </c>
      <c r="BH1094" s="749"/>
    </row>
    <row r="1095" spans="1:60" s="383" customFormat="1" x14ac:dyDescent="0.35">
      <c r="A1095" s="749" t="s">
        <v>616</v>
      </c>
      <c r="B1095" s="751"/>
      <c r="C1095" s="893">
        <f t="shared" ref="C1095:AH1095" si="1560">IF(ISBLANK(INDEX(MO_IS_FirstRow,0,COLUMN())),0,ROUND(C732-C803,6))</f>
        <v>0</v>
      </c>
      <c r="D1095" s="893">
        <f t="shared" si="1560"/>
        <v>0</v>
      </c>
      <c r="E1095" s="893">
        <f t="shared" si="1560"/>
        <v>0</v>
      </c>
      <c r="F1095" s="893">
        <f t="shared" si="1560"/>
        <v>0</v>
      </c>
      <c r="G1095" s="893">
        <f t="shared" si="1560"/>
        <v>0</v>
      </c>
      <c r="H1095" s="893">
        <f t="shared" si="1560"/>
        <v>0</v>
      </c>
      <c r="I1095" s="893">
        <f t="shared" si="1560"/>
        <v>0</v>
      </c>
      <c r="J1095" s="893">
        <f t="shared" si="1560"/>
        <v>0</v>
      </c>
      <c r="K1095" s="893">
        <f t="shared" si="1560"/>
        <v>0</v>
      </c>
      <c r="L1095" s="893">
        <f t="shared" si="1560"/>
        <v>0</v>
      </c>
      <c r="M1095" s="893">
        <f t="shared" si="1560"/>
        <v>0</v>
      </c>
      <c r="N1095" s="893">
        <f t="shared" si="1560"/>
        <v>0</v>
      </c>
      <c r="O1095" s="893">
        <f t="shared" si="1560"/>
        <v>0</v>
      </c>
      <c r="P1095" s="893">
        <f t="shared" si="1560"/>
        <v>0</v>
      </c>
      <c r="Q1095" s="893">
        <f t="shared" si="1560"/>
        <v>0</v>
      </c>
      <c r="R1095" s="893">
        <f t="shared" si="1560"/>
        <v>0</v>
      </c>
      <c r="S1095" s="893">
        <f t="shared" si="1560"/>
        <v>0</v>
      </c>
      <c r="T1095" s="893">
        <f t="shared" si="1560"/>
        <v>0</v>
      </c>
      <c r="U1095" s="893">
        <f t="shared" si="1560"/>
        <v>0</v>
      </c>
      <c r="V1095" s="893">
        <f t="shared" si="1560"/>
        <v>0</v>
      </c>
      <c r="W1095" s="893">
        <f t="shared" si="1560"/>
        <v>0</v>
      </c>
      <c r="X1095" s="893">
        <f t="shared" si="1560"/>
        <v>0</v>
      </c>
      <c r="Y1095" s="893">
        <f t="shared" si="1560"/>
        <v>0</v>
      </c>
      <c r="Z1095" s="893">
        <f t="shared" si="1560"/>
        <v>0</v>
      </c>
      <c r="AA1095" s="893">
        <f t="shared" si="1560"/>
        <v>0</v>
      </c>
      <c r="AB1095" s="893">
        <f t="shared" si="1560"/>
        <v>0</v>
      </c>
      <c r="AC1095" s="893">
        <f t="shared" si="1560"/>
        <v>0</v>
      </c>
      <c r="AD1095" s="893">
        <f t="shared" si="1560"/>
        <v>0</v>
      </c>
      <c r="AE1095" s="893">
        <f t="shared" si="1560"/>
        <v>0</v>
      </c>
      <c r="AF1095" s="893">
        <f t="shared" si="1560"/>
        <v>0</v>
      </c>
      <c r="AG1095" s="893">
        <f t="shared" si="1560"/>
        <v>0</v>
      </c>
      <c r="AH1095" s="893">
        <f t="shared" si="1560"/>
        <v>0</v>
      </c>
      <c r="AI1095" s="893">
        <f t="shared" ref="AI1095:AY1095" si="1561">IF(ISBLANK(INDEX(MO_IS_FirstRow,0,COLUMN())),0,ROUND(AI732-AI803,6))</f>
        <v>0</v>
      </c>
      <c r="AJ1095" s="893">
        <f t="shared" si="1561"/>
        <v>0</v>
      </c>
      <c r="AK1095" s="893">
        <f t="shared" si="1561"/>
        <v>0</v>
      </c>
      <c r="AL1095" s="893">
        <f t="shared" si="1561"/>
        <v>0</v>
      </c>
      <c r="AM1095" s="893">
        <f t="shared" si="1561"/>
        <v>0</v>
      </c>
      <c r="AN1095" s="893">
        <f t="shared" si="1561"/>
        <v>0</v>
      </c>
      <c r="AO1095" s="893">
        <f t="shared" si="1561"/>
        <v>0</v>
      </c>
      <c r="AP1095" s="893">
        <f t="shared" si="1561"/>
        <v>0</v>
      </c>
      <c r="AQ1095" s="893">
        <f t="shared" si="1561"/>
        <v>0</v>
      </c>
      <c r="AR1095" s="893">
        <f t="shared" si="1561"/>
        <v>0</v>
      </c>
      <c r="AS1095" s="893">
        <f>IF(ISBLANK(INDEX(MO_IS_FirstRow,0,COLUMN())),0,ROUND(AS732-AS803,6))</f>
        <v>0</v>
      </c>
      <c r="AT1095" s="893">
        <f>IF(ISBLANK(INDEX(MO_IS_FirstRow,0,COLUMN())),0,ROUND(AT732-AT803,6))</f>
        <v>0</v>
      </c>
      <c r="AU1095" s="894">
        <f t="shared" ref="AU1095" si="1562">IF(ISBLANK(INDEX(MO_IS_FirstRow,0,COLUMN())),0,ROUND(AU732-AU803,6))</f>
        <v>0</v>
      </c>
      <c r="AV1095" s="893">
        <f t="shared" si="1561"/>
        <v>0</v>
      </c>
      <c r="AW1095" s="893">
        <f t="shared" si="1561"/>
        <v>0</v>
      </c>
      <c r="AX1095" s="893">
        <f t="shared" si="1561"/>
        <v>0</v>
      </c>
      <c r="AY1095" s="893">
        <f t="shared" si="1561"/>
        <v>0</v>
      </c>
      <c r="AZ1095" s="893">
        <f t="shared" ref="AZ1095:BG1095" si="1563">IF(ISBLANK(INDEX(MO_IS_FirstRow,0,COLUMN())),0,ROUND(AZ732-AZ803,6))</f>
        <v>0</v>
      </c>
      <c r="BA1095" s="893">
        <f t="shared" si="1563"/>
        <v>0</v>
      </c>
      <c r="BB1095" s="893">
        <f t="shared" si="1563"/>
        <v>0</v>
      </c>
      <c r="BC1095" s="893">
        <f t="shared" si="1563"/>
        <v>0</v>
      </c>
      <c r="BD1095" s="893">
        <f t="shared" si="1563"/>
        <v>0</v>
      </c>
      <c r="BE1095" s="893">
        <f t="shared" si="1563"/>
        <v>0</v>
      </c>
      <c r="BF1095" s="893">
        <f t="shared" si="1563"/>
        <v>0</v>
      </c>
      <c r="BG1095" s="893">
        <f t="shared" si="1563"/>
        <v>0</v>
      </c>
      <c r="BH1095" s="749"/>
    </row>
    <row r="1096" spans="1:60" s="48" customFormat="1" x14ac:dyDescent="0.35">
      <c r="A1096" s="749" t="s">
        <v>215</v>
      </c>
      <c r="B1096" s="751"/>
      <c r="C1096" s="893">
        <f>IF(ISBLANK(INDEX(MO_IS_FirstRow,0,COLUMN())),0,IF(OR(C992=B992,C992=D992),"CHECK",0))</f>
        <v>0</v>
      </c>
      <c r="D1096" s="893">
        <f>IF(ISBLANK(INDEX(MO_IS_FirstRow,0,COLUMN())),0,IF(OR(D992=C992,D992=E992),"CHECK",0))</f>
        <v>0</v>
      </c>
      <c r="E1096" s="893">
        <f>IF(ISBLANK(INDEX(MO_IS_FirstRow,0,COLUMN())),0,IF(OR(E992=D992,E992=F992),"CHECK",0))</f>
        <v>0</v>
      </c>
      <c r="F1096" s="893">
        <f>IF(ISBLANK(INDEX(MO_IS_FirstRow,0,COLUMN())),0,IF(OR(F992=E992,F992=K992),"CHECK",0))</f>
        <v>0</v>
      </c>
      <c r="G1096" s="893">
        <f>IF(ISBLANK(INDEX(MO_IS_FirstRow,0,COLUMN())),0,IF(OR(G992=B992,G992=H992,G992=E992),"CHECK",0))</f>
        <v>0</v>
      </c>
      <c r="H1096" s="893">
        <f>IF(ISBLANK(INDEX(MO_IS_FirstRow,0,COLUMN())),0,IF(OR(H992=C992,H992=I992,H992=G992),"CHECK",0))</f>
        <v>0</v>
      </c>
      <c r="I1096" s="893">
        <f>IF(ISBLANK(INDEX(MO_IS_FirstRow,0,COLUMN())),0,IF(OR(I992=D992,I992=J992,I992=H992),"CHECK",0))</f>
        <v>0</v>
      </c>
      <c r="J1096" s="893">
        <f>IF(ISBLANK(INDEX(MO_IS_FirstRow,0,COLUMN())),0,IF(OR(J992=E992,J992=K992,J992=I992),"CHECK",0))</f>
        <v>0</v>
      </c>
      <c r="K1096" s="893">
        <f>IF(ISBLANK(INDEX(MO_IS_FirstRow,0,COLUMN())),0,IF(K992=F992,"CHECK",0))</f>
        <v>0</v>
      </c>
      <c r="L1096" s="893">
        <f>IF(ISBLANK(INDEX(MO_IS_FirstRow,0,COLUMN())),0,IF(OR(L992=G992,L992=M992,L992=J992),"CHECK",0))</f>
        <v>0</v>
      </c>
      <c r="M1096" s="893">
        <f>IF(ISBLANK(INDEX(MO_IS_FirstRow,0,COLUMN())),0,IF(OR(M992=H992,M992=N992,M992=L992),"CHECK",0))</f>
        <v>0</v>
      </c>
      <c r="N1096" s="893">
        <f>IF(ISBLANK(INDEX(MO_IS_FirstRow,0,COLUMN())),0,IF(OR(N992=I992,N992=O992,N992=M992),"CHECK",0))</f>
        <v>0</v>
      </c>
      <c r="O1096" s="893">
        <f>IF(ISBLANK(INDEX(MO_IS_FirstRow,0,COLUMN())),0,IF(OR(O992=J992,O992=P992,O992=N992),"CHECK",0))</f>
        <v>0</v>
      </c>
      <c r="P1096" s="893">
        <f>IF(ISBLANK(INDEX(MO_IS_FirstRow,0,COLUMN())),0,IF(P992=K992,"CHECK",0))</f>
        <v>0</v>
      </c>
      <c r="Q1096" s="893">
        <f>IF(ISBLANK(INDEX(MO_IS_FirstRow,0,COLUMN())),0,IF(OR(Q992=L992,Q992=R992,Q992=O992),"CHECK",0))</f>
        <v>0</v>
      </c>
      <c r="R1096" s="893">
        <f>IF(ISBLANK(INDEX(MO_IS_FirstRow,0,COLUMN())),0,IF(OR(R992=M992,R992=S992,R992=Q992),"CHECK",0))</f>
        <v>0</v>
      </c>
      <c r="S1096" s="893">
        <f>IF(ISBLANK(INDEX(MO_IS_FirstRow,0,COLUMN())),0,IF(OR(S992=N992,S992=T992,S992=R992),"CHECK",0))</f>
        <v>0</v>
      </c>
      <c r="T1096" s="893">
        <f>IF(ISBLANK(INDEX(MO_IS_FirstRow,0,COLUMN())),0,IF(OR(T992=O992,T992=U992,T992=S992),"CHECK",0))</f>
        <v>0</v>
      </c>
      <c r="U1096" s="893">
        <f>IF(ISBLANK(INDEX(MO_IS_FirstRow,0,COLUMN())),0,IF(U992=P992,"CHECK",0))</f>
        <v>0</v>
      </c>
      <c r="V1096" s="893">
        <f>IF(ISBLANK(INDEX(MO_IS_FirstRow,0,COLUMN())),0,IF(OR(V992=Q992,V992=W992,V992=T992),"CHECK",0))</f>
        <v>0</v>
      </c>
      <c r="W1096" s="893">
        <f>IF(ISBLANK(INDEX(MO_IS_FirstRow,0,COLUMN())),0,IF(OR(W992=R992,W992=X992,W992=V992),"CHECK",0))</f>
        <v>0</v>
      </c>
      <c r="X1096" s="893">
        <f>IF(ISBLANK(INDEX(MO_IS_FirstRow,0,COLUMN())),0,IF(OR(X992=S992,X992=Y992,X992=W992),"CHECK",0))</f>
        <v>0</v>
      </c>
      <c r="Y1096" s="893">
        <f>IF(ISBLANK(INDEX(MO_IS_FirstRow,0,COLUMN())),0,IF(OR(Y992=T992,Y992=Z992,Y992=X992),"CHECK",0))</f>
        <v>0</v>
      </c>
      <c r="Z1096" s="893">
        <f>IF(ISBLANK(INDEX(MO_IS_FirstRow,0,COLUMN())),0,IF(Z992=U992,"CHECK",0))</f>
        <v>0</v>
      </c>
      <c r="AA1096" s="893">
        <f>IF(ISBLANK(INDEX(MO_IS_FirstRow,0,COLUMN())),0,IF(OR(AA992=V992,AA992=AB992,AA992=Y992),"CHECK",0))</f>
        <v>0</v>
      </c>
      <c r="AB1096" s="893">
        <f>IF(ISBLANK(INDEX(MO_IS_FirstRow,0,COLUMN())),0,IF(OR(AB992=W992,AB992=AC992,AB992=AA992),"CHECK",0))</f>
        <v>0</v>
      </c>
      <c r="AC1096" s="893">
        <f>IF(ISBLANK(INDEX(MO_IS_FirstRow,0,COLUMN())),0,IF(OR(AC992=X992,AC992=AD992,AC992=AB992),"CHECK",0))</f>
        <v>0</v>
      </c>
      <c r="AD1096" s="893">
        <f>IF(ISBLANK(INDEX(MO_IS_FirstRow,0,COLUMN())),0,IF(OR(AD992=Y992,AD992=AE992,AD992=AC992),"CHECK",0))</f>
        <v>0</v>
      </c>
      <c r="AE1096" s="893">
        <f>IF(ISBLANK(INDEX(MO_IS_FirstRow,0,COLUMN())),0,IF(AE992=Z992,"CHECK",0))</f>
        <v>0</v>
      </c>
      <c r="AF1096" s="893">
        <f>IF(ISBLANK(INDEX(MO_IS_FirstRow,0,COLUMN())),0,IF(OR(AF992=AA992,AF992=AG992,AF992=AD992),"CHECK",0))</f>
        <v>0</v>
      </c>
      <c r="AG1096" s="893">
        <f>IF(ISBLANK(INDEX(MO_IS_FirstRow,0,COLUMN())),0,IF(OR(AG992=AB992,AG992=AH992,AG992=AF992),"CHECK",0))</f>
        <v>0</v>
      </c>
      <c r="AH1096" s="893">
        <f>IF(ISBLANK(INDEX(MO_IS_FirstRow,0,COLUMN())),0,IF(OR(AH992=AC992,AH992=AI992,AH992=AG992),"CHECK",0))</f>
        <v>0</v>
      </c>
      <c r="AI1096" s="893">
        <f>IF(ISBLANK(INDEX(MO_IS_FirstRow,0,COLUMN())),0,IF(OR(AI992=AD992,AI992=AJ992,AI992=AH992),"CHECK",0))</f>
        <v>0</v>
      </c>
      <c r="AJ1096" s="893">
        <f>IF(ISBLANK(INDEX(MO_IS_FirstRow,0,COLUMN())),0,IF(AJ992=AE992,"CHECK",0))</f>
        <v>0</v>
      </c>
      <c r="AK1096" s="893">
        <f>IF(ISBLANK(INDEX(MO_IS_FirstRow,0,COLUMN())),0,IF(OR(AK992=AF992,AK992=AL992,AK992=AI992),"CHECK",0))</f>
        <v>0</v>
      </c>
      <c r="AL1096" s="893">
        <f>IF(ISBLANK(INDEX(MO_IS_FirstRow,0,COLUMN())),0,IF(OR(AL992=AG992,AL992=AM992,AL992=AK992),"CHECK",0))</f>
        <v>0</v>
      </c>
      <c r="AM1096" s="893">
        <f>IF(ISBLANK(INDEX(MO_IS_FirstRow,0,COLUMN())),0,IF(OR(AM992=AH992,AM992=AN992,AM992=AL992),"CHECK",0))</f>
        <v>0</v>
      </c>
      <c r="AN1096" s="893">
        <f>IF(ISBLANK(INDEX(MO_IS_FirstRow,0,COLUMN())),0,IF(OR(AN992=AI992,AN992=AO992,AN992=AM992),"CHECK",0))</f>
        <v>0</v>
      </c>
      <c r="AO1096" s="893">
        <f>IF(ISBLANK(INDEX(MO_IS_FirstRow,0,COLUMN())),0,IF(AO992=AJ992,"CHECK",0))</f>
        <v>0</v>
      </c>
      <c r="AP1096" s="893">
        <f>IF(ISBLANK(INDEX(MO_IS_FirstRow,0,COLUMN())),0,IF(OR(AP992=AK992,AP992=AQ992,AP992=AN992),"CHECK",0))</f>
        <v>0</v>
      </c>
      <c r="AQ1096" s="893">
        <f>IF(ISBLANK(INDEX(MO_IS_FirstRow,0,COLUMN())),0,IF(OR(AQ992=AL992,AQ992=AR992,AQ992=AP992),"CHECK",0))</f>
        <v>0</v>
      </c>
      <c r="AR1096" s="893">
        <f>IF(ISBLANK(INDEX(MO_IS_FirstRow,0,COLUMN())),0,IF(OR(AR992=AM992,AR992=AS992,AR992=AQ992),"CHECK",0))</f>
        <v>0</v>
      </c>
      <c r="AS1096" s="893">
        <f>IF(ISBLANK(INDEX(MO_IS_FirstRow,0,COLUMN())),0,IF(OR(AS992=AN992,AS992=AT992,AS992=AR992),"CHECK",0))</f>
        <v>0</v>
      </c>
      <c r="AT1096" s="893">
        <f>IF(ISBLANK(INDEX(MO_IS_FirstRow,0,COLUMN())),0,IF(AT992=AO992,"CHECK",0))</f>
        <v>0</v>
      </c>
      <c r="AU1096" s="894">
        <f>IF(ISBLANK(INDEX(MO_IS_FirstRow,0,COLUMN())),0,IF(OR(AU992=AP992,AU992=AV992,AU992=AS992),"CHECK",0))</f>
        <v>0</v>
      </c>
      <c r="AV1096" s="893"/>
      <c r="AW1096" s="893"/>
      <c r="AX1096" s="893"/>
      <c r="AY1096" s="893"/>
      <c r="AZ1096" s="893"/>
      <c r="BA1096" s="893"/>
      <c r="BB1096" s="893"/>
      <c r="BC1096" s="893"/>
      <c r="BD1096" s="893"/>
      <c r="BE1096" s="893"/>
      <c r="BF1096" s="893"/>
      <c r="BG1096" s="893"/>
      <c r="BH1096" s="749"/>
    </row>
    <row r="1097" spans="1:60" s="48" customFormat="1" x14ac:dyDescent="0.35">
      <c r="A1097" s="749" t="s">
        <v>216</v>
      </c>
      <c r="B1097" s="751"/>
      <c r="C1097" s="893">
        <f>IF(ISBLANK(INDEX(MO_IS_FirstRow,0,COLUMN())),0,IF(OR(C815=B815,C815=D815),"CHECK",0))</f>
        <v>0</v>
      </c>
      <c r="D1097" s="893">
        <f>IF(ISBLANK(INDEX(MO_IS_FirstRow,0,COLUMN())),0,IF(OR(D815=C815,D815=E815),"CHECK",0))</f>
        <v>0</v>
      </c>
      <c r="E1097" s="893">
        <f>IF(ISBLANK(INDEX(MO_IS_FirstRow,0,COLUMN())),0,IF(OR(E815=D815,E815=F815),"CHECK",0))</f>
        <v>0</v>
      </c>
      <c r="F1097" s="893">
        <f>IF(ISBLANK(INDEX(MO_IS_FirstRow,0,COLUMN())),0,IF(OR(F815=E815,F815=K815),"CHECK",0))</f>
        <v>0</v>
      </c>
      <c r="G1097" s="893">
        <f>IF(ISBLANK(INDEX(MO_IS_FirstRow,0,COLUMN())),0,IF(OR(G815=B815,G815=H815,G815=E815),"CHECK",0))</f>
        <v>0</v>
      </c>
      <c r="H1097" s="893">
        <f>IF(ISBLANK(INDEX(MO_IS_FirstRow,0,COLUMN())),0,IF(OR(H815=C815,H815=I815,H815=G815),"CHECK",0))</f>
        <v>0</v>
      </c>
      <c r="I1097" s="893">
        <f>IF(ISBLANK(INDEX(MO_IS_FirstRow,0,COLUMN())),0,IF(OR(I815=D815,I815=J815,I815=H815),"CHECK",0))</f>
        <v>0</v>
      </c>
      <c r="J1097" s="893">
        <f>IF(ISBLANK(INDEX(MO_IS_FirstRow,0,COLUMN())),0,IF(OR(J815=E815,J815=K815,J815=I815),"CHECK",0))</f>
        <v>0</v>
      </c>
      <c r="K1097" s="893">
        <f>IF(ISBLANK(INDEX(MO_IS_FirstRow,0,COLUMN())),0,IF(K815=F815,"CHECK",0))</f>
        <v>0</v>
      </c>
      <c r="L1097" s="893">
        <f>IF(ISBLANK(INDEX(MO_IS_FirstRow,0,COLUMN())),0,IF(OR(L815=G815,L815=M815,L815=J815),"CHECK",0))</f>
        <v>0</v>
      </c>
      <c r="M1097" s="893">
        <f>IF(ISBLANK(INDEX(MO_IS_FirstRow,0,COLUMN())),0,IF(OR(M815=H815,M815=N815,M815=L815),"CHECK",0))</f>
        <v>0</v>
      </c>
      <c r="N1097" s="893">
        <f>IF(ISBLANK(INDEX(MO_IS_FirstRow,0,COLUMN())),0,IF(OR(N815=I815,N815=O815,N815=M815),"CHECK",0))</f>
        <v>0</v>
      </c>
      <c r="O1097" s="893">
        <f>IF(ISBLANK(INDEX(MO_IS_FirstRow,0,COLUMN())),0,IF(OR(O815=J815,O815=P815,O815=N815),"CHECK",0))</f>
        <v>0</v>
      </c>
      <c r="P1097" s="893">
        <f>IF(ISBLANK(INDEX(MO_IS_FirstRow,0,COLUMN())),0,IF(P815=K815,"CHECK",0))</f>
        <v>0</v>
      </c>
      <c r="Q1097" s="893">
        <f>IF(ISBLANK(INDEX(MO_IS_FirstRow,0,COLUMN())),0,IF(OR(Q815=L815,Q815=R815,Q815=O815),"CHECK",0))</f>
        <v>0</v>
      </c>
      <c r="R1097" s="893">
        <f>IF(ISBLANK(INDEX(MO_IS_FirstRow,0,COLUMN())),0,IF(OR(R815=M815,R815=S815,R815=Q815),"CHECK",0))</f>
        <v>0</v>
      </c>
      <c r="S1097" s="893">
        <f>IF(ISBLANK(INDEX(MO_IS_FirstRow,0,COLUMN())),0,IF(OR(S815=N815,S815=T815,S815=R815),"CHECK",0))</f>
        <v>0</v>
      </c>
      <c r="T1097" s="893">
        <f>IF(ISBLANK(INDEX(MO_IS_FirstRow,0,COLUMN())),0,IF(OR(T815=O815,T815=U815,T815=S815),"CHECK",0))</f>
        <v>0</v>
      </c>
      <c r="U1097" s="893">
        <f>IF(ISBLANK(INDEX(MO_IS_FirstRow,0,COLUMN())),0,IF(U815=P815,"CHECK",0))</f>
        <v>0</v>
      </c>
      <c r="V1097" s="893">
        <f>IF(ISBLANK(INDEX(MO_IS_FirstRow,0,COLUMN())),0,IF(OR(V815=Q815,V815=W815,V815=T815),"CHECK",0))</f>
        <v>0</v>
      </c>
      <c r="W1097" s="893">
        <f>IF(ISBLANK(INDEX(MO_IS_FirstRow,0,COLUMN())),0,IF(OR(W815=R815,W815=X815,W815=V815),"CHECK",0))</f>
        <v>0</v>
      </c>
      <c r="X1097" s="893">
        <f>IF(ISBLANK(INDEX(MO_IS_FirstRow,0,COLUMN())),0,IF(OR(X815=S815,X815=Y815,X815=W815),"CHECK",0))</f>
        <v>0</v>
      </c>
      <c r="Y1097" s="893">
        <f>IF(ISBLANK(INDEX(MO_IS_FirstRow,0,COLUMN())),0,IF(OR(Y815=T815,Y815=Z815,Y815=X815),"CHECK",0))</f>
        <v>0</v>
      </c>
      <c r="Z1097" s="893">
        <f>IF(ISBLANK(INDEX(MO_IS_FirstRow,0,COLUMN())),0,IF(Z815=U815,"CHECK",0))</f>
        <v>0</v>
      </c>
      <c r="AA1097" s="893">
        <f>IF(ISBLANK(INDEX(MO_IS_FirstRow,0,COLUMN())),0,IF(OR(AA815=V815,AA815=AB815,AA815=Y815),"CHECK",0))</f>
        <v>0</v>
      </c>
      <c r="AB1097" s="893">
        <f>IF(ISBLANK(INDEX(MO_IS_FirstRow,0,COLUMN())),0,IF(OR(AB815=W815,AB815=AC815,AB815=AA815),"CHECK",0))</f>
        <v>0</v>
      </c>
      <c r="AC1097" s="893">
        <f>IF(ISBLANK(INDEX(MO_IS_FirstRow,0,COLUMN())),0,IF(OR(AC815=X815,AC815=AD815,AC815=AB815),"CHECK",0))</f>
        <v>0</v>
      </c>
      <c r="AD1097" s="893">
        <f>IF(ISBLANK(INDEX(MO_IS_FirstRow,0,COLUMN())),0,IF(OR(AD815=Y815,AD815=AE815,AD815=AC815),"CHECK",0))</f>
        <v>0</v>
      </c>
      <c r="AE1097" s="893">
        <f>IF(ISBLANK(INDEX(MO_IS_FirstRow,0,COLUMN())),0,IF(AE815=Z815,"CHECK",0))</f>
        <v>0</v>
      </c>
      <c r="AF1097" s="893">
        <f>IF(ISBLANK(INDEX(MO_IS_FirstRow,0,COLUMN())),0,IF(OR(AF815=AA815,AF815=AG815,AF815=AD815),"CHECK",0))</f>
        <v>0</v>
      </c>
      <c r="AG1097" s="893">
        <f>IF(ISBLANK(INDEX(MO_IS_FirstRow,0,COLUMN())),0,IF(OR(AG815=AB815,AG815=AH815,AG815=AF815),"CHECK",0))</f>
        <v>0</v>
      </c>
      <c r="AH1097" s="893">
        <f>IF(ISBLANK(INDEX(MO_IS_FirstRow,0,COLUMN())),0,IF(OR(AH815=AC815,AH815=AI815,AH815=AG815),"CHECK",0))</f>
        <v>0</v>
      </c>
      <c r="AI1097" s="893">
        <f>IF(ISBLANK(INDEX(MO_IS_FirstRow,0,COLUMN())),0,IF(OR(AI815=AD815,AI815=AJ815,AI815=AH815),"CHECK",0))</f>
        <v>0</v>
      </c>
      <c r="AJ1097" s="893">
        <f>IF(ISBLANK(INDEX(MO_IS_FirstRow,0,COLUMN())),0,IF(AJ815=AE815,"CHECK",0))</f>
        <v>0</v>
      </c>
      <c r="AK1097" s="893">
        <f>IF(ISBLANK(INDEX(MO_IS_FirstRow,0,COLUMN())),0,IF(OR(AK815=AF815,AK815=AL815,AK815=AI815),"CHECK",0))</f>
        <v>0</v>
      </c>
      <c r="AL1097" s="893">
        <f>IF(ISBLANK(INDEX(MO_IS_FirstRow,0,COLUMN())),0,IF(OR(AL815=AG815,AL815=AM815,AL815=AK815),"CHECK",0))</f>
        <v>0</v>
      </c>
      <c r="AM1097" s="893">
        <f>IF(ISBLANK(INDEX(MO_IS_FirstRow,0,COLUMN())),0,IF(OR(AM815=AH815,AM815=AN815,AM815=AL815),"CHECK",0))</f>
        <v>0</v>
      </c>
      <c r="AN1097" s="893">
        <f>IF(ISBLANK(INDEX(MO_IS_FirstRow,0,COLUMN())),0,IF(OR(AN815=AI815,AN815=AO815,AN815=AM815),"CHECK",0))</f>
        <v>0</v>
      </c>
      <c r="AO1097" s="893">
        <f>IF(ISBLANK(INDEX(MO_IS_FirstRow,0,COLUMN())),0,IF(AO815=AJ815,"CHECK",0))</f>
        <v>0</v>
      </c>
      <c r="AP1097" s="893">
        <f>IF(ISBLANK(INDEX(MO_IS_FirstRow,0,COLUMN())),0,IF(OR(AP815=AK815,AP815=AQ815,AP815=AN815),"CHECK",0))</f>
        <v>0</v>
      </c>
      <c r="AQ1097" s="893">
        <f>IF(ISBLANK(INDEX(MO_IS_FirstRow,0,COLUMN())),0,IF(OR(AQ815=AL815,AQ815=AR815,AQ815=AP815),"CHECK",0))</f>
        <v>0</v>
      </c>
      <c r="AR1097" s="893">
        <f>IF(ISBLANK(INDEX(MO_IS_FirstRow,0,COLUMN())),0,IF(OR(AR815=AM815,AR815=AS815,AR815=AQ815),"CHECK",0))</f>
        <v>0</v>
      </c>
      <c r="AS1097" s="893">
        <f>IF(ISBLANK(INDEX(MO_IS_FirstRow,0,COLUMN())),0,IF(OR(AS815=AN815,AS815=AT815,AS815=AR815),"CHECK",0))</f>
        <v>0</v>
      </c>
      <c r="AT1097" s="893">
        <f>IF(ISBLANK(INDEX(MO_IS_FirstRow,0,COLUMN())),0,IF(AT815=AO815,"CHECK",0))</f>
        <v>0</v>
      </c>
      <c r="AU1097" s="894">
        <f>IF(ISBLANK(INDEX(MO_IS_FirstRow,0,COLUMN())),0,IF(OR(AU815=AP815,AU815=AV815,AU815=AS815),"CHECK",0))</f>
        <v>0</v>
      </c>
      <c r="AV1097" s="893"/>
      <c r="AW1097" s="893"/>
      <c r="AX1097" s="893"/>
      <c r="AY1097" s="893"/>
      <c r="AZ1097" s="893"/>
      <c r="BA1097" s="893"/>
      <c r="BB1097" s="893"/>
      <c r="BC1097" s="893"/>
      <c r="BD1097" s="893"/>
      <c r="BE1097" s="893"/>
      <c r="BF1097" s="893"/>
      <c r="BG1097" s="893"/>
      <c r="BH1097" s="749"/>
    </row>
    <row r="1098" spans="1:60" s="48" customFormat="1" x14ac:dyDescent="0.35">
      <c r="A1098" s="749" t="s">
        <v>217</v>
      </c>
      <c r="B1098" s="751"/>
      <c r="C1098" s="893">
        <f>IF(OR(C1057=B1057,C1057=D1057),"CHECK",0)</f>
        <v>0</v>
      </c>
      <c r="D1098" s="893">
        <f>IF(OR(D1057=C1057,D1057=E1057),"CHECK",0)</f>
        <v>0</v>
      </c>
      <c r="E1098" s="893">
        <f>IF(OR(E1057=D1057,E1057=F1057),"CHECK",0)</f>
        <v>0</v>
      </c>
      <c r="F1098" s="893">
        <f>IF(OR(F1057=E1057,F1057=K1057),"CHECK",0)</f>
        <v>0</v>
      </c>
      <c r="G1098" s="893">
        <f>IF(OR(G1057=B1057,G1057=H1057,G1057=E1057),"CHECK",0)</f>
        <v>0</v>
      </c>
      <c r="H1098" s="893">
        <f>IF(OR(H1057=C1057,H1057=I1057,H1057=G1057),"CHECK",0)</f>
        <v>0</v>
      </c>
      <c r="I1098" s="893">
        <f>IF(OR(I1057=D1057,I1057=J1057,I1057=H1057),"CHECK",0)</f>
        <v>0</v>
      </c>
      <c r="J1098" s="893">
        <f>IF(OR(J1057=E1057,J1057=I1057),"CHECK",0)</f>
        <v>0</v>
      </c>
      <c r="K1098" s="893">
        <f>IF(K1057=F1057,"CHECK",0)</f>
        <v>0</v>
      </c>
      <c r="L1098" s="893">
        <f>IF(OR(L1057=G1057,L1057=M1057,L1057=J1057),"CHECK",0)</f>
        <v>0</v>
      </c>
      <c r="M1098" s="893">
        <f>IF(OR(M1057=H1057,M1057=N1057,M1057=L1057),"CHECK",0)</f>
        <v>0</v>
      </c>
      <c r="N1098" s="893">
        <f>IF(OR(N1057=I1057,N1057=O1057,N1057=M1057),"CHECK",0)</f>
        <v>0</v>
      </c>
      <c r="O1098" s="893">
        <f>IF(OR(O1057=J1057,O1057=N1057),"CHECK",0)</f>
        <v>0</v>
      </c>
      <c r="P1098" s="893">
        <f>IF(P1057=K1057,"CHECK",0)</f>
        <v>0</v>
      </c>
      <c r="Q1098" s="893">
        <f>IF(OR(Q1057=L1057,Q1057=R1057,Q1057=O1057),"CHECK",0)</f>
        <v>0</v>
      </c>
      <c r="R1098" s="893">
        <f>IF(OR(R1057=M1057,R1057=S1057,R1057=Q1057),"CHECK",0)</f>
        <v>0</v>
      </c>
      <c r="S1098" s="893">
        <f>IF(OR(S1057=N1057,S1057=T1057,S1057=R1057),"CHECK",0)</f>
        <v>0</v>
      </c>
      <c r="T1098" s="893">
        <f>IF(OR(T1057=O1057,T1057=S1057),"CHECK",0)</f>
        <v>0</v>
      </c>
      <c r="U1098" s="893">
        <f>IF(U1057=P1057,"CHECK",0)</f>
        <v>0</v>
      </c>
      <c r="V1098" s="893">
        <f>IF(OR(V1057=Q1057,V1057=W1057,V1057=T1057),"CHECK",0)</f>
        <v>0</v>
      </c>
      <c r="W1098" s="893">
        <f>IF(OR(W1057=R1057,W1057=X1057,W1057=V1057),"CHECK",0)</f>
        <v>0</v>
      </c>
      <c r="X1098" s="893">
        <f>IF(OR(X1057=S1057,X1057=Y1057,X1057=W1057),"CHECK",0)</f>
        <v>0</v>
      </c>
      <c r="Y1098" s="893">
        <f>IF(OR(Y1057=T1057,Y1057=X1057),"CHECK",0)</f>
        <v>0</v>
      </c>
      <c r="Z1098" s="893">
        <f>IF(Z1057=U1057,"CHECK",0)</f>
        <v>0</v>
      </c>
      <c r="AA1098" s="893">
        <f>IF(OR(AA1057=V1057,AA1057=AB1057,AA1057=Y1057),"CHECK",0)</f>
        <v>0</v>
      </c>
      <c r="AB1098" s="893">
        <f>IF(OR(AB1057=W1057,AB1057=AC1057,AB1057=AA1057),"CHECK",0)</f>
        <v>0</v>
      </c>
      <c r="AC1098" s="893">
        <f>IF(OR(AC1057=X1057,AC1057=AD1057,AC1057=AB1057),"CHECK",0)</f>
        <v>0</v>
      </c>
      <c r="AD1098" s="893">
        <f>IF(OR(AD1057=Y1057,AD1057=AC1057),"CHECK",0)</f>
        <v>0</v>
      </c>
      <c r="AE1098" s="893">
        <f>IF(AE1057=Z1057,"CHECK",0)</f>
        <v>0</v>
      </c>
      <c r="AF1098" s="893">
        <f>IF(OR(AF1057=AA1057,AF1057=AG1057,AF1057=AD1057),"CHECK",0)</f>
        <v>0</v>
      </c>
      <c r="AG1098" s="893">
        <f>IF(OR(AG1057=AB1057,AG1057=AH1057,AG1057=AF1057),"CHECK",0)</f>
        <v>0</v>
      </c>
      <c r="AH1098" s="893">
        <f>IF(OR(AH1057=AC1057,AH1057=AI1057,AH1057=AG1057),"CHECK",0)</f>
        <v>0</v>
      </c>
      <c r="AI1098" s="893">
        <f>IF(OR(AI1057=AD1057,AI1057=AH1057),"CHECK",0)</f>
        <v>0</v>
      </c>
      <c r="AJ1098" s="893">
        <f>IF(AJ1057=AE1057,"CHECK",0)</f>
        <v>0</v>
      </c>
      <c r="AK1098" s="893">
        <f>IF(OR(AK1057=AF1057,AK1057=AL1057,AK1057=AI1057),"CHECK",0)</f>
        <v>0</v>
      </c>
      <c r="AL1098" s="893">
        <f>IF(OR(AL1057=AG1057,AL1057=AM1057,AL1057=AK1057),"CHECK",0)</f>
        <v>0</v>
      </c>
      <c r="AM1098" s="893">
        <f>IF(OR(AM1057=AH1057,AM1057=AN1057,AM1057=AL1057),"CHECK",0)</f>
        <v>0</v>
      </c>
      <c r="AN1098" s="893">
        <f>IF(OR(AN1057=AI1057,AN1057=AM1057),"CHECK",0)</f>
        <v>0</v>
      </c>
      <c r="AO1098" s="893">
        <f>IF(AO1057=AJ1057,"CHECK",0)</f>
        <v>0</v>
      </c>
      <c r="AP1098" s="893">
        <f>IF(OR(AP1057=AK1057,AP1057=AQ1057,AP1057=AN1057),"CHECK",0)</f>
        <v>0</v>
      </c>
      <c r="AQ1098" s="893">
        <f>IF(OR(AQ1057=AL1057,AQ1057=AR1057,AQ1057=AP1057),"CHECK",0)</f>
        <v>0</v>
      </c>
      <c r="AR1098" s="893">
        <f>IF(OR(AR1057=AM1057,AR1057=AS1057,AR1057=AQ1057),"CHECK",0)</f>
        <v>0</v>
      </c>
      <c r="AS1098" s="893">
        <f>IF(OR(AS1057=AN1057,AS1057=AR1057),"CHECK",0)</f>
        <v>0</v>
      </c>
      <c r="AT1098" s="893">
        <f>IF(AT1057=AO1057,"CHECK",0)</f>
        <v>0</v>
      </c>
      <c r="AU1098" s="894">
        <f>IF(OR(AU1057=AP1057,AU1057=AV1057,AU1057=AS1057),"CHECK",0)</f>
        <v>0</v>
      </c>
      <c r="AV1098" s="893"/>
      <c r="AW1098" s="893"/>
      <c r="AX1098" s="893"/>
      <c r="AY1098" s="893"/>
      <c r="AZ1098" s="893"/>
      <c r="BA1098" s="893"/>
      <c r="BB1098" s="893"/>
      <c r="BC1098" s="893"/>
      <c r="BD1098" s="893"/>
      <c r="BE1098" s="893"/>
      <c r="BF1098" s="893"/>
      <c r="BG1098" s="893"/>
      <c r="BH1098" s="749"/>
    </row>
    <row r="1099" spans="1:60" s="48" customFormat="1" x14ac:dyDescent="0.35">
      <c r="A1099" s="749" t="s">
        <v>218</v>
      </c>
      <c r="B1099" s="751"/>
      <c r="C1099" s="893">
        <f t="shared" ref="C1099:AH1099" si="1564">IF(ISBLANK(INDEX(MO_IS_FirstRow,0,COLUMN())),0,ROUND(C995-C946,6))</f>
        <v>0</v>
      </c>
      <c r="D1099" s="893">
        <f t="shared" si="1564"/>
        <v>0</v>
      </c>
      <c r="E1099" s="893">
        <f t="shared" si="1564"/>
        <v>0</v>
      </c>
      <c r="F1099" s="893">
        <f t="shared" si="1564"/>
        <v>0</v>
      </c>
      <c r="G1099" s="893">
        <f t="shared" si="1564"/>
        <v>0</v>
      </c>
      <c r="H1099" s="893">
        <f t="shared" si="1564"/>
        <v>0</v>
      </c>
      <c r="I1099" s="893">
        <f t="shared" si="1564"/>
        <v>0</v>
      </c>
      <c r="J1099" s="893">
        <f t="shared" si="1564"/>
        <v>0</v>
      </c>
      <c r="K1099" s="893">
        <f t="shared" si="1564"/>
        <v>0</v>
      </c>
      <c r="L1099" s="893">
        <f t="shared" si="1564"/>
        <v>0</v>
      </c>
      <c r="M1099" s="893">
        <f t="shared" si="1564"/>
        <v>0</v>
      </c>
      <c r="N1099" s="893">
        <f t="shared" si="1564"/>
        <v>0</v>
      </c>
      <c r="O1099" s="893">
        <f t="shared" si="1564"/>
        <v>0</v>
      </c>
      <c r="P1099" s="893">
        <f t="shared" si="1564"/>
        <v>0</v>
      </c>
      <c r="Q1099" s="893">
        <f t="shared" si="1564"/>
        <v>0</v>
      </c>
      <c r="R1099" s="893">
        <f t="shared" si="1564"/>
        <v>0</v>
      </c>
      <c r="S1099" s="893">
        <f t="shared" si="1564"/>
        <v>0</v>
      </c>
      <c r="T1099" s="893">
        <f t="shared" si="1564"/>
        <v>0</v>
      </c>
      <c r="U1099" s="893">
        <f t="shared" si="1564"/>
        <v>0</v>
      </c>
      <c r="V1099" s="893">
        <f t="shared" si="1564"/>
        <v>0</v>
      </c>
      <c r="W1099" s="893">
        <f t="shared" si="1564"/>
        <v>0</v>
      </c>
      <c r="X1099" s="893">
        <f t="shared" si="1564"/>
        <v>0</v>
      </c>
      <c r="Y1099" s="893">
        <f t="shared" si="1564"/>
        <v>0</v>
      </c>
      <c r="Z1099" s="893">
        <f t="shared" si="1564"/>
        <v>0</v>
      </c>
      <c r="AA1099" s="893">
        <f t="shared" si="1564"/>
        <v>0</v>
      </c>
      <c r="AB1099" s="893">
        <f t="shared" si="1564"/>
        <v>0</v>
      </c>
      <c r="AC1099" s="893">
        <f t="shared" si="1564"/>
        <v>0</v>
      </c>
      <c r="AD1099" s="893">
        <f t="shared" si="1564"/>
        <v>0</v>
      </c>
      <c r="AE1099" s="893">
        <f t="shared" si="1564"/>
        <v>0</v>
      </c>
      <c r="AF1099" s="893">
        <f t="shared" si="1564"/>
        <v>0</v>
      </c>
      <c r="AG1099" s="893">
        <f t="shared" si="1564"/>
        <v>0</v>
      </c>
      <c r="AH1099" s="893">
        <f t="shared" si="1564"/>
        <v>0</v>
      </c>
      <c r="AI1099" s="893">
        <f t="shared" ref="AI1099:AY1099" si="1565">IF(ISBLANK(INDEX(MO_IS_FirstRow,0,COLUMN())),0,ROUND(AI995-AI946,6))</f>
        <v>0</v>
      </c>
      <c r="AJ1099" s="893">
        <f t="shared" si="1565"/>
        <v>0</v>
      </c>
      <c r="AK1099" s="893">
        <f t="shared" si="1565"/>
        <v>0</v>
      </c>
      <c r="AL1099" s="893">
        <f t="shared" si="1565"/>
        <v>0</v>
      </c>
      <c r="AM1099" s="893">
        <f t="shared" si="1565"/>
        <v>0</v>
      </c>
      <c r="AN1099" s="893">
        <f t="shared" si="1565"/>
        <v>0</v>
      </c>
      <c r="AO1099" s="893">
        <f t="shared" si="1565"/>
        <v>0</v>
      </c>
      <c r="AP1099" s="893">
        <f t="shared" si="1565"/>
        <v>0</v>
      </c>
      <c r="AQ1099" s="893">
        <f t="shared" si="1565"/>
        <v>0</v>
      </c>
      <c r="AR1099" s="893">
        <f>IF(ISBLANK(INDEX(MO_IS_FirstRow,0,COLUMN())),0,ROUND(AR995-AR946,6))</f>
        <v>0</v>
      </c>
      <c r="AS1099" s="893">
        <f>IF(ISBLANK(INDEX(MO_IS_FirstRow,0,COLUMN())),0,ROUND(AS995-AS946,6))</f>
        <v>0</v>
      </c>
      <c r="AT1099" s="893">
        <f>IF(ISBLANK(INDEX(MO_IS_FirstRow,0,COLUMN())),0,ROUND(AT995-AT946,6))</f>
        <v>0</v>
      </c>
      <c r="AU1099" s="894">
        <f t="shared" ref="AU1099" si="1566">IF(ISBLANK(INDEX(MO_IS_FirstRow,0,COLUMN())),0,ROUND(AU995-AU946,6))</f>
        <v>0</v>
      </c>
      <c r="AV1099" s="893">
        <f t="shared" si="1565"/>
        <v>0</v>
      </c>
      <c r="AW1099" s="893">
        <f t="shared" si="1565"/>
        <v>0</v>
      </c>
      <c r="AX1099" s="893">
        <f t="shared" si="1565"/>
        <v>0</v>
      </c>
      <c r="AY1099" s="893">
        <f t="shared" si="1565"/>
        <v>0</v>
      </c>
      <c r="AZ1099" s="893">
        <f t="shared" ref="AZ1099:BG1099" si="1567">IF(ISBLANK(INDEX(MO_IS_FirstRow,0,COLUMN())),0,ROUND(AZ995-AZ946,6))</f>
        <v>0</v>
      </c>
      <c r="BA1099" s="893">
        <f t="shared" si="1567"/>
        <v>0</v>
      </c>
      <c r="BB1099" s="893">
        <f t="shared" si="1567"/>
        <v>0</v>
      </c>
      <c r="BC1099" s="893">
        <f t="shared" si="1567"/>
        <v>0</v>
      </c>
      <c r="BD1099" s="893">
        <f t="shared" si="1567"/>
        <v>0</v>
      </c>
      <c r="BE1099" s="893">
        <f t="shared" si="1567"/>
        <v>0</v>
      </c>
      <c r="BF1099" s="893">
        <f t="shared" si="1567"/>
        <v>0</v>
      </c>
      <c r="BG1099" s="893">
        <f t="shared" si="1567"/>
        <v>0</v>
      </c>
      <c r="BH1099" s="749"/>
    </row>
    <row r="1100" spans="1:60" s="48" customFormat="1" x14ac:dyDescent="0.35">
      <c r="A1100" s="749" t="s">
        <v>219</v>
      </c>
      <c r="B1100" s="751"/>
      <c r="C1100" s="893">
        <f t="shared" ref="C1100:AH1100" si="1568">ROUND(INDEX(MO_CFSum_Capex,0,COLUMN())-C969,6)</f>
        <v>0</v>
      </c>
      <c r="D1100" s="893">
        <f t="shared" si="1568"/>
        <v>0</v>
      </c>
      <c r="E1100" s="893">
        <f t="shared" si="1568"/>
        <v>0</v>
      </c>
      <c r="F1100" s="893">
        <f t="shared" si="1568"/>
        <v>0</v>
      </c>
      <c r="G1100" s="893">
        <f t="shared" si="1568"/>
        <v>0</v>
      </c>
      <c r="H1100" s="893">
        <f t="shared" si="1568"/>
        <v>0</v>
      </c>
      <c r="I1100" s="893">
        <f t="shared" si="1568"/>
        <v>0</v>
      </c>
      <c r="J1100" s="893">
        <f t="shared" si="1568"/>
        <v>0</v>
      </c>
      <c r="K1100" s="893">
        <f t="shared" si="1568"/>
        <v>0</v>
      </c>
      <c r="L1100" s="893">
        <f t="shared" si="1568"/>
        <v>0</v>
      </c>
      <c r="M1100" s="893">
        <f t="shared" si="1568"/>
        <v>0</v>
      </c>
      <c r="N1100" s="893">
        <f t="shared" si="1568"/>
        <v>0</v>
      </c>
      <c r="O1100" s="893">
        <f t="shared" si="1568"/>
        <v>0</v>
      </c>
      <c r="P1100" s="893">
        <f t="shared" si="1568"/>
        <v>0</v>
      </c>
      <c r="Q1100" s="893">
        <f t="shared" si="1568"/>
        <v>0</v>
      </c>
      <c r="R1100" s="893">
        <f t="shared" si="1568"/>
        <v>0</v>
      </c>
      <c r="S1100" s="893">
        <f t="shared" si="1568"/>
        <v>0</v>
      </c>
      <c r="T1100" s="893">
        <f t="shared" si="1568"/>
        <v>0</v>
      </c>
      <c r="U1100" s="893">
        <f t="shared" si="1568"/>
        <v>0</v>
      </c>
      <c r="V1100" s="893">
        <f t="shared" si="1568"/>
        <v>0</v>
      </c>
      <c r="W1100" s="893">
        <f t="shared" si="1568"/>
        <v>0</v>
      </c>
      <c r="X1100" s="893">
        <f t="shared" si="1568"/>
        <v>0</v>
      </c>
      <c r="Y1100" s="893">
        <f t="shared" si="1568"/>
        <v>0</v>
      </c>
      <c r="Z1100" s="893">
        <f t="shared" si="1568"/>
        <v>0</v>
      </c>
      <c r="AA1100" s="893">
        <f t="shared" si="1568"/>
        <v>0</v>
      </c>
      <c r="AB1100" s="893">
        <f t="shared" si="1568"/>
        <v>0</v>
      </c>
      <c r="AC1100" s="893">
        <f t="shared" si="1568"/>
        <v>0</v>
      </c>
      <c r="AD1100" s="893">
        <f t="shared" si="1568"/>
        <v>0</v>
      </c>
      <c r="AE1100" s="893">
        <f t="shared" si="1568"/>
        <v>0</v>
      </c>
      <c r="AF1100" s="893">
        <f t="shared" si="1568"/>
        <v>0</v>
      </c>
      <c r="AG1100" s="893">
        <f t="shared" si="1568"/>
        <v>0</v>
      </c>
      <c r="AH1100" s="893">
        <f t="shared" si="1568"/>
        <v>0</v>
      </c>
      <c r="AI1100" s="893">
        <f t="shared" ref="AI1100:AY1100" si="1569">ROUND(INDEX(MO_CFSum_Capex,0,COLUMN())-AI969,6)</f>
        <v>0</v>
      </c>
      <c r="AJ1100" s="893">
        <f t="shared" si="1569"/>
        <v>0</v>
      </c>
      <c r="AK1100" s="893">
        <f t="shared" si="1569"/>
        <v>0</v>
      </c>
      <c r="AL1100" s="893">
        <f t="shared" si="1569"/>
        <v>0</v>
      </c>
      <c r="AM1100" s="893">
        <f t="shared" si="1569"/>
        <v>0</v>
      </c>
      <c r="AN1100" s="893">
        <f t="shared" si="1569"/>
        <v>0</v>
      </c>
      <c r="AO1100" s="893">
        <f t="shared" si="1569"/>
        <v>0</v>
      </c>
      <c r="AP1100" s="893">
        <f t="shared" si="1569"/>
        <v>0</v>
      </c>
      <c r="AQ1100" s="893">
        <f t="shared" si="1569"/>
        <v>0</v>
      </c>
      <c r="AR1100" s="893">
        <f>ROUND(INDEX(MO_CFSum_Capex,0,COLUMN())-AR969,6)</f>
        <v>0</v>
      </c>
      <c r="AS1100" s="893">
        <f>ROUND(INDEX(MO_CFSum_Capex,0,COLUMN())-AS969,6)</f>
        <v>0</v>
      </c>
      <c r="AT1100" s="893">
        <f>ROUND(INDEX(MO_CFSum_Capex,0,COLUMN())-AT969,6)</f>
        <v>0</v>
      </c>
      <c r="AU1100" s="894">
        <f t="shared" ref="AU1100" si="1570">ROUND(INDEX(MO_CFSum_Capex,0,COLUMN())-AU969,6)</f>
        <v>0</v>
      </c>
      <c r="AV1100" s="893">
        <f t="shared" si="1569"/>
        <v>0</v>
      </c>
      <c r="AW1100" s="893">
        <f t="shared" si="1569"/>
        <v>0</v>
      </c>
      <c r="AX1100" s="893">
        <f t="shared" si="1569"/>
        <v>0</v>
      </c>
      <c r="AY1100" s="893">
        <f t="shared" si="1569"/>
        <v>0</v>
      </c>
      <c r="AZ1100" s="893">
        <f t="shared" ref="AZ1100:BG1100" si="1571">ROUND(INDEX(MO_CFSum_Capex,0,COLUMN())-AZ969,6)</f>
        <v>0</v>
      </c>
      <c r="BA1100" s="893">
        <f t="shared" si="1571"/>
        <v>0</v>
      </c>
      <c r="BB1100" s="893">
        <f t="shared" si="1571"/>
        <v>0</v>
      </c>
      <c r="BC1100" s="893">
        <f t="shared" si="1571"/>
        <v>0</v>
      </c>
      <c r="BD1100" s="893">
        <f t="shared" si="1571"/>
        <v>0</v>
      </c>
      <c r="BE1100" s="893">
        <f t="shared" si="1571"/>
        <v>0</v>
      </c>
      <c r="BF1100" s="893">
        <f t="shared" si="1571"/>
        <v>0</v>
      </c>
      <c r="BG1100" s="893">
        <f t="shared" si="1571"/>
        <v>0</v>
      </c>
      <c r="BH1100" s="749"/>
    </row>
    <row r="1101" spans="1:60" s="48" customFormat="1" x14ac:dyDescent="0.35">
      <c r="A1101" s="749" t="s">
        <v>220</v>
      </c>
      <c r="B1101" s="751"/>
      <c r="C1101" s="893">
        <f t="shared" ref="C1101:AH1101" si="1572">IF(ISBLANK(INDEX(MO_IS_FirstRow,0,COLUMN())),0,IF(MOD(C712*1000000,1)=0,"Check",0))</f>
        <v>0</v>
      </c>
      <c r="D1101" s="893">
        <f t="shared" si="1572"/>
        <v>0</v>
      </c>
      <c r="E1101" s="893">
        <f t="shared" si="1572"/>
        <v>0</v>
      </c>
      <c r="F1101" s="893">
        <f t="shared" si="1572"/>
        <v>0</v>
      </c>
      <c r="G1101" s="893">
        <f t="shared" si="1572"/>
        <v>0</v>
      </c>
      <c r="H1101" s="893">
        <f t="shared" si="1572"/>
        <v>0</v>
      </c>
      <c r="I1101" s="893">
        <f t="shared" si="1572"/>
        <v>0</v>
      </c>
      <c r="J1101" s="893">
        <f t="shared" si="1572"/>
        <v>0</v>
      </c>
      <c r="K1101" s="893">
        <f t="shared" si="1572"/>
        <v>0</v>
      </c>
      <c r="L1101" s="893">
        <f t="shared" si="1572"/>
        <v>0</v>
      </c>
      <c r="M1101" s="893">
        <f t="shared" si="1572"/>
        <v>0</v>
      </c>
      <c r="N1101" s="893">
        <f t="shared" si="1572"/>
        <v>0</v>
      </c>
      <c r="O1101" s="893">
        <f t="shared" si="1572"/>
        <v>0</v>
      </c>
      <c r="P1101" s="893">
        <f t="shared" si="1572"/>
        <v>0</v>
      </c>
      <c r="Q1101" s="893">
        <f t="shared" si="1572"/>
        <v>0</v>
      </c>
      <c r="R1101" s="893">
        <f t="shared" si="1572"/>
        <v>0</v>
      </c>
      <c r="S1101" s="893">
        <f t="shared" si="1572"/>
        <v>0</v>
      </c>
      <c r="T1101" s="893">
        <f t="shared" si="1572"/>
        <v>0</v>
      </c>
      <c r="U1101" s="893">
        <f t="shared" si="1572"/>
        <v>0</v>
      </c>
      <c r="V1101" s="893">
        <f t="shared" si="1572"/>
        <v>0</v>
      </c>
      <c r="W1101" s="893">
        <f t="shared" si="1572"/>
        <v>0</v>
      </c>
      <c r="X1101" s="893">
        <f t="shared" si="1572"/>
        <v>0</v>
      </c>
      <c r="Y1101" s="893">
        <f t="shared" si="1572"/>
        <v>0</v>
      </c>
      <c r="Z1101" s="893">
        <f t="shared" si="1572"/>
        <v>0</v>
      </c>
      <c r="AA1101" s="893">
        <f t="shared" si="1572"/>
        <v>0</v>
      </c>
      <c r="AB1101" s="893">
        <f t="shared" si="1572"/>
        <v>0</v>
      </c>
      <c r="AC1101" s="893">
        <f t="shared" si="1572"/>
        <v>0</v>
      </c>
      <c r="AD1101" s="893">
        <f t="shared" si="1572"/>
        <v>0</v>
      </c>
      <c r="AE1101" s="893">
        <f t="shared" si="1572"/>
        <v>0</v>
      </c>
      <c r="AF1101" s="893">
        <f t="shared" si="1572"/>
        <v>0</v>
      </c>
      <c r="AG1101" s="893">
        <f t="shared" si="1572"/>
        <v>0</v>
      </c>
      <c r="AH1101" s="893">
        <f t="shared" si="1572"/>
        <v>0</v>
      </c>
      <c r="AI1101" s="893">
        <f t="shared" ref="AI1101:AY1101" si="1573">IF(ISBLANK(INDEX(MO_IS_FirstRow,0,COLUMN())),0,IF(MOD(AI712*1000000,1)=0,"Check",0))</f>
        <v>0</v>
      </c>
      <c r="AJ1101" s="893">
        <f t="shared" si="1573"/>
        <v>0</v>
      </c>
      <c r="AK1101" s="893">
        <f t="shared" si="1573"/>
        <v>0</v>
      </c>
      <c r="AL1101" s="893">
        <f t="shared" si="1573"/>
        <v>0</v>
      </c>
      <c r="AM1101" s="893">
        <f t="shared" si="1573"/>
        <v>0</v>
      </c>
      <c r="AN1101" s="893">
        <f t="shared" si="1573"/>
        <v>0</v>
      </c>
      <c r="AO1101" s="893">
        <f t="shared" si="1573"/>
        <v>0</v>
      </c>
      <c r="AP1101" s="893">
        <f t="shared" si="1573"/>
        <v>0</v>
      </c>
      <c r="AQ1101" s="893">
        <f t="shared" si="1573"/>
        <v>0</v>
      </c>
      <c r="AR1101" s="893">
        <f t="shared" si="1573"/>
        <v>0</v>
      </c>
      <c r="AS1101" s="893">
        <f>IF(ISBLANK(INDEX(MO_IS_FirstRow,0,COLUMN())),0,IF(MOD(AS712*1000000,1)=0,"Check",0))</f>
        <v>0</v>
      </c>
      <c r="AT1101" s="893">
        <f>IF(ISBLANK(INDEX(MO_IS_FirstRow,0,COLUMN())),0,IF(MOD(AT712*1000000,1)=0,"Check",0))</f>
        <v>0</v>
      </c>
      <c r="AU1101" s="894">
        <f t="shared" ref="AU1101" si="1574">IF(ISBLANK(INDEX(MO_IS_FirstRow,0,COLUMN())),0,IF(MOD(AU712*1000000,1)=0,"Check",0))</f>
        <v>0</v>
      </c>
      <c r="AV1101" s="893">
        <f t="shared" si="1573"/>
        <v>0</v>
      </c>
      <c r="AW1101" s="893">
        <f t="shared" si="1573"/>
        <v>0</v>
      </c>
      <c r="AX1101" s="893">
        <f t="shared" si="1573"/>
        <v>0</v>
      </c>
      <c r="AY1101" s="893">
        <f t="shared" si="1573"/>
        <v>0</v>
      </c>
      <c r="AZ1101" s="893">
        <f t="shared" ref="AZ1101:BG1101" si="1575">IF(ISBLANK(INDEX(MO_IS_FirstRow,0,COLUMN())),0,IF(MOD(AZ712*1000000,1)=0,"Check",0))</f>
        <v>0</v>
      </c>
      <c r="BA1101" s="893">
        <f t="shared" si="1575"/>
        <v>0</v>
      </c>
      <c r="BB1101" s="893">
        <f t="shared" si="1575"/>
        <v>0</v>
      </c>
      <c r="BC1101" s="893">
        <f t="shared" si="1575"/>
        <v>0</v>
      </c>
      <c r="BD1101" s="893">
        <f t="shared" si="1575"/>
        <v>0</v>
      </c>
      <c r="BE1101" s="893">
        <f t="shared" si="1575"/>
        <v>0</v>
      </c>
      <c r="BF1101" s="893">
        <f t="shared" si="1575"/>
        <v>0</v>
      </c>
      <c r="BG1101" s="893">
        <f t="shared" si="1575"/>
        <v>0</v>
      </c>
      <c r="BH1101" s="749"/>
    </row>
    <row r="1102" spans="1:60" s="48" customFormat="1" x14ac:dyDescent="0.35">
      <c r="A1102" s="749" t="s">
        <v>221</v>
      </c>
      <c r="B1102" s="751"/>
      <c r="C1102" s="893"/>
      <c r="D1102" s="893"/>
      <c r="E1102" s="893"/>
      <c r="F1102" s="893"/>
      <c r="G1102" s="893"/>
      <c r="H1102" s="893"/>
      <c r="I1102" s="893"/>
      <c r="J1102" s="893"/>
      <c r="K1102" s="893">
        <f>IF(ISBLANK(INDEX(MO_IS_FirstRow,0,COLUMN())),0,ROUND(K755-SUM(G755,H755,I755,J755),6)+ROUND(K764-SUM(G764,H764,I764,J764),6))</f>
        <v>0</v>
      </c>
      <c r="L1102" s="893"/>
      <c r="M1102" s="893"/>
      <c r="N1102" s="893"/>
      <c r="O1102" s="893"/>
      <c r="P1102" s="893">
        <f>IF(ISBLANK(INDEX(MO_IS_FirstRow,0,COLUMN())),0,ROUND(P755-SUM(L755,M755,N755,O755),6)+ROUND(P764-SUM(L764,M764,N764,O764),6))</f>
        <v>0</v>
      </c>
      <c r="Q1102" s="893"/>
      <c r="R1102" s="893"/>
      <c r="S1102" s="893"/>
      <c r="T1102" s="893"/>
      <c r="U1102" s="893">
        <f>IF(ISBLANK(INDEX(MO_IS_FirstRow,0,COLUMN())),0,ROUND(U755-SUM(Q755,R755,S755,T755),6)+ROUND(U764-SUM(Q764,R764,S764,T764),6))</f>
        <v>0</v>
      </c>
      <c r="V1102" s="893"/>
      <c r="W1102" s="893"/>
      <c r="X1102" s="893"/>
      <c r="Y1102" s="893"/>
      <c r="Z1102" s="893">
        <f>IF(ISBLANK(INDEX(MO_IS_FirstRow,0,COLUMN())),0,ROUND(Z755-SUM(V755,W755,X755,Y755),6)+ROUND(Z764-SUM(V764,W764,X764,Y764),6))</f>
        <v>0</v>
      </c>
      <c r="AA1102" s="893"/>
      <c r="AB1102" s="893"/>
      <c r="AC1102" s="893"/>
      <c r="AD1102" s="893"/>
      <c r="AE1102" s="893">
        <f>IF(ISBLANK(INDEX(MO_IS_FirstRow,0,COLUMN())),0,ROUND(AE755-SUM(AA755,AB755,AC755,AD755),6)+ROUND(AE764-SUM(AA764,AB764,AC764,AD764),6))</f>
        <v>0</v>
      </c>
      <c r="AF1102" s="893"/>
      <c r="AG1102" s="893"/>
      <c r="AH1102" s="893"/>
      <c r="AI1102" s="893"/>
      <c r="AJ1102" s="893">
        <f>IF(ISBLANK(INDEX(MO_IS_FirstRow,0,COLUMN())),0,ROUND(AJ755-SUM(AF755,AG755,AH755,AI755),6)+ROUND(AJ764-SUM(AF764,AG764,AH764,AI764),6))</f>
        <v>0</v>
      </c>
      <c r="AK1102" s="893"/>
      <c r="AL1102" s="893"/>
      <c r="AM1102" s="893"/>
      <c r="AN1102" s="893"/>
      <c r="AO1102" s="893">
        <f>IF(ISBLANK(INDEX(MO_IS_FirstRow,0,COLUMN())),0,ROUND(AO755-SUM(AK755,AL755,AM755,AN755),6)+ROUND(AO764-SUM(AK764,AL764,AM764,AN764),6))</f>
        <v>0</v>
      </c>
      <c r="AP1102" s="893"/>
      <c r="AQ1102" s="893"/>
      <c r="AR1102" s="893"/>
      <c r="AS1102" s="893"/>
      <c r="AT1102" s="893">
        <f>IF(ISBLANK(INDEX(MO_IS_FirstRow,0,COLUMN())),0,ROUND(AT755-SUM(AP755,AQ755,AR755,AS755),6)+ROUND(AT764-SUM(AP764,AQ764,AR764,AS764),6))</f>
        <v>0</v>
      </c>
      <c r="AU1102" s="894"/>
      <c r="AV1102" s="893"/>
      <c r="AW1102" s="893"/>
      <c r="AX1102" s="893"/>
      <c r="AY1102" s="893">
        <f>IF(ISBLANK(INDEX(MO_IS_FirstRow,0,COLUMN())),0,ROUND(AY755-SUM(AU755,AV755,AW755,AX755),6)+ROUND(AY764-SUM(AU764,AV764,AW764,AX764),6))</f>
        <v>0</v>
      </c>
      <c r="AZ1102" s="893"/>
      <c r="BA1102" s="893"/>
      <c r="BB1102" s="893"/>
      <c r="BC1102" s="893"/>
      <c r="BD1102" s="893">
        <f>IF(ISBLANK(INDEX(MO_IS_FirstRow,0,COLUMN())),0,ROUND(BD755-SUM(AZ755,BA755,BB755,BC755),6)+ROUND(BD764-SUM(AZ764,BA764,BB764,BC764),6))</f>
        <v>0</v>
      </c>
      <c r="BE1102" s="893"/>
      <c r="BF1102" s="893"/>
      <c r="BG1102" s="893"/>
      <c r="BH1102" s="749"/>
    </row>
    <row r="1103" spans="1:60" s="48" customFormat="1" x14ac:dyDescent="0.35">
      <c r="A1103" s="749" t="s">
        <v>222</v>
      </c>
      <c r="B1103" s="751"/>
      <c r="C1103" s="893">
        <f t="shared" ref="C1103:AH1103" si="1576">ROUND(1-INDEX(MO_MA_COGS,0,COLUMN())-INDEX(MO_MA_SGA,0,COLUMN())-INDEX(MO_MA_EBITDA,0,COLUMN())-INDEX(MO_MA_RD,0,COLUMN()),6)</f>
        <v>0</v>
      </c>
      <c r="D1103" s="893">
        <f t="shared" si="1576"/>
        <v>0</v>
      </c>
      <c r="E1103" s="893">
        <f t="shared" si="1576"/>
        <v>0</v>
      </c>
      <c r="F1103" s="893">
        <f t="shared" si="1576"/>
        <v>0</v>
      </c>
      <c r="G1103" s="893">
        <f t="shared" si="1576"/>
        <v>0</v>
      </c>
      <c r="H1103" s="893">
        <f t="shared" si="1576"/>
        <v>0</v>
      </c>
      <c r="I1103" s="893">
        <f t="shared" si="1576"/>
        <v>0</v>
      </c>
      <c r="J1103" s="893">
        <f t="shared" si="1576"/>
        <v>0</v>
      </c>
      <c r="K1103" s="893">
        <f t="shared" si="1576"/>
        <v>0</v>
      </c>
      <c r="L1103" s="893">
        <f t="shared" si="1576"/>
        <v>0</v>
      </c>
      <c r="M1103" s="893">
        <f t="shared" si="1576"/>
        <v>0</v>
      </c>
      <c r="N1103" s="893">
        <f t="shared" si="1576"/>
        <v>0</v>
      </c>
      <c r="O1103" s="893">
        <f t="shared" si="1576"/>
        <v>0</v>
      </c>
      <c r="P1103" s="893">
        <f t="shared" si="1576"/>
        <v>0</v>
      </c>
      <c r="Q1103" s="893">
        <f t="shared" si="1576"/>
        <v>0</v>
      </c>
      <c r="R1103" s="893">
        <f t="shared" si="1576"/>
        <v>0</v>
      </c>
      <c r="S1103" s="893">
        <f t="shared" si="1576"/>
        <v>0</v>
      </c>
      <c r="T1103" s="893">
        <f t="shared" si="1576"/>
        <v>0</v>
      </c>
      <c r="U1103" s="893">
        <f t="shared" si="1576"/>
        <v>0</v>
      </c>
      <c r="V1103" s="893">
        <f t="shared" si="1576"/>
        <v>0</v>
      </c>
      <c r="W1103" s="893">
        <f t="shared" si="1576"/>
        <v>0</v>
      </c>
      <c r="X1103" s="893">
        <f t="shared" si="1576"/>
        <v>0</v>
      </c>
      <c r="Y1103" s="893">
        <f t="shared" si="1576"/>
        <v>0</v>
      </c>
      <c r="Z1103" s="893">
        <f t="shared" si="1576"/>
        <v>0</v>
      </c>
      <c r="AA1103" s="893">
        <f t="shared" si="1576"/>
        <v>0</v>
      </c>
      <c r="AB1103" s="893">
        <f t="shared" si="1576"/>
        <v>0</v>
      </c>
      <c r="AC1103" s="893">
        <f t="shared" si="1576"/>
        <v>0</v>
      </c>
      <c r="AD1103" s="893">
        <f t="shared" si="1576"/>
        <v>0</v>
      </c>
      <c r="AE1103" s="893">
        <f t="shared" si="1576"/>
        <v>0</v>
      </c>
      <c r="AF1103" s="893">
        <f t="shared" si="1576"/>
        <v>0</v>
      </c>
      <c r="AG1103" s="893">
        <f t="shared" si="1576"/>
        <v>0</v>
      </c>
      <c r="AH1103" s="893">
        <f t="shared" si="1576"/>
        <v>0</v>
      </c>
      <c r="AI1103" s="893">
        <f t="shared" ref="AI1103:AY1103" si="1577">ROUND(1-INDEX(MO_MA_COGS,0,COLUMN())-INDEX(MO_MA_SGA,0,COLUMN())-INDEX(MO_MA_EBITDA,0,COLUMN())-INDEX(MO_MA_RD,0,COLUMN()),6)</f>
        <v>0</v>
      </c>
      <c r="AJ1103" s="893">
        <f t="shared" si="1577"/>
        <v>0</v>
      </c>
      <c r="AK1103" s="893">
        <f t="shared" si="1577"/>
        <v>0</v>
      </c>
      <c r="AL1103" s="893">
        <f t="shared" si="1577"/>
        <v>0</v>
      </c>
      <c r="AM1103" s="893">
        <f t="shared" si="1577"/>
        <v>0</v>
      </c>
      <c r="AN1103" s="893">
        <f t="shared" si="1577"/>
        <v>0</v>
      </c>
      <c r="AO1103" s="893">
        <f t="shared" si="1577"/>
        <v>0</v>
      </c>
      <c r="AP1103" s="893">
        <f t="shared" si="1577"/>
        <v>0</v>
      </c>
      <c r="AQ1103" s="893">
        <f t="shared" si="1577"/>
        <v>0</v>
      </c>
      <c r="AR1103" s="893">
        <f>ROUND(1-INDEX(MO_MA_COGS,0,COLUMN())-INDEX(MO_MA_SGA,0,COLUMN())-INDEX(MO_MA_EBITDA,0,COLUMN())-INDEX(MO_MA_RD,0,COLUMN()),6)</f>
        <v>0</v>
      </c>
      <c r="AS1103" s="893">
        <f>ROUND(1-INDEX(MO_MA_COGS,0,COLUMN())-INDEX(MO_MA_SGA,0,COLUMN())-INDEX(MO_MA_EBITDA,0,COLUMN())-INDEX(MO_MA_RD,0,COLUMN()),6)</f>
        <v>0</v>
      </c>
      <c r="AT1103" s="893">
        <f>ROUND(1-INDEX(MO_MA_COGS,0,COLUMN())-INDEX(MO_MA_SGA,0,COLUMN())-INDEX(MO_MA_EBITDA,0,COLUMN())-INDEX(MO_MA_RD,0,COLUMN()),6)</f>
        <v>0</v>
      </c>
      <c r="AU1103" s="894">
        <f t="shared" si="1577"/>
        <v>0</v>
      </c>
      <c r="AV1103" s="893">
        <f t="shared" si="1577"/>
        <v>0</v>
      </c>
      <c r="AW1103" s="893">
        <f t="shared" si="1577"/>
        <v>0</v>
      </c>
      <c r="AX1103" s="893">
        <f t="shared" si="1577"/>
        <v>0</v>
      </c>
      <c r="AY1103" s="893">
        <f t="shared" si="1577"/>
        <v>0</v>
      </c>
      <c r="AZ1103" s="893">
        <f t="shared" ref="AZ1103:BG1103" si="1578">ROUND(1-INDEX(MO_MA_COGS,0,COLUMN())-INDEX(MO_MA_SGA,0,COLUMN())-INDEX(MO_MA_EBITDA,0,COLUMN())-INDEX(MO_MA_RD,0,COLUMN()),6)</f>
        <v>0</v>
      </c>
      <c r="BA1103" s="893">
        <f t="shared" si="1578"/>
        <v>0</v>
      </c>
      <c r="BB1103" s="893">
        <f t="shared" si="1578"/>
        <v>0</v>
      </c>
      <c r="BC1103" s="893">
        <f t="shared" si="1578"/>
        <v>0</v>
      </c>
      <c r="BD1103" s="893">
        <f t="shared" si="1578"/>
        <v>0</v>
      </c>
      <c r="BE1103" s="893">
        <f t="shared" si="1578"/>
        <v>0</v>
      </c>
      <c r="BF1103" s="893">
        <f t="shared" si="1578"/>
        <v>0</v>
      </c>
      <c r="BG1103" s="893">
        <f t="shared" si="1578"/>
        <v>0</v>
      </c>
      <c r="BH1103" s="749"/>
    </row>
    <row r="1104" spans="1:60" s="48" customFormat="1" x14ac:dyDescent="0.35">
      <c r="A1104" s="749" t="s">
        <v>223</v>
      </c>
      <c r="B1104" s="751"/>
      <c r="C1104" s="893">
        <f t="shared" ref="C1104:AH1104" si="1579">IF(OR(INDEX(MO_CFSum_Acquisition,1,COLUMN())&gt;0,INDEX(MO_CFSum_Divestiture,1,COLUMN())&lt;0,INDEX(MO_CFSum_Capex,1,COLUMN())&gt;0,INDEX(MO_CFSum_Dividend,1,COLUMN())&gt;0),"CHECK",0)</f>
        <v>0</v>
      </c>
      <c r="D1104" s="893">
        <f t="shared" si="1579"/>
        <v>0</v>
      </c>
      <c r="E1104" s="893">
        <f t="shared" si="1579"/>
        <v>0</v>
      </c>
      <c r="F1104" s="893">
        <f t="shared" si="1579"/>
        <v>0</v>
      </c>
      <c r="G1104" s="893">
        <f t="shared" si="1579"/>
        <v>0</v>
      </c>
      <c r="H1104" s="893">
        <f t="shared" si="1579"/>
        <v>0</v>
      </c>
      <c r="I1104" s="893">
        <f t="shared" si="1579"/>
        <v>0</v>
      </c>
      <c r="J1104" s="893">
        <f t="shared" si="1579"/>
        <v>0</v>
      </c>
      <c r="K1104" s="893">
        <f t="shared" si="1579"/>
        <v>0</v>
      </c>
      <c r="L1104" s="893">
        <f t="shared" si="1579"/>
        <v>0</v>
      </c>
      <c r="M1104" s="893">
        <f t="shared" si="1579"/>
        <v>0</v>
      </c>
      <c r="N1104" s="893">
        <f t="shared" si="1579"/>
        <v>0</v>
      </c>
      <c r="O1104" s="893">
        <f t="shared" si="1579"/>
        <v>0</v>
      </c>
      <c r="P1104" s="893">
        <f t="shared" si="1579"/>
        <v>0</v>
      </c>
      <c r="Q1104" s="893">
        <f t="shared" si="1579"/>
        <v>0</v>
      </c>
      <c r="R1104" s="893">
        <f t="shared" si="1579"/>
        <v>0</v>
      </c>
      <c r="S1104" s="893">
        <f t="shared" si="1579"/>
        <v>0</v>
      </c>
      <c r="T1104" s="893">
        <f t="shared" si="1579"/>
        <v>0</v>
      </c>
      <c r="U1104" s="893">
        <f t="shared" si="1579"/>
        <v>0</v>
      </c>
      <c r="V1104" s="893">
        <f t="shared" si="1579"/>
        <v>0</v>
      </c>
      <c r="W1104" s="893">
        <f t="shared" si="1579"/>
        <v>0</v>
      </c>
      <c r="X1104" s="893">
        <f t="shared" si="1579"/>
        <v>0</v>
      </c>
      <c r="Y1104" s="893" t="str">
        <f t="shared" si="1579"/>
        <v>CHECK</v>
      </c>
      <c r="Z1104" s="893">
        <f t="shared" si="1579"/>
        <v>0</v>
      </c>
      <c r="AA1104" s="893">
        <f t="shared" si="1579"/>
        <v>0</v>
      </c>
      <c r="AB1104" s="893">
        <f t="shared" si="1579"/>
        <v>0</v>
      </c>
      <c r="AC1104" s="893">
        <f t="shared" si="1579"/>
        <v>0</v>
      </c>
      <c r="AD1104" s="893">
        <f t="shared" si="1579"/>
        <v>0</v>
      </c>
      <c r="AE1104" s="893">
        <f t="shared" si="1579"/>
        <v>0</v>
      </c>
      <c r="AF1104" s="893">
        <f t="shared" si="1579"/>
        <v>0</v>
      </c>
      <c r="AG1104" s="893" t="str">
        <f t="shared" si="1579"/>
        <v>CHECK</v>
      </c>
      <c r="AH1104" s="893">
        <f t="shared" si="1579"/>
        <v>0</v>
      </c>
      <c r="AI1104" s="893">
        <f t="shared" ref="AI1104:AY1104" si="1580">IF(OR(INDEX(MO_CFSum_Acquisition,1,COLUMN())&gt;0,INDEX(MO_CFSum_Divestiture,1,COLUMN())&lt;0,INDEX(MO_CFSum_Capex,1,COLUMN())&gt;0,INDEX(MO_CFSum_Dividend,1,COLUMN())&gt;0),"CHECK",0)</f>
        <v>0</v>
      </c>
      <c r="AJ1104" s="893" t="str">
        <f t="shared" si="1580"/>
        <v>CHECK</v>
      </c>
      <c r="AK1104" s="893">
        <f t="shared" si="1580"/>
        <v>0</v>
      </c>
      <c r="AL1104" s="893">
        <f t="shared" si="1580"/>
        <v>0</v>
      </c>
      <c r="AM1104" s="893">
        <f t="shared" si="1580"/>
        <v>0</v>
      </c>
      <c r="AN1104" s="893">
        <f t="shared" si="1580"/>
        <v>0</v>
      </c>
      <c r="AO1104" s="893">
        <f t="shared" si="1580"/>
        <v>0</v>
      </c>
      <c r="AP1104" s="893">
        <f t="shared" si="1580"/>
        <v>0</v>
      </c>
      <c r="AQ1104" s="893">
        <f t="shared" si="1580"/>
        <v>0</v>
      </c>
      <c r="AR1104" s="893">
        <f>IF(OR(INDEX(MO_CFSum_Acquisition,1,COLUMN())&gt;0,INDEX(MO_CFSum_Divestiture,1,COLUMN())&lt;0,INDEX(MO_CFSum_Capex,1,COLUMN())&gt;0,INDEX(MO_CFSum_Dividend,1,COLUMN())&gt;0),"CHECK",0)</f>
        <v>0</v>
      </c>
      <c r="AS1104" s="893">
        <f>IF(OR(INDEX(MO_CFSum_Acquisition,1,COLUMN())&gt;0,INDEX(MO_CFSum_Divestiture,1,COLUMN())&lt;0,INDEX(MO_CFSum_Capex,1,COLUMN())&gt;0,INDEX(MO_CFSum_Dividend,1,COLUMN())&gt;0),"CHECK",0)</f>
        <v>0</v>
      </c>
      <c r="AT1104" s="893">
        <f>IF(OR(INDEX(MO_CFSum_Acquisition,1,COLUMN())&gt;0,INDEX(MO_CFSum_Divestiture,1,COLUMN())&lt;0,INDEX(MO_CFSum_Capex,1,COLUMN())&gt;0,INDEX(MO_CFSum_Dividend,1,COLUMN())&gt;0),"CHECK",0)</f>
        <v>0</v>
      </c>
      <c r="AU1104" s="894">
        <f t="shared" si="1580"/>
        <v>0</v>
      </c>
      <c r="AV1104" s="893">
        <f t="shared" ca="1" si="1580"/>
        <v>0</v>
      </c>
      <c r="AW1104" s="893">
        <f t="shared" ca="1" si="1580"/>
        <v>0</v>
      </c>
      <c r="AX1104" s="893">
        <f t="shared" ca="1" si="1580"/>
        <v>0</v>
      </c>
      <c r="AY1104" s="893">
        <f t="shared" si="1580"/>
        <v>0</v>
      </c>
      <c r="AZ1104" s="893">
        <f t="shared" ref="AZ1104:BG1104" ca="1" si="1581">IF(OR(INDEX(MO_CFSum_Acquisition,1,COLUMN())&gt;0,INDEX(MO_CFSum_Divestiture,1,COLUMN())&lt;0,INDEX(MO_CFSum_Capex,1,COLUMN())&gt;0,INDEX(MO_CFSum_Dividend,1,COLUMN())&gt;0),"CHECK",0)</f>
        <v>0</v>
      </c>
      <c r="BA1104" s="893">
        <f t="shared" ca="1" si="1581"/>
        <v>0</v>
      </c>
      <c r="BB1104" s="893">
        <f t="shared" ca="1" si="1581"/>
        <v>0</v>
      </c>
      <c r="BC1104" s="893">
        <f t="shared" ca="1" si="1581"/>
        <v>0</v>
      </c>
      <c r="BD1104" s="893">
        <f t="shared" si="1581"/>
        <v>0</v>
      </c>
      <c r="BE1104" s="893">
        <f t="shared" ca="1" si="1581"/>
        <v>0</v>
      </c>
      <c r="BF1104" s="893">
        <f t="shared" ca="1" si="1581"/>
        <v>0</v>
      </c>
      <c r="BG1104" s="893">
        <f t="shared" ca="1" si="1581"/>
        <v>0</v>
      </c>
      <c r="BH1104" s="749"/>
    </row>
    <row r="1105" spans="1:60" s="48" customFormat="1" x14ac:dyDescent="0.35">
      <c r="A1105" s="749" t="s">
        <v>224</v>
      </c>
      <c r="B1105" s="751"/>
      <c r="C1105" s="893"/>
      <c r="D1105" s="893"/>
      <c r="E1105" s="893"/>
      <c r="F1105" s="893"/>
      <c r="G1105" s="893"/>
      <c r="H1105" s="893"/>
      <c r="I1105" s="893"/>
      <c r="J1105" s="893"/>
      <c r="K1105" s="893">
        <f>ROUND(K815-SUM(G815,H815,I815,J815),6)</f>
        <v>0</v>
      </c>
      <c r="L1105" s="893"/>
      <c r="M1105" s="893"/>
      <c r="N1105" s="893"/>
      <c r="O1105" s="893"/>
      <c r="P1105" s="893">
        <f>ROUND(P815-SUM(L815,M815,N815,O815),6)</f>
        <v>0</v>
      </c>
      <c r="Q1105" s="893"/>
      <c r="R1105" s="893"/>
      <c r="S1105" s="893"/>
      <c r="T1105" s="893"/>
      <c r="U1105" s="893">
        <f>ROUND(U815-SUM(Q815,R815,S815,T815),6)</f>
        <v>0</v>
      </c>
      <c r="V1105" s="893"/>
      <c r="W1105" s="893"/>
      <c r="X1105" s="893"/>
      <c r="Y1105" s="893"/>
      <c r="Z1105" s="893">
        <f>ROUND(Z815-SUM(V815,W815,X815,Y815),6)</f>
        <v>0</v>
      </c>
      <c r="AA1105" s="893"/>
      <c r="AB1105" s="893"/>
      <c r="AC1105" s="893"/>
      <c r="AD1105" s="893"/>
      <c r="AE1105" s="893">
        <f>ROUND(AE815-SUM(AA815,AB815,AC815,AD815),6)</f>
        <v>0</v>
      </c>
      <c r="AF1105" s="893"/>
      <c r="AG1105" s="893"/>
      <c r="AH1105" s="893"/>
      <c r="AI1105" s="893"/>
      <c r="AJ1105" s="893">
        <f>ROUND(AJ815-SUM(AF815,AG815,AH815,AI815),6)</f>
        <v>0</v>
      </c>
      <c r="AK1105" s="893"/>
      <c r="AL1105" s="893"/>
      <c r="AM1105" s="893"/>
      <c r="AN1105" s="893"/>
      <c r="AO1105" s="893">
        <f>ROUND(AO815-SUM(AK815,AL815,AM815,AN815),6)</f>
        <v>0</v>
      </c>
      <c r="AP1105" s="893"/>
      <c r="AQ1105" s="893"/>
      <c r="AR1105" s="893"/>
      <c r="AS1105" s="893"/>
      <c r="AT1105" s="893">
        <f>ROUND(AT815-SUM(AP815,AQ815,AR815,AS815),6)</f>
        <v>0</v>
      </c>
      <c r="AU1105" s="894"/>
      <c r="AV1105" s="893"/>
      <c r="AW1105" s="893"/>
      <c r="AX1105" s="893"/>
      <c r="AY1105" s="893">
        <f>ROUND(AY815-SUM(AU815,AV815,AW815,AX815),6)</f>
        <v>0</v>
      </c>
      <c r="AZ1105" s="893"/>
      <c r="BA1105" s="893"/>
      <c r="BB1105" s="893"/>
      <c r="BC1105" s="893"/>
      <c r="BD1105" s="893">
        <f ca="1">ROUND(BD815-SUM(AZ815,BA815,BB815,BC815),6)</f>
        <v>0</v>
      </c>
      <c r="BE1105" s="893"/>
      <c r="BF1105" s="893"/>
      <c r="BG1105" s="893"/>
      <c r="BH1105" s="749"/>
    </row>
    <row r="1106" spans="1:60" s="48" customFormat="1" x14ac:dyDescent="0.35">
      <c r="A1106" s="749" t="s">
        <v>225</v>
      </c>
      <c r="B1106" s="751"/>
      <c r="C1106" s="893"/>
      <c r="D1106" s="893"/>
      <c r="E1106" s="893"/>
      <c r="F1106" s="893"/>
      <c r="G1106" s="893"/>
      <c r="H1106" s="893"/>
      <c r="I1106" s="893"/>
      <c r="J1106" s="893"/>
      <c r="K1106" s="893">
        <f>ROUND(SUM(G824,H824,I824,J824)-INDEX(MO_RIS_NI_NONGAAP_Diluted,1,COLUMN()),6)</f>
        <v>0</v>
      </c>
      <c r="L1106" s="893"/>
      <c r="M1106" s="893"/>
      <c r="N1106" s="893"/>
      <c r="O1106" s="893"/>
      <c r="P1106" s="893">
        <f>ROUND(SUM(L824,M824,N824,O824)-INDEX(MO_RIS_NI_NONGAAP_Diluted,1,COLUMN()),6)</f>
        <v>0</v>
      </c>
      <c r="Q1106" s="893"/>
      <c r="R1106" s="893"/>
      <c r="S1106" s="893"/>
      <c r="T1106" s="893"/>
      <c r="U1106" s="893">
        <f>ROUND(SUM(Q824,R824,S824,T824)-INDEX(MO_RIS_NI_NONGAAP_Diluted,1,COLUMN()),6)</f>
        <v>0</v>
      </c>
      <c r="V1106" s="893"/>
      <c r="W1106" s="893"/>
      <c r="X1106" s="893"/>
      <c r="Y1106" s="893"/>
      <c r="Z1106" s="893">
        <f>ROUND(SUM(V824,W824,X824,Y824)-INDEX(MO_RIS_NI_NONGAAP_Diluted,1,COLUMN()),6)</f>
        <v>0</v>
      </c>
      <c r="AA1106" s="893"/>
      <c r="AB1106" s="893"/>
      <c r="AC1106" s="893"/>
      <c r="AD1106" s="893"/>
      <c r="AE1106" s="893">
        <f>ROUND(SUM(AA824,AB824,AC824,AD824)-INDEX(MO_RIS_NI_NONGAAP_Diluted,1,COLUMN()),6)</f>
        <v>0</v>
      </c>
      <c r="AF1106" s="893"/>
      <c r="AG1106" s="893"/>
      <c r="AH1106" s="893"/>
      <c r="AI1106" s="893"/>
      <c r="AJ1106" s="893">
        <f>ROUND(SUM(AF824,AG824,AH824,AI824)-INDEX(MO_RIS_NI_NONGAAP_Diluted,1,COLUMN()),6)</f>
        <v>0</v>
      </c>
      <c r="AK1106" s="893"/>
      <c r="AL1106" s="893"/>
      <c r="AM1106" s="893"/>
      <c r="AN1106" s="893"/>
      <c r="AO1106" s="893">
        <f>ROUND(SUM(AK824,AL824,AM824,AN824)-INDEX(MO_RIS_NI_NONGAAP_Diluted,1,COLUMN()),6)</f>
        <v>0</v>
      </c>
      <c r="AP1106" s="893"/>
      <c r="AQ1106" s="893"/>
      <c r="AR1106" s="893"/>
      <c r="AS1106" s="893"/>
      <c r="AT1106" s="893">
        <f>ROUND(SUM(AP824,AQ824,AR824,AS824)-INDEX(MO_RIS_NI_NONGAAP_Diluted,1,COLUMN()),6)</f>
        <v>0</v>
      </c>
      <c r="AU1106" s="894"/>
      <c r="AV1106" s="893"/>
      <c r="AW1106" s="893"/>
      <c r="AX1106" s="893"/>
      <c r="AY1106" s="893">
        <f>ROUND(SUM(AU824,AV824,AW824,AX824)-INDEX(MO_RIS_NI_NONGAAP_Diluted,1,COLUMN()),6)</f>
        <v>0</v>
      </c>
      <c r="AZ1106" s="893"/>
      <c r="BA1106" s="893"/>
      <c r="BB1106" s="893"/>
      <c r="BC1106" s="893"/>
      <c r="BD1106" s="893">
        <f ca="1">ROUND(SUM(AZ824,BA824,BB824,BC824)-INDEX(MO_RIS_NI_NONGAAP_Diluted,1,COLUMN()),6)</f>
        <v>0</v>
      </c>
      <c r="BE1106" s="893"/>
      <c r="BF1106" s="893"/>
      <c r="BG1106" s="893"/>
      <c r="BH1106" s="749"/>
    </row>
    <row r="1107" spans="1:60" s="48" customFormat="1" x14ac:dyDescent="0.35">
      <c r="A1107" s="749" t="s">
        <v>226</v>
      </c>
      <c r="B1107" s="751"/>
      <c r="C1107" s="893"/>
      <c r="D1107" s="893"/>
      <c r="E1107" s="893"/>
      <c r="F1107" s="893"/>
      <c r="G1107" s="893"/>
      <c r="H1107" s="893"/>
      <c r="I1107" s="893"/>
      <c r="J1107" s="893"/>
      <c r="K1107" s="893">
        <f ca="1">ROUND(SUM(G959,H959,I959,J959)-SUM(OFFSET(INDEX(MO_CFS_CFO_BeforeWC,1,COLUMN()),ROW(INDEX(MO_SubSection_CFS_CFO,1,COLUMN()))-ROW(INDEX(MO_CFS_CFO_BeforeWC,1,COLUMN())),0,ROW(INDEX(MO_CFS_CFO_BeforeWC,1,COLUMN()))-ROW(INDEX(MO_SubSection_CFS_CFO,1,COLUMN())),1)),6)</f>
        <v>0</v>
      </c>
      <c r="L1107" s="893"/>
      <c r="M1107" s="893"/>
      <c r="N1107" s="893"/>
      <c r="O1107" s="893"/>
      <c r="P1107" s="893">
        <f ca="1">ROUND(SUM(L959,M959,N959,O959)-SUM(OFFSET(INDEX(MO_CFS_CFO_BeforeWC,1,COLUMN()),ROW(INDEX(MO_SubSection_CFS_CFO,1,COLUMN()))-ROW(INDEX(MO_CFS_CFO_BeforeWC,1,COLUMN())),0,ROW(INDEX(MO_CFS_CFO_BeforeWC,1,COLUMN()))-ROW(INDEX(MO_SubSection_CFS_CFO,1,COLUMN())),1)),6)</f>
        <v>0</v>
      </c>
      <c r="Q1107" s="893"/>
      <c r="R1107" s="893"/>
      <c r="S1107" s="893"/>
      <c r="T1107" s="893"/>
      <c r="U1107" s="893">
        <f ca="1">ROUND(SUM(Q959,R959,S959,T959)-SUM(OFFSET(INDEX(MO_CFS_CFO_BeforeWC,1,COLUMN()),ROW(INDEX(MO_SubSection_CFS_CFO,1,COLUMN()))-ROW(INDEX(MO_CFS_CFO_BeforeWC,1,COLUMN())),0,ROW(INDEX(MO_CFS_CFO_BeforeWC,1,COLUMN()))-ROW(INDEX(MO_SubSection_CFS_CFO,1,COLUMN())),1)),6)</f>
        <v>0</v>
      </c>
      <c r="V1107" s="893"/>
      <c r="W1107" s="893"/>
      <c r="X1107" s="893"/>
      <c r="Y1107" s="893"/>
      <c r="Z1107" s="893">
        <f ca="1">ROUND(SUM(V959,W959,X959,Y959)-SUM(OFFSET(INDEX(MO_CFS_CFO_BeforeWC,1,COLUMN()),ROW(INDEX(MO_SubSection_CFS_CFO,1,COLUMN()))-ROW(INDEX(MO_CFS_CFO_BeforeWC,1,COLUMN())),0,ROW(INDEX(MO_CFS_CFO_BeforeWC,1,COLUMN()))-ROW(INDEX(MO_SubSection_CFS_CFO,1,COLUMN())),1)),6)</f>
        <v>0</v>
      </c>
      <c r="AA1107" s="893"/>
      <c r="AB1107" s="893"/>
      <c r="AC1107" s="893"/>
      <c r="AD1107" s="893"/>
      <c r="AE1107" s="893">
        <f ca="1">ROUND(SUM(AA959,AB959,AC959,AD959)-SUM(OFFSET(INDEX(MO_CFS_CFO_BeforeWC,1,COLUMN()),ROW(INDEX(MO_SubSection_CFS_CFO,1,COLUMN()))-ROW(INDEX(MO_CFS_CFO_BeforeWC,1,COLUMN())),0,ROW(INDEX(MO_CFS_CFO_BeforeWC,1,COLUMN()))-ROW(INDEX(MO_SubSection_CFS_CFO,1,COLUMN())),1)),6)</f>
        <v>0</v>
      </c>
      <c r="AF1107" s="893"/>
      <c r="AG1107" s="893"/>
      <c r="AH1107" s="893"/>
      <c r="AI1107" s="893"/>
      <c r="AJ1107" s="893">
        <f ca="1">ROUND(SUM(AF959,AG959,AH959,AI959)-SUM(OFFSET(INDEX(MO_CFS_CFO_BeforeWC,1,COLUMN()),ROW(INDEX(MO_SubSection_CFS_CFO,1,COLUMN()))-ROW(INDEX(MO_CFS_CFO_BeforeWC,1,COLUMN())),0,ROW(INDEX(MO_CFS_CFO_BeforeWC,1,COLUMN()))-ROW(INDEX(MO_SubSection_CFS_CFO,1,COLUMN())),1)),6)</f>
        <v>0</v>
      </c>
      <c r="AK1107" s="893"/>
      <c r="AL1107" s="893"/>
      <c r="AM1107" s="893"/>
      <c r="AN1107" s="893"/>
      <c r="AO1107" s="893">
        <f ca="1">ROUND(SUM(AK959,AL959,AM959,AN959)-SUM(OFFSET(INDEX(MO_CFS_CFO_BeforeWC,1,COLUMN()),ROW(INDEX(MO_SubSection_CFS_CFO,1,COLUMN()))-ROW(INDEX(MO_CFS_CFO_BeforeWC,1,COLUMN())),0,ROW(INDEX(MO_CFS_CFO_BeforeWC,1,COLUMN()))-ROW(INDEX(MO_SubSection_CFS_CFO,1,COLUMN())),1)),6)</f>
        <v>0</v>
      </c>
      <c r="AP1107" s="893"/>
      <c r="AQ1107" s="893"/>
      <c r="AR1107" s="893"/>
      <c r="AS1107" s="893"/>
      <c r="AT1107" s="893">
        <f ca="1">ROUND(SUM(AP959,AQ959,AR959,AS959)-SUM(OFFSET(INDEX(MO_CFS_CFO_BeforeWC,1,COLUMN()),ROW(INDEX(MO_SubSection_CFS_CFO,1,COLUMN()))-ROW(INDEX(MO_CFS_CFO_BeforeWC,1,COLUMN())),0,ROW(INDEX(MO_CFS_CFO_BeforeWC,1,COLUMN()))-ROW(INDEX(MO_SubSection_CFS_CFO,1,COLUMN())),1)),6)</f>
        <v>0</v>
      </c>
      <c r="AU1107" s="894"/>
      <c r="AV1107" s="893"/>
      <c r="AW1107" s="893"/>
      <c r="AX1107" s="893"/>
      <c r="AY1107" s="893">
        <f ca="1">ROUND(SUM(AU959,AV959,AW959,AX959)-SUM(OFFSET(INDEX(MO_CFS_CFO_BeforeWC,1,COLUMN()),ROW(INDEX(MO_SubSection_CFS_CFO,1,COLUMN()))-ROW(INDEX(MO_CFS_CFO_BeforeWC,1,COLUMN())),0,ROW(INDEX(MO_CFS_CFO_BeforeWC,1,COLUMN()))-ROW(INDEX(MO_SubSection_CFS_CFO,1,COLUMN())),1)),6)</f>
        <v>0</v>
      </c>
      <c r="AZ1107" s="893"/>
      <c r="BA1107" s="893"/>
      <c r="BB1107" s="893"/>
      <c r="BC1107" s="893"/>
      <c r="BD1107" s="893">
        <f ca="1">ROUND(SUM(AZ959,BA959,BB959,BC959)-SUM(OFFSET(INDEX(MO_CFS_CFO_BeforeWC,1,COLUMN()),ROW(INDEX(MO_SubSection_CFS_CFO,1,COLUMN()))-ROW(INDEX(MO_CFS_CFO_BeforeWC,1,COLUMN())),0,ROW(INDEX(MO_CFS_CFO_BeforeWC,1,COLUMN()))-ROW(INDEX(MO_SubSection_CFS_CFO,1,COLUMN())),1)),6)</f>
        <v>0</v>
      </c>
      <c r="BE1107" s="893"/>
      <c r="BF1107" s="893"/>
      <c r="BG1107" s="893"/>
      <c r="BH1107" s="749"/>
    </row>
    <row r="1108" spans="1:60" s="48" customFormat="1" x14ac:dyDescent="0.35">
      <c r="A1108" s="749" t="s">
        <v>227</v>
      </c>
      <c r="B1108" s="751"/>
      <c r="C1108" s="893"/>
      <c r="D1108" s="893"/>
      <c r="E1108" s="893"/>
      <c r="F1108" s="893"/>
      <c r="G1108" s="893"/>
      <c r="H1108" s="893"/>
      <c r="I1108" s="893"/>
      <c r="J1108" s="893"/>
      <c r="K1108" s="893">
        <f ca="1">ROUND(SUM(G966,H966,I966,J966)-SUM(OFFSET(INDEX(MO_CFS_CFO,1,COLUMN()),ROW(INDEX(MO_CFS_CFO_BeforeWC,1,COLUMN()))-ROW(INDEX(MO_CFS_CFO,1,COLUMN())),0,ROW(INDEX(MO_CFS_CFO,1,COLUMN()))-ROW(INDEX(MO_CFS_CFO_BeforeWC,1,COLUMN())),1)),6)</f>
        <v>0</v>
      </c>
      <c r="L1108" s="893"/>
      <c r="M1108" s="893"/>
      <c r="N1108" s="893"/>
      <c r="O1108" s="893"/>
      <c r="P1108" s="893">
        <f ca="1">ROUND(SUM(L966,M966,N966,O966)-SUM(OFFSET(INDEX(MO_CFS_CFO,1,COLUMN()),ROW(INDEX(MO_CFS_CFO_BeforeWC,1,COLUMN()))-ROW(INDEX(MO_CFS_CFO,1,COLUMN())),0,ROW(INDEX(MO_CFS_CFO,1,COLUMN()))-ROW(INDEX(MO_CFS_CFO_BeforeWC,1,COLUMN())),1)),6)</f>
        <v>0</v>
      </c>
      <c r="Q1108" s="893"/>
      <c r="R1108" s="893"/>
      <c r="S1108" s="893"/>
      <c r="T1108" s="893"/>
      <c r="U1108" s="893">
        <f ca="1">ROUND(SUM(Q966,R966,S966,T966)-SUM(OFFSET(INDEX(MO_CFS_CFO,1,COLUMN()),ROW(INDEX(MO_CFS_CFO_BeforeWC,1,COLUMN()))-ROW(INDEX(MO_CFS_CFO,1,COLUMN())),0,ROW(INDEX(MO_CFS_CFO,1,COLUMN()))-ROW(INDEX(MO_CFS_CFO_BeforeWC,1,COLUMN())),1)),6)</f>
        <v>0</v>
      </c>
      <c r="V1108" s="893"/>
      <c r="W1108" s="893"/>
      <c r="X1108" s="893"/>
      <c r="Y1108" s="893"/>
      <c r="Z1108" s="893">
        <f ca="1">ROUND(SUM(V966,W966,X966,Y966)-SUM(OFFSET(INDEX(MO_CFS_CFO,1,COLUMN()),ROW(INDEX(MO_CFS_CFO_BeforeWC,1,COLUMN()))-ROW(INDEX(MO_CFS_CFO,1,COLUMN())),0,ROW(INDEX(MO_CFS_CFO,1,COLUMN()))-ROW(INDEX(MO_CFS_CFO_BeforeWC,1,COLUMN())),1)),6)</f>
        <v>0</v>
      </c>
      <c r="AA1108" s="893"/>
      <c r="AB1108" s="893"/>
      <c r="AC1108" s="893"/>
      <c r="AD1108" s="893"/>
      <c r="AE1108" s="893">
        <f ca="1">ROUND(SUM(AA966,AB966,AC966,AD966)-SUM(OFFSET(INDEX(MO_CFS_CFO,1,COLUMN()),ROW(INDEX(MO_CFS_CFO_BeforeWC,1,COLUMN()))-ROW(INDEX(MO_CFS_CFO,1,COLUMN())),0,ROW(INDEX(MO_CFS_CFO,1,COLUMN()))-ROW(INDEX(MO_CFS_CFO_BeforeWC,1,COLUMN())),1)),6)</f>
        <v>0</v>
      </c>
      <c r="AF1108" s="893"/>
      <c r="AG1108" s="893"/>
      <c r="AH1108" s="893"/>
      <c r="AI1108" s="893"/>
      <c r="AJ1108" s="893">
        <f ca="1">ROUND(SUM(AF966,AG966,AH966,AI966)-SUM(OFFSET(INDEX(MO_CFS_CFO,1,COLUMN()),ROW(INDEX(MO_CFS_CFO_BeforeWC,1,COLUMN()))-ROW(INDEX(MO_CFS_CFO,1,COLUMN())),0,ROW(INDEX(MO_CFS_CFO,1,COLUMN()))-ROW(INDEX(MO_CFS_CFO_BeforeWC,1,COLUMN())),1)),6)</f>
        <v>0</v>
      </c>
      <c r="AK1108" s="893"/>
      <c r="AL1108" s="893"/>
      <c r="AM1108" s="893"/>
      <c r="AN1108" s="893"/>
      <c r="AO1108" s="893">
        <f ca="1">ROUND(SUM(AK966,AL966,AM966,AN966)-SUM(OFFSET(INDEX(MO_CFS_CFO,1,COLUMN()),ROW(INDEX(MO_CFS_CFO_BeforeWC,1,COLUMN()))-ROW(INDEX(MO_CFS_CFO,1,COLUMN())),0,ROW(INDEX(MO_CFS_CFO,1,COLUMN()))-ROW(INDEX(MO_CFS_CFO_BeforeWC,1,COLUMN())),1)),6)</f>
        <v>0</v>
      </c>
      <c r="AP1108" s="893"/>
      <c r="AQ1108" s="893"/>
      <c r="AR1108" s="893"/>
      <c r="AS1108" s="893"/>
      <c r="AT1108" s="893">
        <f ca="1">ROUND(SUM(AP966,AQ966,AR966,AS966)-SUM(OFFSET(INDEX(MO_CFS_CFO,1,COLUMN()),ROW(INDEX(MO_CFS_CFO_BeforeWC,1,COLUMN()))-ROW(INDEX(MO_CFS_CFO,1,COLUMN())),0,ROW(INDEX(MO_CFS_CFO,1,COLUMN()))-ROW(INDEX(MO_CFS_CFO_BeforeWC,1,COLUMN())),1)),6)</f>
        <v>0</v>
      </c>
      <c r="AU1108" s="894"/>
      <c r="AV1108" s="893"/>
      <c r="AW1108" s="893"/>
      <c r="AX1108" s="893"/>
      <c r="AY1108" s="893">
        <f ca="1">ROUND(SUM(AU966,AV966,AW966,AX966)-SUM(OFFSET(INDEX(MO_CFS_CFO,1,COLUMN()),ROW(INDEX(MO_CFS_CFO_BeforeWC,1,COLUMN()))-ROW(INDEX(MO_CFS_CFO,1,COLUMN())),0,ROW(INDEX(MO_CFS_CFO,1,COLUMN()))-ROW(INDEX(MO_CFS_CFO_BeforeWC,1,COLUMN())),1)),6)</f>
        <v>0</v>
      </c>
      <c r="AZ1108" s="893"/>
      <c r="BA1108" s="893"/>
      <c r="BB1108" s="893"/>
      <c r="BC1108" s="893"/>
      <c r="BD1108" s="893">
        <f ca="1">ROUND(SUM(AZ966,BA966,BB966,BC966)-SUM(OFFSET(INDEX(MO_CFS_CFO,1,COLUMN()),ROW(INDEX(MO_CFS_CFO_BeforeWC,1,COLUMN()))-ROW(INDEX(MO_CFS_CFO,1,COLUMN())),0,ROW(INDEX(MO_CFS_CFO,1,COLUMN()))-ROW(INDEX(MO_CFS_CFO_BeforeWC,1,COLUMN())),1)),6)</f>
        <v>0</v>
      </c>
      <c r="BE1108" s="893"/>
      <c r="BF1108" s="893"/>
      <c r="BG1108" s="893"/>
      <c r="BH1108" s="749"/>
    </row>
    <row r="1109" spans="1:60" s="48" customFormat="1" x14ac:dyDescent="0.35">
      <c r="A1109" s="749" t="s">
        <v>228</v>
      </c>
      <c r="B1109" s="751"/>
      <c r="C1109" s="893"/>
      <c r="D1109" s="893"/>
      <c r="E1109" s="893"/>
      <c r="F1109" s="893"/>
      <c r="G1109" s="893"/>
      <c r="H1109" s="893"/>
      <c r="I1109" s="893"/>
      <c r="J1109" s="893"/>
      <c r="K1109" s="893">
        <f ca="1">ROUND(SUM(G977,H977,I977,J977)-SUM(OFFSET(INDEX(MO_CFS_CFI,1,COLUMN()),ROW(INDEX(MO_SubSection_CFS_CFI,1,COLUMN()))-ROW(INDEX(MO_CFS_CFI,1,COLUMN())),0,ROW(INDEX(MO_CFS_CFI,1,COLUMN()))-ROW(INDEX(MO_SubSection_CFS_CFI,1,COLUMN())),1)),6)</f>
        <v>0</v>
      </c>
      <c r="L1109" s="893"/>
      <c r="M1109" s="893"/>
      <c r="N1109" s="893"/>
      <c r="O1109" s="893"/>
      <c r="P1109" s="893">
        <f ca="1">ROUND(SUM(L977,M977,N977,O977)-SUM(OFFSET(INDEX(MO_CFS_CFI,1,COLUMN()),ROW(INDEX(MO_SubSection_CFS_CFI,1,COLUMN()))-ROW(INDEX(MO_CFS_CFI,1,COLUMN())),0,ROW(INDEX(MO_CFS_CFI,1,COLUMN()))-ROW(INDEX(MO_SubSection_CFS_CFI,1,COLUMN())),1)),6)</f>
        <v>0</v>
      </c>
      <c r="Q1109" s="893"/>
      <c r="R1109" s="893"/>
      <c r="S1109" s="893"/>
      <c r="T1109" s="893"/>
      <c r="U1109" s="893">
        <f ca="1">ROUND(SUM(Q977,R977,S977,T977)-SUM(OFFSET(INDEX(MO_CFS_CFI,1,COLUMN()),ROW(INDEX(MO_SubSection_CFS_CFI,1,COLUMN()))-ROW(INDEX(MO_CFS_CFI,1,COLUMN())),0,ROW(INDEX(MO_CFS_CFI,1,COLUMN()))-ROW(INDEX(MO_SubSection_CFS_CFI,1,COLUMN())),1)),6)</f>
        <v>0</v>
      </c>
      <c r="V1109" s="893"/>
      <c r="W1109" s="893"/>
      <c r="X1109" s="893"/>
      <c r="Y1109" s="893"/>
      <c r="Z1109" s="893">
        <f ca="1">ROUND(SUM(V977,W977,X977,Y977)-SUM(OFFSET(INDEX(MO_CFS_CFI,1,COLUMN()),ROW(INDEX(MO_SubSection_CFS_CFI,1,COLUMN()))-ROW(INDEX(MO_CFS_CFI,1,COLUMN())),0,ROW(INDEX(MO_CFS_CFI,1,COLUMN()))-ROW(INDEX(MO_SubSection_CFS_CFI,1,COLUMN())),1)),6)</f>
        <v>0</v>
      </c>
      <c r="AA1109" s="893"/>
      <c r="AB1109" s="893"/>
      <c r="AC1109" s="893"/>
      <c r="AD1109" s="893"/>
      <c r="AE1109" s="893">
        <f ca="1">ROUND(SUM(AA977,AB977,AC977,AD977)-SUM(OFFSET(INDEX(MO_CFS_CFI,1,COLUMN()),ROW(INDEX(MO_SubSection_CFS_CFI,1,COLUMN()))-ROW(INDEX(MO_CFS_CFI,1,COLUMN())),0,ROW(INDEX(MO_CFS_CFI,1,COLUMN()))-ROW(INDEX(MO_SubSection_CFS_CFI,1,COLUMN())),1)),6)</f>
        <v>0</v>
      </c>
      <c r="AF1109" s="893"/>
      <c r="AG1109" s="893"/>
      <c r="AH1109" s="893"/>
      <c r="AI1109" s="893"/>
      <c r="AJ1109" s="893">
        <f ca="1">ROUND(SUM(AF977,AG977,AH977,AI977)-SUM(OFFSET(INDEX(MO_CFS_CFI,1,COLUMN()),ROW(INDEX(MO_SubSection_CFS_CFI,1,COLUMN()))-ROW(INDEX(MO_CFS_CFI,1,COLUMN())),0,ROW(INDEX(MO_CFS_CFI,1,COLUMN()))-ROW(INDEX(MO_SubSection_CFS_CFI,1,COLUMN())),1)),6)</f>
        <v>0</v>
      </c>
      <c r="AK1109" s="893"/>
      <c r="AL1109" s="893"/>
      <c r="AM1109" s="893"/>
      <c r="AN1109" s="893"/>
      <c r="AO1109" s="893">
        <f ca="1">ROUND(SUM(AK977,AL977,AM977,AN977)-SUM(OFFSET(INDEX(MO_CFS_CFI,1,COLUMN()),ROW(INDEX(MO_SubSection_CFS_CFI,1,COLUMN()))-ROW(INDEX(MO_CFS_CFI,1,COLUMN())),0,ROW(INDEX(MO_CFS_CFI,1,COLUMN()))-ROW(INDEX(MO_SubSection_CFS_CFI,1,COLUMN())),1)),6)</f>
        <v>0</v>
      </c>
      <c r="AP1109" s="893"/>
      <c r="AQ1109" s="893"/>
      <c r="AR1109" s="893"/>
      <c r="AS1109" s="893"/>
      <c r="AT1109" s="893">
        <f ca="1">ROUND(SUM(AP977,AQ977,AR977,AS977)-SUM(OFFSET(INDEX(MO_CFS_CFI,1,COLUMN()),ROW(INDEX(MO_SubSection_CFS_CFI,1,COLUMN()))-ROW(INDEX(MO_CFS_CFI,1,COLUMN())),0,ROW(INDEX(MO_CFS_CFI,1,COLUMN()))-ROW(INDEX(MO_SubSection_CFS_CFI,1,COLUMN())),1)),6)</f>
        <v>0</v>
      </c>
      <c r="AU1109" s="894"/>
      <c r="AV1109" s="893"/>
      <c r="AW1109" s="893"/>
      <c r="AX1109" s="893"/>
      <c r="AY1109" s="893">
        <f ca="1">ROUND(SUM(AU977,AV977,AW977,AX977)-SUM(OFFSET(INDEX(MO_CFS_CFI,1,COLUMN()),ROW(INDEX(MO_SubSection_CFS_CFI,1,COLUMN()))-ROW(INDEX(MO_CFS_CFI,1,COLUMN())),0,ROW(INDEX(MO_CFS_CFI,1,COLUMN()))-ROW(INDEX(MO_SubSection_CFS_CFI,1,COLUMN())),1)),6)</f>
        <v>0</v>
      </c>
      <c r="AZ1109" s="893"/>
      <c r="BA1109" s="893"/>
      <c r="BB1109" s="893"/>
      <c r="BC1109" s="893"/>
      <c r="BD1109" s="893">
        <f ca="1">ROUND(SUM(AZ977,BA977,BB977,BC977)-SUM(OFFSET(INDEX(MO_CFS_CFI,1,COLUMN()),ROW(INDEX(MO_SubSection_CFS_CFI,1,COLUMN()))-ROW(INDEX(MO_CFS_CFI,1,COLUMN())),0,ROW(INDEX(MO_CFS_CFI,1,COLUMN()))-ROW(INDEX(MO_SubSection_CFS_CFI,1,COLUMN())),1)),6)</f>
        <v>0</v>
      </c>
      <c r="BE1109" s="893"/>
      <c r="BF1109" s="893"/>
      <c r="BG1109" s="893"/>
      <c r="BH1109" s="749"/>
    </row>
    <row r="1110" spans="1:60" s="48" customFormat="1" x14ac:dyDescent="0.35">
      <c r="A1110" s="749" t="s">
        <v>229</v>
      </c>
      <c r="B1110" s="751"/>
      <c r="C1110" s="893"/>
      <c r="D1110" s="893"/>
      <c r="E1110" s="893"/>
      <c r="F1110" s="893"/>
      <c r="G1110" s="893"/>
      <c r="H1110" s="893"/>
      <c r="I1110" s="893"/>
      <c r="J1110" s="893"/>
      <c r="K1110" s="893">
        <f ca="1">ROUND(SUM(G989,H989,I989,J989)-SUM(OFFSET(INDEX(MO_CFS_CFF,1,COLUMN()),ROW(INDEX(MO_SubSection_CFS_CFF,1,COLUMN()))-ROW(INDEX(MO_CFS_CFF,1,COLUMN())),0,ROW(INDEX(MO_CFS_CFF,1,COLUMN()))-ROW(INDEX(MO_SubSection_CFS_CFF,1,COLUMN())),1)),6)</f>
        <v>0</v>
      </c>
      <c r="L1110" s="893"/>
      <c r="M1110" s="893"/>
      <c r="N1110" s="893"/>
      <c r="O1110" s="893"/>
      <c r="P1110" s="893">
        <f ca="1">ROUND(SUM(L989,M989,N989,O989)-SUM(OFFSET(INDEX(MO_CFS_CFF,1,COLUMN()),ROW(INDEX(MO_SubSection_CFS_CFF,1,COLUMN()))-ROW(INDEX(MO_CFS_CFF,1,COLUMN())),0,ROW(INDEX(MO_CFS_CFF,1,COLUMN()))-ROW(INDEX(MO_SubSection_CFS_CFF,1,COLUMN())),1)),6)</f>
        <v>0</v>
      </c>
      <c r="Q1110" s="893"/>
      <c r="R1110" s="893"/>
      <c r="S1110" s="893"/>
      <c r="T1110" s="893"/>
      <c r="U1110" s="893">
        <f ca="1">ROUND(SUM(Q989,R989,S989,T989)-SUM(OFFSET(INDEX(MO_CFS_CFF,1,COLUMN()),ROW(INDEX(MO_SubSection_CFS_CFF,1,COLUMN()))-ROW(INDEX(MO_CFS_CFF,1,COLUMN())),0,ROW(INDEX(MO_CFS_CFF,1,COLUMN()))-ROW(INDEX(MO_SubSection_CFS_CFF,1,COLUMN())),1)),6)</f>
        <v>0</v>
      </c>
      <c r="V1110" s="893"/>
      <c r="W1110" s="893"/>
      <c r="X1110" s="893"/>
      <c r="Y1110" s="893"/>
      <c r="Z1110" s="893">
        <f ca="1">ROUND(SUM(V989,W989,X989,Y989)-SUM(OFFSET(INDEX(MO_CFS_CFF,1,COLUMN()),ROW(INDEX(MO_SubSection_CFS_CFF,1,COLUMN()))-ROW(INDEX(MO_CFS_CFF,1,COLUMN())),0,ROW(INDEX(MO_CFS_CFF,1,COLUMN()))-ROW(INDEX(MO_SubSection_CFS_CFF,1,COLUMN())),1)),6)</f>
        <v>0</v>
      </c>
      <c r="AA1110" s="893"/>
      <c r="AB1110" s="893"/>
      <c r="AC1110" s="893"/>
      <c r="AD1110" s="893"/>
      <c r="AE1110" s="893">
        <f ca="1">ROUND(SUM(AA989,AB989,AC989,AD989)-SUM(OFFSET(INDEX(MO_CFS_CFF,1,COLUMN()),ROW(INDEX(MO_SubSection_CFS_CFF,1,COLUMN()))-ROW(INDEX(MO_CFS_CFF,1,COLUMN())),0,ROW(INDEX(MO_CFS_CFF,1,COLUMN()))-ROW(INDEX(MO_SubSection_CFS_CFF,1,COLUMN())),1)),6)</f>
        <v>0</v>
      </c>
      <c r="AF1110" s="893"/>
      <c r="AG1110" s="893"/>
      <c r="AH1110" s="893"/>
      <c r="AI1110" s="893"/>
      <c r="AJ1110" s="893">
        <f ca="1">ROUND(SUM(AF989,AG989,AH989,AI989)-SUM(OFFSET(INDEX(MO_CFS_CFF,1,COLUMN()),ROW(INDEX(MO_SubSection_CFS_CFF,1,COLUMN()))-ROW(INDEX(MO_CFS_CFF,1,COLUMN())),0,ROW(INDEX(MO_CFS_CFF,1,COLUMN()))-ROW(INDEX(MO_SubSection_CFS_CFF,1,COLUMN())),1)),6)</f>
        <v>0</v>
      </c>
      <c r="AK1110" s="893"/>
      <c r="AL1110" s="893"/>
      <c r="AM1110" s="893"/>
      <c r="AN1110" s="893"/>
      <c r="AO1110" s="893">
        <f ca="1">ROUND(SUM(AK989,AL989,AM989,AN989)-SUM(OFFSET(INDEX(MO_CFS_CFF,1,COLUMN()),ROW(INDEX(MO_SubSection_CFS_CFF,1,COLUMN()))-ROW(INDEX(MO_CFS_CFF,1,COLUMN())),0,ROW(INDEX(MO_CFS_CFF,1,COLUMN()))-ROW(INDEX(MO_SubSection_CFS_CFF,1,COLUMN())),1)),6)</f>
        <v>0</v>
      </c>
      <c r="AP1110" s="893"/>
      <c r="AQ1110" s="893"/>
      <c r="AR1110" s="893"/>
      <c r="AS1110" s="893"/>
      <c r="AT1110" s="893">
        <f ca="1">ROUND(SUM(AP989,AQ989,AR989,AS989)-SUM(OFFSET(INDEX(MO_CFS_CFF,1,COLUMN()),ROW(INDEX(MO_SubSection_CFS_CFF,1,COLUMN()))-ROW(INDEX(MO_CFS_CFF,1,COLUMN())),0,ROW(INDEX(MO_CFS_CFF,1,COLUMN()))-ROW(INDEX(MO_SubSection_CFS_CFF,1,COLUMN())),1)),6)</f>
        <v>0</v>
      </c>
      <c r="AU1110" s="894"/>
      <c r="AV1110" s="893"/>
      <c r="AW1110" s="893"/>
      <c r="AX1110" s="893"/>
      <c r="AY1110" s="893">
        <f ca="1">ROUND(SUM(AU989,AV989,AW989,AX989)-SUM(OFFSET(INDEX(MO_CFS_CFF,1,COLUMN()),ROW(INDEX(MO_SubSection_CFS_CFF,1,COLUMN()))-ROW(INDEX(MO_CFS_CFF,1,COLUMN())),0,ROW(INDEX(MO_CFS_CFF,1,COLUMN()))-ROW(INDEX(MO_SubSection_CFS_CFF,1,COLUMN())),1)),6)</f>
        <v>0</v>
      </c>
      <c r="AZ1110" s="893"/>
      <c r="BA1110" s="893"/>
      <c r="BB1110" s="893"/>
      <c r="BC1110" s="893"/>
      <c r="BD1110" s="893">
        <f ca="1">ROUND(SUM(AZ989,BA989,BB989,BC989)-SUM(OFFSET(INDEX(MO_CFS_CFF,1,COLUMN()),ROW(INDEX(MO_SubSection_CFS_CFF,1,COLUMN()))-ROW(INDEX(MO_CFS_CFF,1,COLUMN())),0,ROW(INDEX(MO_CFS_CFF,1,COLUMN()))-ROW(INDEX(MO_SubSection_CFS_CFF,1,COLUMN())),1)),6)</f>
        <v>0</v>
      </c>
      <c r="BE1110" s="893"/>
      <c r="BF1110" s="893"/>
      <c r="BG1110" s="893"/>
      <c r="BH1110" s="749"/>
    </row>
    <row r="1111" spans="1:60" s="48" customFormat="1" x14ac:dyDescent="0.35">
      <c r="A1111" s="749" t="s">
        <v>230</v>
      </c>
      <c r="B1111" s="751"/>
      <c r="C1111" s="893"/>
      <c r="D1111" s="893"/>
      <c r="E1111" s="893"/>
      <c r="F1111" s="893"/>
      <c r="G1111" s="893"/>
      <c r="H1111" s="893"/>
      <c r="I1111" s="893"/>
      <c r="J1111" s="893"/>
      <c r="K1111" s="893">
        <f>ROUND(SUM(INDEX(MO_CFSum_Acquisition,0,COLUMN()),INDEX(MO_CFSum_Capex,0,COLUMN()),INDEX(MO_CFSum_Divestiture,0,COLUMN()),INDEX(MO_CFSum_Dividend,0,COLUMN()))-SUM(G844,H844,I844,J844,G845,H845,I845,J845,G846,H846,I846,J846)-SUM(G842,H842,I842,J842),6)</f>
        <v>0</v>
      </c>
      <c r="L1111" s="893"/>
      <c r="M1111" s="893"/>
      <c r="N1111" s="893"/>
      <c r="O1111" s="893"/>
      <c r="P1111" s="893">
        <f>ROUND(SUM(INDEX(MO_CFSum_Acquisition,0,COLUMN()),INDEX(MO_CFSum_Capex,0,COLUMN()),INDEX(MO_CFSum_Divestiture,0,COLUMN()),INDEX(MO_CFSum_Dividend,0,COLUMN()))-SUM(L844,M844,N844,O844,L845,M845,N845,O845,L846,M846,N846,O846)-SUM(L842,M842,N842,O842),6)</f>
        <v>0</v>
      </c>
      <c r="Q1111" s="893"/>
      <c r="R1111" s="893"/>
      <c r="S1111" s="893"/>
      <c r="T1111" s="893"/>
      <c r="U1111" s="893">
        <f>ROUND(SUM(INDEX(MO_CFSum_Acquisition,0,COLUMN()),INDEX(MO_CFSum_Capex,0,COLUMN()),INDEX(MO_CFSum_Divestiture,0,COLUMN()),INDEX(MO_CFSum_Dividend,0,COLUMN()))-SUM(Q844,R844,S844,T844,Q845,R845,S845,T845,Q846,R846,S846,T846)-SUM(Q842,R842,S842,T842),6)</f>
        <v>0</v>
      </c>
      <c r="V1111" s="893"/>
      <c r="W1111" s="893"/>
      <c r="X1111" s="893"/>
      <c r="Y1111" s="893"/>
      <c r="Z1111" s="893">
        <f>ROUND(SUM(INDEX(MO_CFSum_Acquisition,0,COLUMN()),INDEX(MO_CFSum_Capex,0,COLUMN()),INDEX(MO_CFSum_Divestiture,0,COLUMN()),INDEX(MO_CFSum_Dividend,0,COLUMN()))-SUM(V844,W844,X844,Y844,V845,W845,X845,Y845,V846,W846,X846,Y846)-SUM(V842,W842,X842,Y842),6)</f>
        <v>0</v>
      </c>
      <c r="AA1111" s="893"/>
      <c r="AB1111" s="893"/>
      <c r="AC1111" s="893"/>
      <c r="AD1111" s="893"/>
      <c r="AE1111" s="893">
        <f>ROUND(SUM(INDEX(MO_CFSum_Acquisition,0,COLUMN()),INDEX(MO_CFSum_Capex,0,COLUMN()),INDEX(MO_CFSum_Divestiture,0,COLUMN()),INDEX(MO_CFSum_Dividend,0,COLUMN()))-SUM(AA844,AB844,AC844,AD844,AA845,AB845,AC845,AD845,AA846,AB846,AC846,AD846)-SUM(AA842,AB842,AC842,AD842),6)</f>
        <v>0</v>
      </c>
      <c r="AF1111" s="893"/>
      <c r="AG1111" s="893"/>
      <c r="AH1111" s="893"/>
      <c r="AI1111" s="893"/>
      <c r="AJ1111" s="893">
        <f>ROUND(SUM(INDEX(MO_CFSum_Acquisition,0,COLUMN()),INDEX(MO_CFSum_Capex,0,COLUMN()),INDEX(MO_CFSum_Divestiture,0,COLUMN()),INDEX(MO_CFSum_Dividend,0,COLUMN()))-SUM(AF844,AG844,AH844,AI844,AF845,AG845,AH845,AI845,AF846,AG846,AH846,AI846)-SUM(AF842,AG842,AH842,AI842),6)</f>
        <v>0</v>
      </c>
      <c r="AK1111" s="893"/>
      <c r="AL1111" s="893"/>
      <c r="AM1111" s="893"/>
      <c r="AN1111" s="893"/>
      <c r="AO1111" s="893">
        <f>ROUND(SUM(INDEX(MO_CFSum_Acquisition,0,COLUMN()),INDEX(MO_CFSum_Capex,0,COLUMN()),INDEX(MO_CFSum_Divestiture,0,COLUMN()),INDEX(MO_CFSum_Dividend,0,COLUMN()))-SUM(AK844,AL844,AM844,AN844,AK845,AL845,AM845,AN845,AK846,AL846,AM846,AN846)-SUM(AK842,AL842,AM842,AN842),6)</f>
        <v>0</v>
      </c>
      <c r="AP1111" s="893"/>
      <c r="AQ1111" s="893"/>
      <c r="AR1111" s="893"/>
      <c r="AS1111" s="893"/>
      <c r="AT1111" s="893">
        <f>ROUND(SUM(INDEX(MO_CFSum_Acquisition,0,COLUMN()),INDEX(MO_CFSum_Capex,0,COLUMN()),INDEX(MO_CFSum_Divestiture,0,COLUMN()),INDEX(MO_CFSum_Dividend,0,COLUMN()))-SUM(AP844,AQ844,AR844,AS844,AP845,AQ845,AR845,AS845,AP846,AQ846,AR846,AS846)-SUM(AP842,AQ842,AR842,AS842),6)</f>
        <v>0</v>
      </c>
      <c r="AU1111" s="894"/>
      <c r="AV1111" s="893"/>
      <c r="AW1111" s="893"/>
      <c r="AX1111" s="893"/>
      <c r="AY1111" s="893">
        <f ca="1">ROUND(SUM(INDEX(MO_CFSum_Acquisition,0,COLUMN()),INDEX(MO_CFSum_Capex,0,COLUMN()),INDEX(MO_CFSum_Divestiture,0,COLUMN()),INDEX(MO_CFSum_Dividend,0,COLUMN()))-SUM(AU844,AV844,AW844,AX844,AU845,AV845,AW845,AX845,AU846,AV846,AW846,AX846)-SUM(AU842,AV842,AW842,AX842),6)</f>
        <v>0</v>
      </c>
      <c r="AZ1111" s="893"/>
      <c r="BA1111" s="893"/>
      <c r="BB1111" s="893"/>
      <c r="BC1111" s="893"/>
      <c r="BD1111" s="893">
        <f ca="1">ROUND(SUM(INDEX(MO_CFSum_Acquisition,0,COLUMN()),INDEX(MO_CFSum_Capex,0,COLUMN()),INDEX(MO_CFSum_Divestiture,0,COLUMN()),INDEX(MO_CFSum_Dividend,0,COLUMN()))-SUM(AZ844,BA844,BB844,BC844,AZ845,BA845,BB845,BC845,AZ846,BA846,BB846,BC846)-SUM(AZ842,BA842,BB842,BC842),6)</f>
        <v>0</v>
      </c>
      <c r="BE1111" s="893"/>
      <c r="BF1111" s="893"/>
      <c r="BG1111" s="893"/>
      <c r="BH1111" s="749"/>
    </row>
    <row r="1112" spans="1:60" s="48" customFormat="1" x14ac:dyDescent="0.35">
      <c r="A1112" s="747"/>
      <c r="B1112" s="751"/>
      <c r="C1112" s="891"/>
      <c r="D1112" s="891"/>
      <c r="E1112" s="891"/>
      <c r="F1112" s="891"/>
      <c r="G1112" s="891"/>
      <c r="H1112" s="891"/>
      <c r="I1112" s="891"/>
      <c r="J1112" s="891"/>
      <c r="K1112" s="891"/>
      <c r="L1112" s="891"/>
      <c r="M1112" s="891"/>
      <c r="N1112" s="891"/>
      <c r="O1112" s="891"/>
      <c r="P1112" s="891"/>
      <c r="Q1112" s="891"/>
      <c r="R1112" s="891"/>
      <c r="S1112" s="891"/>
      <c r="T1112" s="891"/>
      <c r="U1112" s="891"/>
      <c r="V1112" s="891"/>
      <c r="W1112" s="877"/>
      <c r="X1112" s="877"/>
      <c r="Y1112" s="891"/>
      <c r="Z1112" s="891"/>
      <c r="AA1112" s="891"/>
      <c r="AB1112" s="877"/>
      <c r="AC1112" s="877"/>
      <c r="AD1112" s="891"/>
      <c r="AE1112" s="891"/>
      <c r="AF1112" s="891"/>
      <c r="AG1112" s="877"/>
      <c r="AH1112" s="877"/>
      <c r="AI1112" s="891"/>
      <c r="AJ1112" s="891"/>
      <c r="AK1112" s="891"/>
      <c r="AL1112" s="877"/>
      <c r="AM1112" s="877"/>
      <c r="AN1112" s="891"/>
      <c r="AO1112" s="891"/>
      <c r="AP1112" s="891"/>
      <c r="AQ1112" s="877"/>
      <c r="AR1112" s="877"/>
      <c r="AS1112" s="891"/>
      <c r="AT1112" s="891"/>
      <c r="AU1112" s="892"/>
      <c r="AV1112" s="877"/>
      <c r="AW1112" s="877"/>
      <c r="AX1112" s="877"/>
      <c r="AY1112" s="877"/>
      <c r="AZ1112" s="877"/>
      <c r="BA1112" s="877"/>
      <c r="BB1112" s="877"/>
      <c r="BC1112" s="877"/>
      <c r="BD1112" s="877"/>
      <c r="BE1112" s="877"/>
      <c r="BF1112" s="877"/>
      <c r="BG1112" s="877"/>
      <c r="BH1112" s="749"/>
    </row>
    <row r="1113" spans="1:60" s="21" customFormat="1" x14ac:dyDescent="0.35">
      <c r="A1113" s="750" t="s">
        <v>231</v>
      </c>
      <c r="B1113" s="750"/>
      <c r="C1113" s="750"/>
      <c r="D1113" s="750"/>
      <c r="E1113" s="750"/>
      <c r="F1113" s="750"/>
      <c r="G1113" s="750"/>
      <c r="H1113" s="750"/>
      <c r="I1113" s="750"/>
      <c r="J1113" s="750"/>
      <c r="K1113" s="750"/>
      <c r="L1113" s="750"/>
      <c r="M1113" s="750"/>
      <c r="N1113" s="750"/>
      <c r="O1113" s="750"/>
      <c r="P1113" s="750"/>
      <c r="Q1113" s="750"/>
      <c r="R1113" s="750"/>
      <c r="S1113" s="750"/>
      <c r="T1113" s="750"/>
      <c r="U1113" s="750"/>
      <c r="V1113" s="750"/>
      <c r="W1113" s="750"/>
      <c r="X1113" s="750"/>
      <c r="Y1113" s="750"/>
      <c r="Z1113" s="750"/>
      <c r="AA1113" s="750"/>
      <c r="AB1113" s="750"/>
      <c r="AC1113" s="750"/>
      <c r="AD1113" s="750"/>
      <c r="AE1113" s="750"/>
      <c r="AF1113" s="750"/>
      <c r="AG1113" s="750"/>
      <c r="AH1113" s="750"/>
      <c r="AI1113" s="750"/>
      <c r="AJ1113" s="750"/>
      <c r="AK1113" s="750"/>
      <c r="AL1113" s="750"/>
      <c r="AM1113" s="750"/>
      <c r="AN1113" s="750"/>
      <c r="AO1113" s="750"/>
      <c r="AP1113" s="750"/>
      <c r="AQ1113" s="750"/>
      <c r="AR1113" s="750"/>
      <c r="AS1113" s="750"/>
      <c r="AT1113" s="750"/>
      <c r="AU1113" s="830"/>
      <c r="AV1113" s="750"/>
      <c r="AW1113" s="750"/>
      <c r="AX1113" s="750"/>
      <c r="AY1113" s="750"/>
      <c r="AZ1113" s="750"/>
      <c r="BA1113" s="750"/>
      <c r="BB1113" s="750"/>
      <c r="BC1113" s="750"/>
      <c r="BD1113" s="750"/>
      <c r="BE1113" s="750"/>
      <c r="BF1113" s="750"/>
      <c r="BG1113" s="750"/>
      <c r="BH1113" s="651"/>
    </row>
    <row r="1114" spans="1:60" s="48" customFormat="1" x14ac:dyDescent="0.35">
      <c r="A1114" s="718"/>
      <c r="B1114" s="747"/>
      <c r="C1114" s="189"/>
      <c r="D1114" s="189"/>
      <c r="E1114" s="747"/>
      <c r="F1114" s="747"/>
      <c r="G1114" s="747"/>
      <c r="H1114" s="747"/>
      <c r="I1114" s="747"/>
      <c r="J1114" s="747"/>
      <c r="K1114" s="747"/>
      <c r="L1114" s="747"/>
      <c r="M1114" s="747"/>
      <c r="N1114" s="747"/>
      <c r="O1114" s="747"/>
      <c r="P1114" s="747"/>
      <c r="Q1114" s="747"/>
      <c r="R1114" s="747"/>
      <c r="S1114" s="747"/>
      <c r="T1114" s="747"/>
      <c r="U1114" s="747"/>
      <c r="V1114" s="747"/>
      <c r="W1114" s="747"/>
      <c r="X1114" s="747"/>
      <c r="Y1114" s="747"/>
      <c r="Z1114" s="747"/>
      <c r="AA1114" s="747"/>
      <c r="AB1114" s="747"/>
      <c r="AC1114" s="747"/>
      <c r="AD1114" s="747"/>
      <c r="AE1114" s="747"/>
      <c r="AF1114" s="747"/>
      <c r="AG1114" s="747"/>
      <c r="AH1114" s="747"/>
      <c r="AI1114" s="747"/>
      <c r="AJ1114" s="747"/>
      <c r="AK1114" s="747"/>
      <c r="AL1114" s="747"/>
      <c r="AM1114" s="747"/>
      <c r="AN1114" s="747"/>
      <c r="AO1114" s="747"/>
      <c r="AP1114" s="747"/>
      <c r="AQ1114" s="747"/>
      <c r="AR1114" s="747"/>
      <c r="AS1114" s="747"/>
      <c r="AT1114" s="747"/>
      <c r="AU1114" s="786"/>
      <c r="AV1114" s="747"/>
      <c r="AW1114" s="747"/>
      <c r="AX1114" s="747"/>
      <c r="AY1114" s="747"/>
      <c r="AZ1114" s="747"/>
      <c r="BA1114" s="747"/>
      <c r="BB1114" s="747"/>
      <c r="BC1114" s="747"/>
      <c r="BD1114" s="747"/>
      <c r="BE1114" s="747"/>
      <c r="BF1114" s="747"/>
      <c r="BG1114" s="747"/>
      <c r="BH1114" s="749"/>
    </row>
    <row r="1115" spans="1:60" s="69" customFormat="1" x14ac:dyDescent="0.35">
      <c r="A1115" s="491" t="s">
        <v>232</v>
      </c>
      <c r="B1115" s="719"/>
      <c r="C1115" s="720"/>
      <c r="D1115" s="720"/>
      <c r="E1115" s="111"/>
      <c r="F1115" s="111"/>
      <c r="G1115" s="111"/>
      <c r="H1115" s="111"/>
      <c r="I1115" s="111"/>
      <c r="J1115" s="111"/>
      <c r="K1115" s="111"/>
      <c r="L1115" s="111"/>
      <c r="M1115" s="111"/>
      <c r="N1115" s="111"/>
      <c r="O1115" s="111"/>
      <c r="P1115" s="111"/>
      <c r="Q1115" s="111"/>
      <c r="R1115" s="111"/>
      <c r="S1115" s="111"/>
      <c r="T1115" s="111"/>
      <c r="U1115" s="111"/>
      <c r="V1115" s="111"/>
      <c r="W1115" s="111"/>
      <c r="X1115" s="111"/>
      <c r="Y1115" s="111"/>
      <c r="Z1115" s="111"/>
      <c r="AA1115" s="111"/>
      <c r="AB1115" s="111"/>
      <c r="AC1115" s="111"/>
      <c r="AD1115" s="111"/>
      <c r="AE1115" s="111"/>
      <c r="AF1115" s="111"/>
      <c r="AG1115" s="111"/>
      <c r="AH1115" s="111"/>
      <c r="AI1115" s="111"/>
      <c r="AJ1115" s="111"/>
      <c r="AK1115" s="111"/>
      <c r="AL1115" s="111"/>
      <c r="AM1115" s="111"/>
      <c r="AN1115" s="111"/>
      <c r="AO1115" s="111"/>
      <c r="AP1115" s="111"/>
      <c r="AQ1115" s="111"/>
      <c r="AR1115" s="111"/>
      <c r="AS1115" s="111"/>
      <c r="AT1115" s="111"/>
      <c r="AU1115" s="792"/>
      <c r="AV1115" s="111"/>
      <c r="AW1115" s="111"/>
      <c r="AX1115" s="111"/>
      <c r="AY1115" s="111"/>
      <c r="AZ1115" s="111"/>
      <c r="BA1115" s="111"/>
      <c r="BB1115" s="111"/>
      <c r="BC1115" s="111"/>
      <c r="BD1115" s="111"/>
      <c r="BE1115" s="111"/>
      <c r="BF1115" s="111"/>
      <c r="BG1115" s="111"/>
      <c r="BH1115" s="79"/>
    </row>
    <row r="1116" spans="1:60" s="60" customFormat="1" x14ac:dyDescent="0.35">
      <c r="A1116" s="492" t="s">
        <v>233</v>
      </c>
      <c r="B1116" s="721"/>
      <c r="C1116" s="653"/>
      <c r="D1116" s="653"/>
      <c r="E1116" s="203"/>
      <c r="F1116" s="203"/>
      <c r="G1116" s="203"/>
      <c r="H1116" s="203"/>
      <c r="I1116" s="203"/>
      <c r="J1116" s="203"/>
      <c r="K1116" s="203"/>
      <c r="L1116" s="203"/>
      <c r="M1116" s="203"/>
      <c r="N1116" s="203"/>
      <c r="O1116" s="203"/>
      <c r="P1116" s="203"/>
      <c r="Q1116" s="203"/>
      <c r="R1116" s="203"/>
      <c r="S1116" s="203"/>
      <c r="T1116" s="203"/>
      <c r="U1116" s="203"/>
      <c r="V1116" s="203"/>
      <c r="W1116" s="203"/>
      <c r="X1116" s="203"/>
      <c r="Y1116" s="203"/>
      <c r="Z1116" s="203"/>
      <c r="AA1116" s="203"/>
      <c r="AB1116" s="203"/>
      <c r="AC1116" s="203"/>
      <c r="AD1116" s="203"/>
      <c r="AE1116" s="203"/>
      <c r="AF1116" s="203"/>
      <c r="AG1116" s="203"/>
      <c r="AH1116" s="203"/>
      <c r="AI1116" s="203"/>
      <c r="AJ1116" s="203"/>
      <c r="AK1116" s="203"/>
      <c r="AL1116" s="203"/>
      <c r="AM1116" s="203"/>
      <c r="AN1116" s="203"/>
      <c r="AO1116" s="203"/>
      <c r="AP1116" s="203"/>
      <c r="AQ1116" s="203"/>
      <c r="AR1116" s="203"/>
      <c r="AS1116" s="203"/>
      <c r="AT1116" s="203"/>
      <c r="AU1116" s="790"/>
      <c r="AV1116" s="203"/>
      <c r="AW1116" s="203"/>
      <c r="AX1116" s="203"/>
      <c r="AY1116" s="203"/>
      <c r="AZ1116" s="203"/>
      <c r="BA1116" s="203"/>
      <c r="BB1116" s="203"/>
      <c r="BC1116" s="203"/>
      <c r="BD1116" s="203"/>
      <c r="BE1116" s="203"/>
      <c r="BF1116" s="203"/>
      <c r="BG1116" s="203"/>
      <c r="BH1116" s="351"/>
    </row>
    <row r="1117" spans="1:60" s="60" customFormat="1" x14ac:dyDescent="0.35">
      <c r="A1117" s="493" t="s">
        <v>234</v>
      </c>
      <c r="B1117" s="721"/>
      <c r="C1117" s="653"/>
      <c r="D1117" s="653"/>
      <c r="E1117" s="203"/>
      <c r="F1117" s="203"/>
      <c r="G1117" s="203"/>
      <c r="H1117" s="203"/>
      <c r="I1117" s="203"/>
      <c r="J1117" s="203"/>
      <c r="K1117" s="203"/>
      <c r="L1117" s="203"/>
      <c r="M1117" s="203"/>
      <c r="N1117" s="203"/>
      <c r="O1117" s="203"/>
      <c r="P1117" s="203"/>
      <c r="Q1117" s="203"/>
      <c r="R1117" s="203"/>
      <c r="S1117" s="203"/>
      <c r="T1117" s="203"/>
      <c r="U1117" s="203"/>
      <c r="V1117" s="203"/>
      <c r="W1117" s="203"/>
      <c r="X1117" s="203"/>
      <c r="Y1117" s="203"/>
      <c r="Z1117" s="203"/>
      <c r="AA1117" s="203"/>
      <c r="AB1117" s="203"/>
      <c r="AC1117" s="203"/>
      <c r="AD1117" s="203"/>
      <c r="AE1117" s="203"/>
      <c r="AF1117" s="203"/>
      <c r="AG1117" s="203"/>
      <c r="AH1117" s="203"/>
      <c r="AI1117" s="203"/>
      <c r="AJ1117" s="203"/>
      <c r="AK1117" s="203"/>
      <c r="AL1117" s="203"/>
      <c r="AM1117" s="203"/>
      <c r="AN1117" s="203"/>
      <c r="AO1117" s="203"/>
      <c r="AP1117" s="203"/>
      <c r="AQ1117" s="203"/>
      <c r="AR1117" s="203"/>
      <c r="AS1117" s="203"/>
      <c r="AT1117" s="203"/>
      <c r="AU1117" s="790"/>
      <c r="AV1117" s="203"/>
      <c r="AW1117" s="203"/>
      <c r="AX1117" s="203"/>
      <c r="AY1117" s="203"/>
      <c r="AZ1117" s="203"/>
      <c r="BA1117" s="203"/>
      <c r="BB1117" s="203"/>
      <c r="BC1117" s="203"/>
      <c r="BD1117" s="203"/>
      <c r="BE1117" s="203"/>
      <c r="BF1117" s="203"/>
      <c r="BG1117" s="203"/>
      <c r="BH1117" s="351"/>
    </row>
    <row r="1118" spans="1:60" s="60" customFormat="1" x14ac:dyDescent="0.35">
      <c r="A1118" s="494" t="s">
        <v>235</v>
      </c>
      <c r="B1118" s="721"/>
      <c r="C1118" s="653"/>
      <c r="D1118" s="653"/>
      <c r="E1118" s="203"/>
      <c r="F1118" s="203"/>
      <c r="G1118" s="203"/>
      <c r="H1118" s="203"/>
      <c r="I1118" s="203"/>
      <c r="J1118" s="203"/>
      <c r="K1118" s="203"/>
      <c r="L1118" s="203"/>
      <c r="M1118" s="203"/>
      <c r="N1118" s="203"/>
      <c r="O1118" s="203"/>
      <c r="P1118" s="203"/>
      <c r="Q1118" s="203"/>
      <c r="R1118" s="203"/>
      <c r="S1118" s="203"/>
      <c r="T1118" s="203"/>
      <c r="U1118" s="203"/>
      <c r="V1118" s="203"/>
      <c r="W1118" s="203"/>
      <c r="X1118" s="203"/>
      <c r="Y1118" s="203"/>
      <c r="Z1118" s="203"/>
      <c r="AA1118" s="203"/>
      <c r="AB1118" s="203"/>
      <c r="AC1118" s="203"/>
      <c r="AD1118" s="203"/>
      <c r="AE1118" s="203"/>
      <c r="AF1118" s="203"/>
      <c r="AG1118" s="203"/>
      <c r="AH1118" s="203"/>
      <c r="AI1118" s="203"/>
      <c r="AJ1118" s="203"/>
      <c r="AK1118" s="203"/>
      <c r="AL1118" s="203"/>
      <c r="AM1118" s="203"/>
      <c r="AN1118" s="203"/>
      <c r="AO1118" s="203"/>
      <c r="AP1118" s="203"/>
      <c r="AQ1118" s="203"/>
      <c r="AR1118" s="203"/>
      <c r="AS1118" s="203"/>
      <c r="AT1118" s="203"/>
      <c r="AU1118" s="790"/>
      <c r="AV1118" s="203"/>
      <c r="AW1118" s="203"/>
      <c r="AX1118" s="203"/>
      <c r="AY1118" s="203"/>
      <c r="AZ1118" s="203"/>
      <c r="BA1118" s="203"/>
      <c r="BB1118" s="203"/>
      <c r="BC1118" s="203"/>
      <c r="BD1118" s="203"/>
      <c r="BE1118" s="203"/>
      <c r="BF1118" s="203"/>
      <c r="BG1118" s="203"/>
      <c r="BH1118" s="351"/>
    </row>
    <row r="1119" spans="1:60" s="60" customFormat="1" x14ac:dyDescent="0.35">
      <c r="A1119" s="627" t="s">
        <v>236</v>
      </c>
      <c r="B1119" s="721"/>
      <c r="C1119" s="653"/>
      <c r="D1119" s="653"/>
      <c r="E1119" s="203"/>
      <c r="F1119" s="203"/>
      <c r="G1119" s="203"/>
      <c r="H1119" s="203"/>
      <c r="I1119" s="203"/>
      <c r="J1119" s="203"/>
      <c r="K1119" s="203"/>
      <c r="L1119" s="203"/>
      <c r="M1119" s="203"/>
      <c r="N1119" s="203"/>
      <c r="O1119" s="203"/>
      <c r="P1119" s="203"/>
      <c r="Q1119" s="203"/>
      <c r="R1119" s="203"/>
      <c r="S1119" s="203"/>
      <c r="T1119" s="203"/>
      <c r="U1119" s="203"/>
      <c r="V1119" s="203"/>
      <c r="W1119" s="203"/>
      <c r="X1119" s="203"/>
      <c r="Y1119" s="203"/>
      <c r="Z1119" s="203"/>
      <c r="AA1119" s="203"/>
      <c r="AB1119" s="203"/>
      <c r="AC1119" s="203"/>
      <c r="AD1119" s="203"/>
      <c r="AE1119" s="203"/>
      <c r="AF1119" s="203"/>
      <c r="AG1119" s="203"/>
      <c r="AH1119" s="203"/>
      <c r="AI1119" s="203"/>
      <c r="AJ1119" s="203"/>
      <c r="AK1119" s="203"/>
      <c r="AL1119" s="203"/>
      <c r="AM1119" s="203"/>
      <c r="AN1119" s="203"/>
      <c r="AO1119" s="203"/>
      <c r="AP1119" s="203"/>
      <c r="AQ1119" s="203"/>
      <c r="AR1119" s="203"/>
      <c r="AS1119" s="203"/>
      <c r="AT1119" s="203"/>
      <c r="AU1119" s="790"/>
      <c r="AV1119" s="203"/>
      <c r="AW1119" s="203"/>
      <c r="AX1119" s="203"/>
      <c r="AY1119" s="203"/>
      <c r="AZ1119" s="203"/>
      <c r="BA1119" s="203"/>
      <c r="BB1119" s="203"/>
      <c r="BC1119" s="203"/>
      <c r="BD1119" s="203"/>
      <c r="BE1119" s="203"/>
      <c r="BF1119" s="203"/>
      <c r="BG1119" s="203"/>
      <c r="BH1119" s="351"/>
    </row>
    <row r="1120" spans="1:60" s="60" customFormat="1" x14ac:dyDescent="0.35">
      <c r="A1120" s="475"/>
      <c r="B1120" s="548"/>
      <c r="C1120" s="653"/>
      <c r="D1120" s="653"/>
      <c r="E1120" s="203"/>
      <c r="F1120" s="203"/>
      <c r="G1120" s="203"/>
      <c r="H1120" s="203"/>
      <c r="I1120" s="203"/>
      <c r="J1120" s="203"/>
      <c r="K1120" s="203"/>
      <c r="L1120" s="203"/>
      <c r="M1120" s="203"/>
      <c r="N1120" s="203"/>
      <c r="O1120" s="203"/>
      <c r="P1120" s="203"/>
      <c r="Q1120" s="203"/>
      <c r="R1120" s="203"/>
      <c r="S1120" s="203"/>
      <c r="T1120" s="203"/>
      <c r="U1120" s="203"/>
      <c r="V1120" s="203"/>
      <c r="W1120" s="203"/>
      <c r="X1120" s="203"/>
      <c r="Y1120" s="203"/>
      <c r="Z1120" s="203"/>
      <c r="AA1120" s="203"/>
      <c r="AB1120" s="203"/>
      <c r="AC1120" s="203"/>
      <c r="AD1120" s="203"/>
      <c r="AE1120" s="203"/>
      <c r="AF1120" s="203"/>
      <c r="AG1120" s="203"/>
      <c r="AH1120" s="203"/>
      <c r="AI1120" s="203"/>
      <c r="AJ1120" s="203"/>
      <c r="AK1120" s="203"/>
      <c r="AL1120" s="203"/>
      <c r="AM1120" s="203"/>
      <c r="AN1120" s="203"/>
      <c r="AO1120" s="203"/>
      <c r="AP1120" s="203"/>
      <c r="AQ1120" s="203"/>
      <c r="AR1120" s="203"/>
      <c r="AS1120" s="203"/>
      <c r="AT1120" s="203"/>
      <c r="AU1120" s="790"/>
      <c r="AV1120" s="203"/>
      <c r="AW1120" s="203"/>
      <c r="AX1120" s="203"/>
      <c r="AY1120" s="203"/>
      <c r="AZ1120" s="203"/>
      <c r="BA1120" s="203"/>
      <c r="BB1120" s="203"/>
      <c r="BC1120" s="203"/>
      <c r="BD1120" s="203"/>
      <c r="BE1120" s="203"/>
      <c r="BF1120" s="203"/>
      <c r="BG1120" s="203"/>
      <c r="BH1120" s="351"/>
    </row>
    <row r="1121" spans="1:60" s="84" customFormat="1" x14ac:dyDescent="0.35">
      <c r="A1121" s="495" t="s">
        <v>237</v>
      </c>
      <c r="B1121" s="752"/>
      <c r="C1121" s="274"/>
      <c r="D1121" s="274"/>
      <c r="E1121" s="274"/>
      <c r="F1121" s="274"/>
      <c r="G1121" s="274"/>
      <c r="H1121" s="274"/>
      <c r="I1121" s="274"/>
      <c r="J1121" s="274"/>
      <c r="K1121" s="274"/>
      <c r="L1121" s="274"/>
      <c r="M1121" s="274"/>
      <c r="N1121" s="274"/>
      <c r="O1121" s="274"/>
      <c r="P1121" s="274"/>
      <c r="Q1121" s="274"/>
      <c r="R1121" s="274"/>
      <c r="S1121" s="274"/>
      <c r="T1121" s="274"/>
      <c r="U1121" s="274"/>
      <c r="V1121" s="274"/>
      <c r="W1121" s="274"/>
      <c r="X1121" s="274"/>
      <c r="Y1121" s="274"/>
      <c r="Z1121" s="274"/>
      <c r="AA1121" s="274"/>
      <c r="AB1121" s="274"/>
      <c r="AC1121" s="274"/>
      <c r="AD1121" s="274"/>
      <c r="AE1121" s="274"/>
      <c r="AF1121" s="274"/>
      <c r="AG1121" s="274"/>
      <c r="AH1121" s="274"/>
      <c r="AI1121" s="274"/>
      <c r="AJ1121" s="274"/>
      <c r="AK1121" s="274"/>
      <c r="AL1121" s="274"/>
      <c r="AM1121" s="274"/>
      <c r="AN1121" s="274"/>
      <c r="AO1121" s="274"/>
      <c r="AP1121" s="274"/>
      <c r="AQ1121" s="274"/>
      <c r="AR1121" s="274"/>
      <c r="AS1121" s="274"/>
      <c r="AT1121" s="274"/>
      <c r="AU1121" s="831"/>
      <c r="AV1121" s="274"/>
      <c r="AW1121" s="274"/>
      <c r="AX1121" s="274"/>
      <c r="AY1121" s="274"/>
      <c r="AZ1121" s="274"/>
      <c r="BA1121" s="274"/>
      <c r="BB1121" s="274"/>
      <c r="BC1121" s="274"/>
      <c r="BD1121" s="274"/>
      <c r="BE1121" s="274"/>
      <c r="BF1121" s="274"/>
      <c r="BG1121" s="274"/>
      <c r="BH1121" s="362"/>
    </row>
    <row r="1122" spans="1:60" s="60" customFormat="1" x14ac:dyDescent="0.35">
      <c r="A1122" s="488" t="s">
        <v>238</v>
      </c>
      <c r="B1122" s="753">
        <v>1</v>
      </c>
      <c r="C1122" s="203"/>
      <c r="D1122" s="653"/>
      <c r="E1122" s="203"/>
      <c r="F1122" s="203"/>
      <c r="G1122" s="203"/>
      <c r="H1122" s="203"/>
      <c r="I1122" s="203"/>
      <c r="J1122" s="203"/>
      <c r="K1122" s="203"/>
      <c r="L1122" s="203"/>
      <c r="M1122" s="203"/>
      <c r="N1122" s="203"/>
      <c r="O1122" s="203"/>
      <c r="P1122" s="203"/>
      <c r="Q1122" s="203"/>
      <c r="R1122" s="203"/>
      <c r="S1122" s="203"/>
      <c r="T1122" s="203"/>
      <c r="U1122" s="203"/>
      <c r="V1122" s="203"/>
      <c r="W1122" s="203"/>
      <c r="X1122" s="203"/>
      <c r="Y1122" s="203"/>
      <c r="Z1122" s="203"/>
      <c r="AA1122" s="203"/>
      <c r="AB1122" s="203"/>
      <c r="AC1122" s="203"/>
      <c r="AD1122" s="203"/>
      <c r="AE1122" s="203"/>
      <c r="AF1122" s="203"/>
      <c r="AG1122" s="203"/>
      <c r="AH1122" s="203"/>
      <c r="AI1122" s="203"/>
      <c r="AJ1122" s="203"/>
      <c r="AK1122" s="203"/>
      <c r="AL1122" s="203"/>
      <c r="AM1122" s="203"/>
      <c r="AN1122" s="203"/>
      <c r="AO1122" s="203"/>
      <c r="AP1122" s="203"/>
      <c r="AQ1122" s="203"/>
      <c r="AR1122" s="203"/>
      <c r="AS1122" s="203"/>
      <c r="AT1122" s="203"/>
      <c r="AU1122" s="790"/>
      <c r="AV1122" s="203"/>
      <c r="AW1122" s="203"/>
      <c r="AX1122" s="203"/>
      <c r="AY1122" s="203"/>
      <c r="AZ1122" s="203"/>
      <c r="BA1122" s="203"/>
      <c r="BB1122" s="203"/>
      <c r="BC1122" s="203"/>
      <c r="BD1122" s="203"/>
      <c r="BE1122" s="203"/>
      <c r="BF1122" s="203"/>
      <c r="BG1122" s="203"/>
      <c r="BH1122" s="351"/>
    </row>
    <row r="1123" spans="1:60" s="60" customFormat="1" x14ac:dyDescent="0.35">
      <c r="A1123" s="488" t="s">
        <v>239</v>
      </c>
      <c r="B1123" s="753">
        <v>2</v>
      </c>
      <c r="C1123" s="203"/>
      <c r="D1123" s="653"/>
      <c r="E1123" s="203"/>
      <c r="F1123" s="203"/>
      <c r="G1123" s="203"/>
      <c r="H1123" s="203"/>
      <c r="I1123" s="203"/>
      <c r="J1123" s="203"/>
      <c r="K1123" s="203"/>
      <c r="L1123" s="203"/>
      <c r="M1123" s="203"/>
      <c r="N1123" s="203"/>
      <c r="O1123" s="203"/>
      <c r="P1123" s="203"/>
      <c r="Q1123" s="203"/>
      <c r="R1123" s="203"/>
      <c r="S1123" s="203"/>
      <c r="T1123" s="203"/>
      <c r="U1123" s="203"/>
      <c r="V1123" s="203"/>
      <c r="W1123" s="203"/>
      <c r="X1123" s="203"/>
      <c r="Y1123" s="203"/>
      <c r="Z1123" s="203"/>
      <c r="AA1123" s="203"/>
      <c r="AB1123" s="203"/>
      <c r="AC1123" s="203"/>
      <c r="AD1123" s="203"/>
      <c r="AE1123" s="203"/>
      <c r="AF1123" s="203"/>
      <c r="AG1123" s="203"/>
      <c r="AH1123" s="203"/>
      <c r="AI1123" s="203"/>
      <c r="AJ1123" s="203"/>
      <c r="AK1123" s="203"/>
      <c r="AL1123" s="203"/>
      <c r="AM1123" s="203"/>
      <c r="AN1123" s="203"/>
      <c r="AO1123" s="203"/>
      <c r="AP1123" s="203"/>
      <c r="AQ1123" s="203"/>
      <c r="AR1123" s="203"/>
      <c r="AS1123" s="203"/>
      <c r="AT1123" s="203"/>
      <c r="AU1123" s="790"/>
      <c r="AV1123" s="203"/>
      <c r="AW1123" s="203"/>
      <c r="AX1123" s="203"/>
      <c r="AY1123" s="203"/>
      <c r="AZ1123" s="203"/>
      <c r="BA1123" s="203"/>
      <c r="BB1123" s="203"/>
      <c r="BC1123" s="203"/>
      <c r="BD1123" s="203"/>
      <c r="BE1123" s="203"/>
      <c r="BF1123" s="203"/>
      <c r="BG1123" s="203"/>
      <c r="BH1123" s="351"/>
    </row>
    <row r="1124" spans="1:60" s="60" customFormat="1" x14ac:dyDescent="0.35">
      <c r="A1124" s="490" t="s">
        <v>109</v>
      </c>
      <c r="B1124" s="754">
        <v>3</v>
      </c>
      <c r="C1124" s="203"/>
      <c r="D1124" s="653"/>
      <c r="E1124" s="203"/>
      <c r="F1124" s="203"/>
      <c r="G1124" s="203"/>
      <c r="H1124" s="203"/>
      <c r="I1124" s="203"/>
      <c r="J1124" s="203"/>
      <c r="K1124" s="203"/>
      <c r="L1124" s="203"/>
      <c r="M1124" s="203"/>
      <c r="N1124" s="203"/>
      <c r="O1124" s="203"/>
      <c r="P1124" s="203"/>
      <c r="Q1124" s="203"/>
      <c r="R1124" s="203"/>
      <c r="S1124" s="203"/>
      <c r="T1124" s="203"/>
      <c r="U1124" s="203"/>
      <c r="V1124" s="203"/>
      <c r="W1124" s="203"/>
      <c r="X1124" s="203"/>
      <c r="Y1124" s="203"/>
      <c r="Z1124" s="203"/>
      <c r="AA1124" s="203"/>
      <c r="AB1124" s="203"/>
      <c r="AC1124" s="203"/>
      <c r="AD1124" s="203"/>
      <c r="AE1124" s="203"/>
      <c r="AF1124" s="203"/>
      <c r="AG1124" s="203"/>
      <c r="AH1124" s="203"/>
      <c r="AI1124" s="203"/>
      <c r="AJ1124" s="203"/>
      <c r="AK1124" s="203"/>
      <c r="AL1124" s="203"/>
      <c r="AM1124" s="203"/>
      <c r="AN1124" s="203"/>
      <c r="AO1124" s="203"/>
      <c r="AP1124" s="203"/>
      <c r="AQ1124" s="203"/>
      <c r="AR1124" s="203"/>
      <c r="AS1124" s="203"/>
      <c r="AT1124" s="203"/>
      <c r="AU1124" s="790"/>
      <c r="AV1124" s="203"/>
      <c r="AW1124" s="203"/>
      <c r="AX1124" s="203"/>
      <c r="AY1124" s="203"/>
      <c r="AZ1124" s="203"/>
      <c r="BA1124" s="203"/>
      <c r="BB1124" s="203"/>
      <c r="BC1124" s="203"/>
      <c r="BD1124" s="203"/>
      <c r="BE1124" s="203"/>
      <c r="BF1124" s="203"/>
      <c r="BG1124" s="203"/>
      <c r="BH1124" s="351"/>
    </row>
    <row r="1125" spans="1:60" s="60" customFormat="1" x14ac:dyDescent="0.35">
      <c r="A1125" s="722"/>
      <c r="B1125" s="723"/>
      <c r="C1125" s="653"/>
      <c r="D1125" s="653"/>
      <c r="E1125" s="203"/>
      <c r="F1125" s="203"/>
      <c r="G1125" s="203"/>
      <c r="H1125" s="203"/>
      <c r="I1125" s="203"/>
      <c r="J1125" s="203"/>
      <c r="K1125" s="203"/>
      <c r="L1125" s="203"/>
      <c r="M1125" s="203"/>
      <c r="N1125" s="203"/>
      <c r="O1125" s="203"/>
      <c r="P1125" s="203"/>
      <c r="Q1125" s="203"/>
      <c r="R1125" s="203"/>
      <c r="S1125" s="203"/>
      <c r="T1125" s="203"/>
      <c r="U1125" s="203"/>
      <c r="V1125" s="203"/>
      <c r="W1125" s="203"/>
      <c r="X1125" s="203"/>
      <c r="Y1125" s="203"/>
      <c r="Z1125" s="203"/>
      <c r="AA1125" s="203"/>
      <c r="AB1125" s="203"/>
      <c r="AC1125" s="203"/>
      <c r="AD1125" s="203"/>
      <c r="AE1125" s="203"/>
      <c r="AF1125" s="203"/>
      <c r="AG1125" s="203"/>
      <c r="AH1125" s="203"/>
      <c r="AI1125" s="203"/>
      <c r="AJ1125" s="203"/>
      <c r="AK1125" s="203"/>
      <c r="AL1125" s="203"/>
      <c r="AM1125" s="203"/>
      <c r="AN1125" s="203"/>
      <c r="AO1125" s="203"/>
      <c r="AP1125" s="203"/>
      <c r="AQ1125" s="203"/>
      <c r="AR1125" s="203"/>
      <c r="AS1125" s="203"/>
      <c r="AT1125" s="203"/>
      <c r="AU1125" s="790"/>
      <c r="AV1125" s="203"/>
      <c r="AW1125" s="203"/>
      <c r="AX1125" s="203"/>
      <c r="AY1125" s="203"/>
      <c r="AZ1125" s="203"/>
      <c r="BA1125" s="203"/>
      <c r="BB1125" s="203"/>
      <c r="BC1125" s="203"/>
      <c r="BD1125" s="203"/>
      <c r="BE1125" s="203"/>
      <c r="BF1125" s="203"/>
      <c r="BG1125" s="203"/>
      <c r="BH1125" s="351"/>
    </row>
    <row r="1126" spans="1:60" s="60" customFormat="1" x14ac:dyDescent="0.35">
      <c r="A1126" s="553" t="s">
        <v>725</v>
      </c>
      <c r="B1126" s="203"/>
      <c r="C1126" s="653"/>
      <c r="D1126" s="653"/>
      <c r="E1126" s="203"/>
      <c r="F1126" s="203"/>
      <c r="G1126" s="203"/>
      <c r="H1126" s="203"/>
      <c r="I1126" s="203"/>
      <c r="J1126" s="203"/>
      <c r="K1126" s="203"/>
      <c r="L1126" s="203"/>
      <c r="M1126" s="203"/>
      <c r="N1126" s="203"/>
      <c r="O1126" s="203"/>
      <c r="P1126" s="203"/>
      <c r="Q1126" s="203"/>
      <c r="R1126" s="203"/>
      <c r="S1126" s="203"/>
      <c r="T1126" s="203"/>
      <c r="U1126" s="203"/>
      <c r="V1126" s="203"/>
      <c r="W1126" s="203"/>
      <c r="X1126" s="203"/>
      <c r="Y1126" s="203"/>
      <c r="Z1126" s="203"/>
      <c r="AA1126" s="203"/>
      <c r="AB1126" s="203"/>
      <c r="AC1126" s="203"/>
      <c r="AD1126" s="203"/>
      <c r="AE1126" s="203"/>
      <c r="AF1126" s="203"/>
      <c r="AG1126" s="203"/>
      <c r="AH1126" s="203"/>
      <c r="AI1126" s="203"/>
      <c r="AJ1126" s="203"/>
      <c r="AK1126" s="203"/>
      <c r="AL1126" s="203"/>
      <c r="AM1126" s="203"/>
      <c r="AN1126" s="203"/>
      <c r="AO1126" s="203"/>
      <c r="AP1126" s="203"/>
      <c r="AQ1126" s="203"/>
      <c r="AR1126" s="203"/>
      <c r="AS1126" s="203"/>
      <c r="AT1126" s="203"/>
      <c r="AU1126" s="790"/>
      <c r="AV1126" s="203"/>
      <c r="AW1126" s="203"/>
      <c r="AX1126" s="203"/>
      <c r="AY1126" s="203"/>
      <c r="AZ1126" s="203"/>
      <c r="BA1126" s="203"/>
      <c r="BB1126" s="203"/>
      <c r="BC1126" s="203"/>
      <c r="BD1126" s="203"/>
      <c r="BE1126" s="203"/>
      <c r="BF1126" s="203"/>
      <c r="BG1126" s="203"/>
      <c r="BH1126" s="351"/>
    </row>
    <row r="1127" spans="1:60" s="60" customFormat="1" x14ac:dyDescent="0.35">
      <c r="A1127" s="554" t="str">
        <f>MO_RIS_REV</f>
        <v>Net Revenue</v>
      </c>
      <c r="B1127" s="203"/>
      <c r="C1127" s="653"/>
      <c r="D1127" s="653"/>
      <c r="E1127" s="203"/>
      <c r="F1127" s="203"/>
      <c r="G1127" s="203"/>
      <c r="H1127" s="203"/>
      <c r="I1127" s="203"/>
      <c r="J1127" s="203"/>
      <c r="K1127" s="203"/>
      <c r="L1127" s="203"/>
      <c r="M1127" s="203"/>
      <c r="N1127" s="203"/>
      <c r="O1127" s="203"/>
      <c r="P1127" s="203"/>
      <c r="Q1127" s="203"/>
      <c r="R1127" s="203"/>
      <c r="S1127" s="203"/>
      <c r="T1127" s="203"/>
      <c r="U1127" s="203"/>
      <c r="V1127" s="203"/>
      <c r="W1127" s="203"/>
      <c r="X1127" s="203"/>
      <c r="Y1127" s="203"/>
      <c r="Z1127" s="203"/>
      <c r="AA1127" s="203"/>
      <c r="AB1127" s="203"/>
      <c r="AC1127" s="203"/>
      <c r="AD1127" s="203"/>
      <c r="AE1127" s="203"/>
      <c r="AF1127" s="203"/>
      <c r="AG1127" s="203"/>
      <c r="AH1127" s="203"/>
      <c r="AI1127" s="203"/>
      <c r="AJ1127" s="203"/>
      <c r="AK1127" s="203"/>
      <c r="AL1127" s="203"/>
      <c r="AM1127" s="203"/>
      <c r="AN1127" s="203"/>
      <c r="AO1127" s="203"/>
      <c r="AP1127" s="203"/>
      <c r="AQ1127" s="203"/>
      <c r="AR1127" s="203"/>
      <c r="AS1127" s="203"/>
      <c r="AT1127" s="203"/>
      <c r="AU1127" s="790"/>
      <c r="AV1127" s="203"/>
      <c r="AW1127" s="203"/>
      <c r="AX1127" s="203"/>
      <c r="AY1127" s="203"/>
      <c r="AZ1127" s="203"/>
      <c r="BA1127" s="203"/>
      <c r="BB1127" s="203"/>
      <c r="BC1127" s="203"/>
      <c r="BD1127" s="203"/>
      <c r="BE1127" s="203"/>
      <c r="BF1127" s="203"/>
      <c r="BG1127" s="203"/>
      <c r="BH1127" s="351"/>
    </row>
    <row r="1128" spans="1:60" s="60" customFormat="1" x14ac:dyDescent="0.35">
      <c r="A1128" s="554" t="str">
        <f>MO_RIS_EBITDA_Adj</f>
        <v>Adjusted EBITDA</v>
      </c>
      <c r="B1128" s="203"/>
      <c r="C1128" s="653"/>
      <c r="D1128" s="653"/>
      <c r="E1128" s="203"/>
      <c r="F1128" s="203"/>
      <c r="G1128" s="203"/>
      <c r="H1128" s="203"/>
      <c r="I1128" s="203"/>
      <c r="J1128" s="203"/>
      <c r="K1128" s="203"/>
      <c r="L1128" s="203"/>
      <c r="M1128" s="203"/>
      <c r="N1128" s="203"/>
      <c r="O1128" s="203"/>
      <c r="P1128" s="203"/>
      <c r="Q1128" s="203"/>
      <c r="R1128" s="203"/>
      <c r="S1128" s="203"/>
      <c r="T1128" s="203"/>
      <c r="U1128" s="203"/>
      <c r="V1128" s="203"/>
      <c r="W1128" s="203"/>
      <c r="X1128" s="203"/>
      <c r="Y1128" s="203"/>
      <c r="Z1128" s="203"/>
      <c r="AA1128" s="203"/>
      <c r="AB1128" s="203"/>
      <c r="AC1128" s="203"/>
      <c r="AD1128" s="203"/>
      <c r="AE1128" s="203"/>
      <c r="AF1128" s="203"/>
      <c r="AG1128" s="203"/>
      <c r="AH1128" s="203"/>
      <c r="AI1128" s="203"/>
      <c r="AJ1128" s="203"/>
      <c r="AK1128" s="203"/>
      <c r="AL1128" s="203"/>
      <c r="AM1128" s="203"/>
      <c r="AN1128" s="203"/>
      <c r="AO1128" s="203"/>
      <c r="AP1128" s="203"/>
      <c r="AQ1128" s="203"/>
      <c r="AR1128" s="203"/>
      <c r="AS1128" s="203"/>
      <c r="AT1128" s="203"/>
      <c r="AU1128" s="790"/>
      <c r="AV1128" s="203"/>
      <c r="AW1128" s="203"/>
      <c r="AX1128" s="203"/>
      <c r="AY1128" s="203"/>
      <c r="AZ1128" s="203"/>
      <c r="BA1128" s="203"/>
      <c r="BB1128" s="203"/>
      <c r="BC1128" s="203"/>
      <c r="BD1128" s="203"/>
      <c r="BE1128" s="203"/>
      <c r="BF1128" s="203"/>
      <c r="BG1128" s="203"/>
      <c r="BH1128" s="351"/>
    </row>
    <row r="1129" spans="1:60" s="60" customFormat="1" x14ac:dyDescent="0.35">
      <c r="A1129" s="554" t="str">
        <f>MO_RIS_EPS_WAD_Adj</f>
        <v>Adjusted Earnings Per Share - WAD</v>
      </c>
      <c r="B1129" s="203"/>
      <c r="C1129" s="653"/>
      <c r="D1129" s="653"/>
      <c r="E1129" s="203"/>
      <c r="F1129" s="203"/>
      <c r="G1129" s="203"/>
      <c r="H1129" s="203"/>
      <c r="I1129" s="203"/>
      <c r="J1129" s="203"/>
      <c r="K1129" s="203"/>
      <c r="L1129" s="203"/>
      <c r="M1129" s="203"/>
      <c r="N1129" s="203"/>
      <c r="O1129" s="203"/>
      <c r="P1129" s="203"/>
      <c r="Q1129" s="203"/>
      <c r="R1129" s="203"/>
      <c r="S1129" s="203"/>
      <c r="T1129" s="203"/>
      <c r="U1129" s="203"/>
      <c r="V1129" s="203"/>
      <c r="W1129" s="203"/>
      <c r="X1129" s="203"/>
      <c r="Y1129" s="203"/>
      <c r="Z1129" s="203"/>
      <c r="AA1129" s="203"/>
      <c r="AB1129" s="203"/>
      <c r="AC1129" s="203"/>
      <c r="AD1129" s="203"/>
      <c r="AE1129" s="203"/>
      <c r="AF1129" s="203"/>
      <c r="AG1129" s="203"/>
      <c r="AH1129" s="203"/>
      <c r="AI1129" s="203"/>
      <c r="AJ1129" s="203"/>
      <c r="AK1129" s="203"/>
      <c r="AL1129" s="203"/>
      <c r="AM1129" s="203"/>
      <c r="AN1129" s="203"/>
      <c r="AO1129" s="203"/>
      <c r="AP1129" s="203"/>
      <c r="AQ1129" s="203"/>
      <c r="AR1129" s="203"/>
      <c r="AS1129" s="203"/>
      <c r="AT1129" s="203"/>
      <c r="AU1129" s="790"/>
      <c r="AV1129" s="203"/>
      <c r="AW1129" s="203"/>
      <c r="AX1129" s="203"/>
      <c r="AY1129" s="203"/>
      <c r="AZ1129" s="203"/>
      <c r="BA1129" s="203"/>
      <c r="BB1129" s="203"/>
      <c r="BC1129" s="203"/>
      <c r="BD1129" s="203"/>
      <c r="BE1129" s="203"/>
      <c r="BF1129" s="203"/>
      <c r="BG1129" s="203"/>
      <c r="BH1129" s="351"/>
    </row>
    <row r="1130" spans="1:60" s="60" customFormat="1" x14ac:dyDescent="0.35">
      <c r="A1130" s="554" t="str">
        <f>MO_VA_EV_ToEBITDA</f>
        <v>EV/EBITDA - Avg</v>
      </c>
      <c r="B1130" s="203"/>
      <c r="C1130" s="653"/>
      <c r="D1130" s="653"/>
      <c r="E1130" s="203"/>
      <c r="F1130" s="203"/>
      <c r="G1130" s="203"/>
      <c r="H1130" s="203"/>
      <c r="I1130" s="203"/>
      <c r="J1130" s="203"/>
      <c r="K1130" s="203"/>
      <c r="L1130" s="203"/>
      <c r="M1130" s="203"/>
      <c r="N1130" s="203"/>
      <c r="O1130" s="203"/>
      <c r="P1130" s="203"/>
      <c r="Q1130" s="203"/>
      <c r="R1130" s="203"/>
      <c r="S1130" s="203"/>
      <c r="T1130" s="203"/>
      <c r="U1130" s="203"/>
      <c r="V1130" s="203"/>
      <c r="W1130" s="203"/>
      <c r="X1130" s="203"/>
      <c r="Y1130" s="203"/>
      <c r="Z1130" s="203"/>
      <c r="AA1130" s="203"/>
      <c r="AB1130" s="203"/>
      <c r="AC1130" s="203"/>
      <c r="AD1130" s="203"/>
      <c r="AE1130" s="203"/>
      <c r="AF1130" s="203"/>
      <c r="AG1130" s="203"/>
      <c r="AH1130" s="203"/>
      <c r="AI1130" s="203"/>
      <c r="AJ1130" s="203"/>
      <c r="AK1130" s="203"/>
      <c r="AL1130" s="203"/>
      <c r="AM1130" s="203"/>
      <c r="AN1130" s="203"/>
      <c r="AO1130" s="203"/>
      <c r="AP1130" s="203"/>
      <c r="AQ1130" s="203"/>
      <c r="AR1130" s="203"/>
      <c r="AS1130" s="203"/>
      <c r="AT1130" s="203"/>
      <c r="AU1130" s="790"/>
      <c r="AV1130" s="203"/>
      <c r="AW1130" s="203"/>
      <c r="AX1130" s="203"/>
      <c r="AY1130" s="203"/>
      <c r="AZ1130" s="203"/>
      <c r="BA1130" s="203"/>
      <c r="BB1130" s="203"/>
      <c r="BC1130" s="203"/>
      <c r="BD1130" s="203"/>
      <c r="BE1130" s="203"/>
      <c r="BF1130" s="203"/>
      <c r="BG1130" s="203"/>
      <c r="BH1130" s="351"/>
    </row>
    <row r="1131" spans="1:60" s="60" customFormat="1" x14ac:dyDescent="0.35">
      <c r="A1131" s="554" t="str">
        <f>MO_VA_P_ToE</f>
        <v>P/E - Avg</v>
      </c>
      <c r="B1131" s="203"/>
      <c r="C1131" s="653"/>
      <c r="D1131" s="653"/>
      <c r="E1131" s="203"/>
      <c r="F1131" s="203"/>
      <c r="G1131" s="203"/>
      <c r="H1131" s="203"/>
      <c r="I1131" s="203"/>
      <c r="J1131" s="203"/>
      <c r="K1131" s="203"/>
      <c r="L1131" s="203"/>
      <c r="M1131" s="203"/>
      <c r="N1131" s="203"/>
      <c r="O1131" s="203"/>
      <c r="P1131" s="203"/>
      <c r="Q1131" s="203"/>
      <c r="R1131" s="203"/>
      <c r="S1131" s="203"/>
      <c r="T1131" s="203"/>
      <c r="U1131" s="203"/>
      <c r="V1131" s="203"/>
      <c r="W1131" s="203"/>
      <c r="X1131" s="203"/>
      <c r="Y1131" s="203"/>
      <c r="Z1131" s="203"/>
      <c r="AA1131" s="203"/>
      <c r="AB1131" s="203"/>
      <c r="AC1131" s="203"/>
      <c r="AD1131" s="203"/>
      <c r="AE1131" s="203"/>
      <c r="AF1131" s="203"/>
      <c r="AG1131" s="203"/>
      <c r="AH1131" s="203"/>
      <c r="AI1131" s="203"/>
      <c r="AJ1131" s="203"/>
      <c r="AK1131" s="203"/>
      <c r="AL1131" s="203"/>
      <c r="AM1131" s="203"/>
      <c r="AN1131" s="203"/>
      <c r="AO1131" s="203"/>
      <c r="AP1131" s="203"/>
      <c r="AQ1131" s="203"/>
      <c r="AR1131" s="203"/>
      <c r="AS1131" s="203"/>
      <c r="AT1131" s="203"/>
      <c r="AU1131" s="790"/>
      <c r="AV1131" s="203"/>
      <c r="AW1131" s="203"/>
      <c r="AX1131" s="203"/>
      <c r="AY1131" s="203"/>
      <c r="AZ1131" s="203"/>
      <c r="BA1131" s="203"/>
      <c r="BB1131" s="203"/>
      <c r="BC1131" s="203"/>
      <c r="BD1131" s="203"/>
      <c r="BE1131" s="203"/>
      <c r="BF1131" s="203"/>
      <c r="BG1131" s="203"/>
      <c r="BH1131" s="351"/>
    </row>
    <row r="1132" spans="1:60" s="60" customFormat="1" x14ac:dyDescent="0.35">
      <c r="A1132" s="724"/>
      <c r="B1132" s="203"/>
      <c r="C1132" s="653"/>
      <c r="D1132" s="653"/>
      <c r="E1132" s="203"/>
      <c r="F1132" s="203"/>
      <c r="G1132" s="203"/>
      <c r="H1132" s="203"/>
      <c r="I1132" s="203"/>
      <c r="J1132" s="203"/>
      <c r="K1132" s="203"/>
      <c r="L1132" s="203"/>
      <c r="M1132" s="203"/>
      <c r="N1132" s="203"/>
      <c r="O1132" s="203"/>
      <c r="P1132" s="203"/>
      <c r="Q1132" s="203"/>
      <c r="R1132" s="203"/>
      <c r="S1132" s="203"/>
      <c r="T1132" s="203"/>
      <c r="U1132" s="203"/>
      <c r="V1132" s="203"/>
      <c r="W1132" s="203"/>
      <c r="X1132" s="203"/>
      <c r="Y1132" s="203"/>
      <c r="Z1132" s="203"/>
      <c r="AA1132" s="203"/>
      <c r="AB1132" s="203"/>
      <c r="AC1132" s="203"/>
      <c r="AD1132" s="203"/>
      <c r="AE1132" s="203"/>
      <c r="AF1132" s="203"/>
      <c r="AG1132" s="203"/>
      <c r="AH1132" s="203"/>
      <c r="AI1132" s="203"/>
      <c r="AJ1132" s="203"/>
      <c r="AK1132" s="203"/>
      <c r="AL1132" s="203"/>
      <c r="AM1132" s="203"/>
      <c r="AN1132" s="203"/>
      <c r="AO1132" s="203"/>
      <c r="AP1132" s="203"/>
      <c r="AQ1132" s="203"/>
      <c r="AR1132" s="203"/>
      <c r="AS1132" s="203"/>
      <c r="AT1132" s="203"/>
      <c r="AU1132" s="790"/>
      <c r="AV1132" s="203"/>
      <c r="AW1132" s="203"/>
      <c r="AX1132" s="203"/>
      <c r="AY1132" s="203"/>
      <c r="AZ1132" s="203"/>
      <c r="BA1132" s="203"/>
      <c r="BB1132" s="203"/>
      <c r="BC1132" s="203"/>
      <c r="BD1132" s="203"/>
      <c r="BE1132" s="203"/>
      <c r="BF1132" s="203"/>
      <c r="BG1132" s="203"/>
      <c r="BH1132" s="351"/>
    </row>
    <row r="1133" spans="1:60" s="60" customFormat="1" x14ac:dyDescent="0.35">
      <c r="A1133" s="718"/>
      <c r="B1133" s="548"/>
      <c r="C1133" s="725"/>
      <c r="D1133" s="725"/>
      <c r="E1133" s="548"/>
      <c r="F1133" s="548"/>
      <c r="G1133" s="548"/>
      <c r="H1133" s="548"/>
      <c r="I1133" s="548"/>
      <c r="J1133" s="548"/>
      <c r="K1133" s="548"/>
      <c r="L1133" s="548"/>
      <c r="M1133" s="548"/>
      <c r="N1133" s="548"/>
      <c r="O1133" s="548"/>
      <c r="P1133" s="548"/>
      <c r="Q1133" s="548"/>
      <c r="R1133" s="548"/>
      <c r="S1133" s="548"/>
      <c r="T1133" s="548"/>
      <c r="U1133" s="548"/>
      <c r="V1133" s="548"/>
      <c r="W1133" s="548"/>
      <c r="X1133" s="548"/>
      <c r="Y1133" s="548"/>
      <c r="Z1133" s="548"/>
      <c r="AA1133" s="548"/>
      <c r="AB1133" s="548"/>
      <c r="AC1133" s="548"/>
      <c r="AD1133" s="548"/>
      <c r="AE1133" s="548"/>
      <c r="AF1133" s="548"/>
      <c r="AG1133" s="548"/>
      <c r="AH1133" s="548"/>
      <c r="AI1133" s="548"/>
      <c r="AJ1133" s="548"/>
      <c r="AK1133" s="548"/>
      <c r="AL1133" s="548"/>
      <c r="AM1133" s="548"/>
      <c r="AN1133" s="548"/>
      <c r="AO1133" s="548"/>
      <c r="AP1133" s="548"/>
      <c r="AQ1133" s="548"/>
      <c r="AR1133" s="548"/>
      <c r="AS1133" s="548"/>
      <c r="AT1133" s="548"/>
      <c r="AU1133" s="832"/>
      <c r="AV1133" s="548"/>
      <c r="AW1133" s="548"/>
      <c r="AX1133" s="548"/>
      <c r="AY1133" s="548"/>
      <c r="AZ1133" s="548"/>
      <c r="BA1133" s="548"/>
      <c r="BB1133" s="548"/>
      <c r="BC1133" s="548"/>
      <c r="BD1133" s="548"/>
      <c r="BE1133" s="548"/>
      <c r="BF1133" s="548"/>
      <c r="BG1133" s="548"/>
      <c r="BH1133" s="351"/>
    </row>
    <row r="1134" spans="1:60" s="21" customFormat="1" x14ac:dyDescent="0.35">
      <c r="A1134" s="895" t="s">
        <v>240</v>
      </c>
      <c r="B1134" s="896"/>
      <c r="C1134" s="896"/>
      <c r="D1134" s="896"/>
      <c r="E1134" s="896"/>
      <c r="F1134" s="896"/>
      <c r="G1134" s="896"/>
      <c r="H1134" s="896"/>
      <c r="I1134" s="896"/>
      <c r="J1134" s="896"/>
      <c r="K1134" s="896"/>
      <c r="L1134" s="896"/>
      <c r="M1134" s="896"/>
      <c r="N1134" s="896"/>
      <c r="O1134" s="896"/>
      <c r="P1134" s="896"/>
      <c r="Q1134" s="896"/>
      <c r="R1134" s="896"/>
      <c r="S1134" s="896"/>
      <c r="T1134" s="896"/>
      <c r="U1134" s="896"/>
      <c r="V1134" s="896"/>
      <c r="W1134" s="896"/>
      <c r="X1134" s="896"/>
      <c r="Y1134" s="896"/>
      <c r="Z1134" s="896"/>
      <c r="AA1134" s="896"/>
      <c r="AB1134" s="896"/>
      <c r="AC1134" s="896"/>
      <c r="AD1134" s="896"/>
      <c r="AE1134" s="896"/>
      <c r="AF1134" s="896"/>
      <c r="AG1134" s="896"/>
      <c r="AH1134" s="896"/>
      <c r="AI1134" s="896"/>
      <c r="AJ1134" s="896"/>
      <c r="AK1134" s="896"/>
      <c r="AL1134" s="896"/>
      <c r="AM1134" s="896"/>
      <c r="AN1134" s="896"/>
      <c r="AO1134" s="896"/>
      <c r="AP1134" s="896"/>
      <c r="AQ1134" s="896"/>
      <c r="AR1134" s="896"/>
      <c r="AS1134" s="896"/>
      <c r="AT1134" s="896"/>
      <c r="AU1134" s="897"/>
      <c r="AV1134" s="896" t="str">
        <f t="shared" ref="AV1134:BG1134" si="1582">AV5</f>
        <v>Q2-2021</v>
      </c>
      <c r="AW1134" s="896" t="str">
        <f t="shared" si="1582"/>
        <v>Q3-2021</v>
      </c>
      <c r="AX1134" s="896" t="str">
        <f t="shared" si="1582"/>
        <v>Q4-2021</v>
      </c>
      <c r="AY1134" s="896" t="str">
        <f t="shared" si="1582"/>
        <v>FY2021</v>
      </c>
      <c r="AZ1134" s="896" t="str">
        <f t="shared" si="1582"/>
        <v>Q1-2022</v>
      </c>
      <c r="BA1134" s="896" t="str">
        <f t="shared" si="1582"/>
        <v>Q2-2022</v>
      </c>
      <c r="BB1134" s="896" t="str">
        <f t="shared" si="1582"/>
        <v>Q3-2022</v>
      </c>
      <c r="BC1134" s="896" t="str">
        <f t="shared" si="1582"/>
        <v>Q4-2022</v>
      </c>
      <c r="BD1134" s="896" t="str">
        <f t="shared" si="1582"/>
        <v>FY2022</v>
      </c>
      <c r="BE1134" s="896" t="str">
        <f t="shared" si="1582"/>
        <v>FY2023</v>
      </c>
      <c r="BF1134" s="896" t="str">
        <f t="shared" si="1582"/>
        <v>FY2024</v>
      </c>
      <c r="BG1134" s="898" t="str">
        <f t="shared" si="1582"/>
        <v>FY2025</v>
      </c>
      <c r="BH1134" s="472"/>
    </row>
    <row r="1135" spans="1:60" s="21" customFormat="1" x14ac:dyDescent="0.35">
      <c r="A1135" s="899" t="s">
        <v>241</v>
      </c>
      <c r="B1135" s="880"/>
      <c r="C1135" s="880"/>
      <c r="D1135" s="880"/>
      <c r="E1135" s="880"/>
      <c r="F1135" s="880"/>
      <c r="G1135" s="880"/>
      <c r="H1135" s="880"/>
      <c r="I1135" s="880"/>
      <c r="J1135" s="880"/>
      <c r="K1135" s="880"/>
      <c r="L1135" s="880"/>
      <c r="M1135" s="880"/>
      <c r="N1135" s="880"/>
      <c r="O1135" s="880"/>
      <c r="P1135" s="880"/>
      <c r="Q1135" s="880"/>
      <c r="R1135" s="880"/>
      <c r="S1135" s="880"/>
      <c r="T1135" s="880"/>
      <c r="U1135" s="880"/>
      <c r="V1135" s="880"/>
      <c r="W1135" s="880"/>
      <c r="X1135" s="880"/>
      <c r="Y1135" s="880"/>
      <c r="Z1135" s="880"/>
      <c r="AA1135" s="880"/>
      <c r="AB1135" s="880"/>
      <c r="AC1135" s="880"/>
      <c r="AD1135" s="880"/>
      <c r="AE1135" s="880"/>
      <c r="AF1135" s="880"/>
      <c r="AG1135" s="880"/>
      <c r="AH1135" s="880"/>
      <c r="AI1135" s="880"/>
      <c r="AJ1135" s="880"/>
      <c r="AK1135" s="880"/>
      <c r="AL1135" s="880"/>
      <c r="AM1135" s="880"/>
      <c r="AN1135" s="880"/>
      <c r="AO1135" s="880"/>
      <c r="AP1135" s="880"/>
      <c r="AQ1135" s="880"/>
      <c r="AR1135" s="880"/>
      <c r="AS1135" s="880"/>
      <c r="AT1135" s="880"/>
      <c r="AU1135" s="881"/>
      <c r="AV1135" s="880" t="str">
        <f t="shared" ref="AV1135:AY1135" si="1583">IF(MO.DataSourceIndex=3,IF(LEFT(AV1134,2)="FY","ANNUAL",IF(LEFT(AV1134,1)="Q","QUARTERLY","")),IF(LEFT(AV1134,2)="FY","FY",IF(LEFT(AV1134,1)="Q","FQ","")))</f>
        <v>FQ</v>
      </c>
      <c r="AW1135" s="880" t="str">
        <f t="shared" si="1583"/>
        <v>FQ</v>
      </c>
      <c r="AX1135" s="880" t="str">
        <f t="shared" si="1583"/>
        <v>FQ</v>
      </c>
      <c r="AY1135" s="880" t="str">
        <f t="shared" si="1583"/>
        <v>FY</v>
      </c>
      <c r="AZ1135" s="880" t="str">
        <f t="shared" ref="AZ1135:BG1135" si="1584">IF(MO.DataSourceIndex=3,IF(LEFT(AZ1134,2)="FY","ANNUAL",IF(LEFT(AZ1134,1)="Q","QUARTERLY","")),IF(LEFT(AZ1134,2)="FY","FY",IF(LEFT(AZ1134,1)="Q","FQ","")))</f>
        <v>FQ</v>
      </c>
      <c r="BA1135" s="880" t="str">
        <f t="shared" si="1584"/>
        <v>FQ</v>
      </c>
      <c r="BB1135" s="880" t="str">
        <f t="shared" si="1584"/>
        <v>FQ</v>
      </c>
      <c r="BC1135" s="880" t="str">
        <f t="shared" si="1584"/>
        <v>FQ</v>
      </c>
      <c r="BD1135" s="880" t="str">
        <f t="shared" si="1584"/>
        <v>FY</v>
      </c>
      <c r="BE1135" s="880" t="str">
        <f t="shared" si="1584"/>
        <v>FY</v>
      </c>
      <c r="BF1135" s="880" t="str">
        <f t="shared" si="1584"/>
        <v>FY</v>
      </c>
      <c r="BG1135" s="900" t="str">
        <f t="shared" si="1584"/>
        <v>FY</v>
      </c>
      <c r="BH1135" s="472"/>
    </row>
    <row r="1136" spans="1:60" s="21" customFormat="1" x14ac:dyDescent="0.35">
      <c r="A1136" s="899" t="s">
        <v>242</v>
      </c>
      <c r="B1136" s="880"/>
      <c r="C1136" s="880"/>
      <c r="D1136" s="880"/>
      <c r="E1136" s="880"/>
      <c r="F1136" s="880"/>
      <c r="G1136" s="880"/>
      <c r="H1136" s="880"/>
      <c r="I1136" s="880"/>
      <c r="J1136" s="880"/>
      <c r="K1136" s="880"/>
      <c r="L1136" s="880"/>
      <c r="M1136" s="880"/>
      <c r="N1136" s="880"/>
      <c r="O1136" s="880"/>
      <c r="P1136" s="880"/>
      <c r="Q1136" s="880"/>
      <c r="R1136" s="880"/>
      <c r="S1136" s="880"/>
      <c r="T1136" s="880"/>
      <c r="U1136" s="880"/>
      <c r="V1136" s="880"/>
      <c r="W1136" s="880"/>
      <c r="X1136" s="880"/>
      <c r="Y1136" s="880"/>
      <c r="Z1136" s="880"/>
      <c r="AA1136" s="880"/>
      <c r="AB1136" s="880"/>
      <c r="AC1136" s="880"/>
      <c r="AD1136" s="880"/>
      <c r="AE1136" s="880"/>
      <c r="AF1136" s="880"/>
      <c r="AG1136" s="880"/>
      <c r="AH1136" s="880"/>
      <c r="AI1136" s="880"/>
      <c r="AJ1136" s="880"/>
      <c r="AK1136" s="880"/>
      <c r="AL1136" s="880"/>
      <c r="AM1136" s="880"/>
      <c r="AN1136" s="880"/>
      <c r="AO1136" s="880"/>
      <c r="AP1136" s="880"/>
      <c r="AQ1136" s="880"/>
      <c r="AR1136" s="880"/>
      <c r="AS1136" s="880"/>
      <c r="AT1136" s="880"/>
      <c r="AU1136" s="881"/>
      <c r="AV1136" s="880">
        <f t="shared" ref="AV1136:AY1136" ca="1" si="1585">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f>
        <v>1</v>
      </c>
      <c r="AW1136" s="880">
        <f t="shared" ca="1" si="1585"/>
        <v>2</v>
      </c>
      <c r="AX1136" s="880">
        <f t="shared" ca="1" si="1585"/>
        <v>3</v>
      </c>
      <c r="AY1136" s="880">
        <f t="shared" ca="1" si="1585"/>
        <v>1</v>
      </c>
      <c r="AZ1136" s="880">
        <f t="shared" ref="AZ1136:BG1136" ca="1" si="1586">IF(MO.DataSourceIndex=3,IF(INDEX(MO_SNA_ConsensusEstimatePeriodType,,COLUMN())="ANNUAL",COUNTIF(OFFSET(INDEX(MO_SNA_ConsensusEstimatePeriodType,,1),,,,COLUMN()),"ANNUAL"),IF(INDEX(MO_SNA_ConsensusEstimatePeriodType,,COLUMN())="QUARTERLY",COUNTIF(OFFSET(INDEX(MO_SNA_ConsensusEstimatePeriodType,,1),,,,COLUMN()),"QUARTERLY"),"")),IF(INDEX(MO_SNA_ConsensusEstimatePeriodType,,COLUMN())="FY",COUNTIF(OFFSET(INDEX(MO_SNA_ConsensusEstimatePeriodType,,1),,,,COLUMN()),"FY"),IF(INDEX(MO_SNA_ConsensusEstimatePeriodType,,COLUMN())="FQ",COUNTIF(OFFSET(INDEX(MO_SNA_ConsensusEstimatePeriodType,,1),,,,COLUMN()),"FQ"),"")))</f>
        <v>4</v>
      </c>
      <c r="BA1136" s="880">
        <f t="shared" ca="1" si="1586"/>
        <v>5</v>
      </c>
      <c r="BB1136" s="880">
        <f t="shared" ca="1" si="1586"/>
        <v>6</v>
      </c>
      <c r="BC1136" s="880">
        <f t="shared" ca="1" si="1586"/>
        <v>7</v>
      </c>
      <c r="BD1136" s="880">
        <f t="shared" ca="1" si="1586"/>
        <v>2</v>
      </c>
      <c r="BE1136" s="880">
        <f t="shared" ca="1" si="1586"/>
        <v>3</v>
      </c>
      <c r="BF1136" s="880">
        <f t="shared" ca="1" si="1586"/>
        <v>4</v>
      </c>
      <c r="BG1136" s="900">
        <f t="shared" ca="1" si="1586"/>
        <v>5</v>
      </c>
      <c r="BH1136" s="472"/>
    </row>
    <row r="1137" spans="1:60" s="48" customFormat="1" x14ac:dyDescent="0.35">
      <c r="A1137" s="488" t="str">
        <f>$A$709</f>
        <v>Consensus Estimates - Gross Margin, %</v>
      </c>
      <c r="B1137" s="747"/>
      <c r="C1137" s="187"/>
      <c r="D1137" s="187"/>
      <c r="E1137" s="187"/>
      <c r="F1137" s="187"/>
      <c r="G1137" s="187"/>
      <c r="H1137" s="188"/>
      <c r="I1137" s="188"/>
      <c r="J1137" s="188"/>
      <c r="K1137" s="188"/>
      <c r="L1137" s="188"/>
      <c r="M1137" s="188"/>
      <c r="N1137" s="188"/>
      <c r="O1137" s="188"/>
      <c r="P1137" s="747"/>
      <c r="Q1137" s="747"/>
      <c r="R1137" s="747"/>
      <c r="S1137" s="747"/>
      <c r="T1137" s="747"/>
      <c r="U1137" s="747"/>
      <c r="V1137" s="747"/>
      <c r="W1137" s="747"/>
      <c r="X1137" s="747"/>
      <c r="Y1137" s="747"/>
      <c r="Z1137" s="747"/>
      <c r="AA1137" s="747"/>
      <c r="AB1137" s="747"/>
      <c r="AC1137" s="747"/>
      <c r="AD1137" s="747"/>
      <c r="AE1137" s="747"/>
      <c r="AF1137" s="747"/>
      <c r="AG1137" s="747"/>
      <c r="AH1137" s="188"/>
      <c r="AI1137" s="747"/>
      <c r="AJ1137" s="747"/>
      <c r="AK1137" s="747"/>
      <c r="AL1137" s="747"/>
      <c r="AM1137" s="188"/>
      <c r="AN1137" s="747"/>
      <c r="AO1137" s="747"/>
      <c r="AP1137" s="747"/>
      <c r="AQ1137" s="747"/>
      <c r="AR1137" s="188"/>
      <c r="AS1137" s="747"/>
      <c r="AT1137" s="747"/>
      <c r="AU1137" s="786"/>
      <c r="AV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W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X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Y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AZ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A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B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C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D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E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F1137" s="188"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G1137" s="484" t="str">
        <f ca="1">IFERROR(CHOOSE(MO.DataSourceIndex,BDP(MO.Ticker.Bloomberg&amp;" EQUITY","BEST_GROSS_MARGIN","BEST_FPERIOD_OVERRIDE="&amp;INDEX(tb_ConsensusEstimate,3,COLUMN())&amp;INDEX(tb_ConsensusEstimate,2,COLUMN())),CIQ(MO.Ticker.CapIQ,"IQ_GROSS_MARGIN_EST","IQ_"&amp;INDEX(tb_ConsensusEstimate,2,COLUMN())&amp;"+"&amp;INDEX(tb_ConsensusEstimate,3,COLUMN())),FDS(MO.Ticker.FactSet,"FE_ESTIMATE(GROSSINCOME,MEAN,"&amp;INDEX(tb_ConsensusEstimate,2,COLUMN())&amp;",+"&amp;INDEX(tb_ConsensusEstimate,3,COLUMN())&amp;",NOW,,,'')")/FDS(MO.Ticker.FactSet,"FE_ESTIMATE(SALES,MEAN,"&amp;INDEX(tb_ConsensusEstimate,2,COLUMN())&amp;",+"&amp;INDEX(tb_ConsensusEstimate,3,COLUMN())&amp;",NOW,,,'')"),_xll.TR(MO.Ticker.Thomson,"ZAV(TR.GPMMean)","Period="&amp;INDEX(tb_ConsensusEstimate,2,COLUMN())&amp;INDEX(tb_ConsensusEstimate,3,COLUMN())))/100,"N/A")</f>
        <v>N/A</v>
      </c>
      <c r="BH1137" s="473"/>
    </row>
    <row r="1138" spans="1:60" s="48" customFormat="1" x14ac:dyDescent="0.35">
      <c r="A1138" s="488" t="str">
        <f>$A$788</f>
        <v>Consensus Estimates - Net Revenue</v>
      </c>
      <c r="B1138" s="747"/>
      <c r="C1138" s="189"/>
      <c r="D1138" s="189"/>
      <c r="E1138" s="189"/>
      <c r="F1138" s="189"/>
      <c r="G1138" s="189"/>
      <c r="H1138" s="747"/>
      <c r="I1138" s="747"/>
      <c r="J1138" s="747"/>
      <c r="K1138" s="747"/>
      <c r="L1138" s="747"/>
      <c r="M1138" s="747"/>
      <c r="N1138" s="747"/>
      <c r="O1138" s="747"/>
      <c r="P1138" s="747"/>
      <c r="Q1138" s="747"/>
      <c r="R1138" s="747"/>
      <c r="S1138" s="747"/>
      <c r="T1138" s="747"/>
      <c r="U1138" s="747"/>
      <c r="V1138" s="747"/>
      <c r="W1138" s="747"/>
      <c r="X1138" s="747"/>
      <c r="Y1138" s="747"/>
      <c r="Z1138" s="747"/>
      <c r="AA1138" s="747"/>
      <c r="AB1138" s="747"/>
      <c r="AC1138" s="747"/>
      <c r="AD1138" s="747"/>
      <c r="AE1138" s="747"/>
      <c r="AF1138" s="747"/>
      <c r="AG1138" s="747"/>
      <c r="AH1138" s="747"/>
      <c r="AI1138" s="747"/>
      <c r="AJ1138" s="747"/>
      <c r="AK1138" s="747"/>
      <c r="AL1138" s="747"/>
      <c r="AM1138" s="747"/>
      <c r="AN1138" s="747"/>
      <c r="AO1138" s="747"/>
      <c r="AP1138" s="747"/>
      <c r="AQ1138" s="747"/>
      <c r="AR1138" s="747"/>
      <c r="AS1138" s="747"/>
      <c r="AT1138" s="747"/>
      <c r="AU1138" s="786"/>
      <c r="AV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W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X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Y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AZ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A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B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C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D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E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F1138" s="747"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G1138" s="485" t="str">
        <f ca="1">IFERROR(CHOOSE(MO.DataSourceIndex,BDP(MO.Ticker.Bloomberg&amp;" EQUITY","BEST_SALES","BEST_FPERIOD_OVERRIDE="&amp;INDEX(tb_ConsensusEstimate,3,COLUMN())&amp;INDEX(tb_ConsensusEstimate,2,COLUMN())),CIQ(MO.Ticker.CapIQ,"IQ_REVENUE_EST","IQ_"&amp;INDEX(tb_ConsensusEstimate,2,COLUMN())&amp;"+"&amp;INDEX(tb_ConsensusEstimate,3,COLUMN())),FDS(MO.Ticker.FactSet,"FE_ESTIMATE(SALES,MEAN,"&amp;INDEX(tb_ConsensusEstimate,2,COLUMN())&amp;",+"&amp;INDEX(tb_ConsensusEstimate,3,COLUMN())&amp;",NOW"&amp;",,,'CURRENCY="&amp;HP.ReportCurrency&amp;"')"),_xll.TR(MO.Ticker.Thomson,"ZAV(TR.RevenueMean(Scale=6))","Period="&amp;INDEX(tb_ConsensusEstimate,2,COLUMN())&amp;INDEX(tb_ConsensusEstimate,3,COLUMN()))),"N/A")</f>
        <v>N/A</v>
      </c>
      <c r="BH1138" s="473"/>
    </row>
    <row r="1139" spans="1:60" s="48" customFormat="1" x14ac:dyDescent="0.35">
      <c r="A1139" s="488" t="str">
        <f>$A$797</f>
        <v>Consensus Estimates - Adjusted EBITDA</v>
      </c>
      <c r="B1139" s="747"/>
      <c r="C1139" s="189"/>
      <c r="D1139" s="189"/>
      <c r="E1139" s="189"/>
      <c r="F1139" s="189"/>
      <c r="G1139" s="189"/>
      <c r="H1139" s="747"/>
      <c r="I1139" s="747"/>
      <c r="J1139" s="747"/>
      <c r="K1139" s="747"/>
      <c r="L1139" s="747"/>
      <c r="M1139" s="747"/>
      <c r="N1139" s="747"/>
      <c r="O1139" s="747"/>
      <c r="P1139" s="747"/>
      <c r="Q1139" s="747"/>
      <c r="R1139" s="747"/>
      <c r="S1139" s="747"/>
      <c r="T1139" s="747"/>
      <c r="U1139" s="747"/>
      <c r="V1139" s="747"/>
      <c r="W1139" s="747"/>
      <c r="X1139" s="747"/>
      <c r="Y1139" s="747"/>
      <c r="Z1139" s="747"/>
      <c r="AA1139" s="747"/>
      <c r="AB1139" s="747"/>
      <c r="AC1139" s="747"/>
      <c r="AD1139" s="747"/>
      <c r="AE1139" s="747"/>
      <c r="AF1139" s="747"/>
      <c r="AG1139" s="747"/>
      <c r="AH1139" s="747"/>
      <c r="AI1139" s="747"/>
      <c r="AJ1139" s="747"/>
      <c r="AK1139" s="747"/>
      <c r="AL1139" s="747"/>
      <c r="AM1139" s="747"/>
      <c r="AN1139" s="747"/>
      <c r="AO1139" s="747"/>
      <c r="AP1139" s="747"/>
      <c r="AQ1139" s="747"/>
      <c r="AR1139" s="747"/>
      <c r="AS1139" s="747"/>
      <c r="AT1139" s="747"/>
      <c r="AU1139" s="786"/>
      <c r="AV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W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X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Y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AZ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A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B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C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D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E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F1139" s="747"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G1139" s="485" t="str">
        <f ca="1">IFERROR(CHOOSE(MO.DataSourceIndex,BDP(MO.Ticker.Bloomberg&amp;" EQUITY","BEST_EBITDA","BEST_FPERIOD_OVERRIDE="&amp;INDEX(tb_ConsensusEstimate,3,COLUMN())&amp;INDEX(tb_ConsensusEstimate,2,COLUMN())),CIQ(MO.Ticker.CapIQ,"IQ_EBITDA_EST","IQ_"&amp;INDEX(tb_ConsensusEstimate,2,COLUMN())&amp;"+"&amp;INDEX(tb_ConsensusEstimate,3,COLUMN())),FDS(MO.Ticker.FactSet,"FE_ESTIMATE(EBITDA,MEAN,"&amp;INDEX(tb_ConsensusEstimate,2,COLUMN())&amp;",+"&amp;INDEX(tb_ConsensusEstimate,3,COLUMN())&amp;",NOW"&amp;",,,'CURRENCY="&amp;HP.ReportCurrency&amp;"')"),_xll.TR(MO.Ticker.Thomson,"ZAV(TR.EBITDAMean(Scale=6))","Period="&amp;INDEX(tb_ConsensusEstimate,2,COLUMN())&amp;INDEX(tb_ConsensusEstimate,3,COLUMN()))),"N/A")</f>
        <v>N/A</v>
      </c>
      <c r="BH1139" s="473"/>
    </row>
    <row r="1140" spans="1:60" s="48" customFormat="1" x14ac:dyDescent="0.35">
      <c r="A1140" s="488" t="str">
        <f>$A$805</f>
        <v>Consensus Estimates - Adjusted EBIT</v>
      </c>
      <c r="B1140" s="747"/>
      <c r="C1140" s="189"/>
      <c r="D1140" s="189"/>
      <c r="E1140" s="189"/>
      <c r="F1140" s="189"/>
      <c r="G1140" s="189"/>
      <c r="H1140" s="747"/>
      <c r="I1140" s="747"/>
      <c r="J1140" s="747"/>
      <c r="K1140" s="747"/>
      <c r="L1140" s="747"/>
      <c r="M1140" s="747"/>
      <c r="N1140" s="747"/>
      <c r="O1140" s="747"/>
      <c r="P1140" s="747"/>
      <c r="Q1140" s="747"/>
      <c r="R1140" s="747"/>
      <c r="S1140" s="747"/>
      <c r="T1140" s="747"/>
      <c r="U1140" s="747"/>
      <c r="V1140" s="747"/>
      <c r="W1140" s="747"/>
      <c r="X1140" s="747"/>
      <c r="Y1140" s="747"/>
      <c r="Z1140" s="747"/>
      <c r="AA1140" s="747"/>
      <c r="AB1140" s="747"/>
      <c r="AC1140" s="747"/>
      <c r="AD1140" s="747"/>
      <c r="AE1140" s="747"/>
      <c r="AF1140" s="747"/>
      <c r="AG1140" s="747"/>
      <c r="AH1140" s="747"/>
      <c r="AI1140" s="747"/>
      <c r="AJ1140" s="747"/>
      <c r="AK1140" s="747"/>
      <c r="AL1140" s="747"/>
      <c r="AM1140" s="747"/>
      <c r="AN1140" s="747"/>
      <c r="AO1140" s="747"/>
      <c r="AP1140" s="747"/>
      <c r="AQ1140" s="747"/>
      <c r="AR1140" s="747"/>
      <c r="AS1140" s="747"/>
      <c r="AT1140" s="747"/>
      <c r="AU1140" s="786"/>
      <c r="AV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AW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AX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AY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AZ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A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B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C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D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E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F1140" s="747"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G1140" s="485" t="str">
        <f ca="1">IFERROR(CHOOSE(MO.DataSourceIndex,BDP(MO.Ticker.Bloomberg&amp;" EQUITY","BEST_EBIT","BEST_FPERIOD_OVERRIDE="&amp;INDEX(tb_ConsensusEstimate,3,COLUMN())&amp;INDEX(tb_ConsensusEstimate,2,COLUMN())),CIQ(MO.Ticker.CapIQ,"IQ_EBIT_EST","IQ_"&amp;INDEX(tb_ConsensusEstimate,2,COLUMN())&amp;"+"&amp;INDEX(tb_ConsensusEstimate,3,COLUMN())),FDS(MO.Ticker.FactSet,"FE_ESTIMATE(EBIT,MEAN,"&amp;INDEX(tb_ConsensusEstimate,2,COLUMN())&amp;",+"&amp;INDEX(tb_ConsensusEstimate,3,COLUMN())&amp;",NOW"&amp;",,,'CURRENCY="&amp;HP.ReportCurrency&amp;"')"),_xll.TR(MO.Ticker.Thomson,"ZAV(TR.EBITMean(Scale=6))","Period="&amp;INDEX(tb_ConsensusEstimate,2,COLUMN())&amp;INDEX(tb_ConsensusEstimate,3,COLUMN()))),"N/A")</f>
        <v>N/A</v>
      </c>
      <c r="BH1140" s="473"/>
    </row>
    <row r="1141" spans="1:60" s="53" customFormat="1" x14ac:dyDescent="0.35">
      <c r="A1141" s="489" t="str">
        <f>$A$832</f>
        <v>Consensus Estimates - Adjusted Earnings Per Share - WAD</v>
      </c>
      <c r="B1141" s="377"/>
      <c r="C1141" s="378"/>
      <c r="D1141" s="378"/>
      <c r="E1141" s="378"/>
      <c r="F1141" s="378"/>
      <c r="G1141" s="378"/>
      <c r="H1141" s="377"/>
      <c r="I1141" s="377"/>
      <c r="J1141" s="377"/>
      <c r="K1141" s="377"/>
      <c r="L1141" s="377"/>
      <c r="M1141" s="377"/>
      <c r="N1141" s="377"/>
      <c r="O1141" s="377"/>
      <c r="P1141" s="377"/>
      <c r="Q1141" s="377"/>
      <c r="R1141" s="377"/>
      <c r="S1141" s="377"/>
      <c r="T1141" s="377"/>
      <c r="U1141" s="377"/>
      <c r="V1141" s="377"/>
      <c r="W1141" s="377"/>
      <c r="X1141" s="377"/>
      <c r="Y1141" s="377"/>
      <c r="Z1141" s="377"/>
      <c r="AA1141" s="377"/>
      <c r="AB1141" s="377"/>
      <c r="AC1141" s="377"/>
      <c r="AD1141" s="377"/>
      <c r="AE1141" s="377"/>
      <c r="AF1141" s="377"/>
      <c r="AG1141" s="377"/>
      <c r="AH1141" s="377"/>
      <c r="AI1141" s="377"/>
      <c r="AJ1141" s="377"/>
      <c r="AK1141" s="377"/>
      <c r="AL1141" s="377"/>
      <c r="AM1141" s="377"/>
      <c r="AN1141" s="377"/>
      <c r="AO1141" s="377"/>
      <c r="AP1141" s="377"/>
      <c r="AQ1141" s="377"/>
      <c r="AR1141" s="377"/>
      <c r="AS1141" s="377"/>
      <c r="AT1141" s="377"/>
      <c r="AU1141" s="798"/>
      <c r="AV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W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X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Y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AZ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A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B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C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D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E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F1141" s="377"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G1141" s="486" t="str">
        <f ca="1">IFERROR(CHOOSE(MO.DataSourceIndex,BDP(MO.Ticker.Bloomberg&amp;" EQUITY","BEST_EPS","BEST_FPERIOD_OVERRIDE="&amp;INDEX(tb_ConsensusEstimate,3,COLUMN())&amp;INDEX(tb_ConsensusEstimate,2,COLUMN())),CIQ(MO.Ticker.CapIQ,"IQ_EPS_NORM_EST","IQ_"&amp;INDEX(tb_ConsensusEstimate,2,COLUMN())&amp;"+"&amp;INDEX(tb_ConsensusEstimate,3,COLUMN())),FDS(MO.Ticker.FactSet,"FE_ESTIMATE(EPS,MEAN,"&amp;INDEX(tb_ConsensusEstimate,2,COLUMN())&amp;",+"&amp;INDEX(tb_ConsensusEstimate,3,COLUMN())&amp;",NOW"&amp;",,,'CURRENCY="&amp;HP.ReportCurrency&amp;"')"),_xll.TR(MO.Ticker.Thomson,"ZAV(TR.EPSMean)","Period="&amp;INDEX(tb_ConsensusEstimate,2,COLUMN())&amp;INDEX(tb_ConsensusEstimate,3,COLUMN()))),"N/A")</f>
        <v>N/A</v>
      </c>
      <c r="BH1141" s="474"/>
    </row>
    <row r="1142" spans="1:60" s="53" customFormat="1" x14ac:dyDescent="0.35">
      <c r="A1142" s="489" t="str">
        <f>$A$841</f>
        <v>Consensus Estimates - Cash Flow Per Diluted Share</v>
      </c>
      <c r="B1142" s="377"/>
      <c r="C1142" s="378"/>
      <c r="D1142" s="378"/>
      <c r="E1142" s="378"/>
      <c r="F1142" s="378"/>
      <c r="G1142" s="378"/>
      <c r="H1142" s="377"/>
      <c r="I1142" s="377"/>
      <c r="J1142" s="377"/>
      <c r="K1142" s="377"/>
      <c r="L1142" s="377"/>
      <c r="M1142" s="377"/>
      <c r="N1142" s="377"/>
      <c r="O1142" s="377"/>
      <c r="P1142" s="377"/>
      <c r="Q1142" s="377"/>
      <c r="R1142" s="377"/>
      <c r="S1142" s="377"/>
      <c r="T1142" s="377"/>
      <c r="U1142" s="377"/>
      <c r="V1142" s="377"/>
      <c r="W1142" s="377"/>
      <c r="X1142" s="377"/>
      <c r="Y1142" s="377"/>
      <c r="Z1142" s="377"/>
      <c r="AA1142" s="377"/>
      <c r="AB1142" s="377"/>
      <c r="AC1142" s="377"/>
      <c r="AD1142" s="377"/>
      <c r="AE1142" s="377"/>
      <c r="AF1142" s="377"/>
      <c r="AG1142" s="377"/>
      <c r="AH1142" s="377"/>
      <c r="AI1142" s="377"/>
      <c r="AJ1142" s="377"/>
      <c r="AK1142" s="377"/>
      <c r="AL1142" s="377"/>
      <c r="AM1142" s="377"/>
      <c r="AN1142" s="377"/>
      <c r="AO1142" s="377"/>
      <c r="AP1142" s="377"/>
      <c r="AQ1142" s="377"/>
      <c r="AR1142" s="377"/>
      <c r="AS1142" s="377"/>
      <c r="AT1142" s="377"/>
      <c r="AU1142" s="798"/>
      <c r="AV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W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X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Y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AZ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A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B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C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D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E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F1142" s="377"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G1142" s="486" t="str">
        <f ca="1">IFERROR(CHOOSE(MO.DataSourceIndex,BDP(MO.Ticker.Bloomberg&amp;" EQUITY","BEST_CPS","BEST_FPERIOD_OVERRIDE="&amp;INDEX(tb_ConsensusEstimate,3,COLUMN())&amp;INDEX(tb_ConsensusEstimate,2,COLUMN())),CIQ(MO.Ticker.CapIQ,"IQ_CFPS_EST","IQ_"&amp;INDEX(tb_ConsensusEstimate,2,COLUMN())&amp;"+"&amp;INDEX(tb_ConsensusEstimate,3,COLUMN())),FDS(MO.Ticker.FactSet,"FE_ESTIMATE(CFPS,MEAN,"&amp;INDEX(tb_ConsensusEstimate,2,COLUMN())&amp;",+"&amp;INDEX(tb_ConsensusEstimate,3,COLUMN())&amp;",NOW"&amp;",,,'CURRENCY="&amp;HP.ReportCurrency&amp;"')"),_xll.TR(MO.Ticker.Thomson,"ZAV(TR.CFPSMean)","Period="&amp;INDEX(tb_ConsensusEstimate,2,COLUMN())&amp;INDEX(tb_ConsensusEstimate,3,COLUMN()))),"N/A")</f>
        <v>N/A</v>
      </c>
      <c r="BH1142" s="474"/>
    </row>
    <row r="1143" spans="1:60" s="48" customFormat="1" x14ac:dyDescent="0.35">
      <c r="A1143" s="488" t="str">
        <f>A843</f>
        <v>Consensus Estimates - Capex</v>
      </c>
      <c r="B1143" s="747"/>
      <c r="C1143" s="189"/>
      <c r="D1143" s="189"/>
      <c r="E1143" s="189"/>
      <c r="F1143" s="189"/>
      <c r="G1143" s="189"/>
      <c r="H1143" s="747"/>
      <c r="I1143" s="747"/>
      <c r="J1143" s="747"/>
      <c r="K1143" s="747"/>
      <c r="L1143" s="747"/>
      <c r="M1143" s="747"/>
      <c r="N1143" s="747"/>
      <c r="O1143" s="747"/>
      <c r="P1143" s="747"/>
      <c r="Q1143" s="747"/>
      <c r="R1143" s="747"/>
      <c r="S1143" s="747"/>
      <c r="T1143" s="747"/>
      <c r="U1143" s="747"/>
      <c r="V1143" s="747"/>
      <c r="W1143" s="747"/>
      <c r="X1143" s="747"/>
      <c r="Y1143" s="747"/>
      <c r="Z1143" s="747"/>
      <c r="AA1143" s="747"/>
      <c r="AB1143" s="747"/>
      <c r="AC1143" s="747"/>
      <c r="AD1143" s="747"/>
      <c r="AE1143" s="747"/>
      <c r="AF1143" s="747"/>
      <c r="AG1143" s="747"/>
      <c r="AH1143" s="747"/>
      <c r="AI1143" s="747"/>
      <c r="AJ1143" s="747"/>
      <c r="AK1143" s="747"/>
      <c r="AL1143" s="747"/>
      <c r="AM1143" s="747"/>
      <c r="AN1143" s="747"/>
      <c r="AO1143" s="747"/>
      <c r="AP1143" s="747"/>
      <c r="AQ1143" s="747"/>
      <c r="AR1143" s="747"/>
      <c r="AS1143" s="747"/>
      <c r="AT1143" s="747"/>
      <c r="AU1143" s="786"/>
      <c r="AV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W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X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Y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AZ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A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B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C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D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E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F1143" s="747"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G1143" s="485" t="str">
        <f ca="1">IFERROR(CHOOSE(MO.DataSourceIndex,BDP(MO.Ticker.Bloomberg&amp;" EQUITY","BEST_CAPEX","BEST_FPERIOD_OVERRIDE="&amp;INDEX(tb_ConsensusEstimate,3,COLUMN())&amp;INDEX(tb_ConsensusEstimate,2,COLUMN())),CIQ(MO.Ticker.CapIQ,"IQ_CAPEX_EST","IQ_"&amp;INDEX(tb_ConsensusEstimate,2,COLUMN())&amp;"+"&amp;INDEX(tb_ConsensusEstimate,3,COLUMN())),-FDS(MO.Ticker.FactSet,"FE_ESTIMATE(CAPEX,MEAN,"&amp;INDEX(tb_ConsensusEstimate,2,COLUMN())&amp;",+"&amp;INDEX(tb_ConsensusEstimate,3,COLUMN())&amp;",NOW"&amp;",,,'CURRENCY="&amp;HP.ReportCurrency&amp;"')"),-_xll.TR(MO.Ticker.Thomson,"ZAV(TR.CAPEXMean(Scale=6))","Period="&amp;INDEX(tb_ConsensusEstimate,2,COLUMN())&amp;INDEX(tb_ConsensusEstimate,3,COLUMN()))),"N/A")</f>
        <v>N/A</v>
      </c>
      <c r="BH1143" s="473"/>
    </row>
    <row r="1144" spans="1:60" s="15" customFormat="1" x14ac:dyDescent="0.35">
      <c r="A1144" s="490"/>
      <c r="B1144" s="482"/>
      <c r="C1144" s="483"/>
      <c r="D1144" s="483"/>
      <c r="E1144" s="482"/>
      <c r="F1144" s="482"/>
      <c r="G1144" s="482"/>
      <c r="H1144" s="482"/>
      <c r="I1144" s="482"/>
      <c r="J1144" s="482"/>
      <c r="K1144" s="482"/>
      <c r="L1144" s="482"/>
      <c r="M1144" s="482"/>
      <c r="N1144" s="482"/>
      <c r="O1144" s="482"/>
      <c r="P1144" s="482"/>
      <c r="Q1144" s="482"/>
      <c r="R1144" s="482"/>
      <c r="S1144" s="482"/>
      <c r="T1144" s="482"/>
      <c r="U1144" s="482"/>
      <c r="V1144" s="482"/>
      <c r="W1144" s="482"/>
      <c r="X1144" s="482"/>
      <c r="Y1144" s="482"/>
      <c r="Z1144" s="482"/>
      <c r="AA1144" s="482"/>
      <c r="AB1144" s="482"/>
      <c r="AC1144" s="482"/>
      <c r="AD1144" s="482"/>
      <c r="AE1144" s="482"/>
      <c r="AF1144" s="482"/>
      <c r="AG1144" s="482"/>
      <c r="AH1144" s="482"/>
      <c r="AI1144" s="482"/>
      <c r="AJ1144" s="482"/>
      <c r="AK1144" s="482"/>
      <c r="AL1144" s="482"/>
      <c r="AM1144" s="482"/>
      <c r="AN1144" s="482"/>
      <c r="AO1144" s="482"/>
      <c r="AP1144" s="482"/>
      <c r="AQ1144" s="482"/>
      <c r="AR1144" s="482"/>
      <c r="AS1144" s="482"/>
      <c r="AT1144" s="482"/>
      <c r="AU1144" s="833"/>
      <c r="AV1144" s="482"/>
      <c r="AW1144" s="482"/>
      <c r="AX1144" s="482"/>
      <c r="AY1144" s="482"/>
      <c r="AZ1144" s="482"/>
      <c r="BA1144" s="482"/>
      <c r="BB1144" s="482"/>
      <c r="BC1144" s="482"/>
      <c r="BD1144" s="482"/>
      <c r="BE1144" s="482"/>
      <c r="BF1144" s="482"/>
      <c r="BG1144" s="487"/>
      <c r="BH1144" s="473"/>
    </row>
    <row r="1145" spans="1:60" s="15" customFormat="1" x14ac:dyDescent="0.35">
      <c r="A1145" s="475"/>
      <c r="B1145" s="461"/>
      <c r="C1145" s="476"/>
      <c r="D1145" s="476"/>
      <c r="E1145" s="461"/>
      <c r="F1145" s="461"/>
      <c r="G1145" s="461"/>
      <c r="H1145" s="461"/>
      <c r="I1145" s="461"/>
      <c r="J1145" s="461"/>
      <c r="K1145" s="461"/>
      <c r="L1145" s="461"/>
      <c r="M1145" s="461"/>
      <c r="N1145" s="461"/>
      <c r="O1145" s="461"/>
      <c r="P1145" s="461"/>
      <c r="Q1145" s="461"/>
      <c r="R1145" s="461"/>
      <c r="S1145" s="461"/>
      <c r="T1145" s="461"/>
      <c r="U1145" s="461"/>
      <c r="V1145" s="461"/>
      <c r="W1145" s="461"/>
      <c r="X1145" s="461"/>
      <c r="Y1145" s="461"/>
      <c r="Z1145" s="461"/>
      <c r="AA1145" s="461"/>
      <c r="AB1145" s="461"/>
      <c r="AC1145" s="461"/>
      <c r="AD1145" s="461"/>
      <c r="AE1145" s="461"/>
      <c r="AF1145" s="461"/>
      <c r="AG1145" s="461"/>
      <c r="AH1145" s="461"/>
      <c r="AI1145" s="461"/>
      <c r="AJ1145" s="461"/>
      <c r="AK1145" s="461"/>
      <c r="AL1145" s="461"/>
      <c r="AM1145" s="461"/>
      <c r="AN1145" s="461"/>
      <c r="AO1145" s="461"/>
      <c r="AP1145" s="461"/>
      <c r="AQ1145" s="461"/>
      <c r="AR1145" s="461"/>
      <c r="AS1145" s="461"/>
      <c r="AT1145" s="461"/>
      <c r="AU1145" s="834"/>
      <c r="AV1145" s="461"/>
      <c r="AW1145" s="461"/>
      <c r="AX1145" s="461"/>
      <c r="AY1145" s="461"/>
      <c r="AZ1145" s="461"/>
      <c r="BA1145" s="461"/>
      <c r="BB1145" s="461"/>
      <c r="BC1145" s="461"/>
      <c r="BD1145" s="461"/>
      <c r="BE1145" s="461"/>
      <c r="BF1145" s="461"/>
      <c r="BG1145" s="461"/>
      <c r="BH1145" s="749"/>
    </row>
    <row r="1146" spans="1:60" s="15" customFormat="1" x14ac:dyDescent="0.35">
      <c r="A1146" s="390" t="s">
        <v>243</v>
      </c>
      <c r="B1146" s="387"/>
      <c r="C1146" s="388"/>
      <c r="D1146" s="388"/>
      <c r="E1146" s="387"/>
      <c r="F1146" s="387"/>
      <c r="G1146" s="387"/>
      <c r="H1146" s="387"/>
      <c r="I1146" s="387"/>
      <c r="J1146" s="387"/>
      <c r="K1146" s="387"/>
      <c r="L1146" s="387"/>
      <c r="M1146" s="387"/>
      <c r="N1146" s="387"/>
      <c r="O1146" s="387"/>
      <c r="P1146" s="387"/>
      <c r="Q1146" s="387"/>
      <c r="R1146" s="387"/>
      <c r="S1146" s="387"/>
      <c r="T1146" s="387"/>
      <c r="U1146" s="387"/>
      <c r="V1146" s="387"/>
      <c r="W1146" s="387"/>
      <c r="X1146" s="387"/>
      <c r="Y1146" s="387"/>
      <c r="Z1146" s="387"/>
      <c r="AA1146" s="387"/>
      <c r="AB1146" s="387"/>
      <c r="AC1146" s="387"/>
      <c r="AD1146" s="387"/>
      <c r="AE1146" s="387"/>
      <c r="AF1146" s="387"/>
      <c r="AG1146" s="387"/>
      <c r="AH1146" s="387"/>
      <c r="AI1146" s="387"/>
      <c r="AJ1146" s="387"/>
      <c r="AK1146" s="387"/>
      <c r="AL1146" s="387"/>
      <c r="AM1146" s="387"/>
      <c r="AN1146" s="387"/>
      <c r="AO1146" s="387"/>
      <c r="AP1146" s="387"/>
      <c r="AQ1146" s="387"/>
      <c r="AR1146" s="387"/>
      <c r="AS1146" s="387"/>
      <c r="AT1146" s="387"/>
      <c r="AU1146" s="835"/>
      <c r="AV1146" s="387"/>
      <c r="AW1146" s="387"/>
      <c r="AX1146" s="387"/>
      <c r="AY1146" s="387"/>
      <c r="AZ1146" s="387"/>
      <c r="BA1146" s="387"/>
      <c r="BB1146" s="387"/>
      <c r="BC1146" s="387"/>
      <c r="BD1146" s="387"/>
      <c r="BE1146" s="387"/>
      <c r="BF1146" s="387"/>
      <c r="BG1146" s="389"/>
      <c r="BH1146" s="473"/>
    </row>
    <row r="1147" spans="1:60" s="15" customFormat="1" x14ac:dyDescent="0.35">
      <c r="A1147" s="391" t="s">
        <v>244</v>
      </c>
      <c r="B1147" s="747"/>
      <c r="C1147" s="392">
        <f t="shared" ref="C1147:AH1147" si="1587">INDEX(MO_Common_QEndDate,0,COLUMN())-INDEX(MO_Common_FPDays,0,COLUMN())+1</f>
        <v>39814</v>
      </c>
      <c r="D1147" s="392">
        <f t="shared" si="1587"/>
        <v>40179</v>
      </c>
      <c r="E1147" s="393">
        <f t="shared" si="1587"/>
        <v>40544</v>
      </c>
      <c r="F1147" s="393">
        <f t="shared" si="1587"/>
        <v>40909</v>
      </c>
      <c r="G1147" s="393">
        <f t="shared" si="1587"/>
        <v>41275</v>
      </c>
      <c r="H1147" s="393">
        <f t="shared" si="1587"/>
        <v>41365</v>
      </c>
      <c r="I1147" s="393">
        <f t="shared" si="1587"/>
        <v>41456</v>
      </c>
      <c r="J1147" s="393">
        <f t="shared" si="1587"/>
        <v>41548</v>
      </c>
      <c r="K1147" s="393">
        <f t="shared" si="1587"/>
        <v>41275</v>
      </c>
      <c r="L1147" s="393">
        <f t="shared" si="1587"/>
        <v>41640</v>
      </c>
      <c r="M1147" s="393">
        <f t="shared" si="1587"/>
        <v>41730</v>
      </c>
      <c r="N1147" s="393">
        <f t="shared" si="1587"/>
        <v>41821</v>
      </c>
      <c r="O1147" s="393">
        <f t="shared" si="1587"/>
        <v>41913</v>
      </c>
      <c r="P1147" s="393">
        <f t="shared" si="1587"/>
        <v>41640</v>
      </c>
      <c r="Q1147" s="393">
        <f t="shared" si="1587"/>
        <v>42005</v>
      </c>
      <c r="R1147" s="393">
        <f t="shared" si="1587"/>
        <v>42095</v>
      </c>
      <c r="S1147" s="393">
        <f t="shared" si="1587"/>
        <v>42186</v>
      </c>
      <c r="T1147" s="393">
        <f t="shared" si="1587"/>
        <v>42278</v>
      </c>
      <c r="U1147" s="393">
        <f t="shared" si="1587"/>
        <v>42005</v>
      </c>
      <c r="V1147" s="393">
        <f t="shared" si="1587"/>
        <v>42370</v>
      </c>
      <c r="W1147" s="393">
        <f t="shared" si="1587"/>
        <v>42461</v>
      </c>
      <c r="X1147" s="393">
        <f t="shared" si="1587"/>
        <v>42552</v>
      </c>
      <c r="Y1147" s="393">
        <f t="shared" si="1587"/>
        <v>42644</v>
      </c>
      <c r="Z1147" s="393">
        <f t="shared" si="1587"/>
        <v>42370</v>
      </c>
      <c r="AA1147" s="393">
        <f t="shared" si="1587"/>
        <v>42736</v>
      </c>
      <c r="AB1147" s="393">
        <f t="shared" si="1587"/>
        <v>42826</v>
      </c>
      <c r="AC1147" s="393">
        <f t="shared" si="1587"/>
        <v>42917</v>
      </c>
      <c r="AD1147" s="393">
        <f t="shared" si="1587"/>
        <v>43009</v>
      </c>
      <c r="AE1147" s="393">
        <f t="shared" si="1587"/>
        <v>42736</v>
      </c>
      <c r="AF1147" s="393">
        <f t="shared" si="1587"/>
        <v>43101</v>
      </c>
      <c r="AG1147" s="393">
        <f t="shared" si="1587"/>
        <v>43191</v>
      </c>
      <c r="AH1147" s="393">
        <f t="shared" si="1587"/>
        <v>43282</v>
      </c>
      <c r="AI1147" s="393">
        <f t="shared" ref="AI1147:AY1147" si="1588">INDEX(MO_Common_QEndDate,0,COLUMN())-INDEX(MO_Common_FPDays,0,COLUMN())+1</f>
        <v>43374</v>
      </c>
      <c r="AJ1147" s="393">
        <f t="shared" si="1588"/>
        <v>43101</v>
      </c>
      <c r="AK1147" s="393">
        <f t="shared" si="1588"/>
        <v>43466</v>
      </c>
      <c r="AL1147" s="393">
        <f t="shared" si="1588"/>
        <v>43556</v>
      </c>
      <c r="AM1147" s="393">
        <f t="shared" si="1588"/>
        <v>43647</v>
      </c>
      <c r="AN1147" s="393">
        <f t="shared" si="1588"/>
        <v>43739</v>
      </c>
      <c r="AO1147" s="393">
        <f t="shared" si="1588"/>
        <v>43466</v>
      </c>
      <c r="AP1147" s="393">
        <f t="shared" si="1588"/>
        <v>43831</v>
      </c>
      <c r="AQ1147" s="393">
        <f t="shared" si="1588"/>
        <v>43922</v>
      </c>
      <c r="AR1147" s="393">
        <f>INDEX(MO_Common_QEndDate,0,COLUMN())-INDEX(MO_Common_FPDays,0,COLUMN())+1</f>
        <v>44013</v>
      </c>
      <c r="AS1147" s="393">
        <f>INDEX(MO_Common_QEndDate,0,COLUMN())-INDEX(MO_Common_FPDays,0,COLUMN())+1</f>
        <v>44105</v>
      </c>
      <c r="AT1147" s="393">
        <f>INDEX(MO_Common_QEndDate,0,COLUMN())-INDEX(MO_Common_FPDays,0,COLUMN())+1</f>
        <v>43831</v>
      </c>
      <c r="AU1147" s="836">
        <f t="shared" si="1588"/>
        <v>44197</v>
      </c>
      <c r="AV1147" s="393">
        <f t="shared" si="1588"/>
        <v>44287</v>
      </c>
      <c r="AW1147" s="393">
        <f t="shared" si="1588"/>
        <v>44378</v>
      </c>
      <c r="AX1147" s="393">
        <f t="shared" si="1588"/>
        <v>44470</v>
      </c>
      <c r="AY1147" s="393">
        <f t="shared" si="1588"/>
        <v>44197</v>
      </c>
      <c r="AZ1147" s="393">
        <f t="shared" ref="AZ1147:BG1147" si="1589">INDEX(MO_Common_QEndDate,0,COLUMN())-INDEX(MO_Common_FPDays,0,COLUMN())+1</f>
        <v>44562</v>
      </c>
      <c r="BA1147" s="393">
        <f t="shared" si="1589"/>
        <v>44652</v>
      </c>
      <c r="BB1147" s="393">
        <f t="shared" si="1589"/>
        <v>44743</v>
      </c>
      <c r="BC1147" s="393">
        <f t="shared" si="1589"/>
        <v>44835</v>
      </c>
      <c r="BD1147" s="393">
        <f t="shared" si="1589"/>
        <v>44562</v>
      </c>
      <c r="BE1147" s="393">
        <f t="shared" si="1589"/>
        <v>44927</v>
      </c>
      <c r="BF1147" s="393">
        <f t="shared" si="1589"/>
        <v>45292</v>
      </c>
      <c r="BG1147" s="394">
        <f t="shared" si="1589"/>
        <v>45658</v>
      </c>
      <c r="BH1147" s="473"/>
    </row>
    <row r="1148" spans="1:60" s="15" customFormat="1" x14ac:dyDescent="0.35">
      <c r="A1148" s="391" t="s">
        <v>376</v>
      </c>
      <c r="B1148" s="747"/>
      <c r="C1148" s="392" t="b">
        <f>TRUE</f>
        <v>1</v>
      </c>
      <c r="D1148" s="392" t="b">
        <f>TRUE</f>
        <v>1</v>
      </c>
      <c r="E1148" s="393" t="b">
        <f>TRUE</f>
        <v>1</v>
      </c>
      <c r="F1148" s="393" t="b">
        <f>TRUE</f>
        <v>1</v>
      </c>
      <c r="G1148" s="393" t="b">
        <f>TRUE</f>
        <v>1</v>
      </c>
      <c r="H1148" s="393" t="b">
        <f>TRUE</f>
        <v>1</v>
      </c>
      <c r="I1148" s="393" t="b">
        <f>TRUE</f>
        <v>1</v>
      </c>
      <c r="J1148" s="393" t="b">
        <f>TRUE</f>
        <v>1</v>
      </c>
      <c r="K1148" s="393" t="b">
        <f>TRUE</f>
        <v>1</v>
      </c>
      <c r="L1148" s="393" t="b">
        <f>TRUE</f>
        <v>1</v>
      </c>
      <c r="M1148" s="393" t="b">
        <f>TRUE</f>
        <v>1</v>
      </c>
      <c r="N1148" s="393" t="b">
        <f>TRUE</f>
        <v>1</v>
      </c>
      <c r="O1148" s="393" t="b">
        <f>TRUE</f>
        <v>1</v>
      </c>
      <c r="P1148" s="393" t="b">
        <f>TRUE</f>
        <v>1</v>
      </c>
      <c r="Q1148" s="393" t="b">
        <f>TRUE</f>
        <v>1</v>
      </c>
      <c r="R1148" s="393" t="b">
        <f>TRUE</f>
        <v>1</v>
      </c>
      <c r="S1148" s="393" t="b">
        <f>TRUE</f>
        <v>1</v>
      </c>
      <c r="T1148" s="393" t="b">
        <f>TRUE</f>
        <v>1</v>
      </c>
      <c r="U1148" s="393" t="b">
        <f>TRUE</f>
        <v>1</v>
      </c>
      <c r="V1148" s="393" t="b">
        <f>TRUE</f>
        <v>1</v>
      </c>
      <c r="W1148" s="393" t="b">
        <f>TRUE</f>
        <v>1</v>
      </c>
      <c r="X1148" s="393" t="b">
        <f>TRUE</f>
        <v>1</v>
      </c>
      <c r="Y1148" s="393" t="b">
        <f>TRUE</f>
        <v>1</v>
      </c>
      <c r="Z1148" s="393" t="b">
        <f>TRUE</f>
        <v>1</v>
      </c>
      <c r="AA1148" s="393" t="b">
        <f>TRUE</f>
        <v>1</v>
      </c>
      <c r="AB1148" s="393" t="b">
        <f>TRUE</f>
        <v>1</v>
      </c>
      <c r="AC1148" s="393" t="b">
        <f>TRUE</f>
        <v>1</v>
      </c>
      <c r="AD1148" s="393" t="b">
        <f>TRUE</f>
        <v>1</v>
      </c>
      <c r="AE1148" s="393" t="b">
        <f>TRUE</f>
        <v>1</v>
      </c>
      <c r="AF1148" s="393" t="b">
        <f>TRUE</f>
        <v>1</v>
      </c>
      <c r="AG1148" s="393" t="b">
        <f>TRUE</f>
        <v>1</v>
      </c>
      <c r="AH1148" s="393" t="b">
        <f>TRUE</f>
        <v>1</v>
      </c>
      <c r="AI1148" s="393" t="b">
        <f>TRUE</f>
        <v>1</v>
      </c>
      <c r="AJ1148" s="393" t="b">
        <f>TRUE</f>
        <v>1</v>
      </c>
      <c r="AK1148" s="393" t="b">
        <f>TRUE</f>
        <v>1</v>
      </c>
      <c r="AL1148" s="393" t="b">
        <f>TRUE</f>
        <v>1</v>
      </c>
      <c r="AM1148" s="393" t="b">
        <f>TRUE</f>
        <v>1</v>
      </c>
      <c r="AN1148" s="393" t="b">
        <f>TRUE</f>
        <v>1</v>
      </c>
      <c r="AO1148" s="393" t="b">
        <f>TRUE</f>
        <v>1</v>
      </c>
      <c r="AP1148" s="393" t="b">
        <f>TRUE</f>
        <v>1</v>
      </c>
      <c r="AQ1148" s="393" t="b">
        <f>TRUE</f>
        <v>1</v>
      </c>
      <c r="AR1148" s="393" t="b">
        <f>TRUE</f>
        <v>1</v>
      </c>
      <c r="AS1148" s="393" t="b">
        <f>TRUE</f>
        <v>1</v>
      </c>
      <c r="AT1148" s="393" t="b">
        <f>TRUE</f>
        <v>1</v>
      </c>
      <c r="AU1148" s="836" t="b">
        <f>TRUE</f>
        <v>1</v>
      </c>
      <c r="AV1148" s="393" t="b">
        <f>FALSE</f>
        <v>0</v>
      </c>
      <c r="AW1148" s="393" t="b">
        <f>FALSE</f>
        <v>0</v>
      </c>
      <c r="AX1148" s="393" t="b">
        <f>FALSE</f>
        <v>0</v>
      </c>
      <c r="AY1148" s="393" t="b">
        <f>FALSE</f>
        <v>0</v>
      </c>
      <c r="AZ1148" s="393" t="b">
        <f>FALSE</f>
        <v>0</v>
      </c>
      <c r="BA1148" s="393" t="b">
        <f>FALSE</f>
        <v>0</v>
      </c>
      <c r="BB1148" s="393" t="b">
        <f>FALSE</f>
        <v>0</v>
      </c>
      <c r="BC1148" s="393" t="b">
        <f>FALSE</f>
        <v>0</v>
      </c>
      <c r="BD1148" s="393" t="b">
        <f>FALSE</f>
        <v>0</v>
      </c>
      <c r="BE1148" s="393" t="b">
        <f>FALSE</f>
        <v>0</v>
      </c>
      <c r="BF1148" s="393" t="b">
        <f>FALSE</f>
        <v>0</v>
      </c>
      <c r="BG1148" s="394" t="b">
        <f>FALSE</f>
        <v>0</v>
      </c>
      <c r="BH1148" s="473"/>
    </row>
    <row r="1149" spans="1:60" s="399" customFormat="1" x14ac:dyDescent="0.35">
      <c r="A1149" s="395" t="str">
        <f ca="1">"Stock High: "&amp;IF(OR(MO.RealTimeStockPriceToggle=FALSE,VLOOKUP(MO.DataSourceName,MO_SPT_StockHigh_Sources,COLUMN()+2,FALSE)="N/A"),"Real-Time Off Source",MO.DataSourceName)</f>
        <v>Stock High: Real-Time Off Source</v>
      </c>
      <c r="B1149" s="396"/>
      <c r="C1149" s="397">
        <f t="shared" ref="C1149:AH1149" ca="1" si="1590">IF(OR(MO.RealTimeStockPriceToggle=FALSE,VLOOKUP(MO.DataSourceName,MO_SPT_StockHigh_Sources,COLUMN(),FALSE)="N/A"),VLOOKUP("Real-Time Off Source",MO_SPT_StockHigh_Sources,COLUMN(),FALSE),VLOOKUP(MO.DataSourceName,MO_SPT_StockHigh_Sources,COLUMN(),FALSE))</f>
        <v>84.32</v>
      </c>
      <c r="D1149" s="397">
        <f t="shared" ca="1" si="1590"/>
        <v>91.49</v>
      </c>
      <c r="E1149" s="396">
        <f t="shared" ca="1" si="1590"/>
        <v>98.19</v>
      </c>
      <c r="F1149" s="396">
        <f t="shared" ca="1" si="1590"/>
        <v>95.46</v>
      </c>
      <c r="G1149" s="396">
        <f t="shared" ca="1" si="1590"/>
        <v>106.88</v>
      </c>
      <c r="H1149" s="396">
        <f t="shared" ca="1" si="1590"/>
        <v>113.25</v>
      </c>
      <c r="I1149" s="396">
        <f t="shared" ca="1" si="1590"/>
        <v>122.27</v>
      </c>
      <c r="J1149" s="396">
        <f t="shared" ca="1" si="1590"/>
        <v>140.43</v>
      </c>
      <c r="K1149" s="396">
        <f t="shared" ca="1" si="1590"/>
        <v>140.43</v>
      </c>
      <c r="L1149" s="396">
        <f t="shared" ca="1" si="1590"/>
        <v>139.29</v>
      </c>
      <c r="M1149" s="396">
        <f t="shared" ca="1" si="1590"/>
        <v>145.53</v>
      </c>
      <c r="N1149" s="396">
        <f t="shared" ca="1" si="1590"/>
        <v>147.87</v>
      </c>
      <c r="O1149" s="396">
        <f t="shared" ca="1" si="1590"/>
        <v>168.16</v>
      </c>
      <c r="P1149" s="396">
        <f t="shared" ca="1" si="1590"/>
        <v>168.16</v>
      </c>
      <c r="Q1149" s="396">
        <f t="shared" ca="1" si="1590"/>
        <v>170.5</v>
      </c>
      <c r="R1149" s="396">
        <f t="shared" ca="1" si="1590"/>
        <v>167.7</v>
      </c>
      <c r="S1149" s="396">
        <f t="shared" ca="1" si="1590"/>
        <v>157.94</v>
      </c>
      <c r="T1149" s="396">
        <f t="shared" ca="1" si="1590"/>
        <v>160.09</v>
      </c>
      <c r="U1149" s="396">
        <f t="shared" ca="1" si="1590"/>
        <v>170.5</v>
      </c>
      <c r="V1149" s="396">
        <f t="shared" ca="1" si="1590"/>
        <v>167.5</v>
      </c>
      <c r="W1149" s="396">
        <f t="shared" ca="1" si="1590"/>
        <v>175.14</v>
      </c>
      <c r="X1149" s="396">
        <f t="shared" ca="1" si="1590"/>
        <v>182.27</v>
      </c>
      <c r="Y1149" s="396">
        <f t="shared" ca="1" si="1590"/>
        <v>180.06</v>
      </c>
      <c r="Z1149" s="396">
        <f t="shared" ca="1" si="1590"/>
        <v>182.27</v>
      </c>
      <c r="AA1149" s="396">
        <f t="shared" ca="1" si="1590"/>
        <v>193.5</v>
      </c>
      <c r="AB1149" s="396">
        <f t="shared" ca="1" si="1590"/>
        <v>214.57</v>
      </c>
      <c r="AC1149" s="396">
        <f t="shared" ca="1" si="1590"/>
        <v>214.65</v>
      </c>
      <c r="AD1149" s="396">
        <f t="shared" ca="1" si="1590"/>
        <v>244.23</v>
      </c>
      <c r="AE1149" s="396">
        <f t="shared" ca="1" si="1590"/>
        <v>244.23</v>
      </c>
      <c r="AF1149" s="396">
        <f t="shared" ca="1" si="1590"/>
        <v>251.94649999999999</v>
      </c>
      <c r="AG1149" s="396">
        <f t="shared" ca="1" si="1590"/>
        <v>215.66669999999999</v>
      </c>
      <c r="AH1149" s="396">
        <f t="shared" ca="1" si="1590"/>
        <v>214.86259999999999</v>
      </c>
      <c r="AI1149" s="396">
        <f t="shared" ref="AI1149:AY1149" ca="1" si="1591">IF(OR(MO.RealTimeStockPriceToggle=FALSE,VLOOKUP(MO.DataSourceName,MO_SPT_StockHigh_Sources,COLUMN(),FALSE)="N/A"),VLOOKUP("Real-Time Off Source",MO_SPT_StockHigh_Sources,COLUMN(),FALSE),VLOOKUP(MO.DataSourceName,MO_SPT_StockHigh_Sources,COLUMN(),FALSE))</f>
        <v>214.29650000000001</v>
      </c>
      <c r="AJ1149" s="396">
        <f t="shared" ca="1" si="1591"/>
        <v>251.94649999999999</v>
      </c>
      <c r="AK1149" s="396">
        <f t="shared" ca="1" si="1591"/>
        <v>210.58</v>
      </c>
      <c r="AL1149" s="396">
        <f t="shared" ca="1" si="1591"/>
        <v>219.5</v>
      </c>
      <c r="AM1149" s="396">
        <f t="shared" ca="1" si="1591"/>
        <v>179.42</v>
      </c>
      <c r="AN1149" s="396">
        <f t="shared" ca="1" si="1591"/>
        <v>178.47</v>
      </c>
      <c r="AO1149" s="396">
        <f t="shared" ca="1" si="1591"/>
        <v>219.5</v>
      </c>
      <c r="AP1149" s="396">
        <f t="shared" ca="1" si="1591"/>
        <v>181.37</v>
      </c>
      <c r="AQ1149" s="396">
        <f t="shared" ca="1" si="1591"/>
        <v>167.41</v>
      </c>
      <c r="AR1149" s="396">
        <f ca="1">IF(OR(MO.RealTimeStockPriceToggle=FALSE,VLOOKUP(MO.DataSourceName,MO_SPT_StockHigh_Sources,COLUMN(),FALSE)="N/A"),VLOOKUP("Real-Time Off Source",MO_SPT_StockHigh_Sources,COLUMN(),FALSE),VLOOKUP(MO.DataSourceName,MO_SPT_StockHigh_Sources,COLUMN(),FALSE))</f>
        <v>172.38</v>
      </c>
      <c r="AS1149" s="396">
        <f ca="1">IF(OR(MO.RealTimeStockPriceToggle=FALSE,VLOOKUP(MO.DataSourceName,MO_SPT_StockHigh_Sources,COLUMN(),FALSE)="N/A"),VLOOKUP("Real-Time Off Source",MO_SPT_StockHigh_Sources,COLUMN(),FALSE),VLOOKUP(MO.DataSourceName,MO_SPT_StockHigh_Sources,COLUMN(),FALSE))</f>
        <v>177.12</v>
      </c>
      <c r="AT1149" s="396">
        <f ca="1">IF(OR(MO.RealTimeStockPriceToggle=FALSE,VLOOKUP(MO.DataSourceName,MO_SPT_StockHigh_Sources,COLUMN(),FALSE)="N/A"),VLOOKUP("Real-Time Off Source",MO_SPT_StockHigh_Sources,COLUMN(),FALSE),VLOOKUP(MO.DataSourceName,MO_SPT_StockHigh_Sources,COLUMN(),FALSE))</f>
        <v>181.37</v>
      </c>
      <c r="AU1149" s="837">
        <f t="shared" ca="1" si="1591"/>
        <v>195.74</v>
      </c>
      <c r="AV1149" s="396">
        <f t="shared" ca="1" si="1591"/>
        <v>0</v>
      </c>
      <c r="AW1149" s="396">
        <f t="shared" ca="1" si="1591"/>
        <v>0</v>
      </c>
      <c r="AX1149" s="396">
        <f t="shared" ca="1" si="1591"/>
        <v>0</v>
      </c>
      <c r="AY1149" s="396">
        <f t="shared" ca="1" si="1591"/>
        <v>0</v>
      </c>
      <c r="AZ1149" s="396">
        <f t="shared" ref="AZ1149:BG1149" ca="1" si="1592">IF(OR(MO.RealTimeStockPriceToggle=FALSE,VLOOKUP(MO.DataSourceName,MO_SPT_StockHigh_Sources,COLUMN(),FALSE)="N/A"),VLOOKUP("Real-Time Off Source",MO_SPT_StockHigh_Sources,COLUMN(),FALSE),VLOOKUP(MO.DataSourceName,MO_SPT_StockHigh_Sources,COLUMN(),FALSE))</f>
        <v>0</v>
      </c>
      <c r="BA1149" s="396">
        <f t="shared" ca="1" si="1592"/>
        <v>0</v>
      </c>
      <c r="BB1149" s="396">
        <f t="shared" ca="1" si="1592"/>
        <v>0</v>
      </c>
      <c r="BC1149" s="396">
        <f t="shared" ca="1" si="1592"/>
        <v>0</v>
      </c>
      <c r="BD1149" s="396">
        <f t="shared" ca="1" si="1592"/>
        <v>0</v>
      </c>
      <c r="BE1149" s="396">
        <f t="shared" ca="1" si="1592"/>
        <v>0</v>
      </c>
      <c r="BF1149" s="396">
        <f t="shared" ca="1" si="1592"/>
        <v>0</v>
      </c>
      <c r="BG1149" s="398">
        <f t="shared" ca="1" si="1592"/>
        <v>0</v>
      </c>
      <c r="BH1149" s="477"/>
    </row>
    <row r="1150" spans="1:60" s="399" customFormat="1" hidden="1" outlineLevel="1" x14ac:dyDescent="0.35">
      <c r="A1150" s="400" t="s">
        <v>245</v>
      </c>
      <c r="B1150" s="396"/>
      <c r="C1150" s="397">
        <v>84.32</v>
      </c>
      <c r="D1150" s="397">
        <v>91.49</v>
      </c>
      <c r="E1150" s="396">
        <v>98.19</v>
      </c>
      <c r="F1150" s="396">
        <v>95.46</v>
      </c>
      <c r="G1150" s="396">
        <v>106.88</v>
      </c>
      <c r="H1150" s="396">
        <v>113.25</v>
      </c>
      <c r="I1150" s="396">
        <v>122.27</v>
      </c>
      <c r="J1150" s="396">
        <v>140.43</v>
      </c>
      <c r="K1150" s="396">
        <v>140.43</v>
      </c>
      <c r="L1150" s="396">
        <v>139.29</v>
      </c>
      <c r="M1150" s="396">
        <v>145.53</v>
      </c>
      <c r="N1150" s="396">
        <v>147.87</v>
      </c>
      <c r="O1150" s="396">
        <v>168.16</v>
      </c>
      <c r="P1150" s="396">
        <v>168.16</v>
      </c>
      <c r="Q1150" s="396">
        <v>170.5</v>
      </c>
      <c r="R1150" s="396">
        <v>167.7</v>
      </c>
      <c r="S1150" s="396">
        <v>157.94</v>
      </c>
      <c r="T1150" s="396">
        <v>160.09</v>
      </c>
      <c r="U1150" s="396">
        <v>170.5</v>
      </c>
      <c r="V1150" s="396">
        <v>167.5</v>
      </c>
      <c r="W1150" s="396">
        <v>175.14</v>
      </c>
      <c r="X1150" s="396">
        <v>182.27</v>
      </c>
      <c r="Y1150" s="396">
        <v>180.06</v>
      </c>
      <c r="Z1150" s="396">
        <v>182.27</v>
      </c>
      <c r="AA1150" s="396">
        <v>193.5</v>
      </c>
      <c r="AB1150" s="396">
        <v>214.57</v>
      </c>
      <c r="AC1150" s="396">
        <v>214.65</v>
      </c>
      <c r="AD1150" s="396">
        <v>244.23</v>
      </c>
      <c r="AE1150" s="396">
        <v>244.23</v>
      </c>
      <c r="AF1150" s="396">
        <v>251.94649999999999</v>
      </c>
      <c r="AG1150" s="396">
        <v>215.66669999999999</v>
      </c>
      <c r="AH1150" s="396">
        <v>214.86259999999999</v>
      </c>
      <c r="AI1150" s="396">
        <v>214.29650000000001</v>
      </c>
      <c r="AJ1150" s="396">
        <v>251.94649999999999</v>
      </c>
      <c r="AK1150" s="396">
        <v>210.58</v>
      </c>
      <c r="AL1150" s="396">
        <v>219.5</v>
      </c>
      <c r="AM1150" s="396">
        <v>179.42</v>
      </c>
      <c r="AN1150" s="396">
        <v>178.47</v>
      </c>
      <c r="AO1150" s="396">
        <v>219.5</v>
      </c>
      <c r="AP1150" s="396">
        <v>181.37</v>
      </c>
      <c r="AQ1150" s="396">
        <v>167.41</v>
      </c>
      <c r="AR1150" s="396">
        <v>172.38</v>
      </c>
      <c r="AS1150" s="396">
        <v>177.12</v>
      </c>
      <c r="AT1150" s="396">
        <v>181.37</v>
      </c>
      <c r="AU1150" s="837">
        <v>195.74</v>
      </c>
      <c r="AV1150" s="396"/>
      <c r="AW1150" s="396"/>
      <c r="AX1150" s="396"/>
      <c r="AY1150" s="396"/>
      <c r="AZ1150" s="396"/>
      <c r="BA1150" s="396"/>
      <c r="BB1150" s="396"/>
      <c r="BC1150" s="396"/>
      <c r="BD1150" s="396"/>
      <c r="BE1150" s="396"/>
      <c r="BF1150" s="396"/>
      <c r="BG1150" s="398"/>
      <c r="BH1150" s="477"/>
    </row>
    <row r="1151" spans="1:60" s="399" customFormat="1" hidden="1" outlineLevel="1" x14ac:dyDescent="0.35">
      <c r="A1151" s="400" t="s">
        <v>7</v>
      </c>
      <c r="B1151" s="396"/>
      <c r="C1151" s="397" t="str">
        <f ca="1">IFERROR(BDP(MO.Ticker.Bloomberg&amp;" Equity","INTERVAL_HIGH","MARKET_DATA_OVERRIDE=PX_LAST","START_DATE_OVERRIDE",TEXT(INDEX(MO_SNA_FPStartDate,0,COLUMN()),"YYYYMMDD"),"END_DATE_OVERRIDE",TEXT(INDEX(MO_Common_QEndDate,0,COLUMN()),"YYYYMMDD")),"N/A")</f>
        <v>N/A</v>
      </c>
      <c r="D1151" s="397" t="str">
        <f ca="1">IFERROR(BDP(MO.Ticker.Bloomberg&amp;" Equity","INTERVAL_HIGH","MARKET_DATA_OVERRIDE=PX_LAST","START_DATE_OVERRIDE",TEXT(INDEX(MO_SNA_FPStartDate,0,COLUMN()),"YYYYMMDD"),"END_DATE_OVERRIDE",TEXT(INDEX(MO_Common_QEndDate,0,COLUMN()),"YYYYMMDD")),"N/A")</f>
        <v>N/A</v>
      </c>
      <c r="E1151" s="396" t="str">
        <f ca="1">IFERROR(BDP(MO.Ticker.Bloomberg&amp;" Equity","INTERVAL_HIGH","MARKET_DATA_OVERRIDE=PX_LAST","START_DATE_OVERRIDE",TEXT(INDEX(MO_SNA_FPStartDate,0,COLUMN()),"YYYYMMDD"),"END_DATE_OVERRIDE",TEXT(INDEX(MO_Common_QEndDate,0,COLUMN()),"YYYYMMDD")),"N/A")</f>
        <v>N/A</v>
      </c>
      <c r="F1151" s="396" t="str">
        <f ca="1">IFERROR(BDP(MO.Ticker.Bloomberg&amp;" Equity","INTERVAL_HIGH","MARKET_DATA_OVERRIDE=PX_LAST","START_DATE_OVERRIDE",TEXT(INDEX(MO_SNA_FPStartDate,0,COLUMN()),"YYYYMMDD"),"END_DATE_OVERRIDE",TEXT(INDEX(MO_Common_QEndDate,0,COLUMN()),"YYYYMMDD")),"N/A")</f>
        <v>N/A</v>
      </c>
      <c r="G1151" s="396" t="str">
        <f ca="1">IFERROR(BDP(MO.Ticker.Bloomberg&amp;" Equity","INTERVAL_HIGH","MARKET_DATA_OVERRIDE=PX_LAST","START_DATE_OVERRIDE",TEXT(INDEX(MO_SNA_FPStartDate,0,COLUMN()),"YYYYMMDD"),"END_DATE_OVERRIDE",TEXT(INDEX(MO_Common_QEndDate,0,COLUMN()),"YYYYMMDD")),"N/A")</f>
        <v>N/A</v>
      </c>
      <c r="H1151" s="396" t="str">
        <f ca="1">IFERROR(BDP(MO.Ticker.Bloomberg&amp;" Equity","INTERVAL_HIGH","MARKET_DATA_OVERRIDE=PX_LAST","START_DATE_OVERRIDE",TEXT(INDEX(MO_SNA_FPStartDate,0,COLUMN()),"YYYYMMDD"),"END_DATE_OVERRIDE",TEXT(INDEX(MO_Common_QEndDate,0,COLUMN()),"YYYYMMDD")),"N/A")</f>
        <v>N/A</v>
      </c>
      <c r="I1151" s="396" t="str">
        <f ca="1">IFERROR(BDP(MO.Ticker.Bloomberg&amp;" Equity","INTERVAL_HIGH","MARKET_DATA_OVERRIDE=PX_LAST","START_DATE_OVERRIDE",TEXT(INDEX(MO_SNA_FPStartDate,0,COLUMN()),"YYYYMMDD"),"END_DATE_OVERRIDE",TEXT(INDEX(MO_Common_QEndDate,0,COLUMN()),"YYYYMMDD")),"N/A")</f>
        <v>N/A</v>
      </c>
      <c r="J1151" s="396" t="str">
        <f ca="1">IFERROR(BDP(MO.Ticker.Bloomberg&amp;" Equity","INTERVAL_HIGH","MARKET_DATA_OVERRIDE=PX_LAST","START_DATE_OVERRIDE",TEXT(INDEX(MO_SNA_FPStartDate,0,COLUMN()),"YYYYMMDD"),"END_DATE_OVERRIDE",TEXT(INDEX(MO_Common_QEndDate,0,COLUMN()),"YYYYMMDD")),"N/A")</f>
        <v>N/A</v>
      </c>
      <c r="K1151" s="396" t="str">
        <f ca="1">IFERROR(BDP(MO.Ticker.Bloomberg&amp;" Equity","INTERVAL_HIGH","MARKET_DATA_OVERRIDE=PX_LAST","START_DATE_OVERRIDE",TEXT(INDEX(MO_SNA_FPStartDate,0,COLUMN()),"YYYYMMDD"),"END_DATE_OVERRIDE",TEXT(INDEX(MO_Common_QEndDate,0,COLUMN()),"YYYYMMDD")),"N/A")</f>
        <v>N/A</v>
      </c>
      <c r="L1151" s="396" t="str">
        <f ca="1">IFERROR(BDP(MO.Ticker.Bloomberg&amp;" Equity","INTERVAL_HIGH","MARKET_DATA_OVERRIDE=PX_LAST","START_DATE_OVERRIDE",TEXT(INDEX(MO_SNA_FPStartDate,0,COLUMN()),"YYYYMMDD"),"END_DATE_OVERRIDE",TEXT(INDEX(MO_Common_QEndDate,0,COLUMN()),"YYYYMMDD")),"N/A")</f>
        <v>N/A</v>
      </c>
      <c r="M1151" s="396" t="str">
        <f ca="1">IFERROR(BDP(MO.Ticker.Bloomberg&amp;" Equity","INTERVAL_HIGH","MARKET_DATA_OVERRIDE=PX_LAST","START_DATE_OVERRIDE",TEXT(INDEX(MO_SNA_FPStartDate,0,COLUMN()),"YYYYMMDD"),"END_DATE_OVERRIDE",TEXT(INDEX(MO_Common_QEndDate,0,COLUMN()),"YYYYMMDD")),"N/A")</f>
        <v>N/A</v>
      </c>
      <c r="N1151" s="396" t="str">
        <f ca="1">IFERROR(BDP(MO.Ticker.Bloomberg&amp;" Equity","INTERVAL_HIGH","MARKET_DATA_OVERRIDE=PX_LAST","START_DATE_OVERRIDE",TEXT(INDEX(MO_SNA_FPStartDate,0,COLUMN()),"YYYYMMDD"),"END_DATE_OVERRIDE",TEXT(INDEX(MO_Common_QEndDate,0,COLUMN()),"YYYYMMDD")),"N/A")</f>
        <v>N/A</v>
      </c>
      <c r="O1151" s="396" t="str">
        <f ca="1">IFERROR(BDP(MO.Ticker.Bloomberg&amp;" Equity","INTERVAL_HIGH","MARKET_DATA_OVERRIDE=PX_LAST","START_DATE_OVERRIDE",TEXT(INDEX(MO_SNA_FPStartDate,0,COLUMN()),"YYYYMMDD"),"END_DATE_OVERRIDE",TEXT(INDEX(MO_Common_QEndDate,0,COLUMN()),"YYYYMMDD")),"N/A")</f>
        <v>N/A</v>
      </c>
      <c r="P1151" s="396" t="str">
        <f ca="1">IFERROR(BDP(MO.Ticker.Bloomberg&amp;" Equity","INTERVAL_HIGH","MARKET_DATA_OVERRIDE=PX_LAST","START_DATE_OVERRIDE",TEXT(INDEX(MO_SNA_FPStartDate,0,COLUMN()),"YYYYMMDD"),"END_DATE_OVERRIDE",TEXT(INDEX(MO_Common_QEndDate,0,COLUMN()),"YYYYMMDD")),"N/A")</f>
        <v>N/A</v>
      </c>
      <c r="Q1151" s="396" t="str">
        <f ca="1">IFERROR(BDP(MO.Ticker.Bloomberg&amp;" Equity","INTERVAL_HIGH","MARKET_DATA_OVERRIDE=PX_LAST","START_DATE_OVERRIDE",TEXT(INDEX(MO_SNA_FPStartDate,0,COLUMN()),"YYYYMMDD"),"END_DATE_OVERRIDE",TEXT(INDEX(MO_Common_QEndDate,0,COLUMN()),"YYYYMMDD")),"N/A")</f>
        <v>N/A</v>
      </c>
      <c r="R1151" s="396" t="str">
        <f ca="1">IFERROR(BDP(MO.Ticker.Bloomberg&amp;" Equity","INTERVAL_HIGH","MARKET_DATA_OVERRIDE=PX_LAST","START_DATE_OVERRIDE",TEXT(INDEX(MO_SNA_FPStartDate,0,COLUMN()),"YYYYMMDD"),"END_DATE_OVERRIDE",TEXT(INDEX(MO_Common_QEndDate,0,COLUMN()),"YYYYMMDD")),"N/A")</f>
        <v>N/A</v>
      </c>
      <c r="S1151" s="396" t="str">
        <f ca="1">IFERROR(BDP(MO.Ticker.Bloomberg&amp;" Equity","INTERVAL_HIGH","MARKET_DATA_OVERRIDE=PX_LAST","START_DATE_OVERRIDE",TEXT(INDEX(MO_SNA_FPStartDate,0,COLUMN()),"YYYYMMDD"),"END_DATE_OVERRIDE",TEXT(INDEX(MO_Common_QEndDate,0,COLUMN()),"YYYYMMDD")),"N/A")</f>
        <v>N/A</v>
      </c>
      <c r="T1151" s="396" t="str">
        <f ca="1">IFERROR(BDP(MO.Ticker.Bloomberg&amp;" Equity","INTERVAL_HIGH","MARKET_DATA_OVERRIDE=PX_LAST","START_DATE_OVERRIDE",TEXT(INDEX(MO_SNA_FPStartDate,0,COLUMN()),"YYYYMMDD"),"END_DATE_OVERRIDE",TEXT(INDEX(MO_Common_QEndDate,0,COLUMN()),"YYYYMMDD")),"N/A")</f>
        <v>N/A</v>
      </c>
      <c r="U1151" s="396" t="str">
        <f ca="1">IFERROR(BDP(MO.Ticker.Bloomberg&amp;" Equity","INTERVAL_HIGH","MARKET_DATA_OVERRIDE=PX_LAST","START_DATE_OVERRIDE",TEXT(INDEX(MO_SNA_FPStartDate,0,COLUMN()),"YYYYMMDD"),"END_DATE_OVERRIDE",TEXT(INDEX(MO_Common_QEndDate,0,COLUMN()),"YYYYMMDD")),"N/A")</f>
        <v>N/A</v>
      </c>
      <c r="V1151" s="396" t="str">
        <f ca="1">IFERROR(BDP(MO.Ticker.Bloomberg&amp;" Equity","INTERVAL_HIGH","MARKET_DATA_OVERRIDE=PX_LAST","START_DATE_OVERRIDE",TEXT(INDEX(MO_SNA_FPStartDate,0,COLUMN()),"YYYYMMDD"),"END_DATE_OVERRIDE",TEXT(INDEX(MO_Common_QEndDate,0,COLUMN()),"YYYYMMDD")),"N/A")</f>
        <v>N/A</v>
      </c>
      <c r="W1151" s="396" t="str">
        <f ca="1">IFERROR(BDP(MO.Ticker.Bloomberg&amp;" Equity","INTERVAL_HIGH","MARKET_DATA_OVERRIDE=PX_LAST","START_DATE_OVERRIDE",TEXT(INDEX(MO_SNA_FPStartDate,0,COLUMN()),"YYYYMMDD"),"END_DATE_OVERRIDE",TEXT(INDEX(MO_Common_QEndDate,0,COLUMN()),"YYYYMMDD")),"N/A")</f>
        <v>N/A</v>
      </c>
      <c r="X1151" s="396" t="str">
        <f ca="1">IFERROR(BDP(MO.Ticker.Bloomberg&amp;" Equity","INTERVAL_HIGH","MARKET_DATA_OVERRIDE=PX_LAST","START_DATE_OVERRIDE",TEXT(INDEX(MO_SNA_FPStartDate,0,COLUMN()),"YYYYMMDD"),"END_DATE_OVERRIDE",TEXT(INDEX(MO_Common_QEndDate,0,COLUMN()),"YYYYMMDD")),"N/A")</f>
        <v>N/A</v>
      </c>
      <c r="Y1151" s="396" t="str">
        <f ca="1">IFERROR(BDP(MO.Ticker.Bloomberg&amp;" Equity","INTERVAL_HIGH","MARKET_DATA_OVERRIDE=PX_LAST","START_DATE_OVERRIDE",TEXT(INDEX(MO_SNA_FPStartDate,0,COLUMN()),"YYYYMMDD"),"END_DATE_OVERRIDE",TEXT(INDEX(MO_Common_QEndDate,0,COLUMN()),"YYYYMMDD")),"N/A")</f>
        <v>N/A</v>
      </c>
      <c r="Z1151" s="396" t="str">
        <f ca="1">IFERROR(BDP(MO.Ticker.Bloomberg&amp;" Equity","INTERVAL_HIGH","MARKET_DATA_OVERRIDE=PX_LAST","START_DATE_OVERRIDE",TEXT(INDEX(MO_SNA_FPStartDate,0,COLUMN()),"YYYYMMDD"),"END_DATE_OVERRIDE",TEXT(INDEX(MO_Common_QEndDate,0,COLUMN()),"YYYYMMDD")),"N/A")</f>
        <v>N/A</v>
      </c>
      <c r="AA1151" s="396" t="str">
        <f ca="1">IFERROR(BDP(MO.Ticker.Bloomberg&amp;" Equity","INTERVAL_HIGH","MARKET_DATA_OVERRIDE=PX_LAST","START_DATE_OVERRIDE",TEXT(INDEX(MO_SNA_FPStartDate,0,COLUMN()),"YYYYMMDD"),"END_DATE_OVERRIDE",TEXT(INDEX(MO_Common_QEndDate,0,COLUMN()),"YYYYMMDD")),"N/A")</f>
        <v>N/A</v>
      </c>
      <c r="AB1151" s="396" t="str">
        <f ca="1">IFERROR(BDP(MO.Ticker.Bloomberg&amp;" Equity","INTERVAL_HIGH","MARKET_DATA_OVERRIDE=PX_LAST","START_DATE_OVERRIDE",TEXT(INDEX(MO_SNA_FPStartDate,0,COLUMN()),"YYYYMMDD"),"END_DATE_OVERRIDE",TEXT(INDEX(MO_Common_QEndDate,0,COLUMN()),"YYYYMMDD")),"N/A")</f>
        <v>N/A</v>
      </c>
      <c r="AC1151" s="396" t="str">
        <f ca="1">IFERROR(BDP(MO.Ticker.Bloomberg&amp;" Equity","INTERVAL_HIGH","MARKET_DATA_OVERRIDE=PX_LAST","START_DATE_OVERRIDE",TEXT(INDEX(MO_SNA_FPStartDate,0,COLUMN()),"YYYYMMDD"),"END_DATE_OVERRIDE",TEXT(INDEX(MO_Common_QEndDate,0,COLUMN()),"YYYYMMDD")),"N/A")</f>
        <v>N/A</v>
      </c>
      <c r="AD1151" s="396" t="str">
        <f ca="1">IFERROR(BDP(MO.Ticker.Bloomberg&amp;" Equity","INTERVAL_HIGH","MARKET_DATA_OVERRIDE=PX_LAST","START_DATE_OVERRIDE",TEXT(INDEX(MO_SNA_FPStartDate,0,COLUMN()),"YYYYMMDD"),"END_DATE_OVERRIDE",TEXT(INDEX(MO_Common_QEndDate,0,COLUMN()),"YYYYMMDD")),"N/A")</f>
        <v>N/A</v>
      </c>
      <c r="AE1151" s="396" t="str">
        <f ca="1">IFERROR(BDP(MO.Ticker.Bloomberg&amp;" Equity","INTERVAL_HIGH","MARKET_DATA_OVERRIDE=PX_LAST","START_DATE_OVERRIDE",TEXT(INDEX(MO_SNA_FPStartDate,0,COLUMN()),"YYYYMMDD"),"END_DATE_OVERRIDE",TEXT(INDEX(MO_Common_QEndDate,0,COLUMN()),"YYYYMMDD")),"N/A")</f>
        <v>N/A</v>
      </c>
      <c r="AF1151" s="396" t="str">
        <f ca="1">IFERROR(BDP(MO.Ticker.Bloomberg&amp;" Equity","INTERVAL_HIGH","MARKET_DATA_OVERRIDE=PX_LAST","START_DATE_OVERRIDE",TEXT(INDEX(MO_SNA_FPStartDate,0,COLUMN()),"YYYYMMDD"),"END_DATE_OVERRIDE",TEXT(INDEX(MO_Common_QEndDate,0,COLUMN()),"YYYYMMDD")),"N/A")</f>
        <v>N/A</v>
      </c>
      <c r="AG1151" s="396" t="str">
        <f ca="1">IFERROR(BDP(MO.Ticker.Bloomberg&amp;" Equity","INTERVAL_HIGH","MARKET_DATA_OVERRIDE=PX_LAST","START_DATE_OVERRIDE",TEXT(INDEX(MO_SNA_FPStartDate,0,COLUMN()),"YYYYMMDD"),"END_DATE_OVERRIDE",TEXT(INDEX(MO_Common_QEndDate,0,COLUMN()),"YYYYMMDD")),"N/A")</f>
        <v>N/A</v>
      </c>
      <c r="AH1151" s="396" t="str">
        <f ca="1">IFERROR(BDP(MO.Ticker.Bloomberg&amp;" Equity","INTERVAL_HIGH","MARKET_DATA_OVERRIDE=PX_LAST","START_DATE_OVERRIDE",TEXT(INDEX(MO_SNA_FPStartDate,0,COLUMN()),"YYYYMMDD"),"END_DATE_OVERRIDE",TEXT(INDEX(MO_Common_QEndDate,0,COLUMN()),"YYYYMMDD")),"N/A")</f>
        <v>N/A</v>
      </c>
      <c r="AI1151" s="396" t="str">
        <f ca="1">IFERROR(BDP(MO.Ticker.Bloomberg&amp;" Equity","INTERVAL_HIGH","MARKET_DATA_OVERRIDE=PX_LAST","START_DATE_OVERRIDE",TEXT(INDEX(MO_SNA_FPStartDate,0,COLUMN()),"YYYYMMDD"),"END_DATE_OVERRIDE",TEXT(INDEX(MO_Common_QEndDate,0,COLUMN()),"YYYYMMDD")),"N/A")</f>
        <v>N/A</v>
      </c>
      <c r="AJ1151" s="396" t="str">
        <f ca="1">IFERROR(BDP(MO.Ticker.Bloomberg&amp;" Equity","INTERVAL_HIGH","MARKET_DATA_OVERRIDE=PX_LAST","START_DATE_OVERRIDE",TEXT(INDEX(MO_SNA_FPStartDate,0,COLUMN()),"YYYYMMDD"),"END_DATE_OVERRIDE",TEXT(INDEX(MO_Common_QEndDate,0,COLUMN()),"YYYYMMDD")),"N/A")</f>
        <v>N/A</v>
      </c>
      <c r="AK1151" s="396" t="str">
        <f ca="1">IFERROR(BDP(MO.Ticker.Bloomberg&amp;" Equity","INTERVAL_HIGH","MARKET_DATA_OVERRIDE=PX_LAST","START_DATE_OVERRIDE",TEXT(INDEX(MO_SNA_FPStartDate,0,COLUMN()),"YYYYMMDD"),"END_DATE_OVERRIDE",TEXT(INDEX(MO_Common_QEndDate,0,COLUMN()),"YYYYMMDD")),"N/A")</f>
        <v>N/A</v>
      </c>
      <c r="AL1151" s="396" t="str">
        <f ca="1">IFERROR(BDP(MO.Ticker.Bloomberg&amp;" Equity","INTERVAL_HIGH","MARKET_DATA_OVERRIDE=PX_LAST","START_DATE_OVERRIDE",TEXT(INDEX(MO_SNA_FPStartDate,0,COLUMN()),"YYYYMMDD"),"END_DATE_OVERRIDE",TEXT(INDEX(MO_Common_QEndDate,0,COLUMN()),"YYYYMMDD")),"N/A")</f>
        <v>N/A</v>
      </c>
      <c r="AM1151" s="396" t="str">
        <f ca="1">IFERROR(BDP(MO.Ticker.Bloomberg&amp;" Equity","INTERVAL_HIGH","MARKET_DATA_OVERRIDE=PX_LAST","START_DATE_OVERRIDE",TEXT(INDEX(MO_SNA_FPStartDate,0,COLUMN()),"YYYYMMDD"),"END_DATE_OVERRIDE",TEXT(INDEX(MO_Common_QEndDate,0,COLUMN()),"YYYYMMDD")),"N/A")</f>
        <v>N/A</v>
      </c>
      <c r="AN1151" s="396" t="str">
        <f ca="1">IFERROR(BDP(MO.Ticker.Bloomberg&amp;" Equity","INTERVAL_HIGH","MARKET_DATA_OVERRIDE=PX_LAST","START_DATE_OVERRIDE",TEXT(INDEX(MO_SNA_FPStartDate,0,COLUMN()),"YYYYMMDD"),"END_DATE_OVERRIDE",TEXT(INDEX(MO_Common_QEndDate,0,COLUMN()),"YYYYMMDD")),"N/A")</f>
        <v>N/A</v>
      </c>
      <c r="AO1151" s="396" t="str">
        <f ca="1">IFERROR(BDP(MO.Ticker.Bloomberg&amp;" Equity","INTERVAL_HIGH","MARKET_DATA_OVERRIDE=PX_LAST","START_DATE_OVERRIDE",TEXT(INDEX(MO_SNA_FPStartDate,0,COLUMN()),"YYYYMMDD"),"END_DATE_OVERRIDE",TEXT(INDEX(MO_Common_QEndDate,0,COLUMN()),"YYYYMMDD")),"N/A")</f>
        <v>N/A</v>
      </c>
      <c r="AP1151" s="396" t="str">
        <f ca="1">IFERROR(BDP(MO.Ticker.Bloomberg&amp;" Equity","INTERVAL_HIGH","MARKET_DATA_OVERRIDE=PX_LAST","START_DATE_OVERRIDE",TEXT(INDEX(MO_SNA_FPStartDate,0,COLUMN()),"YYYYMMDD"),"END_DATE_OVERRIDE",TEXT(INDEX(MO_Common_QEndDate,0,COLUMN()),"YYYYMMDD")),"N/A")</f>
        <v>N/A</v>
      </c>
      <c r="AQ1151" s="396" t="str">
        <f ca="1">IFERROR(BDP(MO.Ticker.Bloomberg&amp;" Equity","INTERVAL_HIGH","MARKET_DATA_OVERRIDE=PX_LAST","START_DATE_OVERRIDE",TEXT(INDEX(MO_SNA_FPStartDate,0,COLUMN()),"YYYYMMDD"),"END_DATE_OVERRIDE",TEXT(INDEX(MO_Common_QEndDate,0,COLUMN()),"YYYYMMDD")),"N/A")</f>
        <v>N/A</v>
      </c>
      <c r="AR1151" s="396" t="str">
        <f ca="1">IFERROR(BDP(MO.Ticker.Bloomberg&amp;" Equity","INTERVAL_HIGH","MARKET_DATA_OVERRIDE=PX_LAST","START_DATE_OVERRIDE",TEXT(INDEX(MO_SNA_FPStartDate,0,COLUMN()),"YYYYMMDD"),"END_DATE_OVERRIDE",TEXT(INDEX(MO_Common_QEndDate,0,COLUMN()),"YYYYMMDD")),"N/A")</f>
        <v>N/A</v>
      </c>
      <c r="AS1151" s="396" t="str">
        <f ca="1">IFERROR(BDP(MO.Ticker.Bloomberg&amp;" Equity","INTERVAL_HIGH","MARKET_DATA_OVERRIDE=PX_LAST","START_DATE_OVERRIDE",TEXT(INDEX(MO_SNA_FPStartDate,0,COLUMN()),"YYYYMMDD"),"END_DATE_OVERRIDE",TEXT(INDEX(MO_Common_QEndDate,0,COLUMN()),"YYYYMMDD")),"N/A")</f>
        <v>N/A</v>
      </c>
      <c r="AT1151" s="396" t="str">
        <f ca="1">IFERROR(BDP(MO.Ticker.Bloomberg&amp;" Equity","INTERVAL_HIGH","MARKET_DATA_OVERRIDE=PX_LAST","START_DATE_OVERRIDE",TEXT(INDEX(MO_SNA_FPStartDate,0,COLUMN()),"YYYYMMDD"),"END_DATE_OVERRIDE",TEXT(INDEX(MO_Common_QEndDate,0,COLUMN()),"YYYYMMDD")),"N/A")</f>
        <v>N/A</v>
      </c>
      <c r="AU1151" s="837" t="str">
        <f ca="1">IFERROR(BDP(MO.Ticker.Bloomberg&amp;" Equity","INTERVAL_HIGH","MARKET_DATA_OVERRIDE=PX_LAST","START_DATE_OVERRIDE",TEXT(INDEX(MO_SNA_FPStartDate,0,COLUMN()),"YYYYMMDD"),"END_DATE_OVERRIDE",TEXT(INDEX(MO_Common_QEndDate,0,COLUMN()),"YYYYMMDD")),"N/A")</f>
        <v>N/A</v>
      </c>
      <c r="AV1151" s="396" t="str">
        <f ca="1">IFERROR(BDP(MO.Ticker.Bloomberg&amp;" Equity","INTERVAL_HIGH","MARKET_DATA_OVERRIDE=PX_LAST","START_DATE_OVERRIDE",TEXT(INDEX(MO_SNA_FPStartDate,0,COLUMN()),"YYYYMMDD"),"END_DATE_OVERRIDE",TEXT(INDEX(MO_Common_QEndDate,0,COLUMN()),"YYYYMMDD")),"N/A")</f>
        <v>N/A</v>
      </c>
      <c r="AW1151" s="396" t="str">
        <f ca="1">IFERROR(BDP(MO.Ticker.Bloomberg&amp;" Equity","INTERVAL_HIGH","MARKET_DATA_OVERRIDE=PX_LAST","START_DATE_OVERRIDE",TEXT(INDEX(MO_SNA_FPStartDate,0,COLUMN()),"YYYYMMDD"),"END_DATE_OVERRIDE",TEXT(INDEX(MO_Common_QEndDate,0,COLUMN()),"YYYYMMDD")),"N/A")</f>
        <v>N/A</v>
      </c>
      <c r="AX1151" s="396" t="str">
        <f ca="1">IFERROR(BDP(MO.Ticker.Bloomberg&amp;" Equity","INTERVAL_HIGH","MARKET_DATA_OVERRIDE=PX_LAST","START_DATE_OVERRIDE",TEXT(INDEX(MO_SNA_FPStartDate,0,COLUMN()),"YYYYMMDD"),"END_DATE_OVERRIDE",TEXT(INDEX(MO_Common_QEndDate,0,COLUMN()),"YYYYMMDD")),"N/A")</f>
        <v>N/A</v>
      </c>
      <c r="AY1151" s="396" t="str">
        <f ca="1">IFERROR(BDP(MO.Ticker.Bloomberg&amp;" Equity","INTERVAL_HIGH","MARKET_DATA_OVERRIDE=PX_LAST","START_DATE_OVERRIDE",TEXT(INDEX(MO_SNA_FPStartDate,0,COLUMN()),"YYYYMMDD"),"END_DATE_OVERRIDE",TEXT(INDEX(MO_Common_QEndDate,0,COLUMN()),"YYYYMMDD")),"N/A")</f>
        <v>N/A</v>
      </c>
      <c r="AZ1151" s="396" t="str">
        <f ca="1">IFERROR(BDP(MO.Ticker.Bloomberg&amp;" Equity","INTERVAL_HIGH","MARKET_DATA_OVERRIDE=PX_LAST","START_DATE_OVERRIDE",TEXT(INDEX(MO_SNA_FPStartDate,0,COLUMN()),"YYYYMMDD"),"END_DATE_OVERRIDE",TEXT(INDEX(MO_Common_QEndDate,0,COLUMN()),"YYYYMMDD")),"N/A")</f>
        <v>N/A</v>
      </c>
      <c r="BA1151" s="396" t="str">
        <f ca="1">IFERROR(BDP(MO.Ticker.Bloomberg&amp;" Equity","INTERVAL_HIGH","MARKET_DATA_OVERRIDE=PX_LAST","START_DATE_OVERRIDE",TEXT(INDEX(MO_SNA_FPStartDate,0,COLUMN()),"YYYYMMDD"),"END_DATE_OVERRIDE",TEXT(INDEX(MO_Common_QEndDate,0,COLUMN()),"YYYYMMDD")),"N/A")</f>
        <v>N/A</v>
      </c>
      <c r="BB1151" s="396" t="str">
        <f ca="1">IFERROR(BDP(MO.Ticker.Bloomberg&amp;" Equity","INTERVAL_HIGH","MARKET_DATA_OVERRIDE=PX_LAST","START_DATE_OVERRIDE",TEXT(INDEX(MO_SNA_FPStartDate,0,COLUMN()),"YYYYMMDD"),"END_DATE_OVERRIDE",TEXT(INDEX(MO_Common_QEndDate,0,COLUMN()),"YYYYMMDD")),"N/A")</f>
        <v>N/A</v>
      </c>
      <c r="BC1151" s="396" t="str">
        <f ca="1">IFERROR(BDP(MO.Ticker.Bloomberg&amp;" Equity","INTERVAL_HIGH","MARKET_DATA_OVERRIDE=PX_LAST","START_DATE_OVERRIDE",TEXT(INDEX(MO_SNA_FPStartDate,0,COLUMN()),"YYYYMMDD"),"END_DATE_OVERRIDE",TEXT(INDEX(MO_Common_QEndDate,0,COLUMN()),"YYYYMMDD")),"N/A")</f>
        <v>N/A</v>
      </c>
      <c r="BD1151" s="396" t="str">
        <f ca="1">IFERROR(BDP(MO.Ticker.Bloomberg&amp;" Equity","INTERVAL_HIGH","MARKET_DATA_OVERRIDE=PX_LAST","START_DATE_OVERRIDE",TEXT(INDEX(MO_SNA_FPStartDate,0,COLUMN()),"YYYYMMDD"),"END_DATE_OVERRIDE",TEXT(INDEX(MO_Common_QEndDate,0,COLUMN()),"YYYYMMDD")),"N/A")</f>
        <v>N/A</v>
      </c>
      <c r="BE1151" s="396" t="str">
        <f ca="1">IFERROR(BDP(MO.Ticker.Bloomberg&amp;" Equity","INTERVAL_HIGH","MARKET_DATA_OVERRIDE=PX_LAST","START_DATE_OVERRIDE",TEXT(INDEX(MO_SNA_FPStartDate,0,COLUMN()),"YYYYMMDD"),"END_DATE_OVERRIDE",TEXT(INDEX(MO_Common_QEndDate,0,COLUMN()),"YYYYMMDD")),"N/A")</f>
        <v>N/A</v>
      </c>
      <c r="BF1151" s="396" t="str">
        <f ca="1">IFERROR(BDP(MO.Ticker.Bloomberg&amp;" Equity","INTERVAL_HIGH","MARKET_DATA_OVERRIDE=PX_LAST","START_DATE_OVERRIDE",TEXT(INDEX(MO_SNA_FPStartDate,0,COLUMN()),"YYYYMMDD"),"END_DATE_OVERRIDE",TEXT(INDEX(MO_Common_QEndDate,0,COLUMN()),"YYYYMMDD")),"N/A")</f>
        <v>N/A</v>
      </c>
      <c r="BG1151" s="398" t="str">
        <f ca="1">IFERROR(BDP(MO.Ticker.Bloomberg&amp;" Equity","INTERVAL_HIGH","MARKET_DATA_OVERRIDE=PX_LAST","START_DATE_OVERRIDE",TEXT(INDEX(MO_SNA_FPStartDate,0,COLUMN()),"YYYYMMDD"),"END_DATE_OVERRIDE",TEXT(INDEX(MO_Common_QEndDate,0,COLUMN()),"YYYYMMDD")),"N/A")</f>
        <v>N/A</v>
      </c>
      <c r="BH1151" s="477"/>
    </row>
    <row r="1152" spans="1:60" s="399" customFormat="1" hidden="1" outlineLevel="1" x14ac:dyDescent="0.35">
      <c r="A1152" s="400" t="s">
        <v>246</v>
      </c>
      <c r="B1152" s="396"/>
      <c r="C1152" s="397" t="str">
        <f ca="1">IFERROR(CIQHI(MO.Ticker.CapIQ,"IQ_LASTSALEPRICE",INDEX(MO_SNA_FPStartDate,0,COLUMN()),INDEX(MO_Common_QEndDate,0,COLUMN())),"N/A")</f>
        <v>N/A</v>
      </c>
      <c r="D1152" s="397" t="str">
        <f ca="1">IFERROR(CIQHI(MO.Ticker.CapIQ,"IQ_LASTSALEPRICE",INDEX(MO_SNA_FPStartDate,0,COLUMN()),INDEX(MO_Common_QEndDate,0,COLUMN())),"N/A")</f>
        <v>N/A</v>
      </c>
      <c r="E1152" s="396" t="str">
        <f ca="1">IFERROR(CIQHI(MO.Ticker.CapIQ,"IQ_LASTSALEPRICE",INDEX(MO_SNA_FPStartDate,0,COLUMN()),INDEX(MO_Common_QEndDate,0,COLUMN())),"N/A")</f>
        <v>N/A</v>
      </c>
      <c r="F1152" s="396" t="str">
        <f ca="1">IFERROR(CIQHI(MO.Ticker.CapIQ,"IQ_LASTSALEPRICE",INDEX(MO_SNA_FPStartDate,0,COLUMN()),INDEX(MO_Common_QEndDate,0,COLUMN())),"N/A")</f>
        <v>N/A</v>
      </c>
      <c r="G1152" s="396" t="str">
        <f ca="1">IFERROR(CIQHI(MO.Ticker.CapIQ,"IQ_LASTSALEPRICE",INDEX(MO_SNA_FPStartDate,0,COLUMN()),INDEX(MO_Common_QEndDate,0,COLUMN())),"N/A")</f>
        <v>N/A</v>
      </c>
      <c r="H1152" s="396" t="str">
        <f ca="1">IFERROR(CIQHI(MO.Ticker.CapIQ,"IQ_LASTSALEPRICE",INDEX(MO_SNA_FPStartDate,0,COLUMN()),INDEX(MO_Common_QEndDate,0,COLUMN())),"N/A")</f>
        <v>N/A</v>
      </c>
      <c r="I1152" s="396" t="str">
        <f ca="1">IFERROR(CIQHI(MO.Ticker.CapIQ,"IQ_LASTSALEPRICE",INDEX(MO_SNA_FPStartDate,0,COLUMN()),INDEX(MO_Common_QEndDate,0,COLUMN())),"N/A")</f>
        <v>N/A</v>
      </c>
      <c r="J1152" s="396" t="str">
        <f ca="1">IFERROR(CIQHI(MO.Ticker.CapIQ,"IQ_LASTSALEPRICE",INDEX(MO_SNA_FPStartDate,0,COLUMN()),INDEX(MO_Common_QEndDate,0,COLUMN())),"N/A")</f>
        <v>N/A</v>
      </c>
      <c r="K1152" s="396" t="str">
        <f ca="1">IFERROR(CIQHI(MO.Ticker.CapIQ,"IQ_LASTSALEPRICE",INDEX(MO_SNA_FPStartDate,0,COLUMN()),INDEX(MO_Common_QEndDate,0,COLUMN())),"N/A")</f>
        <v>N/A</v>
      </c>
      <c r="L1152" s="396" t="str">
        <f ca="1">IFERROR(CIQHI(MO.Ticker.CapIQ,"IQ_LASTSALEPRICE",INDEX(MO_SNA_FPStartDate,0,COLUMN()),INDEX(MO_Common_QEndDate,0,COLUMN())),"N/A")</f>
        <v>N/A</v>
      </c>
      <c r="M1152" s="396" t="str">
        <f ca="1">IFERROR(CIQHI(MO.Ticker.CapIQ,"IQ_LASTSALEPRICE",INDEX(MO_SNA_FPStartDate,0,COLUMN()),INDEX(MO_Common_QEndDate,0,COLUMN())),"N/A")</f>
        <v>N/A</v>
      </c>
      <c r="N1152" s="396" t="str">
        <f ca="1">IFERROR(CIQHI(MO.Ticker.CapIQ,"IQ_LASTSALEPRICE",INDEX(MO_SNA_FPStartDate,0,COLUMN()),INDEX(MO_Common_QEndDate,0,COLUMN())),"N/A")</f>
        <v>N/A</v>
      </c>
      <c r="O1152" s="396" t="str">
        <f ca="1">IFERROR(CIQHI(MO.Ticker.CapIQ,"IQ_LASTSALEPRICE",INDEX(MO_SNA_FPStartDate,0,COLUMN()),INDEX(MO_Common_QEndDate,0,COLUMN())),"N/A")</f>
        <v>N/A</v>
      </c>
      <c r="P1152" s="396" t="str">
        <f ca="1">IFERROR(CIQHI(MO.Ticker.CapIQ,"IQ_LASTSALEPRICE",INDEX(MO_SNA_FPStartDate,0,COLUMN()),INDEX(MO_Common_QEndDate,0,COLUMN())),"N/A")</f>
        <v>N/A</v>
      </c>
      <c r="Q1152" s="396" t="str">
        <f ca="1">IFERROR(CIQHI(MO.Ticker.CapIQ,"IQ_LASTSALEPRICE",INDEX(MO_SNA_FPStartDate,0,COLUMN()),INDEX(MO_Common_QEndDate,0,COLUMN())),"N/A")</f>
        <v>N/A</v>
      </c>
      <c r="R1152" s="396" t="str">
        <f ca="1">IFERROR(CIQHI(MO.Ticker.CapIQ,"IQ_LASTSALEPRICE",INDEX(MO_SNA_FPStartDate,0,COLUMN()),INDEX(MO_Common_QEndDate,0,COLUMN())),"N/A")</f>
        <v>N/A</v>
      </c>
      <c r="S1152" s="396" t="str">
        <f ca="1">IFERROR(CIQHI(MO.Ticker.CapIQ,"IQ_LASTSALEPRICE",INDEX(MO_SNA_FPStartDate,0,COLUMN()),INDEX(MO_Common_QEndDate,0,COLUMN())),"N/A")</f>
        <v>N/A</v>
      </c>
      <c r="T1152" s="396" t="str">
        <f ca="1">IFERROR(CIQHI(MO.Ticker.CapIQ,"IQ_LASTSALEPRICE",INDEX(MO_SNA_FPStartDate,0,COLUMN()),INDEX(MO_Common_QEndDate,0,COLUMN())),"N/A")</f>
        <v>N/A</v>
      </c>
      <c r="U1152" s="396" t="str">
        <f ca="1">IFERROR(CIQHI(MO.Ticker.CapIQ,"IQ_LASTSALEPRICE",INDEX(MO_SNA_FPStartDate,0,COLUMN()),INDEX(MO_Common_QEndDate,0,COLUMN())),"N/A")</f>
        <v>N/A</v>
      </c>
      <c r="V1152" s="396" t="str">
        <f ca="1">IFERROR(CIQHI(MO.Ticker.CapIQ,"IQ_LASTSALEPRICE",INDEX(MO_SNA_FPStartDate,0,COLUMN()),INDEX(MO_Common_QEndDate,0,COLUMN())),"N/A")</f>
        <v>N/A</v>
      </c>
      <c r="W1152" s="396" t="str">
        <f ca="1">IFERROR(CIQHI(MO.Ticker.CapIQ,"IQ_LASTSALEPRICE",INDEX(MO_SNA_FPStartDate,0,COLUMN()),INDEX(MO_Common_QEndDate,0,COLUMN())),"N/A")</f>
        <v>N/A</v>
      </c>
      <c r="X1152" s="396" t="str">
        <f ca="1">IFERROR(CIQHI(MO.Ticker.CapIQ,"IQ_LASTSALEPRICE",INDEX(MO_SNA_FPStartDate,0,COLUMN()),INDEX(MO_Common_QEndDate,0,COLUMN())),"N/A")</f>
        <v>N/A</v>
      </c>
      <c r="Y1152" s="396" t="str">
        <f ca="1">IFERROR(CIQHI(MO.Ticker.CapIQ,"IQ_LASTSALEPRICE",INDEX(MO_SNA_FPStartDate,0,COLUMN()),INDEX(MO_Common_QEndDate,0,COLUMN())),"N/A")</f>
        <v>N/A</v>
      </c>
      <c r="Z1152" s="396" t="str">
        <f ca="1">IFERROR(CIQHI(MO.Ticker.CapIQ,"IQ_LASTSALEPRICE",INDEX(MO_SNA_FPStartDate,0,COLUMN()),INDEX(MO_Common_QEndDate,0,COLUMN())),"N/A")</f>
        <v>N/A</v>
      </c>
      <c r="AA1152" s="396" t="str">
        <f ca="1">IFERROR(CIQHI(MO.Ticker.CapIQ,"IQ_LASTSALEPRICE",INDEX(MO_SNA_FPStartDate,0,COLUMN()),INDEX(MO_Common_QEndDate,0,COLUMN())),"N/A")</f>
        <v>N/A</v>
      </c>
      <c r="AB1152" s="396" t="str">
        <f ca="1">IFERROR(CIQHI(MO.Ticker.CapIQ,"IQ_LASTSALEPRICE",INDEX(MO_SNA_FPStartDate,0,COLUMN()),INDEX(MO_Common_QEndDate,0,COLUMN())),"N/A")</f>
        <v>N/A</v>
      </c>
      <c r="AC1152" s="396" t="str">
        <f ca="1">IFERROR(CIQHI(MO.Ticker.CapIQ,"IQ_LASTSALEPRICE",INDEX(MO_SNA_FPStartDate,0,COLUMN()),INDEX(MO_Common_QEndDate,0,COLUMN())),"N/A")</f>
        <v>N/A</v>
      </c>
      <c r="AD1152" s="396" t="str">
        <f ca="1">IFERROR(CIQHI(MO.Ticker.CapIQ,"IQ_LASTSALEPRICE",INDEX(MO_SNA_FPStartDate,0,COLUMN()),INDEX(MO_Common_QEndDate,0,COLUMN())),"N/A")</f>
        <v>N/A</v>
      </c>
      <c r="AE1152" s="396" t="str">
        <f ca="1">IFERROR(CIQHI(MO.Ticker.CapIQ,"IQ_LASTSALEPRICE",INDEX(MO_SNA_FPStartDate,0,COLUMN()),INDEX(MO_Common_QEndDate,0,COLUMN())),"N/A")</f>
        <v>N/A</v>
      </c>
      <c r="AF1152" s="396" t="str">
        <f ca="1">IFERROR(CIQHI(MO.Ticker.CapIQ,"IQ_LASTSALEPRICE",INDEX(MO_SNA_FPStartDate,0,COLUMN()),INDEX(MO_Common_QEndDate,0,COLUMN())),"N/A")</f>
        <v>N/A</v>
      </c>
      <c r="AG1152" s="396" t="str">
        <f ca="1">IFERROR(CIQHI(MO.Ticker.CapIQ,"IQ_LASTSALEPRICE",INDEX(MO_SNA_FPStartDate,0,COLUMN()),INDEX(MO_Common_QEndDate,0,COLUMN())),"N/A")</f>
        <v>N/A</v>
      </c>
      <c r="AH1152" s="396" t="str">
        <f ca="1">IFERROR(CIQHI(MO.Ticker.CapIQ,"IQ_LASTSALEPRICE",INDEX(MO_SNA_FPStartDate,0,COLUMN()),INDEX(MO_Common_QEndDate,0,COLUMN())),"N/A")</f>
        <v>N/A</v>
      </c>
      <c r="AI1152" s="396" t="str">
        <f ca="1">IFERROR(CIQHI(MO.Ticker.CapIQ,"IQ_LASTSALEPRICE",INDEX(MO_SNA_FPStartDate,0,COLUMN()),INDEX(MO_Common_QEndDate,0,COLUMN())),"N/A")</f>
        <v>N/A</v>
      </c>
      <c r="AJ1152" s="396" t="str">
        <f ca="1">IFERROR(CIQHI(MO.Ticker.CapIQ,"IQ_LASTSALEPRICE",INDEX(MO_SNA_FPStartDate,0,COLUMN()),INDEX(MO_Common_QEndDate,0,COLUMN())),"N/A")</f>
        <v>N/A</v>
      </c>
      <c r="AK1152" s="396" t="str">
        <f ca="1">IFERROR(CIQHI(MO.Ticker.CapIQ,"IQ_LASTSALEPRICE",INDEX(MO_SNA_FPStartDate,0,COLUMN()),INDEX(MO_Common_QEndDate,0,COLUMN())),"N/A")</f>
        <v>N/A</v>
      </c>
      <c r="AL1152" s="396" t="str">
        <f ca="1">IFERROR(CIQHI(MO.Ticker.CapIQ,"IQ_LASTSALEPRICE",INDEX(MO_SNA_FPStartDate,0,COLUMN()),INDEX(MO_Common_QEndDate,0,COLUMN())),"N/A")</f>
        <v>N/A</v>
      </c>
      <c r="AM1152" s="396" t="str">
        <f ca="1">IFERROR(CIQHI(MO.Ticker.CapIQ,"IQ_LASTSALEPRICE",INDEX(MO_SNA_FPStartDate,0,COLUMN()),INDEX(MO_Common_QEndDate,0,COLUMN())),"N/A")</f>
        <v>N/A</v>
      </c>
      <c r="AN1152" s="396" t="str">
        <f ca="1">IFERROR(CIQHI(MO.Ticker.CapIQ,"IQ_LASTSALEPRICE",INDEX(MO_SNA_FPStartDate,0,COLUMN()),INDEX(MO_Common_QEndDate,0,COLUMN())),"N/A")</f>
        <v>N/A</v>
      </c>
      <c r="AO1152" s="396" t="str">
        <f ca="1">IFERROR(CIQHI(MO.Ticker.CapIQ,"IQ_LASTSALEPRICE",INDEX(MO_SNA_FPStartDate,0,COLUMN()),INDEX(MO_Common_QEndDate,0,COLUMN())),"N/A")</f>
        <v>N/A</v>
      </c>
      <c r="AP1152" s="396" t="str">
        <f ca="1">IFERROR(CIQHI(MO.Ticker.CapIQ,"IQ_LASTSALEPRICE",INDEX(MO_SNA_FPStartDate,0,COLUMN()),INDEX(MO_Common_QEndDate,0,COLUMN())),"N/A")</f>
        <v>N/A</v>
      </c>
      <c r="AQ1152" s="396" t="str">
        <f ca="1">IFERROR(CIQHI(MO.Ticker.CapIQ,"IQ_LASTSALEPRICE",INDEX(MO_SNA_FPStartDate,0,COLUMN()),INDEX(MO_Common_QEndDate,0,COLUMN())),"N/A")</f>
        <v>N/A</v>
      </c>
      <c r="AR1152" s="396" t="str">
        <f ca="1">IFERROR(CIQHI(MO.Ticker.CapIQ,"IQ_LASTSALEPRICE",INDEX(MO_SNA_FPStartDate,0,COLUMN()),INDEX(MO_Common_QEndDate,0,COLUMN())),"N/A")</f>
        <v>N/A</v>
      </c>
      <c r="AS1152" s="396" t="str">
        <f ca="1">IFERROR(CIQHI(MO.Ticker.CapIQ,"IQ_LASTSALEPRICE",INDEX(MO_SNA_FPStartDate,0,COLUMN()),INDEX(MO_Common_QEndDate,0,COLUMN())),"N/A")</f>
        <v>N/A</v>
      </c>
      <c r="AT1152" s="396" t="str">
        <f ca="1">IFERROR(CIQHI(MO.Ticker.CapIQ,"IQ_LASTSALEPRICE",INDEX(MO_SNA_FPStartDate,0,COLUMN()),INDEX(MO_Common_QEndDate,0,COLUMN())),"N/A")</f>
        <v>N/A</v>
      </c>
      <c r="AU1152" s="837" t="str">
        <f ca="1">IFERROR(CIQHI(MO.Ticker.CapIQ,"IQ_LASTSALEPRICE",INDEX(MO_SNA_FPStartDate,0,COLUMN()),INDEX(MO_Common_QEndDate,0,COLUMN())),"N/A")</f>
        <v>N/A</v>
      </c>
      <c r="AV1152" s="396" t="str">
        <f ca="1">IFERROR(CIQHI(MO.Ticker.CapIQ,"IQ_LASTSALEPRICE",INDEX(MO_SNA_FPStartDate,0,COLUMN()),INDEX(MO_Common_QEndDate,0,COLUMN())),"N/A")</f>
        <v>N/A</v>
      </c>
      <c r="AW1152" s="396" t="str">
        <f ca="1">IFERROR(CIQHI(MO.Ticker.CapIQ,"IQ_LASTSALEPRICE",INDEX(MO_SNA_FPStartDate,0,COLUMN()),INDEX(MO_Common_QEndDate,0,COLUMN())),"N/A")</f>
        <v>N/A</v>
      </c>
      <c r="AX1152" s="396" t="str">
        <f ca="1">IFERROR(CIQHI(MO.Ticker.CapIQ,"IQ_LASTSALEPRICE",INDEX(MO_SNA_FPStartDate,0,COLUMN()),INDEX(MO_Common_QEndDate,0,COLUMN())),"N/A")</f>
        <v>N/A</v>
      </c>
      <c r="AY1152" s="396" t="str">
        <f ca="1">IFERROR(CIQHI(MO.Ticker.CapIQ,"IQ_LASTSALEPRICE",INDEX(MO_SNA_FPStartDate,0,COLUMN()),INDEX(MO_Common_QEndDate,0,COLUMN())),"N/A")</f>
        <v>N/A</v>
      </c>
      <c r="AZ1152" s="396" t="str">
        <f ca="1">IFERROR(CIQHI(MO.Ticker.CapIQ,"IQ_LASTSALEPRICE",INDEX(MO_SNA_FPStartDate,0,COLUMN()),INDEX(MO_Common_QEndDate,0,COLUMN())),"N/A")</f>
        <v>N/A</v>
      </c>
      <c r="BA1152" s="396" t="str">
        <f ca="1">IFERROR(CIQHI(MO.Ticker.CapIQ,"IQ_LASTSALEPRICE",INDEX(MO_SNA_FPStartDate,0,COLUMN()),INDEX(MO_Common_QEndDate,0,COLUMN())),"N/A")</f>
        <v>N/A</v>
      </c>
      <c r="BB1152" s="396" t="str">
        <f ca="1">IFERROR(CIQHI(MO.Ticker.CapIQ,"IQ_LASTSALEPRICE",INDEX(MO_SNA_FPStartDate,0,COLUMN()),INDEX(MO_Common_QEndDate,0,COLUMN())),"N/A")</f>
        <v>N/A</v>
      </c>
      <c r="BC1152" s="396" t="str">
        <f ca="1">IFERROR(CIQHI(MO.Ticker.CapIQ,"IQ_LASTSALEPRICE",INDEX(MO_SNA_FPStartDate,0,COLUMN()),INDEX(MO_Common_QEndDate,0,COLUMN())),"N/A")</f>
        <v>N/A</v>
      </c>
      <c r="BD1152" s="396" t="str">
        <f ca="1">IFERROR(CIQHI(MO.Ticker.CapIQ,"IQ_LASTSALEPRICE",INDEX(MO_SNA_FPStartDate,0,COLUMN()),INDEX(MO_Common_QEndDate,0,COLUMN())),"N/A")</f>
        <v>N/A</v>
      </c>
      <c r="BE1152" s="396" t="str">
        <f ca="1">IFERROR(CIQHI(MO.Ticker.CapIQ,"IQ_LASTSALEPRICE",INDEX(MO_SNA_FPStartDate,0,COLUMN()),INDEX(MO_Common_QEndDate,0,COLUMN())),"N/A")</f>
        <v>N/A</v>
      </c>
      <c r="BF1152" s="396" t="str">
        <f ca="1">IFERROR(CIQHI(MO.Ticker.CapIQ,"IQ_LASTSALEPRICE",INDEX(MO_SNA_FPStartDate,0,COLUMN()),INDEX(MO_Common_QEndDate,0,COLUMN())),"N/A")</f>
        <v>N/A</v>
      </c>
      <c r="BG1152" s="398" t="str">
        <f ca="1">IFERROR(CIQHI(MO.Ticker.CapIQ,"IQ_LASTSALEPRICE",INDEX(MO_SNA_FPStartDate,0,COLUMN()),INDEX(MO_Common_QEndDate,0,COLUMN())),"N/A")</f>
        <v>N/A</v>
      </c>
      <c r="BH1152" s="477"/>
    </row>
    <row r="1153" spans="1:60" s="399" customFormat="1" hidden="1" outlineLevel="1" x14ac:dyDescent="0.35">
      <c r="A1153" s="400" t="s">
        <v>247</v>
      </c>
      <c r="B1153" s="396"/>
      <c r="C1153" s="397" t="str">
        <f ca="1">IFERROR(FDS(MO.Ticker.FactSet,"P_PRICE_HIGH"&amp;"("&amp;INDEX(MO_SNA_FPStartDate,0,COLUMN())&amp;","&amp;INDEX(MO_Common_QEndDate,0,COLUMN())&amp;",,,,""PRICE"",""CLOSE"")"),"N/A")</f>
        <v>N/A</v>
      </c>
      <c r="D1153" s="397" t="str">
        <f ca="1">IFERROR(FDS(MO.Ticker.FactSet,"P_PRICE_HIGH"&amp;"("&amp;INDEX(MO_SNA_FPStartDate,0,COLUMN())&amp;","&amp;INDEX(MO_Common_QEndDate,0,COLUMN())&amp;",,,,""PRICE"",""CLOSE"")"),"N/A")</f>
        <v>N/A</v>
      </c>
      <c r="E1153" s="396" t="str">
        <f ca="1">IFERROR(FDS(MO.Ticker.FactSet,"P_PRICE_HIGH"&amp;"("&amp;INDEX(MO_SNA_FPStartDate,0,COLUMN())&amp;","&amp;INDEX(MO_Common_QEndDate,0,COLUMN())&amp;",,,,""PRICE"",""CLOSE"")"),"N/A")</f>
        <v>N/A</v>
      </c>
      <c r="F1153" s="396" t="str">
        <f ca="1">IFERROR(FDS(MO.Ticker.FactSet,"P_PRICE_HIGH"&amp;"("&amp;INDEX(MO_SNA_FPStartDate,0,COLUMN())&amp;","&amp;INDEX(MO_Common_QEndDate,0,COLUMN())&amp;",,,,""PRICE"",""CLOSE"")"),"N/A")</f>
        <v>N/A</v>
      </c>
      <c r="G1153" s="396" t="str">
        <f ca="1">IFERROR(FDS(MO.Ticker.FactSet,"P_PRICE_HIGH"&amp;"("&amp;INDEX(MO_SNA_FPStartDate,0,COLUMN())&amp;","&amp;INDEX(MO_Common_QEndDate,0,COLUMN())&amp;",,,,""PRICE"",""CLOSE"")"),"N/A")</f>
        <v>N/A</v>
      </c>
      <c r="H1153" s="396" t="str">
        <f ca="1">IFERROR(FDS(MO.Ticker.FactSet,"P_PRICE_HIGH"&amp;"("&amp;INDEX(MO_SNA_FPStartDate,0,COLUMN())&amp;","&amp;INDEX(MO_Common_QEndDate,0,COLUMN())&amp;",,,,""PRICE"",""CLOSE"")"),"N/A")</f>
        <v>N/A</v>
      </c>
      <c r="I1153" s="396" t="str">
        <f ca="1">IFERROR(FDS(MO.Ticker.FactSet,"P_PRICE_HIGH"&amp;"("&amp;INDEX(MO_SNA_FPStartDate,0,COLUMN())&amp;","&amp;INDEX(MO_Common_QEndDate,0,COLUMN())&amp;",,,,""PRICE"",""CLOSE"")"),"N/A")</f>
        <v>N/A</v>
      </c>
      <c r="J1153" s="396" t="str">
        <f ca="1">IFERROR(FDS(MO.Ticker.FactSet,"P_PRICE_HIGH"&amp;"("&amp;INDEX(MO_SNA_FPStartDate,0,COLUMN())&amp;","&amp;INDEX(MO_Common_QEndDate,0,COLUMN())&amp;",,,,""PRICE"",""CLOSE"")"),"N/A")</f>
        <v>N/A</v>
      </c>
      <c r="K1153" s="396" t="str">
        <f ca="1">IFERROR(FDS(MO.Ticker.FactSet,"P_PRICE_HIGH"&amp;"("&amp;INDEX(MO_SNA_FPStartDate,0,COLUMN())&amp;","&amp;INDEX(MO_Common_QEndDate,0,COLUMN())&amp;",,,,""PRICE"",""CLOSE"")"),"N/A")</f>
        <v>N/A</v>
      </c>
      <c r="L1153" s="396" t="str">
        <f ca="1">IFERROR(FDS(MO.Ticker.FactSet,"P_PRICE_HIGH"&amp;"("&amp;INDEX(MO_SNA_FPStartDate,0,COLUMN())&amp;","&amp;INDEX(MO_Common_QEndDate,0,COLUMN())&amp;",,,,""PRICE"",""CLOSE"")"),"N/A")</f>
        <v>N/A</v>
      </c>
      <c r="M1153" s="396" t="str">
        <f ca="1">IFERROR(FDS(MO.Ticker.FactSet,"P_PRICE_HIGH"&amp;"("&amp;INDEX(MO_SNA_FPStartDate,0,COLUMN())&amp;","&amp;INDEX(MO_Common_QEndDate,0,COLUMN())&amp;",,,,""PRICE"",""CLOSE"")"),"N/A")</f>
        <v>N/A</v>
      </c>
      <c r="N1153" s="396" t="str">
        <f ca="1">IFERROR(FDS(MO.Ticker.FactSet,"P_PRICE_HIGH"&amp;"("&amp;INDEX(MO_SNA_FPStartDate,0,COLUMN())&amp;","&amp;INDEX(MO_Common_QEndDate,0,COLUMN())&amp;",,,,""PRICE"",""CLOSE"")"),"N/A")</f>
        <v>N/A</v>
      </c>
      <c r="O1153" s="396" t="str">
        <f ca="1">IFERROR(FDS(MO.Ticker.FactSet,"P_PRICE_HIGH"&amp;"("&amp;INDEX(MO_SNA_FPStartDate,0,COLUMN())&amp;","&amp;INDEX(MO_Common_QEndDate,0,COLUMN())&amp;",,,,""PRICE"",""CLOSE"")"),"N/A")</f>
        <v>N/A</v>
      </c>
      <c r="P1153" s="396" t="str">
        <f ca="1">IFERROR(FDS(MO.Ticker.FactSet,"P_PRICE_HIGH"&amp;"("&amp;INDEX(MO_SNA_FPStartDate,0,COLUMN())&amp;","&amp;INDEX(MO_Common_QEndDate,0,COLUMN())&amp;",,,,""PRICE"",""CLOSE"")"),"N/A")</f>
        <v>N/A</v>
      </c>
      <c r="Q1153" s="396" t="str">
        <f ca="1">IFERROR(FDS(MO.Ticker.FactSet,"P_PRICE_HIGH"&amp;"("&amp;INDEX(MO_SNA_FPStartDate,0,COLUMN())&amp;","&amp;INDEX(MO_Common_QEndDate,0,COLUMN())&amp;",,,,""PRICE"",""CLOSE"")"),"N/A")</f>
        <v>N/A</v>
      </c>
      <c r="R1153" s="396" t="str">
        <f ca="1">IFERROR(FDS(MO.Ticker.FactSet,"P_PRICE_HIGH"&amp;"("&amp;INDEX(MO_SNA_FPStartDate,0,COLUMN())&amp;","&amp;INDEX(MO_Common_QEndDate,0,COLUMN())&amp;",,,,""PRICE"",""CLOSE"")"),"N/A")</f>
        <v>N/A</v>
      </c>
      <c r="S1153" s="396" t="str">
        <f ca="1">IFERROR(FDS(MO.Ticker.FactSet,"P_PRICE_HIGH"&amp;"("&amp;INDEX(MO_SNA_FPStartDate,0,COLUMN())&amp;","&amp;INDEX(MO_Common_QEndDate,0,COLUMN())&amp;",,,,""PRICE"",""CLOSE"")"),"N/A")</f>
        <v>N/A</v>
      </c>
      <c r="T1153" s="396" t="str">
        <f ca="1">IFERROR(FDS(MO.Ticker.FactSet,"P_PRICE_HIGH"&amp;"("&amp;INDEX(MO_SNA_FPStartDate,0,COLUMN())&amp;","&amp;INDEX(MO_Common_QEndDate,0,COLUMN())&amp;",,,,""PRICE"",""CLOSE"")"),"N/A")</f>
        <v>N/A</v>
      </c>
      <c r="U1153" s="396" t="str">
        <f ca="1">IFERROR(FDS(MO.Ticker.FactSet,"P_PRICE_HIGH"&amp;"("&amp;INDEX(MO_SNA_FPStartDate,0,COLUMN())&amp;","&amp;INDEX(MO_Common_QEndDate,0,COLUMN())&amp;",,,,""PRICE"",""CLOSE"")"),"N/A")</f>
        <v>N/A</v>
      </c>
      <c r="V1153" s="396" t="str">
        <f ca="1">IFERROR(FDS(MO.Ticker.FactSet,"P_PRICE_HIGH"&amp;"("&amp;INDEX(MO_SNA_FPStartDate,0,COLUMN())&amp;","&amp;INDEX(MO_Common_QEndDate,0,COLUMN())&amp;",,,,""PRICE"",""CLOSE"")"),"N/A")</f>
        <v>N/A</v>
      </c>
      <c r="W1153" s="396" t="str">
        <f ca="1">IFERROR(FDS(MO.Ticker.FactSet,"P_PRICE_HIGH"&amp;"("&amp;INDEX(MO_SNA_FPStartDate,0,COLUMN())&amp;","&amp;INDEX(MO_Common_QEndDate,0,COLUMN())&amp;",,,,""PRICE"",""CLOSE"")"),"N/A")</f>
        <v>N/A</v>
      </c>
      <c r="X1153" s="396" t="str">
        <f ca="1">IFERROR(FDS(MO.Ticker.FactSet,"P_PRICE_HIGH"&amp;"("&amp;INDEX(MO_SNA_FPStartDate,0,COLUMN())&amp;","&amp;INDEX(MO_Common_QEndDate,0,COLUMN())&amp;",,,,""PRICE"",""CLOSE"")"),"N/A")</f>
        <v>N/A</v>
      </c>
      <c r="Y1153" s="396" t="str">
        <f ca="1">IFERROR(FDS(MO.Ticker.FactSet,"P_PRICE_HIGH"&amp;"("&amp;INDEX(MO_SNA_FPStartDate,0,COLUMN())&amp;","&amp;INDEX(MO_Common_QEndDate,0,COLUMN())&amp;",,,,""PRICE"",""CLOSE"")"),"N/A")</f>
        <v>N/A</v>
      </c>
      <c r="Z1153" s="396" t="str">
        <f ca="1">IFERROR(FDS(MO.Ticker.FactSet,"P_PRICE_HIGH"&amp;"("&amp;INDEX(MO_SNA_FPStartDate,0,COLUMN())&amp;","&amp;INDEX(MO_Common_QEndDate,0,COLUMN())&amp;",,,,""PRICE"",""CLOSE"")"),"N/A")</f>
        <v>N/A</v>
      </c>
      <c r="AA1153" s="396" t="str">
        <f ca="1">IFERROR(FDS(MO.Ticker.FactSet,"P_PRICE_HIGH"&amp;"("&amp;INDEX(MO_SNA_FPStartDate,0,COLUMN())&amp;","&amp;INDEX(MO_Common_QEndDate,0,COLUMN())&amp;",,,,""PRICE"",""CLOSE"")"),"N/A")</f>
        <v>N/A</v>
      </c>
      <c r="AB1153" s="396" t="str">
        <f ca="1">IFERROR(FDS(MO.Ticker.FactSet,"P_PRICE_HIGH"&amp;"("&amp;INDEX(MO_SNA_FPStartDate,0,COLUMN())&amp;","&amp;INDEX(MO_Common_QEndDate,0,COLUMN())&amp;",,,,""PRICE"",""CLOSE"")"),"N/A")</f>
        <v>N/A</v>
      </c>
      <c r="AC1153" s="396" t="str">
        <f ca="1">IFERROR(FDS(MO.Ticker.FactSet,"P_PRICE_HIGH"&amp;"("&amp;INDEX(MO_SNA_FPStartDate,0,COLUMN())&amp;","&amp;INDEX(MO_Common_QEndDate,0,COLUMN())&amp;",,,,""PRICE"",""CLOSE"")"),"N/A")</f>
        <v>N/A</v>
      </c>
      <c r="AD1153" s="396" t="str">
        <f ca="1">IFERROR(FDS(MO.Ticker.FactSet,"P_PRICE_HIGH"&amp;"("&amp;INDEX(MO_SNA_FPStartDate,0,COLUMN())&amp;","&amp;INDEX(MO_Common_QEndDate,0,COLUMN())&amp;",,,,""PRICE"",""CLOSE"")"),"N/A")</f>
        <v>N/A</v>
      </c>
      <c r="AE1153" s="396" t="str">
        <f ca="1">IFERROR(FDS(MO.Ticker.FactSet,"P_PRICE_HIGH"&amp;"("&amp;INDEX(MO_SNA_FPStartDate,0,COLUMN())&amp;","&amp;INDEX(MO_Common_QEndDate,0,COLUMN())&amp;",,,,""PRICE"",""CLOSE"")"),"N/A")</f>
        <v>N/A</v>
      </c>
      <c r="AF1153" s="396" t="str">
        <f ca="1">IFERROR(FDS(MO.Ticker.FactSet,"P_PRICE_HIGH"&amp;"("&amp;INDEX(MO_SNA_FPStartDate,0,COLUMN())&amp;","&amp;INDEX(MO_Common_QEndDate,0,COLUMN())&amp;",,,,""PRICE"",""CLOSE"")"),"N/A")</f>
        <v>N/A</v>
      </c>
      <c r="AG1153" s="396" t="str">
        <f ca="1">IFERROR(FDS(MO.Ticker.FactSet,"P_PRICE_HIGH"&amp;"("&amp;INDEX(MO_SNA_FPStartDate,0,COLUMN())&amp;","&amp;INDEX(MO_Common_QEndDate,0,COLUMN())&amp;",,,,""PRICE"",""CLOSE"")"),"N/A")</f>
        <v>N/A</v>
      </c>
      <c r="AH1153" s="396" t="str">
        <f ca="1">IFERROR(FDS(MO.Ticker.FactSet,"P_PRICE_HIGH"&amp;"("&amp;INDEX(MO_SNA_FPStartDate,0,COLUMN())&amp;","&amp;INDEX(MO_Common_QEndDate,0,COLUMN())&amp;",,,,""PRICE"",""CLOSE"")"),"N/A")</f>
        <v>N/A</v>
      </c>
      <c r="AI1153" s="396" t="str">
        <f ca="1">IFERROR(FDS(MO.Ticker.FactSet,"P_PRICE_HIGH"&amp;"("&amp;INDEX(MO_SNA_FPStartDate,0,COLUMN())&amp;","&amp;INDEX(MO_Common_QEndDate,0,COLUMN())&amp;",,,,""PRICE"",""CLOSE"")"),"N/A")</f>
        <v>N/A</v>
      </c>
      <c r="AJ1153" s="396" t="str">
        <f ca="1">IFERROR(FDS(MO.Ticker.FactSet,"P_PRICE_HIGH"&amp;"("&amp;INDEX(MO_SNA_FPStartDate,0,COLUMN())&amp;","&amp;INDEX(MO_Common_QEndDate,0,COLUMN())&amp;",,,,""PRICE"",""CLOSE"")"),"N/A")</f>
        <v>N/A</v>
      </c>
      <c r="AK1153" s="396" t="str">
        <f ca="1">IFERROR(FDS(MO.Ticker.FactSet,"P_PRICE_HIGH"&amp;"("&amp;INDEX(MO_SNA_FPStartDate,0,COLUMN())&amp;","&amp;INDEX(MO_Common_QEndDate,0,COLUMN())&amp;",,,,""PRICE"",""CLOSE"")"),"N/A")</f>
        <v>N/A</v>
      </c>
      <c r="AL1153" s="396" t="str">
        <f ca="1">IFERROR(FDS(MO.Ticker.FactSet,"P_PRICE_HIGH"&amp;"("&amp;INDEX(MO_SNA_FPStartDate,0,COLUMN())&amp;","&amp;INDEX(MO_Common_QEndDate,0,COLUMN())&amp;",,,,""PRICE"",""CLOSE"")"),"N/A")</f>
        <v>N/A</v>
      </c>
      <c r="AM1153" s="396" t="str">
        <f ca="1">IFERROR(FDS(MO.Ticker.FactSet,"P_PRICE_HIGH"&amp;"("&amp;INDEX(MO_SNA_FPStartDate,0,COLUMN())&amp;","&amp;INDEX(MO_Common_QEndDate,0,COLUMN())&amp;",,,,""PRICE"",""CLOSE"")"),"N/A")</f>
        <v>N/A</v>
      </c>
      <c r="AN1153" s="396" t="str">
        <f ca="1">IFERROR(FDS(MO.Ticker.FactSet,"P_PRICE_HIGH"&amp;"("&amp;INDEX(MO_SNA_FPStartDate,0,COLUMN())&amp;","&amp;INDEX(MO_Common_QEndDate,0,COLUMN())&amp;",,,,""PRICE"",""CLOSE"")"),"N/A")</f>
        <v>N/A</v>
      </c>
      <c r="AO1153" s="396" t="str">
        <f ca="1">IFERROR(FDS(MO.Ticker.FactSet,"P_PRICE_HIGH"&amp;"("&amp;INDEX(MO_SNA_FPStartDate,0,COLUMN())&amp;","&amp;INDEX(MO_Common_QEndDate,0,COLUMN())&amp;",,,,""PRICE"",""CLOSE"")"),"N/A")</f>
        <v>N/A</v>
      </c>
      <c r="AP1153" s="396" t="str">
        <f ca="1">IFERROR(FDS(MO.Ticker.FactSet,"P_PRICE_HIGH"&amp;"("&amp;INDEX(MO_SNA_FPStartDate,0,COLUMN())&amp;","&amp;INDEX(MO_Common_QEndDate,0,COLUMN())&amp;",,,,""PRICE"",""CLOSE"")"),"N/A")</f>
        <v>N/A</v>
      </c>
      <c r="AQ1153" s="396" t="str">
        <f ca="1">IFERROR(FDS(MO.Ticker.FactSet,"P_PRICE_HIGH"&amp;"("&amp;INDEX(MO_SNA_FPStartDate,0,COLUMN())&amp;","&amp;INDEX(MO_Common_QEndDate,0,COLUMN())&amp;",,,,""PRICE"",""CLOSE"")"),"N/A")</f>
        <v>N/A</v>
      </c>
      <c r="AR1153" s="396" t="str">
        <f ca="1">IFERROR(FDS(MO.Ticker.FactSet,"P_PRICE_HIGH"&amp;"("&amp;INDEX(MO_SNA_FPStartDate,0,COLUMN())&amp;","&amp;INDEX(MO_Common_QEndDate,0,COLUMN())&amp;",,,,""PRICE"",""CLOSE"")"),"N/A")</f>
        <v>N/A</v>
      </c>
      <c r="AS1153" s="396" t="str">
        <f ca="1">IFERROR(FDS(MO.Ticker.FactSet,"P_PRICE_HIGH"&amp;"("&amp;INDEX(MO_SNA_FPStartDate,0,COLUMN())&amp;","&amp;INDEX(MO_Common_QEndDate,0,COLUMN())&amp;",,,,""PRICE"",""CLOSE"")"),"N/A")</f>
        <v>N/A</v>
      </c>
      <c r="AT1153" s="396" t="str">
        <f ca="1">IFERROR(FDS(MO.Ticker.FactSet,"P_PRICE_HIGH"&amp;"("&amp;INDEX(MO_SNA_FPStartDate,0,COLUMN())&amp;","&amp;INDEX(MO_Common_QEndDate,0,COLUMN())&amp;",,,,""PRICE"",""CLOSE"")"),"N/A")</f>
        <v>N/A</v>
      </c>
      <c r="AU1153" s="837" t="str">
        <f ca="1">IFERROR(FDS(MO.Ticker.FactSet,"P_PRICE_HIGH"&amp;"("&amp;INDEX(MO_SNA_FPStartDate,0,COLUMN())&amp;","&amp;INDEX(MO_Common_QEndDate,0,COLUMN())&amp;",,,,""PRICE"",""CLOSE"")"),"N/A")</f>
        <v>N/A</v>
      </c>
      <c r="AV1153" s="396" t="str">
        <f ca="1">IFERROR(FDS(MO.Ticker.FactSet,"P_PRICE_HIGH"&amp;"("&amp;INDEX(MO_SNA_FPStartDate,0,COLUMN())&amp;","&amp;INDEX(MO_Common_QEndDate,0,COLUMN())&amp;",,,,""PRICE"",""CLOSE"")"),"N/A")</f>
        <v>N/A</v>
      </c>
      <c r="AW1153" s="396" t="str">
        <f ca="1">IFERROR(FDS(MO.Ticker.FactSet,"P_PRICE_HIGH"&amp;"("&amp;INDEX(MO_SNA_FPStartDate,0,COLUMN())&amp;","&amp;INDEX(MO_Common_QEndDate,0,COLUMN())&amp;",,,,""PRICE"",""CLOSE"")"),"N/A")</f>
        <v>N/A</v>
      </c>
      <c r="AX1153" s="396" t="str">
        <f ca="1">IFERROR(FDS(MO.Ticker.FactSet,"P_PRICE_HIGH"&amp;"("&amp;INDEX(MO_SNA_FPStartDate,0,COLUMN())&amp;","&amp;INDEX(MO_Common_QEndDate,0,COLUMN())&amp;",,,,""PRICE"",""CLOSE"")"),"N/A")</f>
        <v>N/A</v>
      </c>
      <c r="AY1153" s="396" t="str">
        <f ca="1">IFERROR(FDS(MO.Ticker.FactSet,"P_PRICE_HIGH"&amp;"("&amp;INDEX(MO_SNA_FPStartDate,0,COLUMN())&amp;","&amp;INDEX(MO_Common_QEndDate,0,COLUMN())&amp;",,,,""PRICE"",""CLOSE"")"),"N/A")</f>
        <v>N/A</v>
      </c>
      <c r="AZ1153" s="396" t="str">
        <f ca="1">IFERROR(FDS(MO.Ticker.FactSet,"P_PRICE_HIGH"&amp;"("&amp;INDEX(MO_SNA_FPStartDate,0,COLUMN())&amp;","&amp;INDEX(MO_Common_QEndDate,0,COLUMN())&amp;",,,,""PRICE"",""CLOSE"")"),"N/A")</f>
        <v>N/A</v>
      </c>
      <c r="BA1153" s="396" t="str">
        <f ca="1">IFERROR(FDS(MO.Ticker.FactSet,"P_PRICE_HIGH"&amp;"("&amp;INDEX(MO_SNA_FPStartDate,0,COLUMN())&amp;","&amp;INDEX(MO_Common_QEndDate,0,COLUMN())&amp;",,,,""PRICE"",""CLOSE"")"),"N/A")</f>
        <v>N/A</v>
      </c>
      <c r="BB1153" s="396" t="str">
        <f ca="1">IFERROR(FDS(MO.Ticker.FactSet,"P_PRICE_HIGH"&amp;"("&amp;INDEX(MO_SNA_FPStartDate,0,COLUMN())&amp;","&amp;INDEX(MO_Common_QEndDate,0,COLUMN())&amp;",,,,""PRICE"",""CLOSE"")"),"N/A")</f>
        <v>N/A</v>
      </c>
      <c r="BC1153" s="396" t="str">
        <f ca="1">IFERROR(FDS(MO.Ticker.FactSet,"P_PRICE_HIGH"&amp;"("&amp;INDEX(MO_SNA_FPStartDate,0,COLUMN())&amp;","&amp;INDEX(MO_Common_QEndDate,0,COLUMN())&amp;",,,,""PRICE"",""CLOSE"")"),"N/A")</f>
        <v>N/A</v>
      </c>
      <c r="BD1153" s="396" t="str">
        <f ca="1">IFERROR(FDS(MO.Ticker.FactSet,"P_PRICE_HIGH"&amp;"("&amp;INDEX(MO_SNA_FPStartDate,0,COLUMN())&amp;","&amp;INDEX(MO_Common_QEndDate,0,COLUMN())&amp;",,,,""PRICE"",""CLOSE"")"),"N/A")</f>
        <v>N/A</v>
      </c>
      <c r="BE1153" s="396" t="str">
        <f ca="1">IFERROR(FDS(MO.Ticker.FactSet,"P_PRICE_HIGH"&amp;"("&amp;INDEX(MO_SNA_FPStartDate,0,COLUMN())&amp;","&amp;INDEX(MO_Common_QEndDate,0,COLUMN())&amp;",,,,""PRICE"",""CLOSE"")"),"N/A")</f>
        <v>N/A</v>
      </c>
      <c r="BF1153" s="396" t="str">
        <f ca="1">IFERROR(FDS(MO.Ticker.FactSet,"P_PRICE_HIGH"&amp;"("&amp;INDEX(MO_SNA_FPStartDate,0,COLUMN())&amp;","&amp;INDEX(MO_Common_QEndDate,0,COLUMN())&amp;",,,,""PRICE"",""CLOSE"")"),"N/A")</f>
        <v>N/A</v>
      </c>
      <c r="BG1153" s="398" t="str">
        <f ca="1">IFERROR(FDS(MO.Ticker.FactSet,"P_PRICE_HIGH"&amp;"("&amp;INDEX(MO_SNA_FPStartDate,0,COLUMN())&amp;","&amp;INDEX(MO_Common_QEndDate,0,COLUMN())&amp;",,,,""PRICE"",""CLOSE"")"),"N/A")</f>
        <v>N/A</v>
      </c>
      <c r="BH1153" s="477"/>
    </row>
    <row r="1154" spans="1:60" s="399" customFormat="1" hidden="1" outlineLevel="1" x14ac:dyDescent="0.35">
      <c r="A1154" s="400" t="s">
        <v>1062</v>
      </c>
      <c r="B1154" s="396"/>
      <c r="C1154" s="397" t="str">
        <f ca="1">IFERROR(_xll.TR(MO.Ticker.Thomson,"MAX(TR.Pricehigh)","sdate:#1 edate:#2",,INDEX(MO_SNA_FPStartDate,0,COLUMN()),INDEX(MO_Common_QEndDate,0,COLUMN())),"N/A")</f>
        <v>N/A</v>
      </c>
      <c r="D1154" s="397" t="str">
        <f ca="1">IFERROR(_xll.TR(MO.Ticker.Thomson,"MAX(TR.Pricehigh)","sdate:#1 edate:#2",,INDEX(MO_SNA_FPStartDate,0,COLUMN()),INDEX(MO_Common_QEndDate,0,COLUMN())),"N/A")</f>
        <v>N/A</v>
      </c>
      <c r="E1154" s="396" t="str">
        <f ca="1">IFERROR(_xll.TR(MO.Ticker.Thomson,"MAX(TR.Pricehigh)","sdate:#1 edate:#2",,INDEX(MO_SNA_FPStartDate,0,COLUMN()),INDEX(MO_Common_QEndDate,0,COLUMN())),"N/A")</f>
        <v>N/A</v>
      </c>
      <c r="F1154" s="396" t="str">
        <f ca="1">IFERROR(_xll.TR(MO.Ticker.Thomson,"MAX(TR.Pricehigh)","sdate:#1 edate:#2",,INDEX(MO_SNA_FPStartDate,0,COLUMN()),INDEX(MO_Common_QEndDate,0,COLUMN())),"N/A")</f>
        <v>N/A</v>
      </c>
      <c r="G1154" s="396" t="str">
        <f ca="1">IFERROR(_xll.TR(MO.Ticker.Thomson,"MAX(TR.Pricehigh)","sdate:#1 edate:#2",,INDEX(MO_SNA_FPStartDate,0,COLUMN()),INDEX(MO_Common_QEndDate,0,COLUMN())),"N/A")</f>
        <v>N/A</v>
      </c>
      <c r="H1154" s="396" t="str">
        <f ca="1">IFERROR(_xll.TR(MO.Ticker.Thomson,"MAX(TR.Pricehigh)","sdate:#1 edate:#2",,INDEX(MO_SNA_FPStartDate,0,COLUMN()),INDEX(MO_Common_QEndDate,0,COLUMN())),"N/A")</f>
        <v>N/A</v>
      </c>
      <c r="I1154" s="396" t="str">
        <f ca="1">IFERROR(_xll.TR(MO.Ticker.Thomson,"MAX(TR.Pricehigh)","sdate:#1 edate:#2",,INDEX(MO_SNA_FPStartDate,0,COLUMN()),INDEX(MO_Common_QEndDate,0,COLUMN())),"N/A")</f>
        <v>N/A</v>
      </c>
      <c r="J1154" s="396" t="str">
        <f ca="1">IFERROR(_xll.TR(MO.Ticker.Thomson,"MAX(TR.Pricehigh)","sdate:#1 edate:#2",,INDEX(MO_SNA_FPStartDate,0,COLUMN()),INDEX(MO_Common_QEndDate,0,COLUMN())),"N/A")</f>
        <v>N/A</v>
      </c>
      <c r="K1154" s="396" t="str">
        <f ca="1">IFERROR(_xll.TR(MO.Ticker.Thomson,"MAX(TR.Pricehigh)","sdate:#1 edate:#2",,INDEX(MO_SNA_FPStartDate,0,COLUMN()),INDEX(MO_Common_QEndDate,0,COLUMN())),"N/A")</f>
        <v>N/A</v>
      </c>
      <c r="L1154" s="396" t="str">
        <f ca="1">IFERROR(_xll.TR(MO.Ticker.Thomson,"MAX(TR.Pricehigh)","sdate:#1 edate:#2",,INDEX(MO_SNA_FPStartDate,0,COLUMN()),INDEX(MO_Common_QEndDate,0,COLUMN())),"N/A")</f>
        <v>N/A</v>
      </c>
      <c r="M1154" s="396" t="str">
        <f ca="1">IFERROR(_xll.TR(MO.Ticker.Thomson,"MAX(TR.Pricehigh)","sdate:#1 edate:#2",,INDEX(MO_SNA_FPStartDate,0,COLUMN()),INDEX(MO_Common_QEndDate,0,COLUMN())),"N/A")</f>
        <v>N/A</v>
      </c>
      <c r="N1154" s="396" t="str">
        <f ca="1">IFERROR(_xll.TR(MO.Ticker.Thomson,"MAX(TR.Pricehigh)","sdate:#1 edate:#2",,INDEX(MO_SNA_FPStartDate,0,COLUMN()),INDEX(MO_Common_QEndDate,0,COLUMN())),"N/A")</f>
        <v>N/A</v>
      </c>
      <c r="O1154" s="396" t="str">
        <f ca="1">IFERROR(_xll.TR(MO.Ticker.Thomson,"MAX(TR.Pricehigh)","sdate:#1 edate:#2",,INDEX(MO_SNA_FPStartDate,0,COLUMN()),INDEX(MO_Common_QEndDate,0,COLUMN())),"N/A")</f>
        <v>N/A</v>
      </c>
      <c r="P1154" s="396" t="str">
        <f ca="1">IFERROR(_xll.TR(MO.Ticker.Thomson,"MAX(TR.Pricehigh)","sdate:#1 edate:#2",,INDEX(MO_SNA_FPStartDate,0,COLUMN()),INDEX(MO_Common_QEndDate,0,COLUMN())),"N/A")</f>
        <v>N/A</v>
      </c>
      <c r="Q1154" s="396" t="str">
        <f ca="1">IFERROR(_xll.TR(MO.Ticker.Thomson,"MAX(TR.Pricehigh)","sdate:#1 edate:#2",,INDEX(MO_SNA_FPStartDate,0,COLUMN()),INDEX(MO_Common_QEndDate,0,COLUMN())),"N/A")</f>
        <v>N/A</v>
      </c>
      <c r="R1154" s="396" t="str">
        <f ca="1">IFERROR(_xll.TR(MO.Ticker.Thomson,"MAX(TR.Pricehigh)","sdate:#1 edate:#2",,INDEX(MO_SNA_FPStartDate,0,COLUMN()),INDEX(MO_Common_QEndDate,0,COLUMN())),"N/A")</f>
        <v>N/A</v>
      </c>
      <c r="S1154" s="396" t="str">
        <f ca="1">IFERROR(_xll.TR(MO.Ticker.Thomson,"MAX(TR.Pricehigh)","sdate:#1 edate:#2",,INDEX(MO_SNA_FPStartDate,0,COLUMN()),INDEX(MO_Common_QEndDate,0,COLUMN())),"N/A")</f>
        <v>N/A</v>
      </c>
      <c r="T1154" s="396" t="str">
        <f ca="1">IFERROR(_xll.TR(MO.Ticker.Thomson,"MAX(TR.Pricehigh)","sdate:#1 edate:#2",,INDEX(MO_SNA_FPStartDate,0,COLUMN()),INDEX(MO_Common_QEndDate,0,COLUMN())),"N/A")</f>
        <v>N/A</v>
      </c>
      <c r="U1154" s="396" t="str">
        <f ca="1">IFERROR(_xll.TR(MO.Ticker.Thomson,"MAX(TR.Pricehigh)","sdate:#1 edate:#2",,INDEX(MO_SNA_FPStartDate,0,COLUMN()),INDEX(MO_Common_QEndDate,0,COLUMN())),"N/A")</f>
        <v>N/A</v>
      </c>
      <c r="V1154" s="396" t="str">
        <f ca="1">IFERROR(_xll.TR(MO.Ticker.Thomson,"MAX(TR.Pricehigh)","sdate:#1 edate:#2",,INDEX(MO_SNA_FPStartDate,0,COLUMN()),INDEX(MO_Common_QEndDate,0,COLUMN())),"N/A")</f>
        <v>N/A</v>
      </c>
      <c r="W1154" s="396" t="str">
        <f ca="1">IFERROR(_xll.TR(MO.Ticker.Thomson,"MAX(TR.Pricehigh)","sdate:#1 edate:#2",,INDEX(MO_SNA_FPStartDate,0,COLUMN()),INDEX(MO_Common_QEndDate,0,COLUMN())),"N/A")</f>
        <v>N/A</v>
      </c>
      <c r="X1154" s="396" t="str">
        <f ca="1">IFERROR(_xll.TR(MO.Ticker.Thomson,"MAX(TR.Pricehigh)","sdate:#1 edate:#2",,INDEX(MO_SNA_FPStartDate,0,COLUMN()),INDEX(MO_Common_QEndDate,0,COLUMN())),"N/A")</f>
        <v>N/A</v>
      </c>
      <c r="Y1154" s="396" t="str">
        <f ca="1">IFERROR(_xll.TR(MO.Ticker.Thomson,"MAX(TR.Pricehigh)","sdate:#1 edate:#2",,INDEX(MO_SNA_FPStartDate,0,COLUMN()),INDEX(MO_Common_QEndDate,0,COLUMN())),"N/A")</f>
        <v>N/A</v>
      </c>
      <c r="Z1154" s="396" t="str">
        <f ca="1">IFERROR(_xll.TR(MO.Ticker.Thomson,"MAX(TR.Pricehigh)","sdate:#1 edate:#2",,INDEX(MO_SNA_FPStartDate,0,COLUMN()),INDEX(MO_Common_QEndDate,0,COLUMN())),"N/A")</f>
        <v>N/A</v>
      </c>
      <c r="AA1154" s="396" t="str">
        <f ca="1">IFERROR(_xll.TR(MO.Ticker.Thomson,"MAX(TR.Pricehigh)","sdate:#1 edate:#2",,INDEX(MO_SNA_FPStartDate,0,COLUMN()),INDEX(MO_Common_QEndDate,0,COLUMN())),"N/A")</f>
        <v>N/A</v>
      </c>
      <c r="AB1154" s="396" t="str">
        <f ca="1">IFERROR(_xll.TR(MO.Ticker.Thomson,"MAX(TR.Pricehigh)","sdate:#1 edate:#2",,INDEX(MO_SNA_FPStartDate,0,COLUMN()),INDEX(MO_Common_QEndDate,0,COLUMN())),"N/A")</f>
        <v>N/A</v>
      </c>
      <c r="AC1154" s="396" t="str">
        <f ca="1">IFERROR(_xll.TR(MO.Ticker.Thomson,"MAX(TR.Pricehigh)","sdate:#1 edate:#2",,INDEX(MO_SNA_FPStartDate,0,COLUMN()),INDEX(MO_Common_QEndDate,0,COLUMN())),"N/A")</f>
        <v>N/A</v>
      </c>
      <c r="AD1154" s="396" t="str">
        <f ca="1">IFERROR(_xll.TR(MO.Ticker.Thomson,"MAX(TR.Pricehigh)","sdate:#1 edate:#2",,INDEX(MO_SNA_FPStartDate,0,COLUMN()),INDEX(MO_Common_QEndDate,0,COLUMN())),"N/A")</f>
        <v>N/A</v>
      </c>
      <c r="AE1154" s="396" t="str">
        <f ca="1">IFERROR(_xll.TR(MO.Ticker.Thomson,"MAX(TR.Pricehigh)","sdate:#1 edate:#2",,INDEX(MO_SNA_FPStartDate,0,COLUMN()),INDEX(MO_Common_QEndDate,0,COLUMN())),"N/A")</f>
        <v>N/A</v>
      </c>
      <c r="AF1154" s="396" t="str">
        <f ca="1">IFERROR(_xll.TR(MO.Ticker.Thomson,"MAX(TR.Pricehigh)","sdate:#1 edate:#2",,INDEX(MO_SNA_FPStartDate,0,COLUMN()),INDEX(MO_Common_QEndDate,0,COLUMN())),"N/A")</f>
        <v>N/A</v>
      </c>
      <c r="AG1154" s="396" t="str">
        <f ca="1">IFERROR(_xll.TR(MO.Ticker.Thomson,"MAX(TR.Pricehigh)","sdate:#1 edate:#2",,INDEX(MO_SNA_FPStartDate,0,COLUMN()),INDEX(MO_Common_QEndDate,0,COLUMN())),"N/A")</f>
        <v>N/A</v>
      </c>
      <c r="AH1154" s="396" t="str">
        <f ca="1">IFERROR(_xll.TR(MO.Ticker.Thomson,"MAX(TR.Pricehigh)","sdate:#1 edate:#2",,INDEX(MO_SNA_FPStartDate,0,COLUMN()),INDEX(MO_Common_QEndDate,0,COLUMN())),"N/A")</f>
        <v>N/A</v>
      </c>
      <c r="AI1154" s="396" t="str">
        <f ca="1">IFERROR(_xll.TR(MO.Ticker.Thomson,"MAX(TR.Pricehigh)","sdate:#1 edate:#2",,INDEX(MO_SNA_FPStartDate,0,COLUMN()),INDEX(MO_Common_QEndDate,0,COLUMN())),"N/A")</f>
        <v>N/A</v>
      </c>
      <c r="AJ1154" s="396" t="str">
        <f ca="1">IFERROR(_xll.TR(MO.Ticker.Thomson,"MAX(TR.Pricehigh)","sdate:#1 edate:#2",,INDEX(MO_SNA_FPStartDate,0,COLUMN()),INDEX(MO_Common_QEndDate,0,COLUMN())),"N/A")</f>
        <v>N/A</v>
      </c>
      <c r="AK1154" s="396" t="str">
        <f ca="1">IFERROR(_xll.TR(MO.Ticker.Thomson,"MAX(TR.Pricehigh)","sdate:#1 edate:#2",,INDEX(MO_SNA_FPStartDate,0,COLUMN()),INDEX(MO_Common_QEndDate,0,COLUMN())),"N/A")</f>
        <v>N/A</v>
      </c>
      <c r="AL1154" s="396" t="str">
        <f ca="1">IFERROR(_xll.TR(MO.Ticker.Thomson,"MAX(TR.Pricehigh)","sdate:#1 edate:#2",,INDEX(MO_SNA_FPStartDate,0,COLUMN()),INDEX(MO_Common_QEndDate,0,COLUMN())),"N/A")</f>
        <v>N/A</v>
      </c>
      <c r="AM1154" s="396" t="str">
        <f ca="1">IFERROR(_xll.TR(MO.Ticker.Thomson,"MAX(TR.Pricehigh)","sdate:#1 edate:#2",,INDEX(MO_SNA_FPStartDate,0,COLUMN()),INDEX(MO_Common_QEndDate,0,COLUMN())),"N/A")</f>
        <v>N/A</v>
      </c>
      <c r="AN1154" s="396" t="str">
        <f ca="1">IFERROR(_xll.TR(MO.Ticker.Thomson,"MAX(TR.Pricehigh)","sdate:#1 edate:#2",,INDEX(MO_SNA_FPStartDate,0,COLUMN()),INDEX(MO_Common_QEndDate,0,COLUMN())),"N/A")</f>
        <v>N/A</v>
      </c>
      <c r="AO1154" s="396" t="str">
        <f ca="1">IFERROR(_xll.TR(MO.Ticker.Thomson,"MAX(TR.Pricehigh)","sdate:#1 edate:#2",,INDEX(MO_SNA_FPStartDate,0,COLUMN()),INDEX(MO_Common_QEndDate,0,COLUMN())),"N/A")</f>
        <v>N/A</v>
      </c>
      <c r="AP1154" s="396" t="str">
        <f ca="1">IFERROR(_xll.TR(MO.Ticker.Thomson,"MAX(TR.Pricehigh)","sdate:#1 edate:#2",,INDEX(MO_SNA_FPStartDate,0,COLUMN()),INDEX(MO_Common_QEndDate,0,COLUMN())),"N/A")</f>
        <v>N/A</v>
      </c>
      <c r="AQ1154" s="396" t="str">
        <f ca="1">IFERROR(_xll.TR(MO.Ticker.Thomson,"MAX(TR.Pricehigh)","sdate:#1 edate:#2",,INDEX(MO_SNA_FPStartDate,0,COLUMN()),INDEX(MO_Common_QEndDate,0,COLUMN())),"N/A")</f>
        <v>N/A</v>
      </c>
      <c r="AR1154" s="396" t="str">
        <f ca="1">IFERROR(_xll.TR(MO.Ticker.Thomson,"MAX(TR.Pricehigh)","sdate:#1 edate:#2",,INDEX(MO_SNA_FPStartDate,0,COLUMN()),INDEX(MO_Common_QEndDate,0,COLUMN())),"N/A")</f>
        <v>N/A</v>
      </c>
      <c r="AS1154" s="396" t="str">
        <f ca="1">IFERROR(_xll.TR(MO.Ticker.Thomson,"MAX(TR.Pricehigh)","sdate:#1 edate:#2",,INDEX(MO_SNA_FPStartDate,0,COLUMN()),INDEX(MO_Common_QEndDate,0,COLUMN())),"N/A")</f>
        <v>N/A</v>
      </c>
      <c r="AT1154" s="396" t="str">
        <f ca="1">IFERROR(_xll.TR(MO.Ticker.Thomson,"MAX(TR.Pricehigh)","sdate:#1 edate:#2",,INDEX(MO_SNA_FPStartDate,0,COLUMN()),INDEX(MO_Common_QEndDate,0,COLUMN())),"N/A")</f>
        <v>N/A</v>
      </c>
      <c r="AU1154" s="837" t="str">
        <f ca="1">IFERROR(_xll.TR(MO.Ticker.Thomson,"MAX(TR.Pricehigh)","sdate:#1 edate:#2",,INDEX(MO_SNA_FPStartDate,0,COLUMN()),INDEX(MO_Common_QEndDate,0,COLUMN())),"N/A")</f>
        <v>N/A</v>
      </c>
      <c r="AV1154" s="396" t="str">
        <f ca="1">IFERROR(_xll.TR(MO.Ticker.Thomson,"MAX(TR.Pricehigh)","sdate:#1 edate:#2",,INDEX(MO_SNA_FPStartDate,0,COLUMN()),INDEX(MO_Common_QEndDate,0,COLUMN())),"N/A")</f>
        <v>N/A</v>
      </c>
      <c r="AW1154" s="396" t="str">
        <f ca="1">IFERROR(_xll.TR(MO.Ticker.Thomson,"MAX(TR.Pricehigh)","sdate:#1 edate:#2",,INDEX(MO_SNA_FPStartDate,0,COLUMN()),INDEX(MO_Common_QEndDate,0,COLUMN())),"N/A")</f>
        <v>N/A</v>
      </c>
      <c r="AX1154" s="396" t="str">
        <f ca="1">IFERROR(_xll.TR(MO.Ticker.Thomson,"MAX(TR.Pricehigh)","sdate:#1 edate:#2",,INDEX(MO_SNA_FPStartDate,0,COLUMN()),INDEX(MO_Common_QEndDate,0,COLUMN())),"N/A")</f>
        <v>N/A</v>
      </c>
      <c r="AY1154" s="396" t="str">
        <f ca="1">IFERROR(_xll.TR(MO.Ticker.Thomson,"MAX(TR.Pricehigh)","sdate:#1 edate:#2",,INDEX(MO_SNA_FPStartDate,0,COLUMN()),INDEX(MO_Common_QEndDate,0,COLUMN())),"N/A")</f>
        <v>N/A</v>
      </c>
      <c r="AZ1154" s="396" t="str">
        <f ca="1">IFERROR(_xll.TR(MO.Ticker.Thomson,"MAX(TR.Pricehigh)","sdate:#1 edate:#2",,INDEX(MO_SNA_FPStartDate,0,COLUMN()),INDEX(MO_Common_QEndDate,0,COLUMN())),"N/A")</f>
        <v>N/A</v>
      </c>
      <c r="BA1154" s="396" t="str">
        <f ca="1">IFERROR(_xll.TR(MO.Ticker.Thomson,"MAX(TR.Pricehigh)","sdate:#1 edate:#2",,INDEX(MO_SNA_FPStartDate,0,COLUMN()),INDEX(MO_Common_QEndDate,0,COLUMN())),"N/A")</f>
        <v>N/A</v>
      </c>
      <c r="BB1154" s="396" t="str">
        <f ca="1">IFERROR(_xll.TR(MO.Ticker.Thomson,"MAX(TR.Pricehigh)","sdate:#1 edate:#2",,INDEX(MO_SNA_FPStartDate,0,COLUMN()),INDEX(MO_Common_QEndDate,0,COLUMN())),"N/A")</f>
        <v>N/A</v>
      </c>
      <c r="BC1154" s="396" t="str">
        <f ca="1">IFERROR(_xll.TR(MO.Ticker.Thomson,"MAX(TR.Pricehigh)","sdate:#1 edate:#2",,INDEX(MO_SNA_FPStartDate,0,COLUMN()),INDEX(MO_Common_QEndDate,0,COLUMN())),"N/A")</f>
        <v>N/A</v>
      </c>
      <c r="BD1154" s="396" t="str">
        <f ca="1">IFERROR(_xll.TR(MO.Ticker.Thomson,"MAX(TR.Pricehigh)","sdate:#1 edate:#2",,INDEX(MO_SNA_FPStartDate,0,COLUMN()),INDEX(MO_Common_QEndDate,0,COLUMN())),"N/A")</f>
        <v>N/A</v>
      </c>
      <c r="BE1154" s="396" t="str">
        <f ca="1">IFERROR(_xll.TR(MO.Ticker.Thomson,"MAX(TR.Pricehigh)","sdate:#1 edate:#2",,INDEX(MO_SNA_FPStartDate,0,COLUMN()),INDEX(MO_Common_QEndDate,0,COLUMN())),"N/A")</f>
        <v>N/A</v>
      </c>
      <c r="BF1154" s="396" t="str">
        <f ca="1">IFERROR(_xll.TR(MO.Ticker.Thomson,"MAX(TR.Pricehigh)","sdate:#1 edate:#2",,INDEX(MO_SNA_FPStartDate,0,COLUMN()),INDEX(MO_Common_QEndDate,0,COLUMN())),"N/A")</f>
        <v>N/A</v>
      </c>
      <c r="BG1154" s="398" t="str">
        <f ca="1">IFERROR(_xll.TR(MO.Ticker.Thomson,"MAX(TR.Pricehigh)","sdate:#1 edate:#2",,INDEX(MO_SNA_FPStartDate,0,COLUMN()),INDEX(MO_Common_QEndDate,0,COLUMN())),"N/A")</f>
        <v>N/A</v>
      </c>
      <c r="BH1154" s="477"/>
    </row>
    <row r="1155" spans="1:60" s="15" customFormat="1" hidden="1" outlineLevel="1" x14ac:dyDescent="0.35">
      <c r="A1155" s="366"/>
      <c r="B1155" s="747"/>
      <c r="C1155" s="189"/>
      <c r="D1155" s="189"/>
      <c r="E1155" s="747"/>
      <c r="F1155" s="747"/>
      <c r="G1155" s="747"/>
      <c r="H1155" s="747"/>
      <c r="I1155" s="747"/>
      <c r="J1155" s="747"/>
      <c r="K1155" s="747"/>
      <c r="L1155" s="747"/>
      <c r="M1155" s="747"/>
      <c r="N1155" s="747"/>
      <c r="O1155" s="747"/>
      <c r="P1155" s="747"/>
      <c r="Q1155" s="747"/>
      <c r="R1155" s="747"/>
      <c r="S1155" s="747"/>
      <c r="T1155" s="747"/>
      <c r="U1155" s="747"/>
      <c r="V1155" s="747"/>
      <c r="W1155" s="747"/>
      <c r="X1155" s="747"/>
      <c r="Y1155" s="747"/>
      <c r="Z1155" s="747"/>
      <c r="AA1155" s="747"/>
      <c r="AB1155" s="747"/>
      <c r="AC1155" s="747"/>
      <c r="AD1155" s="747"/>
      <c r="AE1155" s="747"/>
      <c r="AF1155" s="747"/>
      <c r="AG1155" s="747"/>
      <c r="AH1155" s="747"/>
      <c r="AI1155" s="747"/>
      <c r="AJ1155" s="747"/>
      <c r="AK1155" s="747"/>
      <c r="AL1155" s="747"/>
      <c r="AM1155" s="747"/>
      <c r="AN1155" s="747"/>
      <c r="AO1155" s="747"/>
      <c r="AP1155" s="747"/>
      <c r="AQ1155" s="747"/>
      <c r="AR1155" s="747"/>
      <c r="AS1155" s="747"/>
      <c r="AT1155" s="747"/>
      <c r="AU1155" s="786"/>
      <c r="AV1155" s="747"/>
      <c r="AW1155" s="747"/>
      <c r="AX1155" s="747"/>
      <c r="AY1155" s="747"/>
      <c r="AZ1155" s="747"/>
      <c r="BA1155" s="747"/>
      <c r="BB1155" s="747"/>
      <c r="BC1155" s="747"/>
      <c r="BD1155" s="747"/>
      <c r="BE1155" s="747"/>
      <c r="BF1155" s="747"/>
      <c r="BG1155" s="364"/>
      <c r="BH1155" s="473"/>
    </row>
    <row r="1156" spans="1:60" s="399" customFormat="1" collapsed="1" x14ac:dyDescent="0.35">
      <c r="A1156" s="395" t="str">
        <f ca="1">"Stock Low: "&amp;IF(OR(MO.RealTimeStockPriceToggle=FALSE,VLOOKUP(MO.DataSourceName,MO_SPT_StockLow_Sources,COLUMN()+2,FALSE)="N/A"),"Real-Time Off Source",MO.DataSourceName)</f>
        <v>Stock Low: Real-Time Off Source</v>
      </c>
      <c r="B1156" s="396"/>
      <c r="C1156" s="397">
        <f t="shared" ref="C1156:AH1156" ca="1" si="1593">IF(OR(MO.RealTimeStockPriceToggle=FALSE,VLOOKUP(MO.DataSourceName,MO_SPT_StockLow_Sources,COLUMN(),FALSE)="N/A"),VLOOKUP("Real-Time Off Source",MO_SPT_StockLow_Sources,COLUMN(),FALSE),VLOOKUP(MO.DataSourceName,MO_SPT_StockLow_Sources,COLUMN(),FALSE))</f>
        <v>40.869999999999997</v>
      </c>
      <c r="D1156" s="397">
        <f t="shared" ca="1" si="1593"/>
        <v>67.98</v>
      </c>
      <c r="E1156" s="396">
        <f t="shared" ca="1" si="1593"/>
        <v>68.63</v>
      </c>
      <c r="F1156" s="396">
        <f t="shared" ca="1" si="1593"/>
        <v>81.99</v>
      </c>
      <c r="G1156" s="396">
        <f t="shared" ca="1" si="1593"/>
        <v>93.96</v>
      </c>
      <c r="H1156" s="396">
        <f t="shared" ca="1" si="1593"/>
        <v>102.89</v>
      </c>
      <c r="I1156" s="396">
        <f t="shared" ca="1" si="1593"/>
        <v>108.21</v>
      </c>
      <c r="J1156" s="396">
        <f t="shared" ca="1" si="1593"/>
        <v>116.65</v>
      </c>
      <c r="K1156" s="396">
        <f t="shared" ca="1" si="1593"/>
        <v>93.96</v>
      </c>
      <c r="L1156" s="396">
        <f t="shared" ca="1" si="1593"/>
        <v>123.61</v>
      </c>
      <c r="M1156" s="396">
        <f t="shared" ca="1" si="1593"/>
        <v>132.02000000000001</v>
      </c>
      <c r="N1156" s="396">
        <f t="shared" ca="1" si="1593"/>
        <v>138.43</v>
      </c>
      <c r="O1156" s="396">
        <f t="shared" ca="1" si="1593"/>
        <v>130.6</v>
      </c>
      <c r="P1156" s="396">
        <f t="shared" ca="1" si="1593"/>
        <v>123.61</v>
      </c>
      <c r="Q1156" s="396">
        <f t="shared" ca="1" si="1593"/>
        <v>157.74</v>
      </c>
      <c r="R1156" s="396">
        <f t="shared" ca="1" si="1593"/>
        <v>153.91999999999999</v>
      </c>
      <c r="S1156" s="396">
        <f t="shared" ca="1" si="1593"/>
        <v>134</v>
      </c>
      <c r="T1156" s="396">
        <f t="shared" ca="1" si="1593"/>
        <v>138.57</v>
      </c>
      <c r="U1156" s="396">
        <f t="shared" ca="1" si="1593"/>
        <v>134</v>
      </c>
      <c r="V1156" s="396">
        <f t="shared" ca="1" si="1593"/>
        <v>134.63999999999999</v>
      </c>
      <c r="W1156" s="396">
        <f t="shared" ca="1" si="1593"/>
        <v>163.16999999999999</v>
      </c>
      <c r="X1156" s="396">
        <f t="shared" ca="1" si="1593"/>
        <v>173.51</v>
      </c>
      <c r="Y1156" s="396">
        <f t="shared" ca="1" si="1593"/>
        <v>163.85</v>
      </c>
      <c r="Z1156" s="396">
        <f t="shared" ca="1" si="1593"/>
        <v>134.63999999999999</v>
      </c>
      <c r="AA1156" s="396">
        <f t="shared" ca="1" si="1593"/>
        <v>173.55</v>
      </c>
      <c r="AB1156" s="396">
        <f t="shared" ca="1" si="1593"/>
        <v>188.62</v>
      </c>
      <c r="AC1156" s="396">
        <f t="shared" ca="1" si="1593"/>
        <v>197.17</v>
      </c>
      <c r="AD1156" s="396">
        <f t="shared" ca="1" si="1593"/>
        <v>210.03</v>
      </c>
      <c r="AE1156" s="396">
        <f t="shared" ca="1" si="1593"/>
        <v>173.55</v>
      </c>
      <c r="AF1156" s="396">
        <f t="shared" ca="1" si="1593"/>
        <v>211.0317</v>
      </c>
      <c r="AG1156" s="396">
        <f t="shared" ca="1" si="1593"/>
        <v>190.48320000000001</v>
      </c>
      <c r="AH1156" s="396">
        <f t="shared" ca="1" si="1593"/>
        <v>192.9008</v>
      </c>
      <c r="AI1156" s="396">
        <f t="shared" ref="AI1156:AY1156" ca="1" si="1594">IF(OR(MO.RealTimeStockPriceToggle=FALSE,VLOOKUP(MO.DataSourceName,MO_SPT_StockLow_Sources,COLUMN(),FALSE)="N/A"),VLOOKUP("Real-Time Off Source",MO_SPT_StockLow_Sources,COLUMN(),FALSE),VLOOKUP(MO.DataSourceName,MO_SPT_StockLow_Sources,COLUMN(),FALSE))</f>
        <v>178.62</v>
      </c>
      <c r="AJ1156" s="396">
        <f t="shared" ca="1" si="1594"/>
        <v>178.62</v>
      </c>
      <c r="AK1156" s="396">
        <f t="shared" ca="1" si="1594"/>
        <v>183.76</v>
      </c>
      <c r="AL1156" s="396">
        <f t="shared" ca="1" si="1594"/>
        <v>159.75</v>
      </c>
      <c r="AM1156" s="396">
        <f t="shared" ca="1" si="1594"/>
        <v>155.75</v>
      </c>
      <c r="AN1156" s="396">
        <f t="shared" ca="1" si="1594"/>
        <v>150.74</v>
      </c>
      <c r="AO1156" s="396">
        <f t="shared" ca="1" si="1594"/>
        <v>150.74</v>
      </c>
      <c r="AP1156" s="396">
        <f t="shared" ca="1" si="1594"/>
        <v>117.87</v>
      </c>
      <c r="AQ1156" s="396">
        <f t="shared" ca="1" si="1594"/>
        <v>133.13999999999999</v>
      </c>
      <c r="AR1156" s="396">
        <f ca="1">IF(OR(MO.RealTimeStockPriceToggle=FALSE,VLOOKUP(MO.DataSourceName,MO_SPT_StockLow_Sources,COLUMN(),FALSE)="N/A"),VLOOKUP("Real-Time Off Source",MO_SPT_StockLow_Sources,COLUMN(),FALSE),VLOOKUP(MO.DataSourceName,MO_SPT_StockLow_Sources,COLUMN(),FALSE))</f>
        <v>150.41</v>
      </c>
      <c r="AS1156" s="396">
        <f ca="1">IF(OR(MO.RealTimeStockPriceToggle=FALSE,VLOOKUP(MO.DataSourceName,MO_SPT_StockLow_Sources,COLUMN(),FALSE)="N/A"),VLOOKUP("Real-Time Off Source",MO_SPT_StockLow_Sources,COLUMN(),FALSE),VLOOKUP(MO.DataSourceName,MO_SPT_StockLow_Sources,COLUMN(),FALSE))</f>
        <v>158.47999999999999</v>
      </c>
      <c r="AT1156" s="396">
        <f ca="1">IF(OR(MO.RealTimeStockPriceToggle=FALSE,VLOOKUP(MO.DataSourceName,MO_SPT_StockLow_Sources,COLUMN(),FALSE)="N/A"),VLOOKUP("Real-Time Off Source",MO_SPT_StockLow_Sources,COLUMN(),FALSE),VLOOKUP(MO.DataSourceName,MO_SPT_StockLow_Sources,COLUMN(),FALSE))</f>
        <v>117.87</v>
      </c>
      <c r="AU1156" s="837">
        <f t="shared" ca="1" si="1594"/>
        <v>165.2</v>
      </c>
      <c r="AV1156" s="396">
        <f t="shared" ca="1" si="1594"/>
        <v>0</v>
      </c>
      <c r="AW1156" s="396">
        <f t="shared" ca="1" si="1594"/>
        <v>0</v>
      </c>
      <c r="AX1156" s="396">
        <f t="shared" ca="1" si="1594"/>
        <v>0</v>
      </c>
      <c r="AY1156" s="396">
        <f t="shared" ca="1" si="1594"/>
        <v>0</v>
      </c>
      <c r="AZ1156" s="396">
        <f t="shared" ref="AZ1156:BG1156" ca="1" si="1595">IF(OR(MO.RealTimeStockPriceToggle=FALSE,VLOOKUP(MO.DataSourceName,MO_SPT_StockLow_Sources,COLUMN(),FALSE)="N/A"),VLOOKUP("Real-Time Off Source",MO_SPT_StockLow_Sources,COLUMN(),FALSE),VLOOKUP(MO.DataSourceName,MO_SPT_StockLow_Sources,COLUMN(),FALSE))</f>
        <v>0</v>
      </c>
      <c r="BA1156" s="396">
        <f t="shared" ca="1" si="1595"/>
        <v>0</v>
      </c>
      <c r="BB1156" s="396">
        <f t="shared" ca="1" si="1595"/>
        <v>0</v>
      </c>
      <c r="BC1156" s="396">
        <f t="shared" ca="1" si="1595"/>
        <v>0</v>
      </c>
      <c r="BD1156" s="396">
        <f t="shared" ca="1" si="1595"/>
        <v>0</v>
      </c>
      <c r="BE1156" s="396">
        <f t="shared" ca="1" si="1595"/>
        <v>0</v>
      </c>
      <c r="BF1156" s="396">
        <f t="shared" ca="1" si="1595"/>
        <v>0</v>
      </c>
      <c r="BG1156" s="398">
        <f t="shared" ca="1" si="1595"/>
        <v>0</v>
      </c>
      <c r="BH1156" s="477"/>
    </row>
    <row r="1157" spans="1:60" s="399" customFormat="1" hidden="1" outlineLevel="1" x14ac:dyDescent="0.35">
      <c r="A1157" s="400" t="s">
        <v>245</v>
      </c>
      <c r="B1157" s="396"/>
      <c r="C1157" s="397">
        <v>40.869999999999997</v>
      </c>
      <c r="D1157" s="397">
        <v>67.98</v>
      </c>
      <c r="E1157" s="396">
        <v>68.63</v>
      </c>
      <c r="F1157" s="396">
        <v>81.99</v>
      </c>
      <c r="G1157" s="396">
        <v>93.96</v>
      </c>
      <c r="H1157" s="396">
        <v>102.89</v>
      </c>
      <c r="I1157" s="396">
        <v>108.21</v>
      </c>
      <c r="J1157" s="396">
        <v>116.65</v>
      </c>
      <c r="K1157" s="396">
        <v>93.96</v>
      </c>
      <c r="L1157" s="396">
        <v>123.61</v>
      </c>
      <c r="M1157" s="396">
        <v>132.02000000000001</v>
      </c>
      <c r="N1157" s="396">
        <v>138.43</v>
      </c>
      <c r="O1157" s="396">
        <v>130.6</v>
      </c>
      <c r="P1157" s="396">
        <v>123.61</v>
      </c>
      <c r="Q1157" s="396">
        <v>157.74</v>
      </c>
      <c r="R1157" s="396">
        <v>153.91999999999999</v>
      </c>
      <c r="S1157" s="396">
        <v>134</v>
      </c>
      <c r="T1157" s="396">
        <v>138.57</v>
      </c>
      <c r="U1157" s="396">
        <v>134</v>
      </c>
      <c r="V1157" s="396">
        <v>134.63999999999999</v>
      </c>
      <c r="W1157" s="396">
        <v>163.16999999999999</v>
      </c>
      <c r="X1157" s="396">
        <v>173.51</v>
      </c>
      <c r="Y1157" s="396">
        <v>163.85</v>
      </c>
      <c r="Z1157" s="396">
        <v>134.63999999999999</v>
      </c>
      <c r="AA1157" s="396">
        <v>173.55</v>
      </c>
      <c r="AB1157" s="396">
        <v>188.62</v>
      </c>
      <c r="AC1157" s="396">
        <v>197.17</v>
      </c>
      <c r="AD1157" s="396">
        <v>210.03</v>
      </c>
      <c r="AE1157" s="396">
        <v>173.55</v>
      </c>
      <c r="AF1157" s="396">
        <v>211.0317</v>
      </c>
      <c r="AG1157" s="396">
        <v>190.48320000000001</v>
      </c>
      <c r="AH1157" s="396">
        <v>192.9008</v>
      </c>
      <c r="AI1157" s="396">
        <v>178.62</v>
      </c>
      <c r="AJ1157" s="396">
        <v>178.62</v>
      </c>
      <c r="AK1157" s="396">
        <v>183.76</v>
      </c>
      <c r="AL1157" s="396">
        <v>159.75</v>
      </c>
      <c r="AM1157" s="396">
        <v>155.75</v>
      </c>
      <c r="AN1157" s="396">
        <v>150.74</v>
      </c>
      <c r="AO1157" s="396">
        <v>150.74</v>
      </c>
      <c r="AP1157" s="396">
        <v>117.87</v>
      </c>
      <c r="AQ1157" s="396">
        <v>133.13999999999999</v>
      </c>
      <c r="AR1157" s="396">
        <v>150.41</v>
      </c>
      <c r="AS1157" s="396">
        <v>158.47999999999999</v>
      </c>
      <c r="AT1157" s="396">
        <v>117.87</v>
      </c>
      <c r="AU1157" s="837">
        <v>165.2</v>
      </c>
      <c r="AV1157" s="396"/>
      <c r="AW1157" s="396"/>
      <c r="AX1157" s="396"/>
      <c r="AY1157" s="396"/>
      <c r="AZ1157" s="396"/>
      <c r="BA1157" s="396"/>
      <c r="BB1157" s="396"/>
      <c r="BC1157" s="396"/>
      <c r="BD1157" s="396"/>
      <c r="BE1157" s="396"/>
      <c r="BF1157" s="396"/>
      <c r="BG1157" s="398"/>
      <c r="BH1157" s="477"/>
    </row>
    <row r="1158" spans="1:60" s="399" customFormat="1" hidden="1" outlineLevel="1" x14ac:dyDescent="0.35">
      <c r="A1158" s="400" t="s">
        <v>7</v>
      </c>
      <c r="B1158" s="396"/>
      <c r="C1158" s="397" t="str">
        <f ca="1">IFERROR(BDP(MO.Ticker.Bloomberg&amp;" Equity","INTERVAL_LOW","MARKET_DATA_OVERRIDE=PX_LAST","START_DATE_OVERRIDE",TEXT(INDEX(MO_SNA_FPStartDate,0,COLUMN()),"YYYYMMDD"),"END_DATE_OVERRIDE",TEXT(INDEX(MO_Common_QEndDate,0,COLUMN()),"YYYYMMDD")),"N/A")</f>
        <v>N/A</v>
      </c>
      <c r="D1158" s="397" t="str">
        <f ca="1">IFERROR(BDP(MO.Ticker.Bloomberg&amp;" Equity","INTERVAL_LOW","MARKET_DATA_OVERRIDE=PX_LAST","START_DATE_OVERRIDE",TEXT(INDEX(MO_SNA_FPStartDate,0,COLUMN()),"YYYYMMDD"),"END_DATE_OVERRIDE",TEXT(INDEX(MO_Common_QEndDate,0,COLUMN()),"YYYYMMDD")),"N/A")</f>
        <v>N/A</v>
      </c>
      <c r="E1158" s="396" t="str">
        <f ca="1">IFERROR(BDP(MO.Ticker.Bloomberg&amp;" Equity","INTERVAL_LOW","MARKET_DATA_OVERRIDE=PX_LAST","START_DATE_OVERRIDE",TEXT(INDEX(MO_SNA_FPStartDate,0,COLUMN()),"YYYYMMDD"),"END_DATE_OVERRIDE",TEXT(INDEX(MO_Common_QEndDate,0,COLUMN()),"YYYYMMDD")),"N/A")</f>
        <v>N/A</v>
      </c>
      <c r="F1158" s="396" t="str">
        <f ca="1">IFERROR(BDP(MO.Ticker.Bloomberg&amp;" Equity","INTERVAL_LOW","MARKET_DATA_OVERRIDE=PX_LAST","START_DATE_OVERRIDE",TEXT(INDEX(MO_SNA_FPStartDate,0,COLUMN()),"YYYYMMDD"),"END_DATE_OVERRIDE",TEXT(INDEX(MO_Common_QEndDate,0,COLUMN()),"YYYYMMDD")),"N/A")</f>
        <v>N/A</v>
      </c>
      <c r="G1158" s="396" t="str">
        <f ca="1">IFERROR(BDP(MO.Ticker.Bloomberg&amp;" Equity","INTERVAL_LOW","MARKET_DATA_OVERRIDE=PX_LAST","START_DATE_OVERRIDE",TEXT(INDEX(MO_SNA_FPStartDate,0,COLUMN()),"YYYYMMDD"),"END_DATE_OVERRIDE",TEXT(INDEX(MO_Common_QEndDate,0,COLUMN()),"YYYYMMDD")),"N/A")</f>
        <v>N/A</v>
      </c>
      <c r="H1158" s="396" t="str">
        <f ca="1">IFERROR(BDP(MO.Ticker.Bloomberg&amp;" Equity","INTERVAL_LOW","MARKET_DATA_OVERRIDE=PX_LAST","START_DATE_OVERRIDE",TEXT(INDEX(MO_SNA_FPStartDate,0,COLUMN()),"YYYYMMDD"),"END_DATE_OVERRIDE",TEXT(INDEX(MO_Common_QEndDate,0,COLUMN()),"YYYYMMDD")),"N/A")</f>
        <v>N/A</v>
      </c>
      <c r="I1158" s="396" t="str">
        <f ca="1">IFERROR(BDP(MO.Ticker.Bloomberg&amp;" Equity","INTERVAL_LOW","MARKET_DATA_OVERRIDE=PX_LAST","START_DATE_OVERRIDE",TEXT(INDEX(MO_SNA_FPStartDate,0,COLUMN()),"YYYYMMDD"),"END_DATE_OVERRIDE",TEXT(INDEX(MO_Common_QEndDate,0,COLUMN()),"YYYYMMDD")),"N/A")</f>
        <v>N/A</v>
      </c>
      <c r="J1158" s="396" t="str">
        <f ca="1">IFERROR(BDP(MO.Ticker.Bloomberg&amp;" Equity","INTERVAL_LOW","MARKET_DATA_OVERRIDE=PX_LAST","START_DATE_OVERRIDE",TEXT(INDEX(MO_SNA_FPStartDate,0,COLUMN()),"YYYYMMDD"),"END_DATE_OVERRIDE",TEXT(INDEX(MO_Common_QEndDate,0,COLUMN()),"YYYYMMDD")),"N/A")</f>
        <v>N/A</v>
      </c>
      <c r="K1158" s="396" t="str">
        <f ca="1">IFERROR(BDP(MO.Ticker.Bloomberg&amp;" Equity","INTERVAL_LOW","MARKET_DATA_OVERRIDE=PX_LAST","START_DATE_OVERRIDE",TEXT(INDEX(MO_SNA_FPStartDate,0,COLUMN()),"YYYYMMDD"),"END_DATE_OVERRIDE",TEXT(INDEX(MO_Common_QEndDate,0,COLUMN()),"YYYYMMDD")),"N/A")</f>
        <v>N/A</v>
      </c>
      <c r="L1158" s="396" t="str">
        <f ca="1">IFERROR(BDP(MO.Ticker.Bloomberg&amp;" Equity","INTERVAL_LOW","MARKET_DATA_OVERRIDE=PX_LAST","START_DATE_OVERRIDE",TEXT(INDEX(MO_SNA_FPStartDate,0,COLUMN()),"YYYYMMDD"),"END_DATE_OVERRIDE",TEXT(INDEX(MO_Common_QEndDate,0,COLUMN()),"YYYYMMDD")),"N/A")</f>
        <v>N/A</v>
      </c>
      <c r="M1158" s="396" t="str">
        <f ca="1">IFERROR(BDP(MO.Ticker.Bloomberg&amp;" Equity","INTERVAL_LOW","MARKET_DATA_OVERRIDE=PX_LAST","START_DATE_OVERRIDE",TEXT(INDEX(MO_SNA_FPStartDate,0,COLUMN()),"YYYYMMDD"),"END_DATE_OVERRIDE",TEXT(INDEX(MO_Common_QEndDate,0,COLUMN()),"YYYYMMDD")),"N/A")</f>
        <v>N/A</v>
      </c>
      <c r="N1158" s="396" t="str">
        <f ca="1">IFERROR(BDP(MO.Ticker.Bloomberg&amp;" Equity","INTERVAL_LOW","MARKET_DATA_OVERRIDE=PX_LAST","START_DATE_OVERRIDE",TEXT(INDEX(MO_SNA_FPStartDate,0,COLUMN()),"YYYYMMDD"),"END_DATE_OVERRIDE",TEXT(INDEX(MO_Common_QEndDate,0,COLUMN()),"YYYYMMDD")),"N/A")</f>
        <v>N/A</v>
      </c>
      <c r="O1158" s="396" t="str">
        <f ca="1">IFERROR(BDP(MO.Ticker.Bloomberg&amp;" Equity","INTERVAL_LOW","MARKET_DATA_OVERRIDE=PX_LAST","START_DATE_OVERRIDE",TEXT(INDEX(MO_SNA_FPStartDate,0,COLUMN()),"YYYYMMDD"),"END_DATE_OVERRIDE",TEXT(INDEX(MO_Common_QEndDate,0,COLUMN()),"YYYYMMDD")),"N/A")</f>
        <v>N/A</v>
      </c>
      <c r="P1158" s="396" t="str">
        <f ca="1">IFERROR(BDP(MO.Ticker.Bloomberg&amp;" Equity","INTERVAL_LOW","MARKET_DATA_OVERRIDE=PX_LAST","START_DATE_OVERRIDE",TEXT(INDEX(MO_SNA_FPStartDate,0,COLUMN()),"YYYYMMDD"),"END_DATE_OVERRIDE",TEXT(INDEX(MO_Common_QEndDate,0,COLUMN()),"YYYYMMDD")),"N/A")</f>
        <v>N/A</v>
      </c>
      <c r="Q1158" s="396" t="str">
        <f ca="1">IFERROR(BDP(MO.Ticker.Bloomberg&amp;" Equity","INTERVAL_LOW","MARKET_DATA_OVERRIDE=PX_LAST","START_DATE_OVERRIDE",TEXT(INDEX(MO_SNA_FPStartDate,0,COLUMN()),"YYYYMMDD"),"END_DATE_OVERRIDE",TEXT(INDEX(MO_Common_QEndDate,0,COLUMN()),"YYYYMMDD")),"N/A")</f>
        <v>N/A</v>
      </c>
      <c r="R1158" s="396" t="str">
        <f ca="1">IFERROR(BDP(MO.Ticker.Bloomberg&amp;" Equity","INTERVAL_LOW","MARKET_DATA_OVERRIDE=PX_LAST","START_DATE_OVERRIDE",TEXT(INDEX(MO_SNA_FPStartDate,0,COLUMN()),"YYYYMMDD"),"END_DATE_OVERRIDE",TEXT(INDEX(MO_Common_QEndDate,0,COLUMN()),"YYYYMMDD")),"N/A")</f>
        <v>N/A</v>
      </c>
      <c r="S1158" s="396" t="str">
        <f ca="1">IFERROR(BDP(MO.Ticker.Bloomberg&amp;" Equity","INTERVAL_LOW","MARKET_DATA_OVERRIDE=PX_LAST","START_DATE_OVERRIDE",TEXT(INDEX(MO_SNA_FPStartDate,0,COLUMN()),"YYYYMMDD"),"END_DATE_OVERRIDE",TEXT(INDEX(MO_Common_QEndDate,0,COLUMN()),"YYYYMMDD")),"N/A")</f>
        <v>N/A</v>
      </c>
      <c r="T1158" s="396" t="str">
        <f ca="1">IFERROR(BDP(MO.Ticker.Bloomberg&amp;" Equity","INTERVAL_LOW","MARKET_DATA_OVERRIDE=PX_LAST","START_DATE_OVERRIDE",TEXT(INDEX(MO_SNA_FPStartDate,0,COLUMN()),"YYYYMMDD"),"END_DATE_OVERRIDE",TEXT(INDEX(MO_Common_QEndDate,0,COLUMN()),"YYYYMMDD")),"N/A")</f>
        <v>N/A</v>
      </c>
      <c r="U1158" s="396" t="str">
        <f ca="1">IFERROR(BDP(MO.Ticker.Bloomberg&amp;" Equity","INTERVAL_LOW","MARKET_DATA_OVERRIDE=PX_LAST","START_DATE_OVERRIDE",TEXT(INDEX(MO_SNA_FPStartDate,0,COLUMN()),"YYYYMMDD"),"END_DATE_OVERRIDE",TEXT(INDEX(MO_Common_QEndDate,0,COLUMN()),"YYYYMMDD")),"N/A")</f>
        <v>N/A</v>
      </c>
      <c r="V1158" s="396" t="str">
        <f ca="1">IFERROR(BDP(MO.Ticker.Bloomberg&amp;" Equity","INTERVAL_LOW","MARKET_DATA_OVERRIDE=PX_LAST","START_DATE_OVERRIDE",TEXT(INDEX(MO_SNA_FPStartDate,0,COLUMN()),"YYYYMMDD"),"END_DATE_OVERRIDE",TEXT(INDEX(MO_Common_QEndDate,0,COLUMN()),"YYYYMMDD")),"N/A")</f>
        <v>N/A</v>
      </c>
      <c r="W1158" s="396" t="str">
        <f ca="1">IFERROR(BDP(MO.Ticker.Bloomberg&amp;" Equity","INTERVAL_LOW","MARKET_DATA_OVERRIDE=PX_LAST","START_DATE_OVERRIDE",TEXT(INDEX(MO_SNA_FPStartDate,0,COLUMN()),"YYYYMMDD"),"END_DATE_OVERRIDE",TEXT(INDEX(MO_Common_QEndDate,0,COLUMN()),"YYYYMMDD")),"N/A")</f>
        <v>N/A</v>
      </c>
      <c r="X1158" s="396" t="str">
        <f ca="1">IFERROR(BDP(MO.Ticker.Bloomberg&amp;" Equity","INTERVAL_LOW","MARKET_DATA_OVERRIDE=PX_LAST","START_DATE_OVERRIDE",TEXT(INDEX(MO_SNA_FPStartDate,0,COLUMN()),"YYYYMMDD"),"END_DATE_OVERRIDE",TEXT(INDEX(MO_Common_QEndDate,0,COLUMN()),"YYYYMMDD")),"N/A")</f>
        <v>N/A</v>
      </c>
      <c r="Y1158" s="396" t="str">
        <f ca="1">IFERROR(BDP(MO.Ticker.Bloomberg&amp;" Equity","INTERVAL_LOW","MARKET_DATA_OVERRIDE=PX_LAST","START_DATE_OVERRIDE",TEXT(INDEX(MO_SNA_FPStartDate,0,COLUMN()),"YYYYMMDD"),"END_DATE_OVERRIDE",TEXT(INDEX(MO_Common_QEndDate,0,COLUMN()),"YYYYMMDD")),"N/A")</f>
        <v>N/A</v>
      </c>
      <c r="Z1158" s="396" t="str">
        <f ca="1">IFERROR(BDP(MO.Ticker.Bloomberg&amp;" Equity","INTERVAL_LOW","MARKET_DATA_OVERRIDE=PX_LAST","START_DATE_OVERRIDE",TEXT(INDEX(MO_SNA_FPStartDate,0,COLUMN()),"YYYYMMDD"),"END_DATE_OVERRIDE",TEXT(INDEX(MO_Common_QEndDate,0,COLUMN()),"YYYYMMDD")),"N/A")</f>
        <v>N/A</v>
      </c>
      <c r="AA1158" s="396" t="str">
        <f ca="1">IFERROR(BDP(MO.Ticker.Bloomberg&amp;" Equity","INTERVAL_LOW","MARKET_DATA_OVERRIDE=PX_LAST","START_DATE_OVERRIDE",TEXT(INDEX(MO_SNA_FPStartDate,0,COLUMN()),"YYYYMMDD"),"END_DATE_OVERRIDE",TEXT(INDEX(MO_Common_QEndDate,0,COLUMN()),"YYYYMMDD")),"N/A")</f>
        <v>N/A</v>
      </c>
      <c r="AB1158" s="396" t="str">
        <f ca="1">IFERROR(BDP(MO.Ticker.Bloomberg&amp;" Equity","INTERVAL_LOW","MARKET_DATA_OVERRIDE=PX_LAST","START_DATE_OVERRIDE",TEXT(INDEX(MO_SNA_FPStartDate,0,COLUMN()),"YYYYMMDD"),"END_DATE_OVERRIDE",TEXT(INDEX(MO_Common_QEndDate,0,COLUMN()),"YYYYMMDD")),"N/A")</f>
        <v>N/A</v>
      </c>
      <c r="AC1158" s="396" t="str">
        <f ca="1">IFERROR(BDP(MO.Ticker.Bloomberg&amp;" Equity","INTERVAL_LOW","MARKET_DATA_OVERRIDE=PX_LAST","START_DATE_OVERRIDE",TEXT(INDEX(MO_SNA_FPStartDate,0,COLUMN()),"YYYYMMDD"),"END_DATE_OVERRIDE",TEXT(INDEX(MO_Common_QEndDate,0,COLUMN()),"YYYYMMDD")),"N/A")</f>
        <v>N/A</v>
      </c>
      <c r="AD1158" s="396" t="str">
        <f ca="1">IFERROR(BDP(MO.Ticker.Bloomberg&amp;" Equity","INTERVAL_LOW","MARKET_DATA_OVERRIDE=PX_LAST","START_DATE_OVERRIDE",TEXT(INDEX(MO_SNA_FPStartDate,0,COLUMN()),"YYYYMMDD"),"END_DATE_OVERRIDE",TEXT(INDEX(MO_Common_QEndDate,0,COLUMN()),"YYYYMMDD")),"N/A")</f>
        <v>N/A</v>
      </c>
      <c r="AE1158" s="396" t="str">
        <f ca="1">IFERROR(BDP(MO.Ticker.Bloomberg&amp;" Equity","INTERVAL_LOW","MARKET_DATA_OVERRIDE=PX_LAST","START_DATE_OVERRIDE",TEXT(INDEX(MO_SNA_FPStartDate,0,COLUMN()),"YYYYMMDD"),"END_DATE_OVERRIDE",TEXT(INDEX(MO_Common_QEndDate,0,COLUMN()),"YYYYMMDD")),"N/A")</f>
        <v>N/A</v>
      </c>
      <c r="AF1158" s="396" t="str">
        <f ca="1">IFERROR(BDP(MO.Ticker.Bloomberg&amp;" Equity","INTERVAL_LOW","MARKET_DATA_OVERRIDE=PX_LAST","START_DATE_OVERRIDE",TEXT(INDEX(MO_SNA_FPStartDate,0,COLUMN()),"YYYYMMDD"),"END_DATE_OVERRIDE",TEXT(INDEX(MO_Common_QEndDate,0,COLUMN()),"YYYYMMDD")),"N/A")</f>
        <v>N/A</v>
      </c>
      <c r="AG1158" s="396" t="str">
        <f ca="1">IFERROR(BDP(MO.Ticker.Bloomberg&amp;" Equity","INTERVAL_LOW","MARKET_DATA_OVERRIDE=PX_LAST","START_DATE_OVERRIDE",TEXT(INDEX(MO_SNA_FPStartDate,0,COLUMN()),"YYYYMMDD"),"END_DATE_OVERRIDE",TEXT(INDEX(MO_Common_QEndDate,0,COLUMN()),"YYYYMMDD")),"N/A")</f>
        <v>N/A</v>
      </c>
      <c r="AH1158" s="396" t="str">
        <f ca="1">IFERROR(BDP(MO.Ticker.Bloomberg&amp;" Equity","INTERVAL_LOW","MARKET_DATA_OVERRIDE=PX_LAST","START_DATE_OVERRIDE",TEXT(INDEX(MO_SNA_FPStartDate,0,COLUMN()),"YYYYMMDD"),"END_DATE_OVERRIDE",TEXT(INDEX(MO_Common_QEndDate,0,COLUMN()),"YYYYMMDD")),"N/A")</f>
        <v>N/A</v>
      </c>
      <c r="AI1158" s="396" t="str">
        <f ca="1">IFERROR(BDP(MO.Ticker.Bloomberg&amp;" Equity","INTERVAL_LOW","MARKET_DATA_OVERRIDE=PX_LAST","START_DATE_OVERRIDE",TEXT(INDEX(MO_SNA_FPStartDate,0,COLUMN()),"YYYYMMDD"),"END_DATE_OVERRIDE",TEXT(INDEX(MO_Common_QEndDate,0,COLUMN()),"YYYYMMDD")),"N/A")</f>
        <v>N/A</v>
      </c>
      <c r="AJ1158" s="396" t="str">
        <f ca="1">IFERROR(BDP(MO.Ticker.Bloomberg&amp;" Equity","INTERVAL_LOW","MARKET_DATA_OVERRIDE=PX_LAST","START_DATE_OVERRIDE",TEXT(INDEX(MO_SNA_FPStartDate,0,COLUMN()),"YYYYMMDD"),"END_DATE_OVERRIDE",TEXT(INDEX(MO_Common_QEndDate,0,COLUMN()),"YYYYMMDD")),"N/A")</f>
        <v>N/A</v>
      </c>
      <c r="AK1158" s="396" t="str">
        <f ca="1">IFERROR(BDP(MO.Ticker.Bloomberg&amp;" Equity","INTERVAL_LOW","MARKET_DATA_OVERRIDE=PX_LAST","START_DATE_OVERRIDE",TEXT(INDEX(MO_SNA_FPStartDate,0,COLUMN()),"YYYYMMDD"),"END_DATE_OVERRIDE",TEXT(INDEX(MO_Common_QEndDate,0,COLUMN()),"YYYYMMDD")),"N/A")</f>
        <v>N/A</v>
      </c>
      <c r="AL1158" s="396" t="str">
        <f ca="1">IFERROR(BDP(MO.Ticker.Bloomberg&amp;" Equity","INTERVAL_LOW","MARKET_DATA_OVERRIDE=PX_LAST","START_DATE_OVERRIDE",TEXT(INDEX(MO_SNA_FPStartDate,0,COLUMN()),"YYYYMMDD"),"END_DATE_OVERRIDE",TEXT(INDEX(MO_Common_QEndDate,0,COLUMN()),"YYYYMMDD")),"N/A")</f>
        <v>N/A</v>
      </c>
      <c r="AM1158" s="396" t="str">
        <f ca="1">IFERROR(BDP(MO.Ticker.Bloomberg&amp;" Equity","INTERVAL_LOW","MARKET_DATA_OVERRIDE=PX_LAST","START_DATE_OVERRIDE",TEXT(INDEX(MO_SNA_FPStartDate,0,COLUMN()),"YYYYMMDD"),"END_DATE_OVERRIDE",TEXT(INDEX(MO_Common_QEndDate,0,COLUMN()),"YYYYMMDD")),"N/A")</f>
        <v>N/A</v>
      </c>
      <c r="AN1158" s="396" t="str">
        <f ca="1">IFERROR(BDP(MO.Ticker.Bloomberg&amp;" Equity","INTERVAL_LOW","MARKET_DATA_OVERRIDE=PX_LAST","START_DATE_OVERRIDE",TEXT(INDEX(MO_SNA_FPStartDate,0,COLUMN()),"YYYYMMDD"),"END_DATE_OVERRIDE",TEXT(INDEX(MO_Common_QEndDate,0,COLUMN()),"YYYYMMDD")),"N/A")</f>
        <v>N/A</v>
      </c>
      <c r="AO1158" s="396" t="str">
        <f ca="1">IFERROR(BDP(MO.Ticker.Bloomberg&amp;" Equity","INTERVAL_LOW","MARKET_DATA_OVERRIDE=PX_LAST","START_DATE_OVERRIDE",TEXT(INDEX(MO_SNA_FPStartDate,0,COLUMN()),"YYYYMMDD"),"END_DATE_OVERRIDE",TEXT(INDEX(MO_Common_QEndDate,0,COLUMN()),"YYYYMMDD")),"N/A")</f>
        <v>N/A</v>
      </c>
      <c r="AP1158" s="396" t="str">
        <f ca="1">IFERROR(BDP(MO.Ticker.Bloomberg&amp;" Equity","INTERVAL_LOW","MARKET_DATA_OVERRIDE=PX_LAST","START_DATE_OVERRIDE",TEXT(INDEX(MO_SNA_FPStartDate,0,COLUMN()),"YYYYMMDD"),"END_DATE_OVERRIDE",TEXT(INDEX(MO_Common_QEndDate,0,COLUMN()),"YYYYMMDD")),"N/A")</f>
        <v>N/A</v>
      </c>
      <c r="AQ1158" s="396" t="str">
        <f ca="1">IFERROR(BDP(MO.Ticker.Bloomberg&amp;" Equity","INTERVAL_LOW","MARKET_DATA_OVERRIDE=PX_LAST","START_DATE_OVERRIDE",TEXT(INDEX(MO_SNA_FPStartDate,0,COLUMN()),"YYYYMMDD"),"END_DATE_OVERRIDE",TEXT(INDEX(MO_Common_QEndDate,0,COLUMN()),"YYYYMMDD")),"N/A")</f>
        <v>N/A</v>
      </c>
      <c r="AR1158" s="396" t="str">
        <f ca="1">IFERROR(BDP(MO.Ticker.Bloomberg&amp;" Equity","INTERVAL_LOW","MARKET_DATA_OVERRIDE=PX_LAST","START_DATE_OVERRIDE",TEXT(INDEX(MO_SNA_FPStartDate,0,COLUMN()),"YYYYMMDD"),"END_DATE_OVERRIDE",TEXT(INDEX(MO_Common_QEndDate,0,COLUMN()),"YYYYMMDD")),"N/A")</f>
        <v>N/A</v>
      </c>
      <c r="AS1158" s="396" t="str">
        <f ca="1">IFERROR(BDP(MO.Ticker.Bloomberg&amp;" Equity","INTERVAL_LOW","MARKET_DATA_OVERRIDE=PX_LAST","START_DATE_OVERRIDE",TEXT(INDEX(MO_SNA_FPStartDate,0,COLUMN()),"YYYYMMDD"),"END_DATE_OVERRIDE",TEXT(INDEX(MO_Common_QEndDate,0,COLUMN()),"YYYYMMDD")),"N/A")</f>
        <v>N/A</v>
      </c>
      <c r="AT1158" s="396" t="str">
        <f ca="1">IFERROR(BDP(MO.Ticker.Bloomberg&amp;" Equity","INTERVAL_LOW","MARKET_DATA_OVERRIDE=PX_LAST","START_DATE_OVERRIDE",TEXT(INDEX(MO_SNA_FPStartDate,0,COLUMN()),"YYYYMMDD"),"END_DATE_OVERRIDE",TEXT(INDEX(MO_Common_QEndDate,0,COLUMN()),"YYYYMMDD")),"N/A")</f>
        <v>N/A</v>
      </c>
      <c r="AU1158" s="837" t="str">
        <f ca="1">IFERROR(BDP(MO.Ticker.Bloomberg&amp;" Equity","INTERVAL_LOW","MARKET_DATA_OVERRIDE=PX_LAST","START_DATE_OVERRIDE",TEXT(INDEX(MO_SNA_FPStartDate,0,COLUMN()),"YYYYMMDD"),"END_DATE_OVERRIDE",TEXT(INDEX(MO_Common_QEndDate,0,COLUMN()),"YYYYMMDD")),"N/A")</f>
        <v>N/A</v>
      </c>
      <c r="AV1158" s="396" t="str">
        <f ca="1">IFERROR(BDP(MO.Ticker.Bloomberg&amp;" Equity","INTERVAL_LOW","MARKET_DATA_OVERRIDE=PX_LAST","START_DATE_OVERRIDE",TEXT(INDEX(MO_SNA_FPStartDate,0,COLUMN()),"YYYYMMDD"),"END_DATE_OVERRIDE",TEXT(INDEX(MO_Common_QEndDate,0,COLUMN()),"YYYYMMDD")),"N/A")</f>
        <v>N/A</v>
      </c>
      <c r="AW1158" s="396" t="str">
        <f ca="1">IFERROR(BDP(MO.Ticker.Bloomberg&amp;" Equity","INTERVAL_LOW","MARKET_DATA_OVERRIDE=PX_LAST","START_DATE_OVERRIDE",TEXT(INDEX(MO_SNA_FPStartDate,0,COLUMN()),"YYYYMMDD"),"END_DATE_OVERRIDE",TEXT(INDEX(MO_Common_QEndDate,0,COLUMN()),"YYYYMMDD")),"N/A")</f>
        <v>N/A</v>
      </c>
      <c r="AX1158" s="396" t="str">
        <f ca="1">IFERROR(BDP(MO.Ticker.Bloomberg&amp;" Equity","INTERVAL_LOW","MARKET_DATA_OVERRIDE=PX_LAST","START_DATE_OVERRIDE",TEXT(INDEX(MO_SNA_FPStartDate,0,COLUMN()),"YYYYMMDD"),"END_DATE_OVERRIDE",TEXT(INDEX(MO_Common_QEndDate,0,COLUMN()),"YYYYMMDD")),"N/A")</f>
        <v>N/A</v>
      </c>
      <c r="AY1158" s="396" t="str">
        <f ca="1">IFERROR(BDP(MO.Ticker.Bloomberg&amp;" Equity","INTERVAL_LOW","MARKET_DATA_OVERRIDE=PX_LAST","START_DATE_OVERRIDE",TEXT(INDEX(MO_SNA_FPStartDate,0,COLUMN()),"YYYYMMDD"),"END_DATE_OVERRIDE",TEXT(INDEX(MO_Common_QEndDate,0,COLUMN()),"YYYYMMDD")),"N/A")</f>
        <v>N/A</v>
      </c>
      <c r="AZ1158" s="396" t="str">
        <f ca="1">IFERROR(BDP(MO.Ticker.Bloomberg&amp;" Equity","INTERVAL_LOW","MARKET_DATA_OVERRIDE=PX_LAST","START_DATE_OVERRIDE",TEXT(INDEX(MO_SNA_FPStartDate,0,COLUMN()),"YYYYMMDD"),"END_DATE_OVERRIDE",TEXT(INDEX(MO_Common_QEndDate,0,COLUMN()),"YYYYMMDD")),"N/A")</f>
        <v>N/A</v>
      </c>
      <c r="BA1158" s="396" t="str">
        <f ca="1">IFERROR(BDP(MO.Ticker.Bloomberg&amp;" Equity","INTERVAL_LOW","MARKET_DATA_OVERRIDE=PX_LAST","START_DATE_OVERRIDE",TEXT(INDEX(MO_SNA_FPStartDate,0,COLUMN()),"YYYYMMDD"),"END_DATE_OVERRIDE",TEXT(INDEX(MO_Common_QEndDate,0,COLUMN()),"YYYYMMDD")),"N/A")</f>
        <v>N/A</v>
      </c>
      <c r="BB1158" s="396" t="str">
        <f ca="1">IFERROR(BDP(MO.Ticker.Bloomberg&amp;" Equity","INTERVAL_LOW","MARKET_DATA_OVERRIDE=PX_LAST","START_DATE_OVERRIDE",TEXT(INDEX(MO_SNA_FPStartDate,0,COLUMN()),"YYYYMMDD"),"END_DATE_OVERRIDE",TEXT(INDEX(MO_Common_QEndDate,0,COLUMN()),"YYYYMMDD")),"N/A")</f>
        <v>N/A</v>
      </c>
      <c r="BC1158" s="396" t="str">
        <f ca="1">IFERROR(BDP(MO.Ticker.Bloomberg&amp;" Equity","INTERVAL_LOW","MARKET_DATA_OVERRIDE=PX_LAST","START_DATE_OVERRIDE",TEXT(INDEX(MO_SNA_FPStartDate,0,COLUMN()),"YYYYMMDD"),"END_DATE_OVERRIDE",TEXT(INDEX(MO_Common_QEndDate,0,COLUMN()),"YYYYMMDD")),"N/A")</f>
        <v>N/A</v>
      </c>
      <c r="BD1158" s="396" t="str">
        <f ca="1">IFERROR(BDP(MO.Ticker.Bloomberg&amp;" Equity","INTERVAL_LOW","MARKET_DATA_OVERRIDE=PX_LAST","START_DATE_OVERRIDE",TEXT(INDEX(MO_SNA_FPStartDate,0,COLUMN()),"YYYYMMDD"),"END_DATE_OVERRIDE",TEXT(INDEX(MO_Common_QEndDate,0,COLUMN()),"YYYYMMDD")),"N/A")</f>
        <v>N/A</v>
      </c>
      <c r="BE1158" s="396" t="str">
        <f ca="1">IFERROR(BDP(MO.Ticker.Bloomberg&amp;" Equity","INTERVAL_LOW","MARKET_DATA_OVERRIDE=PX_LAST","START_DATE_OVERRIDE",TEXT(INDEX(MO_SNA_FPStartDate,0,COLUMN()),"YYYYMMDD"),"END_DATE_OVERRIDE",TEXT(INDEX(MO_Common_QEndDate,0,COLUMN()),"YYYYMMDD")),"N/A")</f>
        <v>N/A</v>
      </c>
      <c r="BF1158" s="396" t="str">
        <f ca="1">IFERROR(BDP(MO.Ticker.Bloomberg&amp;" Equity","INTERVAL_LOW","MARKET_DATA_OVERRIDE=PX_LAST","START_DATE_OVERRIDE",TEXT(INDEX(MO_SNA_FPStartDate,0,COLUMN()),"YYYYMMDD"),"END_DATE_OVERRIDE",TEXT(INDEX(MO_Common_QEndDate,0,COLUMN()),"YYYYMMDD")),"N/A")</f>
        <v>N/A</v>
      </c>
      <c r="BG1158" s="398" t="str">
        <f ca="1">IFERROR(BDP(MO.Ticker.Bloomberg&amp;" Equity","INTERVAL_LOW","MARKET_DATA_OVERRIDE=PX_LAST","START_DATE_OVERRIDE",TEXT(INDEX(MO_SNA_FPStartDate,0,COLUMN()),"YYYYMMDD"),"END_DATE_OVERRIDE",TEXT(INDEX(MO_Common_QEndDate,0,COLUMN()),"YYYYMMDD")),"N/A")</f>
        <v>N/A</v>
      </c>
      <c r="BH1158" s="477"/>
    </row>
    <row r="1159" spans="1:60" s="399" customFormat="1" hidden="1" outlineLevel="1" x14ac:dyDescent="0.35">
      <c r="A1159" s="400" t="s">
        <v>246</v>
      </c>
      <c r="B1159" s="396"/>
      <c r="C1159" s="397" t="str">
        <f ca="1">IFERROR(CIQLO(MO.Ticker.CapIQ,"IQ_LASTSALEPRICE",INDEX(MO_SNA_FPStartDate,0,COLUMN()),INDEX(MO_Common_QEndDate,0,COLUMN())),"N/A")</f>
        <v>N/A</v>
      </c>
      <c r="D1159" s="397" t="str">
        <f ca="1">IFERROR(CIQLO(MO.Ticker.CapIQ,"IQ_LASTSALEPRICE",INDEX(MO_SNA_FPStartDate,0,COLUMN()),INDEX(MO_Common_QEndDate,0,COLUMN())),"N/A")</f>
        <v>N/A</v>
      </c>
      <c r="E1159" s="396" t="str">
        <f ca="1">IFERROR(CIQLO(MO.Ticker.CapIQ,"IQ_LASTSALEPRICE",INDEX(MO_SNA_FPStartDate,0,COLUMN()),INDEX(MO_Common_QEndDate,0,COLUMN())),"N/A")</f>
        <v>N/A</v>
      </c>
      <c r="F1159" s="396" t="str">
        <f ca="1">IFERROR(CIQLO(MO.Ticker.CapIQ,"IQ_LASTSALEPRICE",INDEX(MO_SNA_FPStartDate,0,COLUMN()),INDEX(MO_Common_QEndDate,0,COLUMN())),"N/A")</f>
        <v>N/A</v>
      </c>
      <c r="G1159" s="396" t="str">
        <f ca="1">IFERROR(CIQLO(MO.Ticker.CapIQ,"IQ_LASTSALEPRICE",INDEX(MO_SNA_FPStartDate,0,COLUMN()),INDEX(MO_Common_QEndDate,0,COLUMN())),"N/A")</f>
        <v>N/A</v>
      </c>
      <c r="H1159" s="396" t="str">
        <f ca="1">IFERROR(CIQLO(MO.Ticker.CapIQ,"IQ_LASTSALEPRICE",INDEX(MO_SNA_FPStartDate,0,COLUMN()),INDEX(MO_Common_QEndDate,0,COLUMN())),"N/A")</f>
        <v>N/A</v>
      </c>
      <c r="I1159" s="396" t="str">
        <f ca="1">IFERROR(CIQLO(MO.Ticker.CapIQ,"IQ_LASTSALEPRICE",INDEX(MO_SNA_FPStartDate,0,COLUMN()),INDEX(MO_Common_QEndDate,0,COLUMN())),"N/A")</f>
        <v>N/A</v>
      </c>
      <c r="J1159" s="396" t="str">
        <f ca="1">IFERROR(CIQLO(MO.Ticker.CapIQ,"IQ_LASTSALEPRICE",INDEX(MO_SNA_FPStartDate,0,COLUMN()),INDEX(MO_Common_QEndDate,0,COLUMN())),"N/A")</f>
        <v>N/A</v>
      </c>
      <c r="K1159" s="396" t="str">
        <f ca="1">IFERROR(CIQLO(MO.Ticker.CapIQ,"IQ_LASTSALEPRICE",INDEX(MO_SNA_FPStartDate,0,COLUMN()),INDEX(MO_Common_QEndDate,0,COLUMN())),"N/A")</f>
        <v>N/A</v>
      </c>
      <c r="L1159" s="396" t="str">
        <f ca="1">IFERROR(CIQLO(MO.Ticker.CapIQ,"IQ_LASTSALEPRICE",INDEX(MO_SNA_FPStartDate,0,COLUMN()),INDEX(MO_Common_QEndDate,0,COLUMN())),"N/A")</f>
        <v>N/A</v>
      </c>
      <c r="M1159" s="396" t="str">
        <f ca="1">IFERROR(CIQLO(MO.Ticker.CapIQ,"IQ_LASTSALEPRICE",INDEX(MO_SNA_FPStartDate,0,COLUMN()),INDEX(MO_Common_QEndDate,0,COLUMN())),"N/A")</f>
        <v>N/A</v>
      </c>
      <c r="N1159" s="396" t="str">
        <f ca="1">IFERROR(CIQLO(MO.Ticker.CapIQ,"IQ_LASTSALEPRICE",INDEX(MO_SNA_FPStartDate,0,COLUMN()),INDEX(MO_Common_QEndDate,0,COLUMN())),"N/A")</f>
        <v>N/A</v>
      </c>
      <c r="O1159" s="396" t="str">
        <f ca="1">IFERROR(CIQLO(MO.Ticker.CapIQ,"IQ_LASTSALEPRICE",INDEX(MO_SNA_FPStartDate,0,COLUMN()),INDEX(MO_Common_QEndDate,0,COLUMN())),"N/A")</f>
        <v>N/A</v>
      </c>
      <c r="P1159" s="396" t="str">
        <f ca="1">IFERROR(CIQLO(MO.Ticker.CapIQ,"IQ_LASTSALEPRICE",INDEX(MO_SNA_FPStartDate,0,COLUMN()),INDEX(MO_Common_QEndDate,0,COLUMN())),"N/A")</f>
        <v>N/A</v>
      </c>
      <c r="Q1159" s="396" t="str">
        <f ca="1">IFERROR(CIQLO(MO.Ticker.CapIQ,"IQ_LASTSALEPRICE",INDEX(MO_SNA_FPStartDate,0,COLUMN()),INDEX(MO_Common_QEndDate,0,COLUMN())),"N/A")</f>
        <v>N/A</v>
      </c>
      <c r="R1159" s="396" t="str">
        <f ca="1">IFERROR(CIQLO(MO.Ticker.CapIQ,"IQ_LASTSALEPRICE",INDEX(MO_SNA_FPStartDate,0,COLUMN()),INDEX(MO_Common_QEndDate,0,COLUMN())),"N/A")</f>
        <v>N/A</v>
      </c>
      <c r="S1159" s="396" t="str">
        <f ca="1">IFERROR(CIQLO(MO.Ticker.CapIQ,"IQ_LASTSALEPRICE",INDEX(MO_SNA_FPStartDate,0,COLUMN()),INDEX(MO_Common_QEndDate,0,COLUMN())),"N/A")</f>
        <v>N/A</v>
      </c>
      <c r="T1159" s="396" t="str">
        <f ca="1">IFERROR(CIQLO(MO.Ticker.CapIQ,"IQ_LASTSALEPRICE",INDEX(MO_SNA_FPStartDate,0,COLUMN()),INDEX(MO_Common_QEndDate,0,COLUMN())),"N/A")</f>
        <v>N/A</v>
      </c>
      <c r="U1159" s="396" t="str">
        <f ca="1">IFERROR(CIQLO(MO.Ticker.CapIQ,"IQ_LASTSALEPRICE",INDEX(MO_SNA_FPStartDate,0,COLUMN()),INDEX(MO_Common_QEndDate,0,COLUMN())),"N/A")</f>
        <v>N/A</v>
      </c>
      <c r="V1159" s="396" t="str">
        <f ca="1">IFERROR(CIQLO(MO.Ticker.CapIQ,"IQ_LASTSALEPRICE",INDEX(MO_SNA_FPStartDate,0,COLUMN()),INDEX(MO_Common_QEndDate,0,COLUMN())),"N/A")</f>
        <v>N/A</v>
      </c>
      <c r="W1159" s="396" t="str">
        <f ca="1">IFERROR(CIQLO(MO.Ticker.CapIQ,"IQ_LASTSALEPRICE",INDEX(MO_SNA_FPStartDate,0,COLUMN()),INDEX(MO_Common_QEndDate,0,COLUMN())),"N/A")</f>
        <v>N/A</v>
      </c>
      <c r="X1159" s="396" t="str">
        <f ca="1">IFERROR(CIQLO(MO.Ticker.CapIQ,"IQ_LASTSALEPRICE",INDEX(MO_SNA_FPStartDate,0,COLUMN()),INDEX(MO_Common_QEndDate,0,COLUMN())),"N/A")</f>
        <v>N/A</v>
      </c>
      <c r="Y1159" s="396" t="str">
        <f ca="1">IFERROR(CIQLO(MO.Ticker.CapIQ,"IQ_LASTSALEPRICE",INDEX(MO_SNA_FPStartDate,0,COLUMN()),INDEX(MO_Common_QEndDate,0,COLUMN())),"N/A")</f>
        <v>N/A</v>
      </c>
      <c r="Z1159" s="396" t="str">
        <f ca="1">IFERROR(CIQLO(MO.Ticker.CapIQ,"IQ_LASTSALEPRICE",INDEX(MO_SNA_FPStartDate,0,COLUMN()),INDEX(MO_Common_QEndDate,0,COLUMN())),"N/A")</f>
        <v>N/A</v>
      </c>
      <c r="AA1159" s="396" t="str">
        <f ca="1">IFERROR(CIQLO(MO.Ticker.CapIQ,"IQ_LASTSALEPRICE",INDEX(MO_SNA_FPStartDate,0,COLUMN()),INDEX(MO_Common_QEndDate,0,COLUMN())),"N/A")</f>
        <v>N/A</v>
      </c>
      <c r="AB1159" s="396" t="str">
        <f ca="1">IFERROR(CIQLO(MO.Ticker.CapIQ,"IQ_LASTSALEPRICE",INDEX(MO_SNA_FPStartDate,0,COLUMN()),INDEX(MO_Common_QEndDate,0,COLUMN())),"N/A")</f>
        <v>N/A</v>
      </c>
      <c r="AC1159" s="396" t="str">
        <f ca="1">IFERROR(CIQLO(MO.Ticker.CapIQ,"IQ_LASTSALEPRICE",INDEX(MO_SNA_FPStartDate,0,COLUMN()),INDEX(MO_Common_QEndDate,0,COLUMN())),"N/A")</f>
        <v>N/A</v>
      </c>
      <c r="AD1159" s="396" t="str">
        <f ca="1">IFERROR(CIQLO(MO.Ticker.CapIQ,"IQ_LASTSALEPRICE",INDEX(MO_SNA_FPStartDate,0,COLUMN()),INDEX(MO_Common_QEndDate,0,COLUMN())),"N/A")</f>
        <v>N/A</v>
      </c>
      <c r="AE1159" s="396" t="str">
        <f ca="1">IFERROR(CIQLO(MO.Ticker.CapIQ,"IQ_LASTSALEPRICE",INDEX(MO_SNA_FPStartDate,0,COLUMN()),INDEX(MO_Common_QEndDate,0,COLUMN())),"N/A")</f>
        <v>N/A</v>
      </c>
      <c r="AF1159" s="396" t="str">
        <f ca="1">IFERROR(CIQLO(MO.Ticker.CapIQ,"IQ_LASTSALEPRICE",INDEX(MO_SNA_FPStartDate,0,COLUMN()),INDEX(MO_Common_QEndDate,0,COLUMN())),"N/A")</f>
        <v>N/A</v>
      </c>
      <c r="AG1159" s="396" t="str">
        <f ca="1">IFERROR(CIQLO(MO.Ticker.CapIQ,"IQ_LASTSALEPRICE",INDEX(MO_SNA_FPStartDate,0,COLUMN()),INDEX(MO_Common_QEndDate,0,COLUMN())),"N/A")</f>
        <v>N/A</v>
      </c>
      <c r="AH1159" s="396" t="str">
        <f ca="1">IFERROR(CIQLO(MO.Ticker.CapIQ,"IQ_LASTSALEPRICE",INDEX(MO_SNA_FPStartDate,0,COLUMN()),INDEX(MO_Common_QEndDate,0,COLUMN())),"N/A")</f>
        <v>N/A</v>
      </c>
      <c r="AI1159" s="396" t="str">
        <f ca="1">IFERROR(CIQLO(MO.Ticker.CapIQ,"IQ_LASTSALEPRICE",INDEX(MO_SNA_FPStartDate,0,COLUMN()),INDEX(MO_Common_QEndDate,0,COLUMN())),"N/A")</f>
        <v>N/A</v>
      </c>
      <c r="AJ1159" s="396" t="str">
        <f ca="1">IFERROR(CIQLO(MO.Ticker.CapIQ,"IQ_LASTSALEPRICE",INDEX(MO_SNA_FPStartDate,0,COLUMN()),INDEX(MO_Common_QEndDate,0,COLUMN())),"N/A")</f>
        <v>N/A</v>
      </c>
      <c r="AK1159" s="396" t="str">
        <f ca="1">IFERROR(CIQLO(MO.Ticker.CapIQ,"IQ_LASTSALEPRICE",INDEX(MO_SNA_FPStartDate,0,COLUMN()),INDEX(MO_Common_QEndDate,0,COLUMN())),"N/A")</f>
        <v>N/A</v>
      </c>
      <c r="AL1159" s="396" t="str">
        <f ca="1">IFERROR(CIQLO(MO.Ticker.CapIQ,"IQ_LASTSALEPRICE",INDEX(MO_SNA_FPStartDate,0,COLUMN()),INDEX(MO_Common_QEndDate,0,COLUMN())),"N/A")</f>
        <v>N/A</v>
      </c>
      <c r="AM1159" s="396" t="str">
        <f ca="1">IFERROR(CIQLO(MO.Ticker.CapIQ,"IQ_LASTSALEPRICE",INDEX(MO_SNA_FPStartDate,0,COLUMN()),INDEX(MO_Common_QEndDate,0,COLUMN())),"N/A")</f>
        <v>N/A</v>
      </c>
      <c r="AN1159" s="396" t="str">
        <f ca="1">IFERROR(CIQLO(MO.Ticker.CapIQ,"IQ_LASTSALEPRICE",INDEX(MO_SNA_FPStartDate,0,COLUMN()),INDEX(MO_Common_QEndDate,0,COLUMN())),"N/A")</f>
        <v>N/A</v>
      </c>
      <c r="AO1159" s="396" t="str">
        <f ca="1">IFERROR(CIQLO(MO.Ticker.CapIQ,"IQ_LASTSALEPRICE",INDEX(MO_SNA_FPStartDate,0,COLUMN()),INDEX(MO_Common_QEndDate,0,COLUMN())),"N/A")</f>
        <v>N/A</v>
      </c>
      <c r="AP1159" s="396" t="str">
        <f ca="1">IFERROR(CIQLO(MO.Ticker.CapIQ,"IQ_LASTSALEPRICE",INDEX(MO_SNA_FPStartDate,0,COLUMN()),INDEX(MO_Common_QEndDate,0,COLUMN())),"N/A")</f>
        <v>N/A</v>
      </c>
      <c r="AQ1159" s="396" t="str">
        <f ca="1">IFERROR(CIQLO(MO.Ticker.CapIQ,"IQ_LASTSALEPRICE",INDEX(MO_SNA_FPStartDate,0,COLUMN()),INDEX(MO_Common_QEndDate,0,COLUMN())),"N/A")</f>
        <v>N/A</v>
      </c>
      <c r="AR1159" s="396" t="str">
        <f ca="1">IFERROR(CIQLO(MO.Ticker.CapIQ,"IQ_LASTSALEPRICE",INDEX(MO_SNA_FPStartDate,0,COLUMN()),INDEX(MO_Common_QEndDate,0,COLUMN())),"N/A")</f>
        <v>N/A</v>
      </c>
      <c r="AS1159" s="396" t="str">
        <f ca="1">IFERROR(CIQLO(MO.Ticker.CapIQ,"IQ_LASTSALEPRICE",INDEX(MO_SNA_FPStartDate,0,COLUMN()),INDEX(MO_Common_QEndDate,0,COLUMN())),"N/A")</f>
        <v>N/A</v>
      </c>
      <c r="AT1159" s="396" t="str">
        <f ca="1">IFERROR(CIQLO(MO.Ticker.CapIQ,"IQ_LASTSALEPRICE",INDEX(MO_SNA_FPStartDate,0,COLUMN()),INDEX(MO_Common_QEndDate,0,COLUMN())),"N/A")</f>
        <v>N/A</v>
      </c>
      <c r="AU1159" s="837" t="str">
        <f ca="1">IFERROR(CIQLO(MO.Ticker.CapIQ,"IQ_LASTSALEPRICE",INDEX(MO_SNA_FPStartDate,0,COLUMN()),INDEX(MO_Common_QEndDate,0,COLUMN())),"N/A")</f>
        <v>N/A</v>
      </c>
      <c r="AV1159" s="396" t="str">
        <f ca="1">IFERROR(CIQLO(MO.Ticker.CapIQ,"IQ_LASTSALEPRICE",INDEX(MO_SNA_FPStartDate,0,COLUMN()),INDEX(MO_Common_QEndDate,0,COLUMN())),"N/A")</f>
        <v>N/A</v>
      </c>
      <c r="AW1159" s="396" t="str">
        <f ca="1">IFERROR(CIQLO(MO.Ticker.CapIQ,"IQ_LASTSALEPRICE",INDEX(MO_SNA_FPStartDate,0,COLUMN()),INDEX(MO_Common_QEndDate,0,COLUMN())),"N/A")</f>
        <v>N/A</v>
      </c>
      <c r="AX1159" s="396" t="str">
        <f ca="1">IFERROR(CIQLO(MO.Ticker.CapIQ,"IQ_LASTSALEPRICE",INDEX(MO_SNA_FPStartDate,0,COLUMN()),INDEX(MO_Common_QEndDate,0,COLUMN())),"N/A")</f>
        <v>N/A</v>
      </c>
      <c r="AY1159" s="396" t="str">
        <f ca="1">IFERROR(CIQLO(MO.Ticker.CapIQ,"IQ_LASTSALEPRICE",INDEX(MO_SNA_FPStartDate,0,COLUMN()),INDEX(MO_Common_QEndDate,0,COLUMN())),"N/A")</f>
        <v>N/A</v>
      </c>
      <c r="AZ1159" s="396" t="str">
        <f ca="1">IFERROR(CIQLO(MO.Ticker.CapIQ,"IQ_LASTSALEPRICE",INDEX(MO_SNA_FPStartDate,0,COLUMN()),INDEX(MO_Common_QEndDate,0,COLUMN())),"N/A")</f>
        <v>N/A</v>
      </c>
      <c r="BA1159" s="396" t="str">
        <f ca="1">IFERROR(CIQLO(MO.Ticker.CapIQ,"IQ_LASTSALEPRICE",INDEX(MO_SNA_FPStartDate,0,COLUMN()),INDEX(MO_Common_QEndDate,0,COLUMN())),"N/A")</f>
        <v>N/A</v>
      </c>
      <c r="BB1159" s="396" t="str">
        <f ca="1">IFERROR(CIQLO(MO.Ticker.CapIQ,"IQ_LASTSALEPRICE",INDEX(MO_SNA_FPStartDate,0,COLUMN()),INDEX(MO_Common_QEndDate,0,COLUMN())),"N/A")</f>
        <v>N/A</v>
      </c>
      <c r="BC1159" s="396" t="str">
        <f ca="1">IFERROR(CIQLO(MO.Ticker.CapIQ,"IQ_LASTSALEPRICE",INDEX(MO_SNA_FPStartDate,0,COLUMN()),INDEX(MO_Common_QEndDate,0,COLUMN())),"N/A")</f>
        <v>N/A</v>
      </c>
      <c r="BD1159" s="396" t="str">
        <f ca="1">IFERROR(CIQLO(MO.Ticker.CapIQ,"IQ_LASTSALEPRICE",INDEX(MO_SNA_FPStartDate,0,COLUMN()),INDEX(MO_Common_QEndDate,0,COLUMN())),"N/A")</f>
        <v>N/A</v>
      </c>
      <c r="BE1159" s="396" t="str">
        <f ca="1">IFERROR(CIQLO(MO.Ticker.CapIQ,"IQ_LASTSALEPRICE",INDEX(MO_SNA_FPStartDate,0,COLUMN()),INDEX(MO_Common_QEndDate,0,COLUMN())),"N/A")</f>
        <v>N/A</v>
      </c>
      <c r="BF1159" s="396" t="str">
        <f ca="1">IFERROR(CIQLO(MO.Ticker.CapIQ,"IQ_LASTSALEPRICE",INDEX(MO_SNA_FPStartDate,0,COLUMN()),INDEX(MO_Common_QEndDate,0,COLUMN())),"N/A")</f>
        <v>N/A</v>
      </c>
      <c r="BG1159" s="398" t="str">
        <f ca="1">IFERROR(CIQLO(MO.Ticker.CapIQ,"IQ_LASTSALEPRICE",INDEX(MO_SNA_FPStartDate,0,COLUMN()),INDEX(MO_Common_QEndDate,0,COLUMN())),"N/A")</f>
        <v>N/A</v>
      </c>
      <c r="BH1159" s="477"/>
    </row>
    <row r="1160" spans="1:60" s="399" customFormat="1" hidden="1" outlineLevel="1" x14ac:dyDescent="0.35">
      <c r="A1160" s="400" t="s">
        <v>247</v>
      </c>
      <c r="B1160" s="396"/>
      <c r="C1160" s="397" t="str">
        <f ca="1">IFERROR(FDS(MO.Ticker.FactSet,"P_PRICE_LOW"&amp;"("&amp;INDEX(MO_SNA_FPStartDate,0,COLUMN())&amp;","&amp;INDEX(MO_Common_QEndDate,0,COLUMN())&amp;",,,,""PRICE"",""CLOSE"")"),"N/A")</f>
        <v>N/A</v>
      </c>
      <c r="D1160" s="397" t="str">
        <f ca="1">IFERROR(FDS(MO.Ticker.FactSet,"P_PRICE_LOW"&amp;"("&amp;INDEX(MO_SNA_FPStartDate,0,COLUMN())&amp;","&amp;INDEX(MO_Common_QEndDate,0,COLUMN())&amp;",,,,""PRICE"",""CLOSE"")"),"N/A")</f>
        <v>N/A</v>
      </c>
      <c r="E1160" s="396" t="str">
        <f ca="1">IFERROR(FDS(MO.Ticker.FactSet,"P_PRICE_LOW"&amp;"("&amp;INDEX(MO_SNA_FPStartDate,0,COLUMN())&amp;","&amp;INDEX(MO_Common_QEndDate,0,COLUMN())&amp;",,,,""PRICE"",""CLOSE"")"),"N/A")</f>
        <v>N/A</v>
      </c>
      <c r="F1160" s="396" t="str">
        <f ca="1">IFERROR(FDS(MO.Ticker.FactSet,"P_PRICE_LOW"&amp;"("&amp;INDEX(MO_SNA_FPStartDate,0,COLUMN())&amp;","&amp;INDEX(MO_Common_QEndDate,0,COLUMN())&amp;",,,,""PRICE"",""CLOSE"")"),"N/A")</f>
        <v>N/A</v>
      </c>
      <c r="G1160" s="396" t="str">
        <f ca="1">IFERROR(FDS(MO.Ticker.FactSet,"P_PRICE_LOW"&amp;"("&amp;INDEX(MO_SNA_FPStartDate,0,COLUMN())&amp;","&amp;INDEX(MO_Common_QEndDate,0,COLUMN())&amp;",,,,""PRICE"",""CLOSE"")"),"N/A")</f>
        <v>N/A</v>
      </c>
      <c r="H1160" s="396" t="str">
        <f ca="1">IFERROR(FDS(MO.Ticker.FactSet,"P_PRICE_LOW"&amp;"("&amp;INDEX(MO_SNA_FPStartDate,0,COLUMN())&amp;","&amp;INDEX(MO_Common_QEndDate,0,COLUMN())&amp;",,,,""PRICE"",""CLOSE"")"),"N/A")</f>
        <v>N/A</v>
      </c>
      <c r="I1160" s="396" t="str">
        <f ca="1">IFERROR(FDS(MO.Ticker.FactSet,"P_PRICE_LOW"&amp;"("&amp;INDEX(MO_SNA_FPStartDate,0,COLUMN())&amp;","&amp;INDEX(MO_Common_QEndDate,0,COLUMN())&amp;",,,,""PRICE"",""CLOSE"")"),"N/A")</f>
        <v>N/A</v>
      </c>
      <c r="J1160" s="396" t="str">
        <f ca="1">IFERROR(FDS(MO.Ticker.FactSet,"P_PRICE_LOW"&amp;"("&amp;INDEX(MO_SNA_FPStartDate,0,COLUMN())&amp;","&amp;INDEX(MO_Common_QEndDate,0,COLUMN())&amp;",,,,""PRICE"",""CLOSE"")"),"N/A")</f>
        <v>N/A</v>
      </c>
      <c r="K1160" s="396" t="str">
        <f ca="1">IFERROR(FDS(MO.Ticker.FactSet,"P_PRICE_LOW"&amp;"("&amp;INDEX(MO_SNA_FPStartDate,0,COLUMN())&amp;","&amp;INDEX(MO_Common_QEndDate,0,COLUMN())&amp;",,,,""PRICE"",""CLOSE"")"),"N/A")</f>
        <v>N/A</v>
      </c>
      <c r="L1160" s="396" t="str">
        <f ca="1">IFERROR(FDS(MO.Ticker.FactSet,"P_PRICE_LOW"&amp;"("&amp;INDEX(MO_SNA_FPStartDate,0,COLUMN())&amp;","&amp;INDEX(MO_Common_QEndDate,0,COLUMN())&amp;",,,,""PRICE"",""CLOSE"")"),"N/A")</f>
        <v>N/A</v>
      </c>
      <c r="M1160" s="396" t="str">
        <f ca="1">IFERROR(FDS(MO.Ticker.FactSet,"P_PRICE_LOW"&amp;"("&amp;INDEX(MO_SNA_FPStartDate,0,COLUMN())&amp;","&amp;INDEX(MO_Common_QEndDate,0,COLUMN())&amp;",,,,""PRICE"",""CLOSE"")"),"N/A")</f>
        <v>N/A</v>
      </c>
      <c r="N1160" s="396" t="str">
        <f ca="1">IFERROR(FDS(MO.Ticker.FactSet,"P_PRICE_LOW"&amp;"("&amp;INDEX(MO_SNA_FPStartDate,0,COLUMN())&amp;","&amp;INDEX(MO_Common_QEndDate,0,COLUMN())&amp;",,,,""PRICE"",""CLOSE"")"),"N/A")</f>
        <v>N/A</v>
      </c>
      <c r="O1160" s="396" t="str">
        <f ca="1">IFERROR(FDS(MO.Ticker.FactSet,"P_PRICE_LOW"&amp;"("&amp;INDEX(MO_SNA_FPStartDate,0,COLUMN())&amp;","&amp;INDEX(MO_Common_QEndDate,0,COLUMN())&amp;",,,,""PRICE"",""CLOSE"")"),"N/A")</f>
        <v>N/A</v>
      </c>
      <c r="P1160" s="396" t="str">
        <f ca="1">IFERROR(FDS(MO.Ticker.FactSet,"P_PRICE_LOW"&amp;"("&amp;INDEX(MO_SNA_FPStartDate,0,COLUMN())&amp;","&amp;INDEX(MO_Common_QEndDate,0,COLUMN())&amp;",,,,""PRICE"",""CLOSE"")"),"N/A")</f>
        <v>N/A</v>
      </c>
      <c r="Q1160" s="396" t="str">
        <f ca="1">IFERROR(FDS(MO.Ticker.FactSet,"P_PRICE_LOW"&amp;"("&amp;INDEX(MO_SNA_FPStartDate,0,COLUMN())&amp;","&amp;INDEX(MO_Common_QEndDate,0,COLUMN())&amp;",,,,""PRICE"",""CLOSE"")"),"N/A")</f>
        <v>N/A</v>
      </c>
      <c r="R1160" s="396" t="str">
        <f ca="1">IFERROR(FDS(MO.Ticker.FactSet,"P_PRICE_LOW"&amp;"("&amp;INDEX(MO_SNA_FPStartDate,0,COLUMN())&amp;","&amp;INDEX(MO_Common_QEndDate,0,COLUMN())&amp;",,,,""PRICE"",""CLOSE"")"),"N/A")</f>
        <v>N/A</v>
      </c>
      <c r="S1160" s="396" t="str">
        <f ca="1">IFERROR(FDS(MO.Ticker.FactSet,"P_PRICE_LOW"&amp;"("&amp;INDEX(MO_SNA_FPStartDate,0,COLUMN())&amp;","&amp;INDEX(MO_Common_QEndDate,0,COLUMN())&amp;",,,,""PRICE"",""CLOSE"")"),"N/A")</f>
        <v>N/A</v>
      </c>
      <c r="T1160" s="396" t="str">
        <f ca="1">IFERROR(FDS(MO.Ticker.FactSet,"P_PRICE_LOW"&amp;"("&amp;INDEX(MO_SNA_FPStartDate,0,COLUMN())&amp;","&amp;INDEX(MO_Common_QEndDate,0,COLUMN())&amp;",,,,""PRICE"",""CLOSE"")"),"N/A")</f>
        <v>N/A</v>
      </c>
      <c r="U1160" s="396" t="str">
        <f ca="1">IFERROR(FDS(MO.Ticker.FactSet,"P_PRICE_LOW"&amp;"("&amp;INDEX(MO_SNA_FPStartDate,0,COLUMN())&amp;","&amp;INDEX(MO_Common_QEndDate,0,COLUMN())&amp;",,,,""PRICE"",""CLOSE"")"),"N/A")</f>
        <v>N/A</v>
      </c>
      <c r="V1160" s="396" t="str">
        <f ca="1">IFERROR(FDS(MO.Ticker.FactSet,"P_PRICE_LOW"&amp;"("&amp;INDEX(MO_SNA_FPStartDate,0,COLUMN())&amp;","&amp;INDEX(MO_Common_QEndDate,0,COLUMN())&amp;",,,,""PRICE"",""CLOSE"")"),"N/A")</f>
        <v>N/A</v>
      </c>
      <c r="W1160" s="396" t="str">
        <f ca="1">IFERROR(FDS(MO.Ticker.FactSet,"P_PRICE_LOW"&amp;"("&amp;INDEX(MO_SNA_FPStartDate,0,COLUMN())&amp;","&amp;INDEX(MO_Common_QEndDate,0,COLUMN())&amp;",,,,""PRICE"",""CLOSE"")"),"N/A")</f>
        <v>N/A</v>
      </c>
      <c r="X1160" s="396" t="str">
        <f ca="1">IFERROR(FDS(MO.Ticker.FactSet,"P_PRICE_LOW"&amp;"("&amp;INDEX(MO_SNA_FPStartDate,0,COLUMN())&amp;","&amp;INDEX(MO_Common_QEndDate,0,COLUMN())&amp;",,,,""PRICE"",""CLOSE"")"),"N/A")</f>
        <v>N/A</v>
      </c>
      <c r="Y1160" s="396" t="str">
        <f ca="1">IFERROR(FDS(MO.Ticker.FactSet,"P_PRICE_LOW"&amp;"("&amp;INDEX(MO_SNA_FPStartDate,0,COLUMN())&amp;","&amp;INDEX(MO_Common_QEndDate,0,COLUMN())&amp;",,,,""PRICE"",""CLOSE"")"),"N/A")</f>
        <v>N/A</v>
      </c>
      <c r="Z1160" s="396" t="str">
        <f ca="1">IFERROR(FDS(MO.Ticker.FactSet,"P_PRICE_LOW"&amp;"("&amp;INDEX(MO_SNA_FPStartDate,0,COLUMN())&amp;","&amp;INDEX(MO_Common_QEndDate,0,COLUMN())&amp;",,,,""PRICE"",""CLOSE"")"),"N/A")</f>
        <v>N/A</v>
      </c>
      <c r="AA1160" s="396" t="str">
        <f ca="1">IFERROR(FDS(MO.Ticker.FactSet,"P_PRICE_LOW"&amp;"("&amp;INDEX(MO_SNA_FPStartDate,0,COLUMN())&amp;","&amp;INDEX(MO_Common_QEndDate,0,COLUMN())&amp;",,,,""PRICE"",""CLOSE"")"),"N/A")</f>
        <v>N/A</v>
      </c>
      <c r="AB1160" s="396" t="str">
        <f ca="1">IFERROR(FDS(MO.Ticker.FactSet,"P_PRICE_LOW"&amp;"("&amp;INDEX(MO_SNA_FPStartDate,0,COLUMN())&amp;","&amp;INDEX(MO_Common_QEndDate,0,COLUMN())&amp;",,,,""PRICE"",""CLOSE"")"),"N/A")</f>
        <v>N/A</v>
      </c>
      <c r="AC1160" s="396" t="str">
        <f ca="1">IFERROR(FDS(MO.Ticker.FactSet,"P_PRICE_LOW"&amp;"("&amp;INDEX(MO_SNA_FPStartDate,0,COLUMN())&amp;","&amp;INDEX(MO_Common_QEndDate,0,COLUMN())&amp;",,,,""PRICE"",""CLOSE"")"),"N/A")</f>
        <v>N/A</v>
      </c>
      <c r="AD1160" s="396" t="str">
        <f ca="1">IFERROR(FDS(MO.Ticker.FactSet,"P_PRICE_LOW"&amp;"("&amp;INDEX(MO_SNA_FPStartDate,0,COLUMN())&amp;","&amp;INDEX(MO_Common_QEndDate,0,COLUMN())&amp;",,,,""PRICE"",""CLOSE"")"),"N/A")</f>
        <v>N/A</v>
      </c>
      <c r="AE1160" s="396" t="str">
        <f ca="1">IFERROR(FDS(MO.Ticker.FactSet,"P_PRICE_LOW"&amp;"("&amp;INDEX(MO_SNA_FPStartDate,0,COLUMN())&amp;","&amp;INDEX(MO_Common_QEndDate,0,COLUMN())&amp;",,,,""PRICE"",""CLOSE"")"),"N/A")</f>
        <v>N/A</v>
      </c>
      <c r="AF1160" s="396" t="str">
        <f ca="1">IFERROR(FDS(MO.Ticker.FactSet,"P_PRICE_LOW"&amp;"("&amp;INDEX(MO_SNA_FPStartDate,0,COLUMN())&amp;","&amp;INDEX(MO_Common_QEndDate,0,COLUMN())&amp;",,,,""PRICE"",""CLOSE"")"),"N/A")</f>
        <v>N/A</v>
      </c>
      <c r="AG1160" s="396" t="str">
        <f ca="1">IFERROR(FDS(MO.Ticker.FactSet,"P_PRICE_LOW"&amp;"("&amp;INDEX(MO_SNA_FPStartDate,0,COLUMN())&amp;","&amp;INDEX(MO_Common_QEndDate,0,COLUMN())&amp;",,,,""PRICE"",""CLOSE"")"),"N/A")</f>
        <v>N/A</v>
      </c>
      <c r="AH1160" s="396" t="str">
        <f ca="1">IFERROR(FDS(MO.Ticker.FactSet,"P_PRICE_LOW"&amp;"("&amp;INDEX(MO_SNA_FPStartDate,0,COLUMN())&amp;","&amp;INDEX(MO_Common_QEndDate,0,COLUMN())&amp;",,,,""PRICE"",""CLOSE"")"),"N/A")</f>
        <v>N/A</v>
      </c>
      <c r="AI1160" s="396" t="str">
        <f ca="1">IFERROR(FDS(MO.Ticker.FactSet,"P_PRICE_LOW"&amp;"("&amp;INDEX(MO_SNA_FPStartDate,0,COLUMN())&amp;","&amp;INDEX(MO_Common_QEndDate,0,COLUMN())&amp;",,,,""PRICE"",""CLOSE"")"),"N/A")</f>
        <v>N/A</v>
      </c>
      <c r="AJ1160" s="396" t="str">
        <f ca="1">IFERROR(FDS(MO.Ticker.FactSet,"P_PRICE_LOW"&amp;"("&amp;INDEX(MO_SNA_FPStartDate,0,COLUMN())&amp;","&amp;INDEX(MO_Common_QEndDate,0,COLUMN())&amp;",,,,""PRICE"",""CLOSE"")"),"N/A")</f>
        <v>N/A</v>
      </c>
      <c r="AK1160" s="396" t="str">
        <f ca="1">IFERROR(FDS(MO.Ticker.FactSet,"P_PRICE_LOW"&amp;"("&amp;INDEX(MO_SNA_FPStartDate,0,COLUMN())&amp;","&amp;INDEX(MO_Common_QEndDate,0,COLUMN())&amp;",,,,""PRICE"",""CLOSE"")"),"N/A")</f>
        <v>N/A</v>
      </c>
      <c r="AL1160" s="396" t="str">
        <f ca="1">IFERROR(FDS(MO.Ticker.FactSet,"P_PRICE_LOW"&amp;"("&amp;INDEX(MO_SNA_FPStartDate,0,COLUMN())&amp;","&amp;INDEX(MO_Common_QEndDate,0,COLUMN())&amp;",,,,""PRICE"",""CLOSE"")"),"N/A")</f>
        <v>N/A</v>
      </c>
      <c r="AM1160" s="396" t="str">
        <f ca="1">IFERROR(FDS(MO.Ticker.FactSet,"P_PRICE_LOW"&amp;"("&amp;INDEX(MO_SNA_FPStartDate,0,COLUMN())&amp;","&amp;INDEX(MO_Common_QEndDate,0,COLUMN())&amp;",,,,""PRICE"",""CLOSE"")"),"N/A")</f>
        <v>N/A</v>
      </c>
      <c r="AN1160" s="396" t="str">
        <f ca="1">IFERROR(FDS(MO.Ticker.FactSet,"P_PRICE_LOW"&amp;"("&amp;INDEX(MO_SNA_FPStartDate,0,COLUMN())&amp;","&amp;INDEX(MO_Common_QEndDate,0,COLUMN())&amp;",,,,""PRICE"",""CLOSE"")"),"N/A")</f>
        <v>N/A</v>
      </c>
      <c r="AO1160" s="396" t="str">
        <f ca="1">IFERROR(FDS(MO.Ticker.FactSet,"P_PRICE_LOW"&amp;"("&amp;INDEX(MO_SNA_FPStartDate,0,COLUMN())&amp;","&amp;INDEX(MO_Common_QEndDate,0,COLUMN())&amp;",,,,""PRICE"",""CLOSE"")"),"N/A")</f>
        <v>N/A</v>
      </c>
      <c r="AP1160" s="396" t="str">
        <f ca="1">IFERROR(FDS(MO.Ticker.FactSet,"P_PRICE_LOW"&amp;"("&amp;INDEX(MO_SNA_FPStartDate,0,COLUMN())&amp;","&amp;INDEX(MO_Common_QEndDate,0,COLUMN())&amp;",,,,""PRICE"",""CLOSE"")"),"N/A")</f>
        <v>N/A</v>
      </c>
      <c r="AQ1160" s="396" t="str">
        <f ca="1">IFERROR(FDS(MO.Ticker.FactSet,"P_PRICE_LOW"&amp;"("&amp;INDEX(MO_SNA_FPStartDate,0,COLUMN())&amp;","&amp;INDEX(MO_Common_QEndDate,0,COLUMN())&amp;",,,,""PRICE"",""CLOSE"")"),"N/A")</f>
        <v>N/A</v>
      </c>
      <c r="AR1160" s="396" t="str">
        <f ca="1">IFERROR(FDS(MO.Ticker.FactSet,"P_PRICE_LOW"&amp;"("&amp;INDEX(MO_SNA_FPStartDate,0,COLUMN())&amp;","&amp;INDEX(MO_Common_QEndDate,0,COLUMN())&amp;",,,,""PRICE"",""CLOSE"")"),"N/A")</f>
        <v>N/A</v>
      </c>
      <c r="AS1160" s="396" t="str">
        <f ca="1">IFERROR(FDS(MO.Ticker.FactSet,"P_PRICE_LOW"&amp;"("&amp;INDEX(MO_SNA_FPStartDate,0,COLUMN())&amp;","&amp;INDEX(MO_Common_QEndDate,0,COLUMN())&amp;",,,,""PRICE"",""CLOSE"")"),"N/A")</f>
        <v>N/A</v>
      </c>
      <c r="AT1160" s="396" t="str">
        <f ca="1">IFERROR(FDS(MO.Ticker.FactSet,"P_PRICE_LOW"&amp;"("&amp;INDEX(MO_SNA_FPStartDate,0,COLUMN())&amp;","&amp;INDEX(MO_Common_QEndDate,0,COLUMN())&amp;",,,,""PRICE"",""CLOSE"")"),"N/A")</f>
        <v>N/A</v>
      </c>
      <c r="AU1160" s="837" t="str">
        <f ca="1">IFERROR(FDS(MO.Ticker.FactSet,"P_PRICE_LOW"&amp;"("&amp;INDEX(MO_SNA_FPStartDate,0,COLUMN())&amp;","&amp;INDEX(MO_Common_QEndDate,0,COLUMN())&amp;",,,,""PRICE"",""CLOSE"")"),"N/A")</f>
        <v>N/A</v>
      </c>
      <c r="AV1160" s="396" t="str">
        <f ca="1">IFERROR(FDS(MO.Ticker.FactSet,"P_PRICE_LOW"&amp;"("&amp;INDEX(MO_SNA_FPStartDate,0,COLUMN())&amp;","&amp;INDEX(MO_Common_QEndDate,0,COLUMN())&amp;",,,,""PRICE"",""CLOSE"")"),"N/A")</f>
        <v>N/A</v>
      </c>
      <c r="AW1160" s="396" t="str">
        <f ca="1">IFERROR(FDS(MO.Ticker.FactSet,"P_PRICE_LOW"&amp;"("&amp;INDEX(MO_SNA_FPStartDate,0,COLUMN())&amp;","&amp;INDEX(MO_Common_QEndDate,0,COLUMN())&amp;",,,,""PRICE"",""CLOSE"")"),"N/A")</f>
        <v>N/A</v>
      </c>
      <c r="AX1160" s="396" t="str">
        <f ca="1">IFERROR(FDS(MO.Ticker.FactSet,"P_PRICE_LOW"&amp;"("&amp;INDEX(MO_SNA_FPStartDate,0,COLUMN())&amp;","&amp;INDEX(MO_Common_QEndDate,0,COLUMN())&amp;",,,,""PRICE"",""CLOSE"")"),"N/A")</f>
        <v>N/A</v>
      </c>
      <c r="AY1160" s="396" t="str">
        <f ca="1">IFERROR(FDS(MO.Ticker.FactSet,"P_PRICE_LOW"&amp;"("&amp;INDEX(MO_SNA_FPStartDate,0,COLUMN())&amp;","&amp;INDEX(MO_Common_QEndDate,0,COLUMN())&amp;",,,,""PRICE"",""CLOSE"")"),"N/A")</f>
        <v>N/A</v>
      </c>
      <c r="AZ1160" s="396" t="str">
        <f ca="1">IFERROR(FDS(MO.Ticker.FactSet,"P_PRICE_LOW"&amp;"("&amp;INDEX(MO_SNA_FPStartDate,0,COLUMN())&amp;","&amp;INDEX(MO_Common_QEndDate,0,COLUMN())&amp;",,,,""PRICE"",""CLOSE"")"),"N/A")</f>
        <v>N/A</v>
      </c>
      <c r="BA1160" s="396" t="str">
        <f ca="1">IFERROR(FDS(MO.Ticker.FactSet,"P_PRICE_LOW"&amp;"("&amp;INDEX(MO_SNA_FPStartDate,0,COLUMN())&amp;","&amp;INDEX(MO_Common_QEndDate,0,COLUMN())&amp;",,,,""PRICE"",""CLOSE"")"),"N/A")</f>
        <v>N/A</v>
      </c>
      <c r="BB1160" s="396" t="str">
        <f ca="1">IFERROR(FDS(MO.Ticker.FactSet,"P_PRICE_LOW"&amp;"("&amp;INDEX(MO_SNA_FPStartDate,0,COLUMN())&amp;","&amp;INDEX(MO_Common_QEndDate,0,COLUMN())&amp;",,,,""PRICE"",""CLOSE"")"),"N/A")</f>
        <v>N/A</v>
      </c>
      <c r="BC1160" s="396" t="str">
        <f ca="1">IFERROR(FDS(MO.Ticker.FactSet,"P_PRICE_LOW"&amp;"("&amp;INDEX(MO_SNA_FPStartDate,0,COLUMN())&amp;","&amp;INDEX(MO_Common_QEndDate,0,COLUMN())&amp;",,,,""PRICE"",""CLOSE"")"),"N/A")</f>
        <v>N/A</v>
      </c>
      <c r="BD1160" s="396" t="str">
        <f ca="1">IFERROR(FDS(MO.Ticker.FactSet,"P_PRICE_LOW"&amp;"("&amp;INDEX(MO_SNA_FPStartDate,0,COLUMN())&amp;","&amp;INDEX(MO_Common_QEndDate,0,COLUMN())&amp;",,,,""PRICE"",""CLOSE"")"),"N/A")</f>
        <v>N/A</v>
      </c>
      <c r="BE1160" s="396" t="str">
        <f ca="1">IFERROR(FDS(MO.Ticker.FactSet,"P_PRICE_LOW"&amp;"("&amp;INDEX(MO_SNA_FPStartDate,0,COLUMN())&amp;","&amp;INDEX(MO_Common_QEndDate,0,COLUMN())&amp;",,,,""PRICE"",""CLOSE"")"),"N/A")</f>
        <v>N/A</v>
      </c>
      <c r="BF1160" s="396" t="str">
        <f ca="1">IFERROR(FDS(MO.Ticker.FactSet,"P_PRICE_LOW"&amp;"("&amp;INDEX(MO_SNA_FPStartDate,0,COLUMN())&amp;","&amp;INDEX(MO_Common_QEndDate,0,COLUMN())&amp;",,,,""PRICE"",""CLOSE"")"),"N/A")</f>
        <v>N/A</v>
      </c>
      <c r="BG1160" s="398" t="str">
        <f ca="1">IFERROR(FDS(MO.Ticker.FactSet,"P_PRICE_LOW"&amp;"("&amp;INDEX(MO_SNA_FPStartDate,0,COLUMN())&amp;","&amp;INDEX(MO_Common_QEndDate,0,COLUMN())&amp;",,,,""PRICE"",""CLOSE"")"),"N/A")</f>
        <v>N/A</v>
      </c>
      <c r="BH1160" s="477"/>
    </row>
    <row r="1161" spans="1:60" s="399" customFormat="1" hidden="1" outlineLevel="1" x14ac:dyDescent="0.35">
      <c r="A1161" s="400" t="s">
        <v>1062</v>
      </c>
      <c r="B1161" s="396"/>
      <c r="C1161" s="397" t="str">
        <f ca="1">IFERROR(_xll.TR(MO.Ticker.Thomson,"Min(TR.PriceLow)","sdate:#1 edate:#2",,INDEX(MO_SNA_FPStartDate,0,COLUMN()),INDEX(MO_Common_QEndDate,0,COLUMN())),"N/A")</f>
        <v>N/A</v>
      </c>
      <c r="D1161" s="397" t="str">
        <f ca="1">IFERROR(_xll.TR(MO.Ticker.Thomson,"Min(TR.PriceLow)","sdate:#1 edate:#2",,INDEX(MO_SNA_FPStartDate,0,COLUMN()),INDEX(MO_Common_QEndDate,0,COLUMN())),"N/A")</f>
        <v>N/A</v>
      </c>
      <c r="E1161" s="396" t="str">
        <f ca="1">IFERROR(_xll.TR(MO.Ticker.Thomson,"Min(TR.PriceLow)","sdate:#1 edate:#2",,INDEX(MO_SNA_FPStartDate,0,COLUMN()),INDEX(MO_Common_QEndDate,0,COLUMN())),"N/A")</f>
        <v>N/A</v>
      </c>
      <c r="F1161" s="396" t="str">
        <f ca="1">IFERROR(_xll.TR(MO.Ticker.Thomson,"Min(TR.PriceLow)","sdate:#1 edate:#2",,INDEX(MO_SNA_FPStartDate,0,COLUMN()),INDEX(MO_Common_QEndDate,0,COLUMN())),"N/A")</f>
        <v>N/A</v>
      </c>
      <c r="G1161" s="396" t="str">
        <f ca="1">IFERROR(_xll.TR(MO.Ticker.Thomson,"Min(TR.PriceLow)","sdate:#1 edate:#2",,INDEX(MO_SNA_FPStartDate,0,COLUMN()),INDEX(MO_Common_QEndDate,0,COLUMN())),"N/A")</f>
        <v>N/A</v>
      </c>
      <c r="H1161" s="396" t="str">
        <f ca="1">IFERROR(_xll.TR(MO.Ticker.Thomson,"Min(TR.PriceLow)","sdate:#1 edate:#2",,INDEX(MO_SNA_FPStartDate,0,COLUMN()),INDEX(MO_Common_QEndDate,0,COLUMN())),"N/A")</f>
        <v>N/A</v>
      </c>
      <c r="I1161" s="396" t="str">
        <f ca="1">IFERROR(_xll.TR(MO.Ticker.Thomson,"Min(TR.PriceLow)","sdate:#1 edate:#2",,INDEX(MO_SNA_FPStartDate,0,COLUMN()),INDEX(MO_Common_QEndDate,0,COLUMN())),"N/A")</f>
        <v>N/A</v>
      </c>
      <c r="J1161" s="396" t="str">
        <f ca="1">IFERROR(_xll.TR(MO.Ticker.Thomson,"Min(TR.PriceLow)","sdate:#1 edate:#2",,INDEX(MO_SNA_FPStartDate,0,COLUMN()),INDEX(MO_Common_QEndDate,0,COLUMN())),"N/A")</f>
        <v>N/A</v>
      </c>
      <c r="K1161" s="396" t="str">
        <f ca="1">IFERROR(_xll.TR(MO.Ticker.Thomson,"Min(TR.PriceLow)","sdate:#1 edate:#2",,INDEX(MO_SNA_FPStartDate,0,COLUMN()),INDEX(MO_Common_QEndDate,0,COLUMN())),"N/A")</f>
        <v>N/A</v>
      </c>
      <c r="L1161" s="396" t="str">
        <f ca="1">IFERROR(_xll.TR(MO.Ticker.Thomson,"Min(TR.PriceLow)","sdate:#1 edate:#2",,INDEX(MO_SNA_FPStartDate,0,COLUMN()),INDEX(MO_Common_QEndDate,0,COLUMN())),"N/A")</f>
        <v>N/A</v>
      </c>
      <c r="M1161" s="396" t="str">
        <f ca="1">IFERROR(_xll.TR(MO.Ticker.Thomson,"Min(TR.PriceLow)","sdate:#1 edate:#2",,INDEX(MO_SNA_FPStartDate,0,COLUMN()),INDEX(MO_Common_QEndDate,0,COLUMN())),"N/A")</f>
        <v>N/A</v>
      </c>
      <c r="N1161" s="396" t="str">
        <f ca="1">IFERROR(_xll.TR(MO.Ticker.Thomson,"Min(TR.PriceLow)","sdate:#1 edate:#2",,INDEX(MO_SNA_FPStartDate,0,COLUMN()),INDEX(MO_Common_QEndDate,0,COLUMN())),"N/A")</f>
        <v>N/A</v>
      </c>
      <c r="O1161" s="396" t="str">
        <f ca="1">IFERROR(_xll.TR(MO.Ticker.Thomson,"Min(TR.PriceLow)","sdate:#1 edate:#2",,INDEX(MO_SNA_FPStartDate,0,COLUMN()),INDEX(MO_Common_QEndDate,0,COLUMN())),"N/A")</f>
        <v>N/A</v>
      </c>
      <c r="P1161" s="396" t="str">
        <f ca="1">IFERROR(_xll.TR(MO.Ticker.Thomson,"Min(TR.PriceLow)","sdate:#1 edate:#2",,INDEX(MO_SNA_FPStartDate,0,COLUMN()),INDEX(MO_Common_QEndDate,0,COLUMN())),"N/A")</f>
        <v>N/A</v>
      </c>
      <c r="Q1161" s="396" t="str">
        <f ca="1">IFERROR(_xll.TR(MO.Ticker.Thomson,"Min(TR.PriceLow)","sdate:#1 edate:#2",,INDEX(MO_SNA_FPStartDate,0,COLUMN()),INDEX(MO_Common_QEndDate,0,COLUMN())),"N/A")</f>
        <v>N/A</v>
      </c>
      <c r="R1161" s="396" t="str">
        <f ca="1">IFERROR(_xll.TR(MO.Ticker.Thomson,"Min(TR.PriceLow)","sdate:#1 edate:#2",,INDEX(MO_SNA_FPStartDate,0,COLUMN()),INDEX(MO_Common_QEndDate,0,COLUMN())),"N/A")</f>
        <v>N/A</v>
      </c>
      <c r="S1161" s="396" t="str">
        <f ca="1">IFERROR(_xll.TR(MO.Ticker.Thomson,"Min(TR.PriceLow)","sdate:#1 edate:#2",,INDEX(MO_SNA_FPStartDate,0,COLUMN()),INDEX(MO_Common_QEndDate,0,COLUMN())),"N/A")</f>
        <v>N/A</v>
      </c>
      <c r="T1161" s="396" t="str">
        <f ca="1">IFERROR(_xll.TR(MO.Ticker.Thomson,"Min(TR.PriceLow)","sdate:#1 edate:#2",,INDEX(MO_SNA_FPStartDate,0,COLUMN()),INDEX(MO_Common_QEndDate,0,COLUMN())),"N/A")</f>
        <v>N/A</v>
      </c>
      <c r="U1161" s="396" t="str">
        <f ca="1">IFERROR(_xll.TR(MO.Ticker.Thomson,"Min(TR.PriceLow)","sdate:#1 edate:#2",,INDEX(MO_SNA_FPStartDate,0,COLUMN()),INDEX(MO_Common_QEndDate,0,COLUMN())),"N/A")</f>
        <v>N/A</v>
      </c>
      <c r="V1161" s="396" t="str">
        <f ca="1">IFERROR(_xll.TR(MO.Ticker.Thomson,"Min(TR.PriceLow)","sdate:#1 edate:#2",,INDEX(MO_SNA_FPStartDate,0,COLUMN()),INDEX(MO_Common_QEndDate,0,COLUMN())),"N/A")</f>
        <v>N/A</v>
      </c>
      <c r="W1161" s="396" t="str">
        <f ca="1">IFERROR(_xll.TR(MO.Ticker.Thomson,"Min(TR.PriceLow)","sdate:#1 edate:#2",,INDEX(MO_SNA_FPStartDate,0,COLUMN()),INDEX(MO_Common_QEndDate,0,COLUMN())),"N/A")</f>
        <v>N/A</v>
      </c>
      <c r="X1161" s="396" t="str">
        <f ca="1">IFERROR(_xll.TR(MO.Ticker.Thomson,"Min(TR.PriceLow)","sdate:#1 edate:#2",,INDEX(MO_SNA_FPStartDate,0,COLUMN()),INDEX(MO_Common_QEndDate,0,COLUMN())),"N/A")</f>
        <v>N/A</v>
      </c>
      <c r="Y1161" s="396" t="str">
        <f ca="1">IFERROR(_xll.TR(MO.Ticker.Thomson,"Min(TR.PriceLow)","sdate:#1 edate:#2",,INDEX(MO_SNA_FPStartDate,0,COLUMN()),INDEX(MO_Common_QEndDate,0,COLUMN())),"N/A")</f>
        <v>N/A</v>
      </c>
      <c r="Z1161" s="396" t="str">
        <f ca="1">IFERROR(_xll.TR(MO.Ticker.Thomson,"Min(TR.PriceLow)","sdate:#1 edate:#2",,INDEX(MO_SNA_FPStartDate,0,COLUMN()),INDEX(MO_Common_QEndDate,0,COLUMN())),"N/A")</f>
        <v>N/A</v>
      </c>
      <c r="AA1161" s="396" t="str">
        <f ca="1">IFERROR(_xll.TR(MO.Ticker.Thomson,"Min(TR.PriceLow)","sdate:#1 edate:#2",,INDEX(MO_SNA_FPStartDate,0,COLUMN()),INDEX(MO_Common_QEndDate,0,COLUMN())),"N/A")</f>
        <v>N/A</v>
      </c>
      <c r="AB1161" s="396" t="str">
        <f ca="1">IFERROR(_xll.TR(MO.Ticker.Thomson,"Min(TR.PriceLow)","sdate:#1 edate:#2",,INDEX(MO_SNA_FPStartDate,0,COLUMN()),INDEX(MO_Common_QEndDate,0,COLUMN())),"N/A")</f>
        <v>N/A</v>
      </c>
      <c r="AC1161" s="396" t="str">
        <f ca="1">IFERROR(_xll.TR(MO.Ticker.Thomson,"Min(TR.PriceLow)","sdate:#1 edate:#2",,INDEX(MO_SNA_FPStartDate,0,COLUMN()),INDEX(MO_Common_QEndDate,0,COLUMN())),"N/A")</f>
        <v>N/A</v>
      </c>
      <c r="AD1161" s="396" t="str">
        <f ca="1">IFERROR(_xll.TR(MO.Ticker.Thomson,"Min(TR.PriceLow)","sdate:#1 edate:#2",,INDEX(MO_SNA_FPStartDate,0,COLUMN()),INDEX(MO_Common_QEndDate,0,COLUMN())),"N/A")</f>
        <v>N/A</v>
      </c>
      <c r="AE1161" s="396" t="str">
        <f ca="1">IFERROR(_xll.TR(MO.Ticker.Thomson,"Min(TR.PriceLow)","sdate:#1 edate:#2",,INDEX(MO_SNA_FPStartDate,0,COLUMN()),INDEX(MO_Common_QEndDate,0,COLUMN())),"N/A")</f>
        <v>N/A</v>
      </c>
      <c r="AF1161" s="396" t="str">
        <f ca="1">IFERROR(_xll.TR(MO.Ticker.Thomson,"Min(TR.PriceLow)","sdate:#1 edate:#2",,INDEX(MO_SNA_FPStartDate,0,COLUMN()),INDEX(MO_Common_QEndDate,0,COLUMN())),"N/A")</f>
        <v>N/A</v>
      </c>
      <c r="AG1161" s="396" t="str">
        <f ca="1">IFERROR(_xll.TR(MO.Ticker.Thomson,"Min(TR.PriceLow)","sdate:#1 edate:#2",,INDEX(MO_SNA_FPStartDate,0,COLUMN()),INDEX(MO_Common_QEndDate,0,COLUMN())),"N/A")</f>
        <v>N/A</v>
      </c>
      <c r="AH1161" s="396" t="str">
        <f ca="1">IFERROR(_xll.TR(MO.Ticker.Thomson,"Min(TR.PriceLow)","sdate:#1 edate:#2",,INDEX(MO_SNA_FPStartDate,0,COLUMN()),INDEX(MO_Common_QEndDate,0,COLUMN())),"N/A")</f>
        <v>N/A</v>
      </c>
      <c r="AI1161" s="396" t="str">
        <f ca="1">IFERROR(_xll.TR(MO.Ticker.Thomson,"Min(TR.PriceLow)","sdate:#1 edate:#2",,INDEX(MO_SNA_FPStartDate,0,COLUMN()),INDEX(MO_Common_QEndDate,0,COLUMN())),"N/A")</f>
        <v>N/A</v>
      </c>
      <c r="AJ1161" s="396" t="str">
        <f ca="1">IFERROR(_xll.TR(MO.Ticker.Thomson,"Min(TR.PriceLow)","sdate:#1 edate:#2",,INDEX(MO_SNA_FPStartDate,0,COLUMN()),INDEX(MO_Common_QEndDate,0,COLUMN())),"N/A")</f>
        <v>N/A</v>
      </c>
      <c r="AK1161" s="396" t="str">
        <f ca="1">IFERROR(_xll.TR(MO.Ticker.Thomson,"Min(TR.PriceLow)","sdate:#1 edate:#2",,INDEX(MO_SNA_FPStartDate,0,COLUMN()),INDEX(MO_Common_QEndDate,0,COLUMN())),"N/A")</f>
        <v>N/A</v>
      </c>
      <c r="AL1161" s="396" t="str">
        <f ca="1">IFERROR(_xll.TR(MO.Ticker.Thomson,"Min(TR.PriceLow)","sdate:#1 edate:#2",,INDEX(MO_SNA_FPStartDate,0,COLUMN()),INDEX(MO_Common_QEndDate,0,COLUMN())),"N/A")</f>
        <v>N/A</v>
      </c>
      <c r="AM1161" s="396" t="str">
        <f ca="1">IFERROR(_xll.TR(MO.Ticker.Thomson,"Min(TR.PriceLow)","sdate:#1 edate:#2",,INDEX(MO_SNA_FPStartDate,0,COLUMN()),INDEX(MO_Common_QEndDate,0,COLUMN())),"N/A")</f>
        <v>N/A</v>
      </c>
      <c r="AN1161" s="396" t="str">
        <f ca="1">IFERROR(_xll.TR(MO.Ticker.Thomson,"Min(TR.PriceLow)","sdate:#1 edate:#2",,INDEX(MO_SNA_FPStartDate,0,COLUMN()),INDEX(MO_Common_QEndDate,0,COLUMN())),"N/A")</f>
        <v>N/A</v>
      </c>
      <c r="AO1161" s="396" t="str">
        <f ca="1">IFERROR(_xll.TR(MO.Ticker.Thomson,"Min(TR.PriceLow)","sdate:#1 edate:#2",,INDEX(MO_SNA_FPStartDate,0,COLUMN()),INDEX(MO_Common_QEndDate,0,COLUMN())),"N/A")</f>
        <v>N/A</v>
      </c>
      <c r="AP1161" s="396" t="str">
        <f ca="1">IFERROR(_xll.TR(MO.Ticker.Thomson,"Min(TR.PriceLow)","sdate:#1 edate:#2",,INDEX(MO_SNA_FPStartDate,0,COLUMN()),INDEX(MO_Common_QEndDate,0,COLUMN())),"N/A")</f>
        <v>N/A</v>
      </c>
      <c r="AQ1161" s="396" t="str">
        <f ca="1">IFERROR(_xll.TR(MO.Ticker.Thomson,"Min(TR.PriceLow)","sdate:#1 edate:#2",,INDEX(MO_SNA_FPStartDate,0,COLUMN()),INDEX(MO_Common_QEndDate,0,COLUMN())),"N/A")</f>
        <v>N/A</v>
      </c>
      <c r="AR1161" s="396" t="str">
        <f ca="1">IFERROR(_xll.TR(MO.Ticker.Thomson,"Min(TR.PriceLow)","sdate:#1 edate:#2",,INDEX(MO_SNA_FPStartDate,0,COLUMN()),INDEX(MO_Common_QEndDate,0,COLUMN())),"N/A")</f>
        <v>N/A</v>
      </c>
      <c r="AS1161" s="396" t="str">
        <f ca="1">IFERROR(_xll.TR(MO.Ticker.Thomson,"Min(TR.PriceLow)","sdate:#1 edate:#2",,INDEX(MO_SNA_FPStartDate,0,COLUMN()),INDEX(MO_Common_QEndDate,0,COLUMN())),"N/A")</f>
        <v>N/A</v>
      </c>
      <c r="AT1161" s="396" t="str">
        <f ca="1">IFERROR(_xll.TR(MO.Ticker.Thomson,"Min(TR.PriceLow)","sdate:#1 edate:#2",,INDEX(MO_SNA_FPStartDate,0,COLUMN()),INDEX(MO_Common_QEndDate,0,COLUMN())),"N/A")</f>
        <v>N/A</v>
      </c>
      <c r="AU1161" s="837" t="str">
        <f ca="1">IFERROR(_xll.TR(MO.Ticker.Thomson,"Min(TR.PriceLow)","sdate:#1 edate:#2",,INDEX(MO_SNA_FPStartDate,0,COLUMN()),INDEX(MO_Common_QEndDate,0,COLUMN())),"N/A")</f>
        <v>N/A</v>
      </c>
      <c r="AV1161" s="396" t="str">
        <f ca="1">IFERROR(_xll.TR(MO.Ticker.Thomson,"Min(TR.PriceLow)","sdate:#1 edate:#2",,INDEX(MO_SNA_FPStartDate,0,COLUMN()),INDEX(MO_Common_QEndDate,0,COLUMN())),"N/A")</f>
        <v>N/A</v>
      </c>
      <c r="AW1161" s="396" t="str">
        <f ca="1">IFERROR(_xll.TR(MO.Ticker.Thomson,"Min(TR.PriceLow)","sdate:#1 edate:#2",,INDEX(MO_SNA_FPStartDate,0,COLUMN()),INDEX(MO_Common_QEndDate,0,COLUMN())),"N/A")</f>
        <v>N/A</v>
      </c>
      <c r="AX1161" s="396" t="str">
        <f ca="1">IFERROR(_xll.TR(MO.Ticker.Thomson,"Min(TR.PriceLow)","sdate:#1 edate:#2",,INDEX(MO_SNA_FPStartDate,0,COLUMN()),INDEX(MO_Common_QEndDate,0,COLUMN())),"N/A")</f>
        <v>N/A</v>
      </c>
      <c r="AY1161" s="396" t="str">
        <f ca="1">IFERROR(_xll.TR(MO.Ticker.Thomson,"Min(TR.PriceLow)","sdate:#1 edate:#2",,INDEX(MO_SNA_FPStartDate,0,COLUMN()),INDEX(MO_Common_QEndDate,0,COLUMN())),"N/A")</f>
        <v>N/A</v>
      </c>
      <c r="AZ1161" s="396" t="str">
        <f ca="1">IFERROR(_xll.TR(MO.Ticker.Thomson,"Min(TR.PriceLow)","sdate:#1 edate:#2",,INDEX(MO_SNA_FPStartDate,0,COLUMN()),INDEX(MO_Common_QEndDate,0,COLUMN())),"N/A")</f>
        <v>N/A</v>
      </c>
      <c r="BA1161" s="396" t="str">
        <f ca="1">IFERROR(_xll.TR(MO.Ticker.Thomson,"Min(TR.PriceLow)","sdate:#1 edate:#2",,INDEX(MO_SNA_FPStartDate,0,COLUMN()),INDEX(MO_Common_QEndDate,0,COLUMN())),"N/A")</f>
        <v>N/A</v>
      </c>
      <c r="BB1161" s="396" t="str">
        <f ca="1">IFERROR(_xll.TR(MO.Ticker.Thomson,"Min(TR.PriceLow)","sdate:#1 edate:#2",,INDEX(MO_SNA_FPStartDate,0,COLUMN()),INDEX(MO_Common_QEndDate,0,COLUMN())),"N/A")</f>
        <v>N/A</v>
      </c>
      <c r="BC1161" s="396" t="str">
        <f ca="1">IFERROR(_xll.TR(MO.Ticker.Thomson,"Min(TR.PriceLow)","sdate:#1 edate:#2",,INDEX(MO_SNA_FPStartDate,0,COLUMN()),INDEX(MO_Common_QEndDate,0,COLUMN())),"N/A")</f>
        <v>N/A</v>
      </c>
      <c r="BD1161" s="396" t="str">
        <f ca="1">IFERROR(_xll.TR(MO.Ticker.Thomson,"Min(TR.PriceLow)","sdate:#1 edate:#2",,INDEX(MO_SNA_FPStartDate,0,COLUMN()),INDEX(MO_Common_QEndDate,0,COLUMN())),"N/A")</f>
        <v>N/A</v>
      </c>
      <c r="BE1161" s="396" t="str">
        <f ca="1">IFERROR(_xll.TR(MO.Ticker.Thomson,"Min(TR.PriceLow)","sdate:#1 edate:#2",,INDEX(MO_SNA_FPStartDate,0,COLUMN()),INDEX(MO_Common_QEndDate,0,COLUMN())),"N/A")</f>
        <v>N/A</v>
      </c>
      <c r="BF1161" s="396" t="str">
        <f ca="1">IFERROR(_xll.TR(MO.Ticker.Thomson,"Min(TR.PriceLow)","sdate:#1 edate:#2",,INDEX(MO_SNA_FPStartDate,0,COLUMN()),INDEX(MO_Common_QEndDate,0,COLUMN())),"N/A")</f>
        <v>N/A</v>
      </c>
      <c r="BG1161" s="398" t="str">
        <f ca="1">IFERROR(_xll.TR(MO.Ticker.Thomson,"Min(TR.PriceLow)","sdate:#1 edate:#2",,INDEX(MO_SNA_FPStartDate,0,COLUMN()),INDEX(MO_Common_QEndDate,0,COLUMN())),"N/A")</f>
        <v>N/A</v>
      </c>
      <c r="BH1161" s="477"/>
    </row>
    <row r="1162" spans="1:60" s="15" customFormat="1" hidden="1" outlineLevel="1" x14ac:dyDescent="0.35">
      <c r="A1162" s="366"/>
      <c r="B1162" s="747"/>
      <c r="C1162" s="189"/>
      <c r="D1162" s="189"/>
      <c r="E1162" s="747"/>
      <c r="F1162" s="747"/>
      <c r="G1162" s="747"/>
      <c r="H1162" s="747"/>
      <c r="I1162" s="747"/>
      <c r="J1162" s="747"/>
      <c r="K1162" s="747"/>
      <c r="L1162" s="747"/>
      <c r="M1162" s="747"/>
      <c r="N1162" s="747"/>
      <c r="O1162" s="747"/>
      <c r="P1162" s="747"/>
      <c r="Q1162" s="747"/>
      <c r="R1162" s="747"/>
      <c r="S1162" s="747"/>
      <c r="T1162" s="747"/>
      <c r="U1162" s="747"/>
      <c r="V1162" s="747"/>
      <c r="W1162" s="747"/>
      <c r="X1162" s="747"/>
      <c r="Y1162" s="747"/>
      <c r="Z1162" s="747"/>
      <c r="AA1162" s="747"/>
      <c r="AB1162" s="747"/>
      <c r="AC1162" s="747"/>
      <c r="AD1162" s="747"/>
      <c r="AE1162" s="747"/>
      <c r="AF1162" s="747"/>
      <c r="AG1162" s="747"/>
      <c r="AH1162" s="747"/>
      <c r="AI1162" s="747"/>
      <c r="AJ1162" s="747"/>
      <c r="AK1162" s="747"/>
      <c r="AL1162" s="747"/>
      <c r="AM1162" s="747"/>
      <c r="AN1162" s="747"/>
      <c r="AO1162" s="747"/>
      <c r="AP1162" s="747"/>
      <c r="AQ1162" s="747"/>
      <c r="AR1162" s="747"/>
      <c r="AS1162" s="747"/>
      <c r="AT1162" s="747"/>
      <c r="AU1162" s="786"/>
      <c r="AV1162" s="747"/>
      <c r="AW1162" s="747"/>
      <c r="AX1162" s="747"/>
      <c r="AY1162" s="747"/>
      <c r="AZ1162" s="747"/>
      <c r="BA1162" s="747"/>
      <c r="BB1162" s="747"/>
      <c r="BC1162" s="747"/>
      <c r="BD1162" s="747"/>
      <c r="BE1162" s="747"/>
      <c r="BF1162" s="747"/>
      <c r="BG1162" s="364"/>
      <c r="BH1162" s="473"/>
    </row>
    <row r="1163" spans="1:60" s="399" customFormat="1" collapsed="1" x14ac:dyDescent="0.35">
      <c r="A1163" s="395" t="str">
        <f ca="1">"Stock Average: "&amp;IF(OR(MO.RealTimeStockPriceToggle=FALSE,VLOOKUP(MO.DataSourceName,MO_SPT_StockAverage_Sources,COLUMN()+2,FALSE)="N/A"),"Real-Time Off Source",MO.DataSourceName)</f>
        <v>Stock Average: Real-Time Off Source</v>
      </c>
      <c r="B1163" s="396"/>
      <c r="C1163" s="397">
        <f t="shared" ref="C1163:AH1163" ca="1" si="1596">IF(OR(MO.RealTimeStockPriceToggle=FALSE,VLOOKUP(MO.DataSourceName,MO_SPT_StockAverage_Sources,COLUMN(),FALSE)="N/A"),VLOOKUP("Real-Time Off Source",MO_SPT_StockAverage_Sources,COLUMN(),FALSE),VLOOKUP(MO.DataSourceName,MO_SPT_StockAverage_Sources,COLUMN(),FALSE))</f>
        <v>62.576250000000002</v>
      </c>
      <c r="D1163" s="397">
        <f t="shared" ca="1" si="1596"/>
        <v>82.603750000000005</v>
      </c>
      <c r="E1163" s="396">
        <f t="shared" ca="1" si="1596"/>
        <v>86.194999999999993</v>
      </c>
      <c r="F1163" s="396">
        <f t="shared" ca="1" si="1596"/>
        <v>88.31</v>
      </c>
      <c r="G1163" s="396">
        <f t="shared" ca="1" si="1596"/>
        <v>100.42</v>
      </c>
      <c r="H1163" s="396">
        <f t="shared" ca="1" si="1596"/>
        <v>108.07</v>
      </c>
      <c r="I1163" s="396">
        <f t="shared" ca="1" si="1596"/>
        <v>115.24</v>
      </c>
      <c r="J1163" s="396">
        <f t="shared" ca="1" si="1596"/>
        <v>128.54</v>
      </c>
      <c r="K1163" s="396">
        <f t="shared" ca="1" si="1596"/>
        <v>113.0675</v>
      </c>
      <c r="L1163" s="396">
        <f t="shared" ca="1" si="1596"/>
        <v>131.44999999999999</v>
      </c>
      <c r="M1163" s="396">
        <f t="shared" ca="1" si="1596"/>
        <v>138.77500000000001</v>
      </c>
      <c r="N1163" s="396">
        <f t="shared" ca="1" si="1596"/>
        <v>143.15</v>
      </c>
      <c r="O1163" s="396">
        <f t="shared" ca="1" si="1596"/>
        <v>149.38</v>
      </c>
      <c r="P1163" s="396">
        <f t="shared" ca="1" si="1596"/>
        <v>140.68875</v>
      </c>
      <c r="Q1163" s="396">
        <f t="shared" ca="1" si="1596"/>
        <v>164.12</v>
      </c>
      <c r="R1163" s="396">
        <f t="shared" ca="1" si="1596"/>
        <v>160.81</v>
      </c>
      <c r="S1163" s="396">
        <f t="shared" ca="1" si="1596"/>
        <v>145.97</v>
      </c>
      <c r="T1163" s="396">
        <f t="shared" ca="1" si="1596"/>
        <v>149.33000000000001</v>
      </c>
      <c r="U1163" s="396">
        <f t="shared" ca="1" si="1596"/>
        <v>155.0575</v>
      </c>
      <c r="V1163" s="396">
        <f t="shared" ca="1" si="1596"/>
        <v>151.07</v>
      </c>
      <c r="W1163" s="396">
        <f t="shared" ca="1" si="1596"/>
        <v>169.155</v>
      </c>
      <c r="X1163" s="396">
        <f t="shared" ca="1" si="1596"/>
        <v>177.89</v>
      </c>
      <c r="Y1163" s="396">
        <f t="shared" ca="1" si="1596"/>
        <v>171.95500000000001</v>
      </c>
      <c r="Z1163" s="396">
        <f t="shared" ca="1" si="1596"/>
        <v>167.51750000000001</v>
      </c>
      <c r="AA1163" s="396">
        <f t="shared" ca="1" si="1596"/>
        <v>183.52500000000001</v>
      </c>
      <c r="AB1163" s="396">
        <f t="shared" ca="1" si="1596"/>
        <v>201.595</v>
      </c>
      <c r="AC1163" s="396">
        <f t="shared" ca="1" si="1596"/>
        <v>205.91</v>
      </c>
      <c r="AD1163" s="396">
        <f t="shared" ca="1" si="1596"/>
        <v>227.13</v>
      </c>
      <c r="AE1163" s="396">
        <f t="shared" ca="1" si="1596"/>
        <v>204.54</v>
      </c>
      <c r="AF1163" s="396">
        <f t="shared" ca="1" si="1596"/>
        <v>231.51747540983601</v>
      </c>
      <c r="AG1163" s="396">
        <f t="shared" ca="1" si="1596"/>
        <v>200.653146875</v>
      </c>
      <c r="AH1163" s="396">
        <f t="shared" ca="1" si="1596"/>
        <v>203.823425396825</v>
      </c>
      <c r="AI1163" s="396">
        <f t="shared" ref="AI1163:AY1163" ca="1" si="1597">IF(OR(MO.RealTimeStockPriceToggle=FALSE,VLOOKUP(MO.DataSourceName,MO_SPT_StockAverage_Sources,COLUMN(),FALSE)="N/A"),VLOOKUP("Real-Time Off Source",MO_SPT_StockAverage_Sources,COLUMN(),FALSE),VLOOKUP(MO.DataSourceName,MO_SPT_StockAverage_Sources,COLUMN(),FALSE))</f>
        <v>197.73132539682501</v>
      </c>
      <c r="AJ1163" s="396">
        <f t="shared" ca="1" si="1597"/>
        <v>208.21640119521899</v>
      </c>
      <c r="AK1163" s="396">
        <f t="shared" ca="1" si="1597"/>
        <v>201.351803278689</v>
      </c>
      <c r="AL1163" s="396">
        <f t="shared" ca="1" si="1597"/>
        <v>184.10777777777801</v>
      </c>
      <c r="AM1163" s="396">
        <f t="shared" ca="1" si="1597"/>
        <v>167.20515624999999</v>
      </c>
      <c r="AN1163" s="396">
        <f t="shared" ca="1" si="1597"/>
        <v>167.51249999999999</v>
      </c>
      <c r="AO1163" s="396">
        <f t="shared" ca="1" si="1597"/>
        <v>179.774523809524</v>
      </c>
      <c r="AP1163" s="396">
        <f t="shared" ca="1" si="1597"/>
        <v>157.336935483871</v>
      </c>
      <c r="AQ1163" s="396">
        <f t="shared" ca="1" si="1597"/>
        <v>150.70222222222199</v>
      </c>
      <c r="AR1163" s="396">
        <f ca="1">IF(OR(MO.RealTimeStockPriceToggle=FALSE,VLOOKUP(MO.DataSourceName,MO_SPT_StockAverage_Sources,COLUMN(),FALSE)="N/A"),VLOOKUP("Real-Time Off Source",MO_SPT_StockAverage_Sources,COLUMN(),FALSE),VLOOKUP(MO.DataSourceName,MO_SPT_StockAverage_Sources,COLUMN(),FALSE))</f>
        <v>160.8853125</v>
      </c>
      <c r="AS1163" s="396">
        <f ca="1">IF(OR(MO.RealTimeStockPriceToggle=FALSE,VLOOKUP(MO.DataSourceName,MO_SPT_StockAverage_Sources,COLUMN(),FALSE)="N/A"),VLOOKUP("Real-Time Off Source",MO_SPT_StockAverage_Sources,COLUMN(),FALSE),VLOOKUP(MO.DataSourceName,MO_SPT_StockAverage_Sources,COLUMN(),FALSE))</f>
        <v>169.76921874999999</v>
      </c>
      <c r="AT1163" s="396">
        <f ca="1">IF(OR(MO.RealTimeStockPriceToggle=FALSE,VLOOKUP(MO.DataSourceName,MO_SPT_StockAverage_Sources,COLUMN(),FALSE)="N/A"),VLOOKUP("Real-Time Off Source",MO_SPT_StockAverage_Sources,COLUMN(),FALSE),VLOOKUP(MO.DataSourceName,MO_SPT_StockAverage_Sources,COLUMN(),FALSE))</f>
        <v>159.72735177865599</v>
      </c>
      <c r="AU1163" s="837">
        <f t="shared" ca="1" si="1597"/>
        <v>179.029672131148</v>
      </c>
      <c r="AV1163" s="396">
        <f t="shared" ca="1" si="1597"/>
        <v>0</v>
      </c>
      <c r="AW1163" s="396">
        <f t="shared" ca="1" si="1597"/>
        <v>0</v>
      </c>
      <c r="AX1163" s="396">
        <f t="shared" ca="1" si="1597"/>
        <v>0</v>
      </c>
      <c r="AY1163" s="396">
        <f t="shared" ca="1" si="1597"/>
        <v>0</v>
      </c>
      <c r="AZ1163" s="396">
        <f t="shared" ref="AZ1163:BG1163" ca="1" si="1598">IF(OR(MO.RealTimeStockPriceToggle=FALSE,VLOOKUP(MO.DataSourceName,MO_SPT_StockAverage_Sources,COLUMN(),FALSE)="N/A"),VLOOKUP("Real-Time Off Source",MO_SPT_StockAverage_Sources,COLUMN(),FALSE),VLOOKUP(MO.DataSourceName,MO_SPT_StockAverage_Sources,COLUMN(),FALSE))</f>
        <v>0</v>
      </c>
      <c r="BA1163" s="396">
        <f t="shared" ca="1" si="1598"/>
        <v>0</v>
      </c>
      <c r="BB1163" s="396">
        <f t="shared" ca="1" si="1598"/>
        <v>0</v>
      </c>
      <c r="BC1163" s="396">
        <f t="shared" ca="1" si="1598"/>
        <v>0</v>
      </c>
      <c r="BD1163" s="396">
        <f t="shared" ca="1" si="1598"/>
        <v>0</v>
      </c>
      <c r="BE1163" s="396">
        <f t="shared" ca="1" si="1598"/>
        <v>0</v>
      </c>
      <c r="BF1163" s="396">
        <f t="shared" ca="1" si="1598"/>
        <v>0</v>
      </c>
      <c r="BG1163" s="398">
        <f t="shared" ca="1" si="1598"/>
        <v>0</v>
      </c>
      <c r="BH1163" s="477"/>
    </row>
    <row r="1164" spans="1:60" s="399" customFormat="1" hidden="1" outlineLevel="1" x14ac:dyDescent="0.35">
      <c r="A1164" s="400" t="s">
        <v>245</v>
      </c>
      <c r="B1164" s="396"/>
      <c r="C1164" s="397">
        <v>62.576250000000002</v>
      </c>
      <c r="D1164" s="397">
        <v>82.603750000000005</v>
      </c>
      <c r="E1164" s="396">
        <v>86.194999999999993</v>
      </c>
      <c r="F1164" s="396">
        <v>88.31</v>
      </c>
      <c r="G1164" s="396">
        <v>100.42</v>
      </c>
      <c r="H1164" s="396">
        <v>108.07</v>
      </c>
      <c r="I1164" s="396">
        <v>115.24</v>
      </c>
      <c r="J1164" s="396">
        <v>128.54</v>
      </c>
      <c r="K1164" s="396">
        <v>113.0675</v>
      </c>
      <c r="L1164" s="396">
        <v>131.44999999999999</v>
      </c>
      <c r="M1164" s="396">
        <v>138.77500000000001</v>
      </c>
      <c r="N1164" s="396">
        <v>143.15</v>
      </c>
      <c r="O1164" s="396">
        <v>149.38</v>
      </c>
      <c r="P1164" s="396">
        <v>140.68875</v>
      </c>
      <c r="Q1164" s="396">
        <v>164.12</v>
      </c>
      <c r="R1164" s="396">
        <v>160.81</v>
      </c>
      <c r="S1164" s="396">
        <v>145.97</v>
      </c>
      <c r="T1164" s="396">
        <v>149.33000000000001</v>
      </c>
      <c r="U1164" s="396">
        <v>155.0575</v>
      </c>
      <c r="V1164" s="396">
        <v>151.07</v>
      </c>
      <c r="W1164" s="396">
        <v>169.155</v>
      </c>
      <c r="X1164" s="396">
        <v>177.89</v>
      </c>
      <c r="Y1164" s="396">
        <v>171.95500000000001</v>
      </c>
      <c r="Z1164" s="396">
        <v>167.51750000000001</v>
      </c>
      <c r="AA1164" s="396">
        <v>183.52500000000001</v>
      </c>
      <c r="AB1164" s="396">
        <v>201.595</v>
      </c>
      <c r="AC1164" s="396">
        <v>205.91</v>
      </c>
      <c r="AD1164" s="396">
        <v>227.13</v>
      </c>
      <c r="AE1164" s="396">
        <v>204.54</v>
      </c>
      <c r="AF1164" s="396">
        <v>231.51747540983601</v>
      </c>
      <c r="AG1164" s="396">
        <v>200.653146875</v>
      </c>
      <c r="AH1164" s="396">
        <v>203.823425396825</v>
      </c>
      <c r="AI1164" s="396">
        <v>197.73132539682501</v>
      </c>
      <c r="AJ1164" s="396">
        <v>208.21640119521899</v>
      </c>
      <c r="AK1164" s="396">
        <v>201.351803278689</v>
      </c>
      <c r="AL1164" s="396">
        <v>184.10777777777801</v>
      </c>
      <c r="AM1164" s="396">
        <v>167.20515624999999</v>
      </c>
      <c r="AN1164" s="396">
        <v>167.51249999999999</v>
      </c>
      <c r="AO1164" s="396">
        <v>179.774523809524</v>
      </c>
      <c r="AP1164" s="396">
        <v>157.336935483871</v>
      </c>
      <c r="AQ1164" s="396">
        <v>150.70222222222199</v>
      </c>
      <c r="AR1164" s="396">
        <v>160.8853125</v>
      </c>
      <c r="AS1164" s="396">
        <v>169.76921874999999</v>
      </c>
      <c r="AT1164" s="396">
        <v>159.72735177865599</v>
      </c>
      <c r="AU1164" s="837">
        <v>179.029672131148</v>
      </c>
      <c r="AV1164" s="396"/>
      <c r="AW1164" s="396"/>
      <c r="AX1164" s="396"/>
      <c r="AY1164" s="396"/>
      <c r="AZ1164" s="396"/>
      <c r="BA1164" s="396"/>
      <c r="BB1164" s="396"/>
      <c r="BC1164" s="396"/>
      <c r="BD1164" s="396"/>
      <c r="BE1164" s="396"/>
      <c r="BF1164" s="396"/>
      <c r="BG1164" s="398"/>
      <c r="BH1164" s="477"/>
    </row>
    <row r="1165" spans="1:60" s="399" customFormat="1" hidden="1" outlineLevel="1" x14ac:dyDescent="0.35">
      <c r="A1165" s="400" t="s">
        <v>7</v>
      </c>
      <c r="B1165" s="396"/>
      <c r="C1165" s="397" t="str">
        <f ca="1">IFERROR(BDP(MO.Ticker.Bloomberg&amp;" Equity","INTERVAL_AVG","MARKET_DATA_OVERRIDE=PX_LAST","START_DATE_OVERRIDE",TEXT(INDEX(MO_SNA_FPStartDate,0,COLUMN()),"YYYYMMDD"),"END_DATE_OVERRIDE",TEXT(INDEX(MO_Common_QEndDate,0,COLUMN()),"YYYYMMDD")),"N/A")</f>
        <v>N/A</v>
      </c>
      <c r="D1165" s="397" t="str">
        <f ca="1">IFERROR(BDP(MO.Ticker.Bloomberg&amp;" Equity","INTERVAL_AVG","MARKET_DATA_OVERRIDE=PX_LAST","START_DATE_OVERRIDE",TEXT(INDEX(MO_SNA_FPStartDate,0,COLUMN()),"YYYYMMDD"),"END_DATE_OVERRIDE",TEXT(INDEX(MO_Common_QEndDate,0,COLUMN()),"YYYYMMDD")),"N/A")</f>
        <v>N/A</v>
      </c>
      <c r="E1165" s="396" t="str">
        <f ca="1">IFERROR(BDP(MO.Ticker.Bloomberg&amp;" Equity","INTERVAL_AVG","MARKET_DATA_OVERRIDE=PX_LAST","START_DATE_OVERRIDE",TEXT(INDEX(MO_SNA_FPStartDate,0,COLUMN()),"YYYYMMDD"),"END_DATE_OVERRIDE",TEXT(INDEX(MO_Common_QEndDate,0,COLUMN()),"YYYYMMDD")),"N/A")</f>
        <v>N/A</v>
      </c>
      <c r="F1165" s="396" t="str">
        <f ca="1">IFERROR(BDP(MO.Ticker.Bloomberg&amp;" Equity","INTERVAL_AVG","MARKET_DATA_OVERRIDE=PX_LAST","START_DATE_OVERRIDE",TEXT(INDEX(MO_SNA_FPStartDate,0,COLUMN()),"YYYYMMDD"),"END_DATE_OVERRIDE",TEXT(INDEX(MO_Common_QEndDate,0,COLUMN()),"YYYYMMDD")),"N/A")</f>
        <v>N/A</v>
      </c>
      <c r="G1165" s="396" t="str">
        <f ca="1">IFERROR(BDP(MO.Ticker.Bloomberg&amp;" Equity","INTERVAL_AVG","MARKET_DATA_OVERRIDE=PX_LAST","START_DATE_OVERRIDE",TEXT(INDEX(MO_SNA_FPStartDate,0,COLUMN()),"YYYYMMDD"),"END_DATE_OVERRIDE",TEXT(INDEX(MO_Common_QEndDate,0,COLUMN()),"YYYYMMDD")),"N/A")</f>
        <v>N/A</v>
      </c>
      <c r="H1165" s="396" t="str">
        <f ca="1">IFERROR(BDP(MO.Ticker.Bloomberg&amp;" Equity","INTERVAL_AVG","MARKET_DATA_OVERRIDE=PX_LAST","START_DATE_OVERRIDE",TEXT(INDEX(MO_SNA_FPStartDate,0,COLUMN()),"YYYYMMDD"),"END_DATE_OVERRIDE",TEXT(INDEX(MO_Common_QEndDate,0,COLUMN()),"YYYYMMDD")),"N/A")</f>
        <v>N/A</v>
      </c>
      <c r="I1165" s="396" t="str">
        <f ca="1">IFERROR(BDP(MO.Ticker.Bloomberg&amp;" Equity","INTERVAL_AVG","MARKET_DATA_OVERRIDE=PX_LAST","START_DATE_OVERRIDE",TEXT(INDEX(MO_SNA_FPStartDate,0,COLUMN()),"YYYYMMDD"),"END_DATE_OVERRIDE",TEXT(INDEX(MO_Common_QEndDate,0,COLUMN()),"YYYYMMDD")),"N/A")</f>
        <v>N/A</v>
      </c>
      <c r="J1165" s="396" t="str">
        <f ca="1">IFERROR(BDP(MO.Ticker.Bloomberg&amp;" Equity","INTERVAL_AVG","MARKET_DATA_OVERRIDE=PX_LAST","START_DATE_OVERRIDE",TEXT(INDEX(MO_SNA_FPStartDate,0,COLUMN()),"YYYYMMDD"),"END_DATE_OVERRIDE",TEXT(INDEX(MO_Common_QEndDate,0,COLUMN()),"YYYYMMDD")),"N/A")</f>
        <v>N/A</v>
      </c>
      <c r="K1165" s="396" t="str">
        <f ca="1">IFERROR(BDP(MO.Ticker.Bloomberg&amp;" Equity","INTERVAL_AVG","MARKET_DATA_OVERRIDE=PX_LAST","START_DATE_OVERRIDE",TEXT(INDEX(MO_SNA_FPStartDate,0,COLUMN()),"YYYYMMDD"),"END_DATE_OVERRIDE",TEXT(INDEX(MO_Common_QEndDate,0,COLUMN()),"YYYYMMDD")),"N/A")</f>
        <v>N/A</v>
      </c>
      <c r="L1165" s="396" t="str">
        <f ca="1">IFERROR(BDP(MO.Ticker.Bloomberg&amp;" Equity","INTERVAL_AVG","MARKET_DATA_OVERRIDE=PX_LAST","START_DATE_OVERRIDE",TEXT(INDEX(MO_SNA_FPStartDate,0,COLUMN()),"YYYYMMDD"),"END_DATE_OVERRIDE",TEXT(INDEX(MO_Common_QEndDate,0,COLUMN()),"YYYYMMDD")),"N/A")</f>
        <v>N/A</v>
      </c>
      <c r="M1165" s="396" t="str">
        <f ca="1">IFERROR(BDP(MO.Ticker.Bloomberg&amp;" Equity","INTERVAL_AVG","MARKET_DATA_OVERRIDE=PX_LAST","START_DATE_OVERRIDE",TEXT(INDEX(MO_SNA_FPStartDate,0,COLUMN()),"YYYYMMDD"),"END_DATE_OVERRIDE",TEXT(INDEX(MO_Common_QEndDate,0,COLUMN()),"YYYYMMDD")),"N/A")</f>
        <v>N/A</v>
      </c>
      <c r="N1165" s="396" t="str">
        <f ca="1">IFERROR(BDP(MO.Ticker.Bloomberg&amp;" Equity","INTERVAL_AVG","MARKET_DATA_OVERRIDE=PX_LAST","START_DATE_OVERRIDE",TEXT(INDEX(MO_SNA_FPStartDate,0,COLUMN()),"YYYYMMDD"),"END_DATE_OVERRIDE",TEXT(INDEX(MO_Common_QEndDate,0,COLUMN()),"YYYYMMDD")),"N/A")</f>
        <v>N/A</v>
      </c>
      <c r="O1165" s="396" t="str">
        <f ca="1">IFERROR(BDP(MO.Ticker.Bloomberg&amp;" Equity","INTERVAL_AVG","MARKET_DATA_OVERRIDE=PX_LAST","START_DATE_OVERRIDE",TEXT(INDEX(MO_SNA_FPStartDate,0,COLUMN()),"YYYYMMDD"),"END_DATE_OVERRIDE",TEXT(INDEX(MO_Common_QEndDate,0,COLUMN()),"YYYYMMDD")),"N/A")</f>
        <v>N/A</v>
      </c>
      <c r="P1165" s="396" t="str">
        <f ca="1">IFERROR(BDP(MO.Ticker.Bloomberg&amp;" Equity","INTERVAL_AVG","MARKET_DATA_OVERRIDE=PX_LAST","START_DATE_OVERRIDE",TEXT(INDEX(MO_SNA_FPStartDate,0,COLUMN()),"YYYYMMDD"),"END_DATE_OVERRIDE",TEXT(INDEX(MO_Common_QEndDate,0,COLUMN()),"YYYYMMDD")),"N/A")</f>
        <v>N/A</v>
      </c>
      <c r="Q1165" s="396" t="str">
        <f ca="1">IFERROR(BDP(MO.Ticker.Bloomberg&amp;" Equity","INTERVAL_AVG","MARKET_DATA_OVERRIDE=PX_LAST","START_DATE_OVERRIDE",TEXT(INDEX(MO_SNA_FPStartDate,0,COLUMN()),"YYYYMMDD"),"END_DATE_OVERRIDE",TEXT(INDEX(MO_Common_QEndDate,0,COLUMN()),"YYYYMMDD")),"N/A")</f>
        <v>N/A</v>
      </c>
      <c r="R1165" s="396" t="str">
        <f ca="1">IFERROR(BDP(MO.Ticker.Bloomberg&amp;" Equity","INTERVAL_AVG","MARKET_DATA_OVERRIDE=PX_LAST","START_DATE_OVERRIDE",TEXT(INDEX(MO_SNA_FPStartDate,0,COLUMN()),"YYYYMMDD"),"END_DATE_OVERRIDE",TEXT(INDEX(MO_Common_QEndDate,0,COLUMN()),"YYYYMMDD")),"N/A")</f>
        <v>N/A</v>
      </c>
      <c r="S1165" s="396" t="str">
        <f ca="1">IFERROR(BDP(MO.Ticker.Bloomberg&amp;" Equity","INTERVAL_AVG","MARKET_DATA_OVERRIDE=PX_LAST","START_DATE_OVERRIDE",TEXT(INDEX(MO_SNA_FPStartDate,0,COLUMN()),"YYYYMMDD"),"END_DATE_OVERRIDE",TEXT(INDEX(MO_Common_QEndDate,0,COLUMN()),"YYYYMMDD")),"N/A")</f>
        <v>N/A</v>
      </c>
      <c r="T1165" s="396" t="str">
        <f ca="1">IFERROR(BDP(MO.Ticker.Bloomberg&amp;" Equity","INTERVAL_AVG","MARKET_DATA_OVERRIDE=PX_LAST","START_DATE_OVERRIDE",TEXT(INDEX(MO_SNA_FPStartDate,0,COLUMN()),"YYYYMMDD"),"END_DATE_OVERRIDE",TEXT(INDEX(MO_Common_QEndDate,0,COLUMN()),"YYYYMMDD")),"N/A")</f>
        <v>N/A</v>
      </c>
      <c r="U1165" s="396" t="str">
        <f ca="1">IFERROR(BDP(MO.Ticker.Bloomberg&amp;" Equity","INTERVAL_AVG","MARKET_DATA_OVERRIDE=PX_LAST","START_DATE_OVERRIDE",TEXT(INDEX(MO_SNA_FPStartDate,0,COLUMN()),"YYYYMMDD"),"END_DATE_OVERRIDE",TEXT(INDEX(MO_Common_QEndDate,0,COLUMN()),"YYYYMMDD")),"N/A")</f>
        <v>N/A</v>
      </c>
      <c r="V1165" s="396" t="str">
        <f ca="1">IFERROR(BDP(MO.Ticker.Bloomberg&amp;" Equity","INTERVAL_AVG","MARKET_DATA_OVERRIDE=PX_LAST","START_DATE_OVERRIDE",TEXT(INDEX(MO_SNA_FPStartDate,0,COLUMN()),"YYYYMMDD"),"END_DATE_OVERRIDE",TEXT(INDEX(MO_Common_QEndDate,0,COLUMN()),"YYYYMMDD")),"N/A")</f>
        <v>N/A</v>
      </c>
      <c r="W1165" s="396" t="str">
        <f ca="1">IFERROR(BDP(MO.Ticker.Bloomberg&amp;" Equity","INTERVAL_AVG","MARKET_DATA_OVERRIDE=PX_LAST","START_DATE_OVERRIDE",TEXT(INDEX(MO_SNA_FPStartDate,0,COLUMN()),"YYYYMMDD"),"END_DATE_OVERRIDE",TEXT(INDEX(MO_Common_QEndDate,0,COLUMN()),"YYYYMMDD")),"N/A")</f>
        <v>N/A</v>
      </c>
      <c r="X1165" s="396" t="str">
        <f ca="1">IFERROR(BDP(MO.Ticker.Bloomberg&amp;" Equity","INTERVAL_AVG","MARKET_DATA_OVERRIDE=PX_LAST","START_DATE_OVERRIDE",TEXT(INDEX(MO_SNA_FPStartDate,0,COLUMN()),"YYYYMMDD"),"END_DATE_OVERRIDE",TEXT(INDEX(MO_Common_QEndDate,0,COLUMN()),"YYYYMMDD")),"N/A")</f>
        <v>N/A</v>
      </c>
      <c r="Y1165" s="396" t="str">
        <f ca="1">IFERROR(BDP(MO.Ticker.Bloomberg&amp;" Equity","INTERVAL_AVG","MARKET_DATA_OVERRIDE=PX_LAST","START_DATE_OVERRIDE",TEXT(INDEX(MO_SNA_FPStartDate,0,COLUMN()),"YYYYMMDD"),"END_DATE_OVERRIDE",TEXT(INDEX(MO_Common_QEndDate,0,COLUMN()),"YYYYMMDD")),"N/A")</f>
        <v>N/A</v>
      </c>
      <c r="Z1165" s="396" t="str">
        <f ca="1">IFERROR(BDP(MO.Ticker.Bloomberg&amp;" Equity","INTERVAL_AVG","MARKET_DATA_OVERRIDE=PX_LAST","START_DATE_OVERRIDE",TEXT(INDEX(MO_SNA_FPStartDate,0,COLUMN()),"YYYYMMDD"),"END_DATE_OVERRIDE",TEXT(INDEX(MO_Common_QEndDate,0,COLUMN()),"YYYYMMDD")),"N/A")</f>
        <v>N/A</v>
      </c>
      <c r="AA1165" s="396" t="str">
        <f ca="1">IFERROR(BDP(MO.Ticker.Bloomberg&amp;" Equity","INTERVAL_AVG","MARKET_DATA_OVERRIDE=PX_LAST","START_DATE_OVERRIDE",TEXT(INDEX(MO_SNA_FPStartDate,0,COLUMN()),"YYYYMMDD"),"END_DATE_OVERRIDE",TEXT(INDEX(MO_Common_QEndDate,0,COLUMN()),"YYYYMMDD")),"N/A")</f>
        <v>N/A</v>
      </c>
      <c r="AB1165" s="396" t="str">
        <f ca="1">IFERROR(BDP(MO.Ticker.Bloomberg&amp;" Equity","INTERVAL_AVG","MARKET_DATA_OVERRIDE=PX_LAST","START_DATE_OVERRIDE",TEXT(INDEX(MO_SNA_FPStartDate,0,COLUMN()),"YYYYMMDD"),"END_DATE_OVERRIDE",TEXT(INDEX(MO_Common_QEndDate,0,COLUMN()),"YYYYMMDD")),"N/A")</f>
        <v>N/A</v>
      </c>
      <c r="AC1165" s="396" t="str">
        <f ca="1">IFERROR(BDP(MO.Ticker.Bloomberg&amp;" Equity","INTERVAL_AVG","MARKET_DATA_OVERRIDE=PX_LAST","START_DATE_OVERRIDE",TEXT(INDEX(MO_SNA_FPStartDate,0,COLUMN()),"YYYYMMDD"),"END_DATE_OVERRIDE",TEXT(INDEX(MO_Common_QEndDate,0,COLUMN()),"YYYYMMDD")),"N/A")</f>
        <v>N/A</v>
      </c>
      <c r="AD1165" s="396" t="str">
        <f ca="1">IFERROR(BDP(MO.Ticker.Bloomberg&amp;" Equity","INTERVAL_AVG","MARKET_DATA_OVERRIDE=PX_LAST","START_DATE_OVERRIDE",TEXT(INDEX(MO_SNA_FPStartDate,0,COLUMN()),"YYYYMMDD"),"END_DATE_OVERRIDE",TEXT(INDEX(MO_Common_QEndDate,0,COLUMN()),"YYYYMMDD")),"N/A")</f>
        <v>N/A</v>
      </c>
      <c r="AE1165" s="396" t="str">
        <f ca="1">IFERROR(BDP(MO.Ticker.Bloomberg&amp;" Equity","INTERVAL_AVG","MARKET_DATA_OVERRIDE=PX_LAST","START_DATE_OVERRIDE",TEXT(INDEX(MO_SNA_FPStartDate,0,COLUMN()),"YYYYMMDD"),"END_DATE_OVERRIDE",TEXT(INDEX(MO_Common_QEndDate,0,COLUMN()),"YYYYMMDD")),"N/A")</f>
        <v>N/A</v>
      </c>
      <c r="AF1165" s="396" t="str">
        <f ca="1">IFERROR(BDP(MO.Ticker.Bloomberg&amp;" Equity","INTERVAL_AVG","MARKET_DATA_OVERRIDE=PX_LAST","START_DATE_OVERRIDE",TEXT(INDEX(MO_SNA_FPStartDate,0,COLUMN()),"YYYYMMDD"),"END_DATE_OVERRIDE",TEXT(INDEX(MO_Common_QEndDate,0,COLUMN()),"YYYYMMDD")),"N/A")</f>
        <v>N/A</v>
      </c>
      <c r="AG1165" s="396" t="str">
        <f ca="1">IFERROR(BDP(MO.Ticker.Bloomberg&amp;" Equity","INTERVAL_AVG","MARKET_DATA_OVERRIDE=PX_LAST","START_DATE_OVERRIDE",TEXT(INDEX(MO_SNA_FPStartDate,0,COLUMN()),"YYYYMMDD"),"END_DATE_OVERRIDE",TEXT(INDEX(MO_Common_QEndDate,0,COLUMN()),"YYYYMMDD")),"N/A")</f>
        <v>N/A</v>
      </c>
      <c r="AH1165" s="396" t="str">
        <f ca="1">IFERROR(BDP(MO.Ticker.Bloomberg&amp;" Equity","INTERVAL_AVG","MARKET_DATA_OVERRIDE=PX_LAST","START_DATE_OVERRIDE",TEXT(INDEX(MO_SNA_FPStartDate,0,COLUMN()),"YYYYMMDD"),"END_DATE_OVERRIDE",TEXT(INDEX(MO_Common_QEndDate,0,COLUMN()),"YYYYMMDD")),"N/A")</f>
        <v>N/A</v>
      </c>
      <c r="AI1165" s="396" t="str">
        <f ca="1">IFERROR(BDP(MO.Ticker.Bloomberg&amp;" Equity","INTERVAL_AVG","MARKET_DATA_OVERRIDE=PX_LAST","START_DATE_OVERRIDE",TEXT(INDEX(MO_SNA_FPStartDate,0,COLUMN()),"YYYYMMDD"),"END_DATE_OVERRIDE",TEXT(INDEX(MO_Common_QEndDate,0,COLUMN()),"YYYYMMDD")),"N/A")</f>
        <v>N/A</v>
      </c>
      <c r="AJ1165" s="396" t="str">
        <f ca="1">IFERROR(BDP(MO.Ticker.Bloomberg&amp;" Equity","INTERVAL_AVG","MARKET_DATA_OVERRIDE=PX_LAST","START_DATE_OVERRIDE",TEXT(INDEX(MO_SNA_FPStartDate,0,COLUMN()),"YYYYMMDD"),"END_DATE_OVERRIDE",TEXT(INDEX(MO_Common_QEndDate,0,COLUMN()),"YYYYMMDD")),"N/A")</f>
        <v>N/A</v>
      </c>
      <c r="AK1165" s="396" t="str">
        <f ca="1">IFERROR(BDP(MO.Ticker.Bloomberg&amp;" Equity","INTERVAL_AVG","MARKET_DATA_OVERRIDE=PX_LAST","START_DATE_OVERRIDE",TEXT(INDEX(MO_SNA_FPStartDate,0,COLUMN()),"YYYYMMDD"),"END_DATE_OVERRIDE",TEXT(INDEX(MO_Common_QEndDate,0,COLUMN()),"YYYYMMDD")),"N/A")</f>
        <v>N/A</v>
      </c>
      <c r="AL1165" s="396" t="str">
        <f ca="1">IFERROR(BDP(MO.Ticker.Bloomberg&amp;" Equity","INTERVAL_AVG","MARKET_DATA_OVERRIDE=PX_LAST","START_DATE_OVERRIDE",TEXT(INDEX(MO_SNA_FPStartDate,0,COLUMN()),"YYYYMMDD"),"END_DATE_OVERRIDE",TEXT(INDEX(MO_Common_QEndDate,0,COLUMN()),"YYYYMMDD")),"N/A")</f>
        <v>N/A</v>
      </c>
      <c r="AM1165" s="396" t="str">
        <f ca="1">IFERROR(BDP(MO.Ticker.Bloomberg&amp;" Equity","INTERVAL_AVG","MARKET_DATA_OVERRIDE=PX_LAST","START_DATE_OVERRIDE",TEXT(INDEX(MO_SNA_FPStartDate,0,COLUMN()),"YYYYMMDD"),"END_DATE_OVERRIDE",TEXT(INDEX(MO_Common_QEndDate,0,COLUMN()),"YYYYMMDD")),"N/A")</f>
        <v>N/A</v>
      </c>
      <c r="AN1165" s="396" t="str">
        <f ca="1">IFERROR(BDP(MO.Ticker.Bloomberg&amp;" Equity","INTERVAL_AVG","MARKET_DATA_OVERRIDE=PX_LAST","START_DATE_OVERRIDE",TEXT(INDEX(MO_SNA_FPStartDate,0,COLUMN()),"YYYYMMDD"),"END_DATE_OVERRIDE",TEXT(INDEX(MO_Common_QEndDate,0,COLUMN()),"YYYYMMDD")),"N/A")</f>
        <v>N/A</v>
      </c>
      <c r="AO1165" s="396" t="str">
        <f ca="1">IFERROR(BDP(MO.Ticker.Bloomberg&amp;" Equity","INTERVAL_AVG","MARKET_DATA_OVERRIDE=PX_LAST","START_DATE_OVERRIDE",TEXT(INDEX(MO_SNA_FPStartDate,0,COLUMN()),"YYYYMMDD"),"END_DATE_OVERRIDE",TEXT(INDEX(MO_Common_QEndDate,0,COLUMN()),"YYYYMMDD")),"N/A")</f>
        <v>N/A</v>
      </c>
      <c r="AP1165" s="396" t="str">
        <f ca="1">IFERROR(BDP(MO.Ticker.Bloomberg&amp;" Equity","INTERVAL_AVG","MARKET_DATA_OVERRIDE=PX_LAST","START_DATE_OVERRIDE",TEXT(INDEX(MO_SNA_FPStartDate,0,COLUMN()),"YYYYMMDD"),"END_DATE_OVERRIDE",TEXT(INDEX(MO_Common_QEndDate,0,COLUMN()),"YYYYMMDD")),"N/A")</f>
        <v>N/A</v>
      </c>
      <c r="AQ1165" s="396" t="str">
        <f ca="1">IFERROR(BDP(MO.Ticker.Bloomberg&amp;" Equity","INTERVAL_AVG","MARKET_DATA_OVERRIDE=PX_LAST","START_DATE_OVERRIDE",TEXT(INDEX(MO_SNA_FPStartDate,0,COLUMN()),"YYYYMMDD"),"END_DATE_OVERRIDE",TEXT(INDEX(MO_Common_QEndDate,0,COLUMN()),"YYYYMMDD")),"N/A")</f>
        <v>N/A</v>
      </c>
      <c r="AR1165" s="396" t="str">
        <f ca="1">IFERROR(BDP(MO.Ticker.Bloomberg&amp;" Equity","INTERVAL_AVG","MARKET_DATA_OVERRIDE=PX_LAST","START_DATE_OVERRIDE",TEXT(INDEX(MO_SNA_FPStartDate,0,COLUMN()),"YYYYMMDD"),"END_DATE_OVERRIDE",TEXT(INDEX(MO_Common_QEndDate,0,COLUMN()),"YYYYMMDD")),"N/A")</f>
        <v>N/A</v>
      </c>
      <c r="AS1165" s="396" t="str">
        <f ca="1">IFERROR(BDP(MO.Ticker.Bloomberg&amp;" Equity","INTERVAL_AVG","MARKET_DATA_OVERRIDE=PX_LAST","START_DATE_OVERRIDE",TEXT(INDEX(MO_SNA_FPStartDate,0,COLUMN()),"YYYYMMDD"),"END_DATE_OVERRIDE",TEXT(INDEX(MO_Common_QEndDate,0,COLUMN()),"YYYYMMDD")),"N/A")</f>
        <v>N/A</v>
      </c>
      <c r="AT1165" s="396" t="str">
        <f ca="1">IFERROR(BDP(MO.Ticker.Bloomberg&amp;" Equity","INTERVAL_AVG","MARKET_DATA_OVERRIDE=PX_LAST","START_DATE_OVERRIDE",TEXT(INDEX(MO_SNA_FPStartDate,0,COLUMN()),"YYYYMMDD"),"END_DATE_OVERRIDE",TEXT(INDEX(MO_Common_QEndDate,0,COLUMN()),"YYYYMMDD")),"N/A")</f>
        <v>N/A</v>
      </c>
      <c r="AU1165" s="837" t="str">
        <f ca="1">IFERROR(BDP(MO.Ticker.Bloomberg&amp;" Equity","INTERVAL_AVG","MARKET_DATA_OVERRIDE=PX_LAST","START_DATE_OVERRIDE",TEXT(INDEX(MO_SNA_FPStartDate,0,COLUMN()),"YYYYMMDD"),"END_DATE_OVERRIDE",TEXT(INDEX(MO_Common_QEndDate,0,COLUMN()),"YYYYMMDD")),"N/A")</f>
        <v>N/A</v>
      </c>
      <c r="AV1165" s="396" t="str">
        <f ca="1">IFERROR(BDP(MO.Ticker.Bloomberg&amp;" Equity","INTERVAL_AVG","MARKET_DATA_OVERRIDE=PX_LAST","START_DATE_OVERRIDE",TEXT(INDEX(MO_SNA_FPStartDate,0,COLUMN()),"YYYYMMDD"),"END_DATE_OVERRIDE",TEXT(INDEX(MO_Common_QEndDate,0,COLUMN()),"YYYYMMDD")),"N/A")</f>
        <v>N/A</v>
      </c>
      <c r="AW1165" s="396" t="str">
        <f ca="1">IFERROR(BDP(MO.Ticker.Bloomberg&amp;" Equity","INTERVAL_AVG","MARKET_DATA_OVERRIDE=PX_LAST","START_DATE_OVERRIDE",TEXT(INDEX(MO_SNA_FPStartDate,0,COLUMN()),"YYYYMMDD"),"END_DATE_OVERRIDE",TEXT(INDEX(MO_Common_QEndDate,0,COLUMN()),"YYYYMMDD")),"N/A")</f>
        <v>N/A</v>
      </c>
      <c r="AX1165" s="396" t="str">
        <f ca="1">IFERROR(BDP(MO.Ticker.Bloomberg&amp;" Equity","INTERVAL_AVG","MARKET_DATA_OVERRIDE=PX_LAST","START_DATE_OVERRIDE",TEXT(INDEX(MO_SNA_FPStartDate,0,COLUMN()),"YYYYMMDD"),"END_DATE_OVERRIDE",TEXT(INDEX(MO_Common_QEndDate,0,COLUMN()),"YYYYMMDD")),"N/A")</f>
        <v>N/A</v>
      </c>
      <c r="AY1165" s="396" t="str">
        <f ca="1">IFERROR(BDP(MO.Ticker.Bloomberg&amp;" Equity","INTERVAL_AVG","MARKET_DATA_OVERRIDE=PX_LAST","START_DATE_OVERRIDE",TEXT(INDEX(MO_SNA_FPStartDate,0,COLUMN()),"YYYYMMDD"),"END_DATE_OVERRIDE",TEXT(INDEX(MO_Common_QEndDate,0,COLUMN()),"YYYYMMDD")),"N/A")</f>
        <v>N/A</v>
      </c>
      <c r="AZ1165" s="396" t="str">
        <f ca="1">IFERROR(BDP(MO.Ticker.Bloomberg&amp;" Equity","INTERVAL_AVG","MARKET_DATA_OVERRIDE=PX_LAST","START_DATE_OVERRIDE",TEXT(INDEX(MO_SNA_FPStartDate,0,COLUMN()),"YYYYMMDD"),"END_DATE_OVERRIDE",TEXT(INDEX(MO_Common_QEndDate,0,COLUMN()),"YYYYMMDD")),"N/A")</f>
        <v>N/A</v>
      </c>
      <c r="BA1165" s="396" t="str">
        <f ca="1">IFERROR(BDP(MO.Ticker.Bloomberg&amp;" Equity","INTERVAL_AVG","MARKET_DATA_OVERRIDE=PX_LAST","START_DATE_OVERRIDE",TEXT(INDEX(MO_SNA_FPStartDate,0,COLUMN()),"YYYYMMDD"),"END_DATE_OVERRIDE",TEXT(INDEX(MO_Common_QEndDate,0,COLUMN()),"YYYYMMDD")),"N/A")</f>
        <v>N/A</v>
      </c>
      <c r="BB1165" s="396" t="str">
        <f ca="1">IFERROR(BDP(MO.Ticker.Bloomberg&amp;" Equity","INTERVAL_AVG","MARKET_DATA_OVERRIDE=PX_LAST","START_DATE_OVERRIDE",TEXT(INDEX(MO_SNA_FPStartDate,0,COLUMN()),"YYYYMMDD"),"END_DATE_OVERRIDE",TEXT(INDEX(MO_Common_QEndDate,0,COLUMN()),"YYYYMMDD")),"N/A")</f>
        <v>N/A</v>
      </c>
      <c r="BC1165" s="396" t="str">
        <f ca="1">IFERROR(BDP(MO.Ticker.Bloomberg&amp;" Equity","INTERVAL_AVG","MARKET_DATA_OVERRIDE=PX_LAST","START_DATE_OVERRIDE",TEXT(INDEX(MO_SNA_FPStartDate,0,COLUMN()),"YYYYMMDD"),"END_DATE_OVERRIDE",TEXT(INDEX(MO_Common_QEndDate,0,COLUMN()),"YYYYMMDD")),"N/A")</f>
        <v>N/A</v>
      </c>
      <c r="BD1165" s="396" t="str">
        <f ca="1">IFERROR(BDP(MO.Ticker.Bloomberg&amp;" Equity","INTERVAL_AVG","MARKET_DATA_OVERRIDE=PX_LAST","START_DATE_OVERRIDE",TEXT(INDEX(MO_SNA_FPStartDate,0,COLUMN()),"YYYYMMDD"),"END_DATE_OVERRIDE",TEXT(INDEX(MO_Common_QEndDate,0,COLUMN()),"YYYYMMDD")),"N/A")</f>
        <v>N/A</v>
      </c>
      <c r="BE1165" s="396" t="str">
        <f ca="1">IFERROR(BDP(MO.Ticker.Bloomberg&amp;" Equity","INTERVAL_AVG","MARKET_DATA_OVERRIDE=PX_LAST","START_DATE_OVERRIDE",TEXT(INDEX(MO_SNA_FPStartDate,0,COLUMN()),"YYYYMMDD"),"END_DATE_OVERRIDE",TEXT(INDEX(MO_Common_QEndDate,0,COLUMN()),"YYYYMMDD")),"N/A")</f>
        <v>N/A</v>
      </c>
      <c r="BF1165" s="396" t="str">
        <f ca="1">IFERROR(BDP(MO.Ticker.Bloomberg&amp;" Equity","INTERVAL_AVG","MARKET_DATA_OVERRIDE=PX_LAST","START_DATE_OVERRIDE",TEXT(INDEX(MO_SNA_FPStartDate,0,COLUMN()),"YYYYMMDD"),"END_DATE_OVERRIDE",TEXT(INDEX(MO_Common_QEndDate,0,COLUMN()),"YYYYMMDD")),"N/A")</f>
        <v>N/A</v>
      </c>
      <c r="BG1165" s="398" t="str">
        <f ca="1">IFERROR(BDP(MO.Ticker.Bloomberg&amp;" Equity","INTERVAL_AVG","MARKET_DATA_OVERRIDE=PX_LAST","START_DATE_OVERRIDE",TEXT(INDEX(MO_SNA_FPStartDate,0,COLUMN()),"YYYYMMDD"),"END_DATE_OVERRIDE",TEXT(INDEX(MO_Common_QEndDate,0,COLUMN()),"YYYYMMDD")),"N/A")</f>
        <v>N/A</v>
      </c>
      <c r="BH1165" s="477"/>
    </row>
    <row r="1166" spans="1:60" s="399" customFormat="1" hidden="1" outlineLevel="1" x14ac:dyDescent="0.35">
      <c r="A1166" s="400" t="s">
        <v>246</v>
      </c>
      <c r="B1166" s="396"/>
      <c r="C1166" s="397" t="str">
        <f ca="1">IFERROR(CIQAVG(MO.Ticker.CapIQ,"IQ_LASTSALEPRICE",INDEX(MO_SNA_FPStartDate,0,COLUMN()),INDEX(MO_Common_QEndDate,0,COLUMN())),"N/A")</f>
        <v>N/A</v>
      </c>
      <c r="D1166" s="397" t="str">
        <f ca="1">IFERROR(CIQAVG(MO.Ticker.CapIQ,"IQ_LASTSALEPRICE",INDEX(MO_SNA_FPStartDate,0,COLUMN()),INDEX(MO_Common_QEndDate,0,COLUMN())),"N/A")</f>
        <v>N/A</v>
      </c>
      <c r="E1166" s="396" t="str">
        <f ca="1">IFERROR(CIQAVG(MO.Ticker.CapIQ,"IQ_LASTSALEPRICE",INDEX(MO_SNA_FPStartDate,0,COLUMN()),INDEX(MO_Common_QEndDate,0,COLUMN())),"N/A")</f>
        <v>N/A</v>
      </c>
      <c r="F1166" s="396" t="str">
        <f ca="1">IFERROR(CIQAVG(MO.Ticker.CapIQ,"IQ_LASTSALEPRICE",INDEX(MO_SNA_FPStartDate,0,COLUMN()),INDEX(MO_Common_QEndDate,0,COLUMN())),"N/A")</f>
        <v>N/A</v>
      </c>
      <c r="G1166" s="396" t="str">
        <f ca="1">IFERROR(CIQAVG(MO.Ticker.CapIQ,"IQ_LASTSALEPRICE",INDEX(MO_SNA_FPStartDate,0,COLUMN()),INDEX(MO_Common_QEndDate,0,COLUMN())),"N/A")</f>
        <v>N/A</v>
      </c>
      <c r="H1166" s="396" t="str">
        <f ca="1">IFERROR(CIQAVG(MO.Ticker.CapIQ,"IQ_LASTSALEPRICE",INDEX(MO_SNA_FPStartDate,0,COLUMN()),INDEX(MO_Common_QEndDate,0,COLUMN())),"N/A")</f>
        <v>N/A</v>
      </c>
      <c r="I1166" s="396" t="str">
        <f ca="1">IFERROR(CIQAVG(MO.Ticker.CapIQ,"IQ_LASTSALEPRICE",INDEX(MO_SNA_FPStartDate,0,COLUMN()),INDEX(MO_Common_QEndDate,0,COLUMN())),"N/A")</f>
        <v>N/A</v>
      </c>
      <c r="J1166" s="396" t="str">
        <f ca="1">IFERROR(CIQAVG(MO.Ticker.CapIQ,"IQ_LASTSALEPRICE",INDEX(MO_SNA_FPStartDate,0,COLUMN()),INDEX(MO_Common_QEndDate,0,COLUMN())),"N/A")</f>
        <v>N/A</v>
      </c>
      <c r="K1166" s="396" t="str">
        <f ca="1">IFERROR(CIQAVG(MO.Ticker.CapIQ,"IQ_LASTSALEPRICE",INDEX(MO_SNA_FPStartDate,0,COLUMN()),INDEX(MO_Common_QEndDate,0,COLUMN())),"N/A")</f>
        <v>N/A</v>
      </c>
      <c r="L1166" s="396" t="str">
        <f ca="1">IFERROR(CIQAVG(MO.Ticker.CapIQ,"IQ_LASTSALEPRICE",INDEX(MO_SNA_FPStartDate,0,COLUMN()),INDEX(MO_Common_QEndDate,0,COLUMN())),"N/A")</f>
        <v>N/A</v>
      </c>
      <c r="M1166" s="396" t="str">
        <f ca="1">IFERROR(CIQAVG(MO.Ticker.CapIQ,"IQ_LASTSALEPRICE",INDEX(MO_SNA_FPStartDate,0,COLUMN()),INDEX(MO_Common_QEndDate,0,COLUMN())),"N/A")</f>
        <v>N/A</v>
      </c>
      <c r="N1166" s="396" t="str">
        <f ca="1">IFERROR(CIQAVG(MO.Ticker.CapIQ,"IQ_LASTSALEPRICE",INDEX(MO_SNA_FPStartDate,0,COLUMN()),INDEX(MO_Common_QEndDate,0,COLUMN())),"N/A")</f>
        <v>N/A</v>
      </c>
      <c r="O1166" s="396" t="str">
        <f ca="1">IFERROR(CIQAVG(MO.Ticker.CapIQ,"IQ_LASTSALEPRICE",INDEX(MO_SNA_FPStartDate,0,COLUMN()),INDEX(MO_Common_QEndDate,0,COLUMN())),"N/A")</f>
        <v>N/A</v>
      </c>
      <c r="P1166" s="396" t="str">
        <f ca="1">IFERROR(CIQAVG(MO.Ticker.CapIQ,"IQ_LASTSALEPRICE",INDEX(MO_SNA_FPStartDate,0,COLUMN()),INDEX(MO_Common_QEndDate,0,COLUMN())),"N/A")</f>
        <v>N/A</v>
      </c>
      <c r="Q1166" s="396" t="str">
        <f ca="1">IFERROR(CIQAVG(MO.Ticker.CapIQ,"IQ_LASTSALEPRICE",INDEX(MO_SNA_FPStartDate,0,COLUMN()),INDEX(MO_Common_QEndDate,0,COLUMN())),"N/A")</f>
        <v>N/A</v>
      </c>
      <c r="R1166" s="396" t="str">
        <f ca="1">IFERROR(CIQAVG(MO.Ticker.CapIQ,"IQ_LASTSALEPRICE",INDEX(MO_SNA_FPStartDate,0,COLUMN()),INDEX(MO_Common_QEndDate,0,COLUMN())),"N/A")</f>
        <v>N/A</v>
      </c>
      <c r="S1166" s="396" t="str">
        <f ca="1">IFERROR(CIQAVG(MO.Ticker.CapIQ,"IQ_LASTSALEPRICE",INDEX(MO_SNA_FPStartDate,0,COLUMN()),INDEX(MO_Common_QEndDate,0,COLUMN())),"N/A")</f>
        <v>N/A</v>
      </c>
      <c r="T1166" s="396" t="str">
        <f ca="1">IFERROR(CIQAVG(MO.Ticker.CapIQ,"IQ_LASTSALEPRICE",INDEX(MO_SNA_FPStartDate,0,COLUMN()),INDEX(MO_Common_QEndDate,0,COLUMN())),"N/A")</f>
        <v>N/A</v>
      </c>
      <c r="U1166" s="396" t="str">
        <f ca="1">IFERROR(CIQAVG(MO.Ticker.CapIQ,"IQ_LASTSALEPRICE",INDEX(MO_SNA_FPStartDate,0,COLUMN()),INDEX(MO_Common_QEndDate,0,COLUMN())),"N/A")</f>
        <v>N/A</v>
      </c>
      <c r="V1166" s="396" t="str">
        <f ca="1">IFERROR(CIQAVG(MO.Ticker.CapIQ,"IQ_LASTSALEPRICE",INDEX(MO_SNA_FPStartDate,0,COLUMN()),INDEX(MO_Common_QEndDate,0,COLUMN())),"N/A")</f>
        <v>N/A</v>
      </c>
      <c r="W1166" s="396" t="str">
        <f ca="1">IFERROR(CIQAVG(MO.Ticker.CapIQ,"IQ_LASTSALEPRICE",INDEX(MO_SNA_FPStartDate,0,COLUMN()),INDEX(MO_Common_QEndDate,0,COLUMN())),"N/A")</f>
        <v>N/A</v>
      </c>
      <c r="X1166" s="396" t="str">
        <f ca="1">IFERROR(CIQAVG(MO.Ticker.CapIQ,"IQ_LASTSALEPRICE",INDEX(MO_SNA_FPStartDate,0,COLUMN()),INDEX(MO_Common_QEndDate,0,COLUMN())),"N/A")</f>
        <v>N/A</v>
      </c>
      <c r="Y1166" s="396" t="str">
        <f ca="1">IFERROR(CIQAVG(MO.Ticker.CapIQ,"IQ_LASTSALEPRICE",INDEX(MO_SNA_FPStartDate,0,COLUMN()),INDEX(MO_Common_QEndDate,0,COLUMN())),"N/A")</f>
        <v>N/A</v>
      </c>
      <c r="Z1166" s="396" t="str">
        <f ca="1">IFERROR(CIQAVG(MO.Ticker.CapIQ,"IQ_LASTSALEPRICE",INDEX(MO_SNA_FPStartDate,0,COLUMN()),INDEX(MO_Common_QEndDate,0,COLUMN())),"N/A")</f>
        <v>N/A</v>
      </c>
      <c r="AA1166" s="396" t="str">
        <f ca="1">IFERROR(CIQAVG(MO.Ticker.CapIQ,"IQ_LASTSALEPRICE",INDEX(MO_SNA_FPStartDate,0,COLUMN()),INDEX(MO_Common_QEndDate,0,COLUMN())),"N/A")</f>
        <v>N/A</v>
      </c>
      <c r="AB1166" s="396" t="str">
        <f ca="1">IFERROR(CIQAVG(MO.Ticker.CapIQ,"IQ_LASTSALEPRICE",INDEX(MO_SNA_FPStartDate,0,COLUMN()),INDEX(MO_Common_QEndDate,0,COLUMN())),"N/A")</f>
        <v>N/A</v>
      </c>
      <c r="AC1166" s="396" t="str">
        <f ca="1">IFERROR(CIQAVG(MO.Ticker.CapIQ,"IQ_LASTSALEPRICE",INDEX(MO_SNA_FPStartDate,0,COLUMN()),INDEX(MO_Common_QEndDate,0,COLUMN())),"N/A")</f>
        <v>N/A</v>
      </c>
      <c r="AD1166" s="396" t="str">
        <f ca="1">IFERROR(CIQAVG(MO.Ticker.CapIQ,"IQ_LASTSALEPRICE",INDEX(MO_SNA_FPStartDate,0,COLUMN()),INDEX(MO_Common_QEndDate,0,COLUMN())),"N/A")</f>
        <v>N/A</v>
      </c>
      <c r="AE1166" s="396" t="str">
        <f ca="1">IFERROR(CIQAVG(MO.Ticker.CapIQ,"IQ_LASTSALEPRICE",INDEX(MO_SNA_FPStartDate,0,COLUMN()),INDEX(MO_Common_QEndDate,0,COLUMN())),"N/A")</f>
        <v>N/A</v>
      </c>
      <c r="AF1166" s="396" t="str">
        <f ca="1">IFERROR(CIQAVG(MO.Ticker.CapIQ,"IQ_LASTSALEPRICE",INDEX(MO_SNA_FPStartDate,0,COLUMN()),INDEX(MO_Common_QEndDate,0,COLUMN())),"N/A")</f>
        <v>N/A</v>
      </c>
      <c r="AG1166" s="396" t="str">
        <f ca="1">IFERROR(CIQAVG(MO.Ticker.CapIQ,"IQ_LASTSALEPRICE",INDEX(MO_SNA_FPStartDate,0,COLUMN()),INDEX(MO_Common_QEndDate,0,COLUMN())),"N/A")</f>
        <v>N/A</v>
      </c>
      <c r="AH1166" s="396" t="str">
        <f ca="1">IFERROR(CIQAVG(MO.Ticker.CapIQ,"IQ_LASTSALEPRICE",INDEX(MO_SNA_FPStartDate,0,COLUMN()),INDEX(MO_Common_QEndDate,0,COLUMN())),"N/A")</f>
        <v>N/A</v>
      </c>
      <c r="AI1166" s="396" t="str">
        <f ca="1">IFERROR(CIQAVG(MO.Ticker.CapIQ,"IQ_LASTSALEPRICE",INDEX(MO_SNA_FPStartDate,0,COLUMN()),INDEX(MO_Common_QEndDate,0,COLUMN())),"N/A")</f>
        <v>N/A</v>
      </c>
      <c r="AJ1166" s="396" t="str">
        <f ca="1">IFERROR(CIQAVG(MO.Ticker.CapIQ,"IQ_LASTSALEPRICE",INDEX(MO_SNA_FPStartDate,0,COLUMN()),INDEX(MO_Common_QEndDate,0,COLUMN())),"N/A")</f>
        <v>N/A</v>
      </c>
      <c r="AK1166" s="396" t="str">
        <f ca="1">IFERROR(CIQAVG(MO.Ticker.CapIQ,"IQ_LASTSALEPRICE",INDEX(MO_SNA_FPStartDate,0,COLUMN()),INDEX(MO_Common_QEndDate,0,COLUMN())),"N/A")</f>
        <v>N/A</v>
      </c>
      <c r="AL1166" s="396" t="str">
        <f ca="1">IFERROR(CIQAVG(MO.Ticker.CapIQ,"IQ_LASTSALEPRICE",INDEX(MO_SNA_FPStartDate,0,COLUMN()),INDEX(MO_Common_QEndDate,0,COLUMN())),"N/A")</f>
        <v>N/A</v>
      </c>
      <c r="AM1166" s="396" t="str">
        <f ca="1">IFERROR(CIQAVG(MO.Ticker.CapIQ,"IQ_LASTSALEPRICE",INDEX(MO_SNA_FPStartDate,0,COLUMN()),INDEX(MO_Common_QEndDate,0,COLUMN())),"N/A")</f>
        <v>N/A</v>
      </c>
      <c r="AN1166" s="396" t="str">
        <f ca="1">IFERROR(CIQAVG(MO.Ticker.CapIQ,"IQ_LASTSALEPRICE",INDEX(MO_SNA_FPStartDate,0,COLUMN()),INDEX(MO_Common_QEndDate,0,COLUMN())),"N/A")</f>
        <v>N/A</v>
      </c>
      <c r="AO1166" s="396" t="str">
        <f ca="1">IFERROR(CIQAVG(MO.Ticker.CapIQ,"IQ_LASTSALEPRICE",INDEX(MO_SNA_FPStartDate,0,COLUMN()),INDEX(MO_Common_QEndDate,0,COLUMN())),"N/A")</f>
        <v>N/A</v>
      </c>
      <c r="AP1166" s="396" t="str">
        <f ca="1">IFERROR(CIQAVG(MO.Ticker.CapIQ,"IQ_LASTSALEPRICE",INDEX(MO_SNA_FPStartDate,0,COLUMN()),INDEX(MO_Common_QEndDate,0,COLUMN())),"N/A")</f>
        <v>N/A</v>
      </c>
      <c r="AQ1166" s="396" t="str">
        <f ca="1">IFERROR(CIQAVG(MO.Ticker.CapIQ,"IQ_LASTSALEPRICE",INDEX(MO_SNA_FPStartDate,0,COLUMN()),INDEX(MO_Common_QEndDate,0,COLUMN())),"N/A")</f>
        <v>N/A</v>
      </c>
      <c r="AR1166" s="396" t="str">
        <f ca="1">IFERROR(CIQAVG(MO.Ticker.CapIQ,"IQ_LASTSALEPRICE",INDEX(MO_SNA_FPStartDate,0,COLUMN()),INDEX(MO_Common_QEndDate,0,COLUMN())),"N/A")</f>
        <v>N/A</v>
      </c>
      <c r="AS1166" s="396" t="str">
        <f ca="1">IFERROR(CIQAVG(MO.Ticker.CapIQ,"IQ_LASTSALEPRICE",INDEX(MO_SNA_FPStartDate,0,COLUMN()),INDEX(MO_Common_QEndDate,0,COLUMN())),"N/A")</f>
        <v>N/A</v>
      </c>
      <c r="AT1166" s="396" t="str">
        <f ca="1">IFERROR(CIQAVG(MO.Ticker.CapIQ,"IQ_LASTSALEPRICE",INDEX(MO_SNA_FPStartDate,0,COLUMN()),INDEX(MO_Common_QEndDate,0,COLUMN())),"N/A")</f>
        <v>N/A</v>
      </c>
      <c r="AU1166" s="837" t="str">
        <f ca="1">IFERROR(CIQAVG(MO.Ticker.CapIQ,"IQ_LASTSALEPRICE",INDEX(MO_SNA_FPStartDate,0,COLUMN()),INDEX(MO_Common_QEndDate,0,COLUMN())),"N/A")</f>
        <v>N/A</v>
      </c>
      <c r="AV1166" s="396" t="str">
        <f ca="1">IFERROR(CIQAVG(MO.Ticker.CapIQ,"IQ_LASTSALEPRICE",INDEX(MO_SNA_FPStartDate,0,COLUMN()),INDEX(MO_Common_QEndDate,0,COLUMN())),"N/A")</f>
        <v>N/A</v>
      </c>
      <c r="AW1166" s="396" t="str">
        <f ca="1">IFERROR(CIQAVG(MO.Ticker.CapIQ,"IQ_LASTSALEPRICE",INDEX(MO_SNA_FPStartDate,0,COLUMN()),INDEX(MO_Common_QEndDate,0,COLUMN())),"N/A")</f>
        <v>N/A</v>
      </c>
      <c r="AX1166" s="396" t="str">
        <f ca="1">IFERROR(CIQAVG(MO.Ticker.CapIQ,"IQ_LASTSALEPRICE",INDEX(MO_SNA_FPStartDate,0,COLUMN()),INDEX(MO_Common_QEndDate,0,COLUMN())),"N/A")</f>
        <v>N/A</v>
      </c>
      <c r="AY1166" s="396" t="str">
        <f ca="1">IFERROR(CIQAVG(MO.Ticker.CapIQ,"IQ_LASTSALEPRICE",INDEX(MO_SNA_FPStartDate,0,COLUMN()),INDEX(MO_Common_QEndDate,0,COLUMN())),"N/A")</f>
        <v>N/A</v>
      </c>
      <c r="AZ1166" s="396" t="str">
        <f ca="1">IFERROR(CIQAVG(MO.Ticker.CapIQ,"IQ_LASTSALEPRICE",INDEX(MO_SNA_FPStartDate,0,COLUMN()),INDEX(MO_Common_QEndDate,0,COLUMN())),"N/A")</f>
        <v>N/A</v>
      </c>
      <c r="BA1166" s="396" t="str">
        <f ca="1">IFERROR(CIQAVG(MO.Ticker.CapIQ,"IQ_LASTSALEPRICE",INDEX(MO_SNA_FPStartDate,0,COLUMN()),INDEX(MO_Common_QEndDate,0,COLUMN())),"N/A")</f>
        <v>N/A</v>
      </c>
      <c r="BB1166" s="396" t="str">
        <f ca="1">IFERROR(CIQAVG(MO.Ticker.CapIQ,"IQ_LASTSALEPRICE",INDEX(MO_SNA_FPStartDate,0,COLUMN()),INDEX(MO_Common_QEndDate,0,COLUMN())),"N/A")</f>
        <v>N/A</v>
      </c>
      <c r="BC1166" s="396" t="str">
        <f ca="1">IFERROR(CIQAVG(MO.Ticker.CapIQ,"IQ_LASTSALEPRICE",INDEX(MO_SNA_FPStartDate,0,COLUMN()),INDEX(MO_Common_QEndDate,0,COLUMN())),"N/A")</f>
        <v>N/A</v>
      </c>
      <c r="BD1166" s="396" t="str">
        <f ca="1">IFERROR(CIQAVG(MO.Ticker.CapIQ,"IQ_LASTSALEPRICE",INDEX(MO_SNA_FPStartDate,0,COLUMN()),INDEX(MO_Common_QEndDate,0,COLUMN())),"N/A")</f>
        <v>N/A</v>
      </c>
      <c r="BE1166" s="396" t="str">
        <f ca="1">IFERROR(CIQAVG(MO.Ticker.CapIQ,"IQ_LASTSALEPRICE",INDEX(MO_SNA_FPStartDate,0,COLUMN()),INDEX(MO_Common_QEndDate,0,COLUMN())),"N/A")</f>
        <v>N/A</v>
      </c>
      <c r="BF1166" s="396" t="str">
        <f ca="1">IFERROR(CIQAVG(MO.Ticker.CapIQ,"IQ_LASTSALEPRICE",INDEX(MO_SNA_FPStartDate,0,COLUMN()),INDEX(MO_Common_QEndDate,0,COLUMN())),"N/A")</f>
        <v>N/A</v>
      </c>
      <c r="BG1166" s="398" t="str">
        <f ca="1">IFERROR(CIQAVG(MO.Ticker.CapIQ,"IQ_LASTSALEPRICE",INDEX(MO_SNA_FPStartDate,0,COLUMN()),INDEX(MO_Common_QEndDate,0,COLUMN())),"N/A")</f>
        <v>N/A</v>
      </c>
      <c r="BH1166" s="477"/>
    </row>
    <row r="1167" spans="1:60" s="399" customFormat="1" hidden="1" outlineLevel="1" x14ac:dyDescent="0.35">
      <c r="A1167" s="400" t="s">
        <v>247</v>
      </c>
      <c r="B1167" s="396"/>
      <c r="C1167" s="397" t="str">
        <f ca="1">IFERROR(FDS(MO.Ticker.FactSet,"P_PRICE_AVG"&amp;"("&amp;INDEX(MO_SNA_FPStartDate,0,COLUMN())&amp;","&amp;INDEX(MO_Common_QEndDate,0,COLUMN())&amp;",,,,""PRICE"",""CLOSE"")"),"N/A")</f>
        <v>N/A</v>
      </c>
      <c r="D1167" s="397" t="str">
        <f ca="1">IFERROR(FDS(MO.Ticker.FactSet,"P_PRICE_AVG"&amp;"("&amp;INDEX(MO_SNA_FPStartDate,0,COLUMN())&amp;","&amp;INDEX(MO_Common_QEndDate,0,COLUMN())&amp;",,,,""PRICE"",""CLOSE"")"),"N/A")</f>
        <v>N/A</v>
      </c>
      <c r="E1167" s="396" t="str">
        <f ca="1">IFERROR(FDS(MO.Ticker.FactSet,"P_PRICE_AVG"&amp;"("&amp;INDEX(MO_SNA_FPStartDate,0,COLUMN())&amp;","&amp;INDEX(MO_Common_QEndDate,0,COLUMN())&amp;",,,,""PRICE"",""CLOSE"")"),"N/A")</f>
        <v>N/A</v>
      </c>
      <c r="F1167" s="396" t="str">
        <f ca="1">IFERROR(FDS(MO.Ticker.FactSet,"P_PRICE_AVG"&amp;"("&amp;INDEX(MO_SNA_FPStartDate,0,COLUMN())&amp;","&amp;INDEX(MO_Common_QEndDate,0,COLUMN())&amp;",,,,""PRICE"",""CLOSE"")"),"N/A")</f>
        <v>N/A</v>
      </c>
      <c r="G1167" s="396" t="str">
        <f ca="1">IFERROR(FDS(MO.Ticker.FactSet,"P_PRICE_AVG"&amp;"("&amp;INDEX(MO_SNA_FPStartDate,0,COLUMN())&amp;","&amp;INDEX(MO_Common_QEndDate,0,COLUMN())&amp;",,,,""PRICE"",""CLOSE"")"),"N/A")</f>
        <v>N/A</v>
      </c>
      <c r="H1167" s="396" t="str">
        <f ca="1">IFERROR(FDS(MO.Ticker.FactSet,"P_PRICE_AVG"&amp;"("&amp;INDEX(MO_SNA_FPStartDate,0,COLUMN())&amp;","&amp;INDEX(MO_Common_QEndDate,0,COLUMN())&amp;",,,,""PRICE"",""CLOSE"")"),"N/A")</f>
        <v>N/A</v>
      </c>
      <c r="I1167" s="396" t="str">
        <f ca="1">IFERROR(FDS(MO.Ticker.FactSet,"P_PRICE_AVG"&amp;"("&amp;INDEX(MO_SNA_FPStartDate,0,COLUMN())&amp;","&amp;INDEX(MO_Common_QEndDate,0,COLUMN())&amp;",,,,""PRICE"",""CLOSE"")"),"N/A")</f>
        <v>N/A</v>
      </c>
      <c r="J1167" s="396" t="str">
        <f ca="1">IFERROR(FDS(MO.Ticker.FactSet,"P_PRICE_AVG"&amp;"("&amp;INDEX(MO_SNA_FPStartDate,0,COLUMN())&amp;","&amp;INDEX(MO_Common_QEndDate,0,COLUMN())&amp;",,,,""PRICE"",""CLOSE"")"),"N/A")</f>
        <v>N/A</v>
      </c>
      <c r="K1167" s="396" t="str">
        <f ca="1">IFERROR(FDS(MO.Ticker.FactSet,"P_PRICE_AVG"&amp;"("&amp;INDEX(MO_SNA_FPStartDate,0,COLUMN())&amp;","&amp;INDEX(MO_Common_QEndDate,0,COLUMN())&amp;",,,,""PRICE"",""CLOSE"")"),"N/A")</f>
        <v>N/A</v>
      </c>
      <c r="L1167" s="396" t="str">
        <f ca="1">IFERROR(FDS(MO.Ticker.FactSet,"P_PRICE_AVG"&amp;"("&amp;INDEX(MO_SNA_FPStartDate,0,COLUMN())&amp;","&amp;INDEX(MO_Common_QEndDate,0,COLUMN())&amp;",,,,""PRICE"",""CLOSE"")"),"N/A")</f>
        <v>N/A</v>
      </c>
      <c r="M1167" s="396" t="str">
        <f ca="1">IFERROR(FDS(MO.Ticker.FactSet,"P_PRICE_AVG"&amp;"("&amp;INDEX(MO_SNA_FPStartDate,0,COLUMN())&amp;","&amp;INDEX(MO_Common_QEndDate,0,COLUMN())&amp;",,,,""PRICE"",""CLOSE"")"),"N/A")</f>
        <v>N/A</v>
      </c>
      <c r="N1167" s="396" t="str">
        <f ca="1">IFERROR(FDS(MO.Ticker.FactSet,"P_PRICE_AVG"&amp;"("&amp;INDEX(MO_SNA_FPStartDate,0,COLUMN())&amp;","&amp;INDEX(MO_Common_QEndDate,0,COLUMN())&amp;",,,,""PRICE"",""CLOSE"")"),"N/A")</f>
        <v>N/A</v>
      </c>
      <c r="O1167" s="396" t="str">
        <f ca="1">IFERROR(FDS(MO.Ticker.FactSet,"P_PRICE_AVG"&amp;"("&amp;INDEX(MO_SNA_FPStartDate,0,COLUMN())&amp;","&amp;INDEX(MO_Common_QEndDate,0,COLUMN())&amp;",,,,""PRICE"",""CLOSE"")"),"N/A")</f>
        <v>N/A</v>
      </c>
      <c r="P1167" s="396" t="str">
        <f ca="1">IFERROR(FDS(MO.Ticker.FactSet,"P_PRICE_AVG"&amp;"("&amp;INDEX(MO_SNA_FPStartDate,0,COLUMN())&amp;","&amp;INDEX(MO_Common_QEndDate,0,COLUMN())&amp;",,,,""PRICE"",""CLOSE"")"),"N/A")</f>
        <v>N/A</v>
      </c>
      <c r="Q1167" s="396" t="str">
        <f ca="1">IFERROR(FDS(MO.Ticker.FactSet,"P_PRICE_AVG"&amp;"("&amp;INDEX(MO_SNA_FPStartDate,0,COLUMN())&amp;","&amp;INDEX(MO_Common_QEndDate,0,COLUMN())&amp;",,,,""PRICE"",""CLOSE"")"),"N/A")</f>
        <v>N/A</v>
      </c>
      <c r="R1167" s="396" t="str">
        <f ca="1">IFERROR(FDS(MO.Ticker.FactSet,"P_PRICE_AVG"&amp;"("&amp;INDEX(MO_SNA_FPStartDate,0,COLUMN())&amp;","&amp;INDEX(MO_Common_QEndDate,0,COLUMN())&amp;",,,,""PRICE"",""CLOSE"")"),"N/A")</f>
        <v>N/A</v>
      </c>
      <c r="S1167" s="396" t="str">
        <f ca="1">IFERROR(FDS(MO.Ticker.FactSet,"P_PRICE_AVG"&amp;"("&amp;INDEX(MO_SNA_FPStartDate,0,COLUMN())&amp;","&amp;INDEX(MO_Common_QEndDate,0,COLUMN())&amp;",,,,""PRICE"",""CLOSE"")"),"N/A")</f>
        <v>N/A</v>
      </c>
      <c r="T1167" s="396" t="str">
        <f ca="1">IFERROR(FDS(MO.Ticker.FactSet,"P_PRICE_AVG"&amp;"("&amp;INDEX(MO_SNA_FPStartDate,0,COLUMN())&amp;","&amp;INDEX(MO_Common_QEndDate,0,COLUMN())&amp;",,,,""PRICE"",""CLOSE"")"),"N/A")</f>
        <v>N/A</v>
      </c>
      <c r="U1167" s="396" t="str">
        <f ca="1">IFERROR(FDS(MO.Ticker.FactSet,"P_PRICE_AVG"&amp;"("&amp;INDEX(MO_SNA_FPStartDate,0,COLUMN())&amp;","&amp;INDEX(MO_Common_QEndDate,0,COLUMN())&amp;",,,,""PRICE"",""CLOSE"")"),"N/A")</f>
        <v>N/A</v>
      </c>
      <c r="V1167" s="396" t="str">
        <f ca="1">IFERROR(FDS(MO.Ticker.FactSet,"P_PRICE_AVG"&amp;"("&amp;INDEX(MO_SNA_FPStartDate,0,COLUMN())&amp;","&amp;INDEX(MO_Common_QEndDate,0,COLUMN())&amp;",,,,""PRICE"",""CLOSE"")"),"N/A")</f>
        <v>N/A</v>
      </c>
      <c r="W1167" s="396" t="str">
        <f ca="1">IFERROR(FDS(MO.Ticker.FactSet,"P_PRICE_AVG"&amp;"("&amp;INDEX(MO_SNA_FPStartDate,0,COLUMN())&amp;","&amp;INDEX(MO_Common_QEndDate,0,COLUMN())&amp;",,,,""PRICE"",""CLOSE"")"),"N/A")</f>
        <v>N/A</v>
      </c>
      <c r="X1167" s="396" t="str">
        <f ca="1">IFERROR(FDS(MO.Ticker.FactSet,"P_PRICE_AVG"&amp;"("&amp;INDEX(MO_SNA_FPStartDate,0,COLUMN())&amp;","&amp;INDEX(MO_Common_QEndDate,0,COLUMN())&amp;",,,,""PRICE"",""CLOSE"")"),"N/A")</f>
        <v>N/A</v>
      </c>
      <c r="Y1167" s="396" t="str">
        <f ca="1">IFERROR(FDS(MO.Ticker.FactSet,"P_PRICE_AVG"&amp;"("&amp;INDEX(MO_SNA_FPStartDate,0,COLUMN())&amp;","&amp;INDEX(MO_Common_QEndDate,0,COLUMN())&amp;",,,,""PRICE"",""CLOSE"")"),"N/A")</f>
        <v>N/A</v>
      </c>
      <c r="Z1167" s="396" t="str">
        <f ca="1">IFERROR(FDS(MO.Ticker.FactSet,"P_PRICE_AVG"&amp;"("&amp;INDEX(MO_SNA_FPStartDate,0,COLUMN())&amp;","&amp;INDEX(MO_Common_QEndDate,0,COLUMN())&amp;",,,,""PRICE"",""CLOSE"")"),"N/A")</f>
        <v>N/A</v>
      </c>
      <c r="AA1167" s="396" t="str">
        <f ca="1">IFERROR(FDS(MO.Ticker.FactSet,"P_PRICE_AVG"&amp;"("&amp;INDEX(MO_SNA_FPStartDate,0,COLUMN())&amp;","&amp;INDEX(MO_Common_QEndDate,0,COLUMN())&amp;",,,,""PRICE"",""CLOSE"")"),"N/A")</f>
        <v>N/A</v>
      </c>
      <c r="AB1167" s="396" t="str">
        <f ca="1">IFERROR(FDS(MO.Ticker.FactSet,"P_PRICE_AVG"&amp;"("&amp;INDEX(MO_SNA_FPStartDate,0,COLUMN())&amp;","&amp;INDEX(MO_Common_QEndDate,0,COLUMN())&amp;",,,,""PRICE"",""CLOSE"")"),"N/A")</f>
        <v>N/A</v>
      </c>
      <c r="AC1167" s="396" t="str">
        <f ca="1">IFERROR(FDS(MO.Ticker.FactSet,"P_PRICE_AVG"&amp;"("&amp;INDEX(MO_SNA_FPStartDate,0,COLUMN())&amp;","&amp;INDEX(MO_Common_QEndDate,0,COLUMN())&amp;",,,,""PRICE"",""CLOSE"")"),"N/A")</f>
        <v>N/A</v>
      </c>
      <c r="AD1167" s="396" t="str">
        <f ca="1">IFERROR(FDS(MO.Ticker.FactSet,"P_PRICE_AVG"&amp;"("&amp;INDEX(MO_SNA_FPStartDate,0,COLUMN())&amp;","&amp;INDEX(MO_Common_QEndDate,0,COLUMN())&amp;",,,,""PRICE"",""CLOSE"")"),"N/A")</f>
        <v>N/A</v>
      </c>
      <c r="AE1167" s="396" t="str">
        <f ca="1">IFERROR(FDS(MO.Ticker.FactSet,"P_PRICE_AVG"&amp;"("&amp;INDEX(MO_SNA_FPStartDate,0,COLUMN())&amp;","&amp;INDEX(MO_Common_QEndDate,0,COLUMN())&amp;",,,,""PRICE"",""CLOSE"")"),"N/A")</f>
        <v>N/A</v>
      </c>
      <c r="AF1167" s="396" t="str">
        <f ca="1">IFERROR(FDS(MO.Ticker.FactSet,"P_PRICE_AVG"&amp;"("&amp;INDEX(MO_SNA_FPStartDate,0,COLUMN())&amp;","&amp;INDEX(MO_Common_QEndDate,0,COLUMN())&amp;",,,,""PRICE"",""CLOSE"")"),"N/A")</f>
        <v>N/A</v>
      </c>
      <c r="AG1167" s="396" t="str">
        <f ca="1">IFERROR(FDS(MO.Ticker.FactSet,"P_PRICE_AVG"&amp;"("&amp;INDEX(MO_SNA_FPStartDate,0,COLUMN())&amp;","&amp;INDEX(MO_Common_QEndDate,0,COLUMN())&amp;",,,,""PRICE"",""CLOSE"")"),"N/A")</f>
        <v>N/A</v>
      </c>
      <c r="AH1167" s="396" t="str">
        <f ca="1">IFERROR(FDS(MO.Ticker.FactSet,"P_PRICE_AVG"&amp;"("&amp;INDEX(MO_SNA_FPStartDate,0,COLUMN())&amp;","&amp;INDEX(MO_Common_QEndDate,0,COLUMN())&amp;",,,,""PRICE"",""CLOSE"")"),"N/A")</f>
        <v>N/A</v>
      </c>
      <c r="AI1167" s="396" t="str">
        <f ca="1">IFERROR(FDS(MO.Ticker.FactSet,"P_PRICE_AVG"&amp;"("&amp;INDEX(MO_SNA_FPStartDate,0,COLUMN())&amp;","&amp;INDEX(MO_Common_QEndDate,0,COLUMN())&amp;",,,,""PRICE"",""CLOSE"")"),"N/A")</f>
        <v>N/A</v>
      </c>
      <c r="AJ1167" s="396" t="str">
        <f ca="1">IFERROR(FDS(MO.Ticker.FactSet,"P_PRICE_AVG"&amp;"("&amp;INDEX(MO_SNA_FPStartDate,0,COLUMN())&amp;","&amp;INDEX(MO_Common_QEndDate,0,COLUMN())&amp;",,,,""PRICE"",""CLOSE"")"),"N/A")</f>
        <v>N/A</v>
      </c>
      <c r="AK1167" s="396" t="str">
        <f ca="1">IFERROR(FDS(MO.Ticker.FactSet,"P_PRICE_AVG"&amp;"("&amp;INDEX(MO_SNA_FPStartDate,0,COLUMN())&amp;","&amp;INDEX(MO_Common_QEndDate,0,COLUMN())&amp;",,,,""PRICE"",""CLOSE"")"),"N/A")</f>
        <v>N/A</v>
      </c>
      <c r="AL1167" s="396" t="str">
        <f ca="1">IFERROR(FDS(MO.Ticker.FactSet,"P_PRICE_AVG"&amp;"("&amp;INDEX(MO_SNA_FPStartDate,0,COLUMN())&amp;","&amp;INDEX(MO_Common_QEndDate,0,COLUMN())&amp;",,,,""PRICE"",""CLOSE"")"),"N/A")</f>
        <v>N/A</v>
      </c>
      <c r="AM1167" s="396" t="str">
        <f ca="1">IFERROR(FDS(MO.Ticker.FactSet,"P_PRICE_AVG"&amp;"("&amp;INDEX(MO_SNA_FPStartDate,0,COLUMN())&amp;","&amp;INDEX(MO_Common_QEndDate,0,COLUMN())&amp;",,,,""PRICE"",""CLOSE"")"),"N/A")</f>
        <v>N/A</v>
      </c>
      <c r="AN1167" s="396" t="str">
        <f ca="1">IFERROR(FDS(MO.Ticker.FactSet,"P_PRICE_AVG"&amp;"("&amp;INDEX(MO_SNA_FPStartDate,0,COLUMN())&amp;","&amp;INDEX(MO_Common_QEndDate,0,COLUMN())&amp;",,,,""PRICE"",""CLOSE"")"),"N/A")</f>
        <v>N/A</v>
      </c>
      <c r="AO1167" s="396" t="str">
        <f ca="1">IFERROR(FDS(MO.Ticker.FactSet,"P_PRICE_AVG"&amp;"("&amp;INDEX(MO_SNA_FPStartDate,0,COLUMN())&amp;","&amp;INDEX(MO_Common_QEndDate,0,COLUMN())&amp;",,,,""PRICE"",""CLOSE"")"),"N/A")</f>
        <v>N/A</v>
      </c>
      <c r="AP1167" s="396" t="str">
        <f ca="1">IFERROR(FDS(MO.Ticker.FactSet,"P_PRICE_AVG"&amp;"("&amp;INDEX(MO_SNA_FPStartDate,0,COLUMN())&amp;","&amp;INDEX(MO_Common_QEndDate,0,COLUMN())&amp;",,,,""PRICE"",""CLOSE"")"),"N/A")</f>
        <v>N/A</v>
      </c>
      <c r="AQ1167" s="396" t="str">
        <f ca="1">IFERROR(FDS(MO.Ticker.FactSet,"P_PRICE_AVG"&amp;"("&amp;INDEX(MO_SNA_FPStartDate,0,COLUMN())&amp;","&amp;INDEX(MO_Common_QEndDate,0,COLUMN())&amp;",,,,""PRICE"",""CLOSE"")"),"N/A")</f>
        <v>N/A</v>
      </c>
      <c r="AR1167" s="396" t="str">
        <f ca="1">IFERROR(FDS(MO.Ticker.FactSet,"P_PRICE_AVG"&amp;"("&amp;INDEX(MO_SNA_FPStartDate,0,COLUMN())&amp;","&amp;INDEX(MO_Common_QEndDate,0,COLUMN())&amp;",,,,""PRICE"",""CLOSE"")"),"N/A")</f>
        <v>N/A</v>
      </c>
      <c r="AS1167" s="396" t="str">
        <f ca="1">IFERROR(FDS(MO.Ticker.FactSet,"P_PRICE_AVG"&amp;"("&amp;INDEX(MO_SNA_FPStartDate,0,COLUMN())&amp;","&amp;INDEX(MO_Common_QEndDate,0,COLUMN())&amp;",,,,""PRICE"",""CLOSE"")"),"N/A")</f>
        <v>N/A</v>
      </c>
      <c r="AT1167" s="396" t="str">
        <f ca="1">IFERROR(FDS(MO.Ticker.FactSet,"P_PRICE_AVG"&amp;"("&amp;INDEX(MO_SNA_FPStartDate,0,COLUMN())&amp;","&amp;INDEX(MO_Common_QEndDate,0,COLUMN())&amp;",,,,""PRICE"",""CLOSE"")"),"N/A")</f>
        <v>N/A</v>
      </c>
      <c r="AU1167" s="837" t="str">
        <f ca="1">IFERROR(FDS(MO.Ticker.FactSet,"P_PRICE_AVG"&amp;"("&amp;INDEX(MO_SNA_FPStartDate,0,COLUMN())&amp;","&amp;INDEX(MO_Common_QEndDate,0,COLUMN())&amp;",,,,""PRICE"",""CLOSE"")"),"N/A")</f>
        <v>N/A</v>
      </c>
      <c r="AV1167" s="396" t="str">
        <f ca="1">IFERROR(FDS(MO.Ticker.FactSet,"P_PRICE_AVG"&amp;"("&amp;INDEX(MO_SNA_FPStartDate,0,COLUMN())&amp;","&amp;INDEX(MO_Common_QEndDate,0,COLUMN())&amp;",,,,""PRICE"",""CLOSE"")"),"N/A")</f>
        <v>N/A</v>
      </c>
      <c r="AW1167" s="396" t="str">
        <f ca="1">IFERROR(FDS(MO.Ticker.FactSet,"P_PRICE_AVG"&amp;"("&amp;INDEX(MO_SNA_FPStartDate,0,COLUMN())&amp;","&amp;INDEX(MO_Common_QEndDate,0,COLUMN())&amp;",,,,""PRICE"",""CLOSE"")"),"N/A")</f>
        <v>N/A</v>
      </c>
      <c r="AX1167" s="396" t="str">
        <f ca="1">IFERROR(FDS(MO.Ticker.FactSet,"P_PRICE_AVG"&amp;"("&amp;INDEX(MO_SNA_FPStartDate,0,COLUMN())&amp;","&amp;INDEX(MO_Common_QEndDate,0,COLUMN())&amp;",,,,""PRICE"",""CLOSE"")"),"N/A")</f>
        <v>N/A</v>
      </c>
      <c r="AY1167" s="396" t="str">
        <f ca="1">IFERROR(FDS(MO.Ticker.FactSet,"P_PRICE_AVG"&amp;"("&amp;INDEX(MO_SNA_FPStartDate,0,COLUMN())&amp;","&amp;INDEX(MO_Common_QEndDate,0,COLUMN())&amp;",,,,""PRICE"",""CLOSE"")"),"N/A")</f>
        <v>N/A</v>
      </c>
      <c r="AZ1167" s="396" t="str">
        <f ca="1">IFERROR(FDS(MO.Ticker.FactSet,"P_PRICE_AVG"&amp;"("&amp;INDEX(MO_SNA_FPStartDate,0,COLUMN())&amp;","&amp;INDEX(MO_Common_QEndDate,0,COLUMN())&amp;",,,,""PRICE"",""CLOSE"")"),"N/A")</f>
        <v>N/A</v>
      </c>
      <c r="BA1167" s="396" t="str">
        <f ca="1">IFERROR(FDS(MO.Ticker.FactSet,"P_PRICE_AVG"&amp;"("&amp;INDEX(MO_SNA_FPStartDate,0,COLUMN())&amp;","&amp;INDEX(MO_Common_QEndDate,0,COLUMN())&amp;",,,,""PRICE"",""CLOSE"")"),"N/A")</f>
        <v>N/A</v>
      </c>
      <c r="BB1167" s="396" t="str">
        <f ca="1">IFERROR(FDS(MO.Ticker.FactSet,"P_PRICE_AVG"&amp;"("&amp;INDEX(MO_SNA_FPStartDate,0,COLUMN())&amp;","&amp;INDEX(MO_Common_QEndDate,0,COLUMN())&amp;",,,,""PRICE"",""CLOSE"")"),"N/A")</f>
        <v>N/A</v>
      </c>
      <c r="BC1167" s="396" t="str">
        <f ca="1">IFERROR(FDS(MO.Ticker.FactSet,"P_PRICE_AVG"&amp;"("&amp;INDEX(MO_SNA_FPStartDate,0,COLUMN())&amp;","&amp;INDEX(MO_Common_QEndDate,0,COLUMN())&amp;",,,,""PRICE"",""CLOSE"")"),"N/A")</f>
        <v>N/A</v>
      </c>
      <c r="BD1167" s="396" t="str">
        <f ca="1">IFERROR(FDS(MO.Ticker.FactSet,"P_PRICE_AVG"&amp;"("&amp;INDEX(MO_SNA_FPStartDate,0,COLUMN())&amp;","&amp;INDEX(MO_Common_QEndDate,0,COLUMN())&amp;",,,,""PRICE"",""CLOSE"")"),"N/A")</f>
        <v>N/A</v>
      </c>
      <c r="BE1167" s="396" t="str">
        <f ca="1">IFERROR(FDS(MO.Ticker.FactSet,"P_PRICE_AVG"&amp;"("&amp;INDEX(MO_SNA_FPStartDate,0,COLUMN())&amp;","&amp;INDEX(MO_Common_QEndDate,0,COLUMN())&amp;",,,,""PRICE"",""CLOSE"")"),"N/A")</f>
        <v>N/A</v>
      </c>
      <c r="BF1167" s="396" t="str">
        <f ca="1">IFERROR(FDS(MO.Ticker.FactSet,"P_PRICE_AVG"&amp;"("&amp;INDEX(MO_SNA_FPStartDate,0,COLUMN())&amp;","&amp;INDEX(MO_Common_QEndDate,0,COLUMN())&amp;",,,,""PRICE"",""CLOSE"")"),"N/A")</f>
        <v>N/A</v>
      </c>
      <c r="BG1167" s="398" t="str">
        <f ca="1">IFERROR(FDS(MO.Ticker.FactSet,"P_PRICE_AVG"&amp;"("&amp;INDEX(MO_SNA_FPStartDate,0,COLUMN())&amp;","&amp;INDEX(MO_Common_QEndDate,0,COLUMN())&amp;",,,,""PRICE"",""CLOSE"")"),"N/A")</f>
        <v>N/A</v>
      </c>
      <c r="BH1167" s="477"/>
    </row>
    <row r="1168" spans="1:60" s="399" customFormat="1" hidden="1" outlineLevel="1" x14ac:dyDescent="0.35">
      <c r="A1168" s="400" t="s">
        <v>1062</v>
      </c>
      <c r="B1168" s="396"/>
      <c r="C1168" s="397" t="str">
        <f ca="1">IFERROR(_xll.TR(MO.Ticker.Thomson,"AVG(TR.Priceclose)","sdate:#1 edate:#2",,INDEX(MO_SNA_FPStartDate,0,COLUMN()),INDEX(MO_Common_QEndDate,0,COLUMN())),"N/A")</f>
        <v>N/A</v>
      </c>
      <c r="D1168" s="397" t="str">
        <f ca="1">IFERROR(_xll.TR(MO.Ticker.Thomson,"AVG(TR.Priceclose)","sdate:#1 edate:#2",,INDEX(MO_SNA_FPStartDate,0,COLUMN()),INDEX(MO_Common_QEndDate,0,COLUMN())),"N/A")</f>
        <v>N/A</v>
      </c>
      <c r="E1168" s="396" t="str">
        <f ca="1">IFERROR(_xll.TR(MO.Ticker.Thomson,"AVG(TR.Priceclose)","sdate:#1 edate:#2",,INDEX(MO_SNA_FPStartDate,0,COLUMN()),INDEX(MO_Common_QEndDate,0,COLUMN())),"N/A")</f>
        <v>N/A</v>
      </c>
      <c r="F1168" s="396" t="str">
        <f ca="1">IFERROR(_xll.TR(MO.Ticker.Thomson,"AVG(TR.Priceclose)","sdate:#1 edate:#2",,INDEX(MO_SNA_FPStartDate,0,COLUMN()),INDEX(MO_Common_QEndDate,0,COLUMN())),"N/A")</f>
        <v>N/A</v>
      </c>
      <c r="G1168" s="396" t="str">
        <f ca="1">IFERROR(_xll.TR(MO.Ticker.Thomson,"AVG(TR.Priceclose)","sdate:#1 edate:#2",,INDEX(MO_SNA_FPStartDate,0,COLUMN()),INDEX(MO_Common_QEndDate,0,COLUMN())),"N/A")</f>
        <v>N/A</v>
      </c>
      <c r="H1168" s="396" t="str">
        <f ca="1">IFERROR(_xll.TR(MO.Ticker.Thomson,"AVG(TR.Priceclose)","sdate:#1 edate:#2",,INDEX(MO_SNA_FPStartDate,0,COLUMN()),INDEX(MO_Common_QEndDate,0,COLUMN())),"N/A")</f>
        <v>N/A</v>
      </c>
      <c r="I1168" s="396" t="str">
        <f ca="1">IFERROR(_xll.TR(MO.Ticker.Thomson,"AVG(TR.Priceclose)","sdate:#1 edate:#2",,INDEX(MO_SNA_FPStartDate,0,COLUMN()),INDEX(MO_Common_QEndDate,0,COLUMN())),"N/A")</f>
        <v>N/A</v>
      </c>
      <c r="J1168" s="396" t="str">
        <f ca="1">IFERROR(_xll.TR(MO.Ticker.Thomson,"AVG(TR.Priceclose)","sdate:#1 edate:#2",,INDEX(MO_SNA_FPStartDate,0,COLUMN()),INDEX(MO_Common_QEndDate,0,COLUMN())),"N/A")</f>
        <v>N/A</v>
      </c>
      <c r="K1168" s="396" t="str">
        <f ca="1">IFERROR(_xll.TR(MO.Ticker.Thomson,"AVG(TR.Priceclose)","sdate:#1 edate:#2",,INDEX(MO_SNA_FPStartDate,0,COLUMN()),INDEX(MO_Common_QEndDate,0,COLUMN())),"N/A")</f>
        <v>N/A</v>
      </c>
      <c r="L1168" s="396" t="str">
        <f ca="1">IFERROR(_xll.TR(MO.Ticker.Thomson,"AVG(TR.Priceclose)","sdate:#1 edate:#2",,INDEX(MO_SNA_FPStartDate,0,COLUMN()),INDEX(MO_Common_QEndDate,0,COLUMN())),"N/A")</f>
        <v>N/A</v>
      </c>
      <c r="M1168" s="396" t="str">
        <f ca="1">IFERROR(_xll.TR(MO.Ticker.Thomson,"AVG(TR.Priceclose)","sdate:#1 edate:#2",,INDEX(MO_SNA_FPStartDate,0,COLUMN()),INDEX(MO_Common_QEndDate,0,COLUMN())),"N/A")</f>
        <v>N/A</v>
      </c>
      <c r="N1168" s="396" t="str">
        <f ca="1">IFERROR(_xll.TR(MO.Ticker.Thomson,"AVG(TR.Priceclose)","sdate:#1 edate:#2",,INDEX(MO_SNA_FPStartDate,0,COLUMN()),INDEX(MO_Common_QEndDate,0,COLUMN())),"N/A")</f>
        <v>N/A</v>
      </c>
      <c r="O1168" s="396" t="str">
        <f ca="1">IFERROR(_xll.TR(MO.Ticker.Thomson,"AVG(TR.Priceclose)","sdate:#1 edate:#2",,INDEX(MO_SNA_FPStartDate,0,COLUMN()),INDEX(MO_Common_QEndDate,0,COLUMN())),"N/A")</f>
        <v>N/A</v>
      </c>
      <c r="P1168" s="396" t="str">
        <f ca="1">IFERROR(_xll.TR(MO.Ticker.Thomson,"AVG(TR.Priceclose)","sdate:#1 edate:#2",,INDEX(MO_SNA_FPStartDate,0,COLUMN()),INDEX(MO_Common_QEndDate,0,COLUMN())),"N/A")</f>
        <v>N/A</v>
      </c>
      <c r="Q1168" s="396" t="str">
        <f ca="1">IFERROR(_xll.TR(MO.Ticker.Thomson,"AVG(TR.Priceclose)","sdate:#1 edate:#2",,INDEX(MO_SNA_FPStartDate,0,COLUMN()),INDEX(MO_Common_QEndDate,0,COLUMN())),"N/A")</f>
        <v>N/A</v>
      </c>
      <c r="R1168" s="396" t="str">
        <f ca="1">IFERROR(_xll.TR(MO.Ticker.Thomson,"AVG(TR.Priceclose)","sdate:#1 edate:#2",,INDEX(MO_SNA_FPStartDate,0,COLUMN()),INDEX(MO_Common_QEndDate,0,COLUMN())),"N/A")</f>
        <v>N/A</v>
      </c>
      <c r="S1168" s="396" t="str">
        <f ca="1">IFERROR(_xll.TR(MO.Ticker.Thomson,"AVG(TR.Priceclose)","sdate:#1 edate:#2",,INDEX(MO_SNA_FPStartDate,0,COLUMN()),INDEX(MO_Common_QEndDate,0,COLUMN())),"N/A")</f>
        <v>N/A</v>
      </c>
      <c r="T1168" s="396" t="str">
        <f ca="1">IFERROR(_xll.TR(MO.Ticker.Thomson,"AVG(TR.Priceclose)","sdate:#1 edate:#2",,INDEX(MO_SNA_FPStartDate,0,COLUMN()),INDEX(MO_Common_QEndDate,0,COLUMN())),"N/A")</f>
        <v>N/A</v>
      </c>
      <c r="U1168" s="396" t="str">
        <f ca="1">IFERROR(_xll.TR(MO.Ticker.Thomson,"AVG(TR.Priceclose)","sdate:#1 edate:#2",,INDEX(MO_SNA_FPStartDate,0,COLUMN()),INDEX(MO_Common_QEndDate,0,COLUMN())),"N/A")</f>
        <v>N/A</v>
      </c>
      <c r="V1168" s="396" t="str">
        <f ca="1">IFERROR(_xll.TR(MO.Ticker.Thomson,"AVG(TR.Priceclose)","sdate:#1 edate:#2",,INDEX(MO_SNA_FPStartDate,0,COLUMN()),INDEX(MO_Common_QEndDate,0,COLUMN())),"N/A")</f>
        <v>N/A</v>
      </c>
      <c r="W1168" s="396" t="str">
        <f ca="1">IFERROR(_xll.TR(MO.Ticker.Thomson,"AVG(TR.Priceclose)","sdate:#1 edate:#2",,INDEX(MO_SNA_FPStartDate,0,COLUMN()),INDEX(MO_Common_QEndDate,0,COLUMN())),"N/A")</f>
        <v>N/A</v>
      </c>
      <c r="X1168" s="396" t="str">
        <f ca="1">IFERROR(_xll.TR(MO.Ticker.Thomson,"AVG(TR.Priceclose)","sdate:#1 edate:#2",,INDEX(MO_SNA_FPStartDate,0,COLUMN()),INDEX(MO_Common_QEndDate,0,COLUMN())),"N/A")</f>
        <v>N/A</v>
      </c>
      <c r="Y1168" s="396" t="str">
        <f ca="1">IFERROR(_xll.TR(MO.Ticker.Thomson,"AVG(TR.Priceclose)","sdate:#1 edate:#2",,INDEX(MO_SNA_FPStartDate,0,COLUMN()),INDEX(MO_Common_QEndDate,0,COLUMN())),"N/A")</f>
        <v>N/A</v>
      </c>
      <c r="Z1168" s="396" t="str">
        <f ca="1">IFERROR(_xll.TR(MO.Ticker.Thomson,"AVG(TR.Priceclose)","sdate:#1 edate:#2",,INDEX(MO_SNA_FPStartDate,0,COLUMN()),INDEX(MO_Common_QEndDate,0,COLUMN())),"N/A")</f>
        <v>N/A</v>
      </c>
      <c r="AA1168" s="396" t="str">
        <f ca="1">IFERROR(_xll.TR(MO.Ticker.Thomson,"AVG(TR.Priceclose)","sdate:#1 edate:#2",,INDEX(MO_SNA_FPStartDate,0,COLUMN()),INDEX(MO_Common_QEndDate,0,COLUMN())),"N/A")</f>
        <v>N/A</v>
      </c>
      <c r="AB1168" s="396" t="str">
        <f ca="1">IFERROR(_xll.TR(MO.Ticker.Thomson,"AVG(TR.Priceclose)","sdate:#1 edate:#2",,INDEX(MO_SNA_FPStartDate,0,COLUMN()),INDEX(MO_Common_QEndDate,0,COLUMN())),"N/A")</f>
        <v>N/A</v>
      </c>
      <c r="AC1168" s="396" t="str">
        <f ca="1">IFERROR(_xll.TR(MO.Ticker.Thomson,"AVG(TR.Priceclose)","sdate:#1 edate:#2",,INDEX(MO_SNA_FPStartDate,0,COLUMN()),INDEX(MO_Common_QEndDate,0,COLUMN())),"N/A")</f>
        <v>N/A</v>
      </c>
      <c r="AD1168" s="396" t="str">
        <f ca="1">IFERROR(_xll.TR(MO.Ticker.Thomson,"AVG(TR.Priceclose)","sdate:#1 edate:#2",,INDEX(MO_SNA_FPStartDate,0,COLUMN()),INDEX(MO_Common_QEndDate,0,COLUMN())),"N/A")</f>
        <v>N/A</v>
      </c>
      <c r="AE1168" s="396" t="str">
        <f ca="1">IFERROR(_xll.TR(MO.Ticker.Thomson,"AVG(TR.Priceclose)","sdate:#1 edate:#2",,INDEX(MO_SNA_FPStartDate,0,COLUMN()),INDEX(MO_Common_QEndDate,0,COLUMN())),"N/A")</f>
        <v>N/A</v>
      </c>
      <c r="AF1168" s="396" t="str">
        <f ca="1">IFERROR(_xll.TR(MO.Ticker.Thomson,"AVG(TR.Priceclose)","sdate:#1 edate:#2",,INDEX(MO_SNA_FPStartDate,0,COLUMN()),INDEX(MO_Common_QEndDate,0,COLUMN())),"N/A")</f>
        <v>N/A</v>
      </c>
      <c r="AG1168" s="396" t="str">
        <f ca="1">IFERROR(_xll.TR(MO.Ticker.Thomson,"AVG(TR.Priceclose)","sdate:#1 edate:#2",,INDEX(MO_SNA_FPStartDate,0,COLUMN()),INDEX(MO_Common_QEndDate,0,COLUMN())),"N/A")</f>
        <v>N/A</v>
      </c>
      <c r="AH1168" s="396" t="str">
        <f ca="1">IFERROR(_xll.TR(MO.Ticker.Thomson,"AVG(TR.Priceclose)","sdate:#1 edate:#2",,INDEX(MO_SNA_FPStartDate,0,COLUMN()),INDEX(MO_Common_QEndDate,0,COLUMN())),"N/A")</f>
        <v>N/A</v>
      </c>
      <c r="AI1168" s="396" t="str">
        <f ca="1">IFERROR(_xll.TR(MO.Ticker.Thomson,"AVG(TR.Priceclose)","sdate:#1 edate:#2",,INDEX(MO_SNA_FPStartDate,0,COLUMN()),INDEX(MO_Common_QEndDate,0,COLUMN())),"N/A")</f>
        <v>N/A</v>
      </c>
      <c r="AJ1168" s="396" t="str">
        <f ca="1">IFERROR(_xll.TR(MO.Ticker.Thomson,"AVG(TR.Priceclose)","sdate:#1 edate:#2",,INDEX(MO_SNA_FPStartDate,0,COLUMN()),INDEX(MO_Common_QEndDate,0,COLUMN())),"N/A")</f>
        <v>N/A</v>
      </c>
      <c r="AK1168" s="396" t="str">
        <f ca="1">IFERROR(_xll.TR(MO.Ticker.Thomson,"AVG(TR.Priceclose)","sdate:#1 edate:#2",,INDEX(MO_SNA_FPStartDate,0,COLUMN()),INDEX(MO_Common_QEndDate,0,COLUMN())),"N/A")</f>
        <v>N/A</v>
      </c>
      <c r="AL1168" s="396" t="str">
        <f ca="1">IFERROR(_xll.TR(MO.Ticker.Thomson,"AVG(TR.Priceclose)","sdate:#1 edate:#2",,INDEX(MO_SNA_FPStartDate,0,COLUMN()),INDEX(MO_Common_QEndDate,0,COLUMN())),"N/A")</f>
        <v>N/A</v>
      </c>
      <c r="AM1168" s="396" t="str">
        <f ca="1">IFERROR(_xll.TR(MO.Ticker.Thomson,"AVG(TR.Priceclose)","sdate:#1 edate:#2",,INDEX(MO_SNA_FPStartDate,0,COLUMN()),INDEX(MO_Common_QEndDate,0,COLUMN())),"N/A")</f>
        <v>N/A</v>
      </c>
      <c r="AN1168" s="396" t="str">
        <f ca="1">IFERROR(_xll.TR(MO.Ticker.Thomson,"AVG(TR.Priceclose)","sdate:#1 edate:#2",,INDEX(MO_SNA_FPStartDate,0,COLUMN()),INDEX(MO_Common_QEndDate,0,COLUMN())),"N/A")</f>
        <v>N/A</v>
      </c>
      <c r="AO1168" s="396" t="str">
        <f ca="1">IFERROR(_xll.TR(MO.Ticker.Thomson,"AVG(TR.Priceclose)","sdate:#1 edate:#2",,INDEX(MO_SNA_FPStartDate,0,COLUMN()),INDEX(MO_Common_QEndDate,0,COLUMN())),"N/A")</f>
        <v>N/A</v>
      </c>
      <c r="AP1168" s="396" t="str">
        <f ca="1">IFERROR(_xll.TR(MO.Ticker.Thomson,"AVG(TR.Priceclose)","sdate:#1 edate:#2",,INDEX(MO_SNA_FPStartDate,0,COLUMN()),INDEX(MO_Common_QEndDate,0,COLUMN())),"N/A")</f>
        <v>N/A</v>
      </c>
      <c r="AQ1168" s="396" t="str">
        <f ca="1">IFERROR(_xll.TR(MO.Ticker.Thomson,"AVG(TR.Priceclose)","sdate:#1 edate:#2",,INDEX(MO_SNA_FPStartDate,0,COLUMN()),INDEX(MO_Common_QEndDate,0,COLUMN())),"N/A")</f>
        <v>N/A</v>
      </c>
      <c r="AR1168" s="396" t="str">
        <f ca="1">IFERROR(_xll.TR(MO.Ticker.Thomson,"AVG(TR.Priceclose)","sdate:#1 edate:#2",,INDEX(MO_SNA_FPStartDate,0,COLUMN()),INDEX(MO_Common_QEndDate,0,COLUMN())),"N/A")</f>
        <v>N/A</v>
      </c>
      <c r="AS1168" s="396" t="str">
        <f ca="1">IFERROR(_xll.TR(MO.Ticker.Thomson,"AVG(TR.Priceclose)","sdate:#1 edate:#2",,INDEX(MO_SNA_FPStartDate,0,COLUMN()),INDEX(MO_Common_QEndDate,0,COLUMN())),"N/A")</f>
        <v>N/A</v>
      </c>
      <c r="AT1168" s="396" t="str">
        <f ca="1">IFERROR(_xll.TR(MO.Ticker.Thomson,"AVG(TR.Priceclose)","sdate:#1 edate:#2",,INDEX(MO_SNA_FPStartDate,0,COLUMN()),INDEX(MO_Common_QEndDate,0,COLUMN())),"N/A")</f>
        <v>N/A</v>
      </c>
      <c r="AU1168" s="837" t="str">
        <f ca="1">IFERROR(_xll.TR(MO.Ticker.Thomson,"AVG(TR.Priceclose)","sdate:#1 edate:#2",,INDEX(MO_SNA_FPStartDate,0,COLUMN()),INDEX(MO_Common_QEndDate,0,COLUMN())),"N/A")</f>
        <v>N/A</v>
      </c>
      <c r="AV1168" s="396" t="str">
        <f ca="1">IFERROR(_xll.TR(MO.Ticker.Thomson,"AVG(TR.Priceclose)","sdate:#1 edate:#2",,INDEX(MO_SNA_FPStartDate,0,COLUMN()),INDEX(MO_Common_QEndDate,0,COLUMN())),"N/A")</f>
        <v>N/A</v>
      </c>
      <c r="AW1168" s="396" t="str">
        <f ca="1">IFERROR(_xll.TR(MO.Ticker.Thomson,"AVG(TR.Priceclose)","sdate:#1 edate:#2",,INDEX(MO_SNA_FPStartDate,0,COLUMN()),INDEX(MO_Common_QEndDate,0,COLUMN())),"N/A")</f>
        <v>N/A</v>
      </c>
      <c r="AX1168" s="396" t="str">
        <f ca="1">IFERROR(_xll.TR(MO.Ticker.Thomson,"AVG(TR.Priceclose)","sdate:#1 edate:#2",,INDEX(MO_SNA_FPStartDate,0,COLUMN()),INDEX(MO_Common_QEndDate,0,COLUMN())),"N/A")</f>
        <v>N/A</v>
      </c>
      <c r="AY1168" s="396" t="str">
        <f ca="1">IFERROR(_xll.TR(MO.Ticker.Thomson,"AVG(TR.Priceclose)","sdate:#1 edate:#2",,INDEX(MO_SNA_FPStartDate,0,COLUMN()),INDEX(MO_Common_QEndDate,0,COLUMN())),"N/A")</f>
        <v>N/A</v>
      </c>
      <c r="AZ1168" s="396" t="str">
        <f ca="1">IFERROR(_xll.TR(MO.Ticker.Thomson,"AVG(TR.Priceclose)","sdate:#1 edate:#2",,INDEX(MO_SNA_FPStartDate,0,COLUMN()),INDEX(MO_Common_QEndDate,0,COLUMN())),"N/A")</f>
        <v>N/A</v>
      </c>
      <c r="BA1168" s="396" t="str">
        <f ca="1">IFERROR(_xll.TR(MO.Ticker.Thomson,"AVG(TR.Priceclose)","sdate:#1 edate:#2",,INDEX(MO_SNA_FPStartDate,0,COLUMN()),INDEX(MO_Common_QEndDate,0,COLUMN())),"N/A")</f>
        <v>N/A</v>
      </c>
      <c r="BB1168" s="396" t="str">
        <f ca="1">IFERROR(_xll.TR(MO.Ticker.Thomson,"AVG(TR.Priceclose)","sdate:#1 edate:#2",,INDEX(MO_SNA_FPStartDate,0,COLUMN()),INDEX(MO_Common_QEndDate,0,COLUMN())),"N/A")</f>
        <v>N/A</v>
      </c>
      <c r="BC1168" s="396" t="str">
        <f ca="1">IFERROR(_xll.TR(MO.Ticker.Thomson,"AVG(TR.Priceclose)","sdate:#1 edate:#2",,INDEX(MO_SNA_FPStartDate,0,COLUMN()),INDEX(MO_Common_QEndDate,0,COLUMN())),"N/A")</f>
        <v>N/A</v>
      </c>
      <c r="BD1168" s="396" t="str">
        <f ca="1">IFERROR(_xll.TR(MO.Ticker.Thomson,"AVG(TR.Priceclose)","sdate:#1 edate:#2",,INDEX(MO_SNA_FPStartDate,0,COLUMN()),INDEX(MO_Common_QEndDate,0,COLUMN())),"N/A")</f>
        <v>N/A</v>
      </c>
      <c r="BE1168" s="396" t="str">
        <f ca="1">IFERROR(_xll.TR(MO.Ticker.Thomson,"AVG(TR.Priceclose)","sdate:#1 edate:#2",,INDEX(MO_SNA_FPStartDate,0,COLUMN()),INDEX(MO_Common_QEndDate,0,COLUMN())),"N/A")</f>
        <v>N/A</v>
      </c>
      <c r="BF1168" s="396" t="str">
        <f ca="1">IFERROR(_xll.TR(MO.Ticker.Thomson,"AVG(TR.Priceclose)","sdate:#1 edate:#2",,INDEX(MO_SNA_FPStartDate,0,COLUMN()),INDEX(MO_Common_QEndDate,0,COLUMN())),"N/A")</f>
        <v>N/A</v>
      </c>
      <c r="BG1168" s="398" t="str">
        <f ca="1">IFERROR(_xll.TR(MO.Ticker.Thomson,"AVG(TR.Priceclose)","sdate:#1 edate:#2",,INDEX(MO_SNA_FPStartDate,0,COLUMN()),INDEX(MO_Common_QEndDate,0,COLUMN())),"N/A")</f>
        <v>N/A</v>
      </c>
      <c r="BH1168" s="477"/>
    </row>
    <row r="1169" spans="1:60" s="15" customFormat="1" hidden="1" outlineLevel="1" x14ac:dyDescent="0.35">
      <c r="A1169" s="366"/>
      <c r="B1169" s="747"/>
      <c r="C1169" s="189"/>
      <c r="D1169" s="189"/>
      <c r="E1169" s="747"/>
      <c r="F1169" s="747"/>
      <c r="G1169" s="747"/>
      <c r="H1169" s="747"/>
      <c r="I1169" s="747"/>
      <c r="J1169" s="747"/>
      <c r="K1169" s="747"/>
      <c r="L1169" s="747"/>
      <c r="M1169" s="747"/>
      <c r="N1169" s="747"/>
      <c r="O1169" s="747"/>
      <c r="P1169" s="747"/>
      <c r="Q1169" s="747"/>
      <c r="R1169" s="747"/>
      <c r="S1169" s="747"/>
      <c r="T1169" s="747"/>
      <c r="U1169" s="747"/>
      <c r="V1169" s="747"/>
      <c r="W1169" s="747"/>
      <c r="X1169" s="747"/>
      <c r="Y1169" s="747"/>
      <c r="Z1169" s="747"/>
      <c r="AA1169" s="747"/>
      <c r="AB1169" s="747"/>
      <c r="AC1169" s="747"/>
      <c r="AD1169" s="747"/>
      <c r="AE1169" s="747"/>
      <c r="AF1169" s="747"/>
      <c r="AG1169" s="747"/>
      <c r="AH1169" s="747"/>
      <c r="AI1169" s="747"/>
      <c r="AJ1169" s="747"/>
      <c r="AK1169" s="747"/>
      <c r="AL1169" s="747"/>
      <c r="AM1169" s="747"/>
      <c r="AN1169" s="747"/>
      <c r="AO1169" s="747"/>
      <c r="AP1169" s="747"/>
      <c r="AQ1169" s="747"/>
      <c r="AR1169" s="747"/>
      <c r="AS1169" s="747"/>
      <c r="AT1169" s="747"/>
      <c r="AU1169" s="786"/>
      <c r="AV1169" s="747"/>
      <c r="AW1169" s="747"/>
      <c r="AX1169" s="747"/>
      <c r="AY1169" s="747"/>
      <c r="AZ1169" s="747"/>
      <c r="BA1169" s="747"/>
      <c r="BB1169" s="747"/>
      <c r="BC1169" s="747"/>
      <c r="BD1169" s="747"/>
      <c r="BE1169" s="747"/>
      <c r="BF1169" s="747"/>
      <c r="BG1169" s="364"/>
      <c r="BH1169" s="473"/>
    </row>
    <row r="1170" spans="1:60" s="403" customFormat="1" collapsed="1" x14ac:dyDescent="0.35">
      <c r="A1170" s="401" t="str">
        <f ca="1">"FX Average: "&amp;IF(OR(MO.RealTimeStockPriceToggle=FALSE,VLOOKUP(MO.DataSourceName,MO_SPT_FXAverage_Sources,COLUMN()+2,FALSE)="N/A"),"Real-Time Off Source",MO.DataSourceName)</f>
        <v>FX Average: Real-Time Off Source</v>
      </c>
      <c r="B1170" s="584"/>
      <c r="C1170" s="583">
        <f t="shared" ref="C1170:AH1170" ca="1" si="1599">IF(OR(MO.RealTimeStockPriceToggle=FALSE,EXACT(HP.TradeCurrency,MO.ReportCurrency),VLOOKUP(MO.DataSourceName,MO_SPT_FXAverage_Sources,COLUMN(),FALSE)="N/A"),VLOOKUP("Real-Time Off Source",MO_SPT_FXAverage_Sources,COLUMN(),FALSE),VLOOKUP(MO.DataSourceName,MO_SPT_FXAverage_Sources,COLUMN(),FALSE))</f>
        <v>0</v>
      </c>
      <c r="D1170" s="583">
        <f t="shared" ca="1" si="1599"/>
        <v>0</v>
      </c>
      <c r="E1170" s="584">
        <f t="shared" ca="1" si="1599"/>
        <v>0</v>
      </c>
      <c r="F1170" s="584">
        <f t="shared" ca="1" si="1599"/>
        <v>0</v>
      </c>
      <c r="G1170" s="584">
        <f t="shared" ca="1" si="1599"/>
        <v>0</v>
      </c>
      <c r="H1170" s="584">
        <f t="shared" ca="1" si="1599"/>
        <v>0</v>
      </c>
      <c r="I1170" s="584">
        <f t="shared" ca="1" si="1599"/>
        <v>0</v>
      </c>
      <c r="J1170" s="584">
        <f t="shared" ca="1" si="1599"/>
        <v>0</v>
      </c>
      <c r="K1170" s="584">
        <f t="shared" ca="1" si="1599"/>
        <v>0</v>
      </c>
      <c r="L1170" s="584">
        <f t="shared" ca="1" si="1599"/>
        <v>0</v>
      </c>
      <c r="M1170" s="584">
        <f t="shared" ca="1" si="1599"/>
        <v>0</v>
      </c>
      <c r="N1170" s="584">
        <f t="shared" ca="1" si="1599"/>
        <v>0</v>
      </c>
      <c r="O1170" s="584">
        <f t="shared" ca="1" si="1599"/>
        <v>0</v>
      </c>
      <c r="P1170" s="584">
        <f t="shared" ca="1" si="1599"/>
        <v>0</v>
      </c>
      <c r="Q1170" s="584">
        <f t="shared" ca="1" si="1599"/>
        <v>0</v>
      </c>
      <c r="R1170" s="584">
        <f t="shared" ca="1" si="1599"/>
        <v>0</v>
      </c>
      <c r="S1170" s="584">
        <f t="shared" ca="1" si="1599"/>
        <v>0</v>
      </c>
      <c r="T1170" s="584">
        <f t="shared" ca="1" si="1599"/>
        <v>0</v>
      </c>
      <c r="U1170" s="584">
        <f t="shared" ca="1" si="1599"/>
        <v>0</v>
      </c>
      <c r="V1170" s="584">
        <f t="shared" ca="1" si="1599"/>
        <v>0</v>
      </c>
      <c r="W1170" s="584">
        <f t="shared" ca="1" si="1599"/>
        <v>0</v>
      </c>
      <c r="X1170" s="584">
        <f t="shared" ca="1" si="1599"/>
        <v>0</v>
      </c>
      <c r="Y1170" s="584">
        <f t="shared" ca="1" si="1599"/>
        <v>0</v>
      </c>
      <c r="Z1170" s="584">
        <f t="shared" ca="1" si="1599"/>
        <v>0</v>
      </c>
      <c r="AA1170" s="584">
        <f t="shared" ca="1" si="1599"/>
        <v>0</v>
      </c>
      <c r="AB1170" s="584">
        <f t="shared" ca="1" si="1599"/>
        <v>0</v>
      </c>
      <c r="AC1170" s="584">
        <f t="shared" ca="1" si="1599"/>
        <v>0</v>
      </c>
      <c r="AD1170" s="584">
        <f t="shared" ca="1" si="1599"/>
        <v>0</v>
      </c>
      <c r="AE1170" s="584">
        <f t="shared" ca="1" si="1599"/>
        <v>0</v>
      </c>
      <c r="AF1170" s="584">
        <f t="shared" ca="1" si="1599"/>
        <v>0</v>
      </c>
      <c r="AG1170" s="584">
        <f t="shared" ca="1" si="1599"/>
        <v>0</v>
      </c>
      <c r="AH1170" s="584">
        <f t="shared" ca="1" si="1599"/>
        <v>0</v>
      </c>
      <c r="AI1170" s="584">
        <f t="shared" ref="AI1170:AY1170" ca="1" si="1600">IF(OR(MO.RealTimeStockPriceToggle=FALSE,EXACT(HP.TradeCurrency,MO.ReportCurrency),VLOOKUP(MO.DataSourceName,MO_SPT_FXAverage_Sources,COLUMN(),FALSE)="N/A"),VLOOKUP("Real-Time Off Source",MO_SPT_FXAverage_Sources,COLUMN(),FALSE),VLOOKUP(MO.DataSourceName,MO_SPT_FXAverage_Sources,COLUMN(),FALSE))</f>
        <v>0</v>
      </c>
      <c r="AJ1170" s="584">
        <f t="shared" ca="1" si="1600"/>
        <v>0</v>
      </c>
      <c r="AK1170" s="584">
        <f t="shared" ca="1" si="1600"/>
        <v>0</v>
      </c>
      <c r="AL1170" s="584">
        <f t="shared" ca="1" si="1600"/>
        <v>0</v>
      </c>
      <c r="AM1170" s="584">
        <f t="shared" ca="1" si="1600"/>
        <v>0</v>
      </c>
      <c r="AN1170" s="584">
        <f t="shared" ca="1" si="1600"/>
        <v>0</v>
      </c>
      <c r="AO1170" s="584">
        <f t="shared" ca="1" si="1600"/>
        <v>0</v>
      </c>
      <c r="AP1170" s="584">
        <f t="shared" ca="1" si="1600"/>
        <v>0</v>
      </c>
      <c r="AQ1170" s="584">
        <f t="shared" ca="1" si="1600"/>
        <v>0</v>
      </c>
      <c r="AR1170" s="584">
        <f ca="1">IF(OR(MO.RealTimeStockPriceToggle=FALSE,EXACT(HP.TradeCurrency,MO.ReportCurrency),VLOOKUP(MO.DataSourceName,MO_SPT_FXAverage_Sources,COLUMN(),FALSE)="N/A"),VLOOKUP("Real-Time Off Source",MO_SPT_FXAverage_Sources,COLUMN(),FALSE),VLOOKUP(MO.DataSourceName,MO_SPT_FXAverage_Sources,COLUMN(),FALSE))</f>
        <v>0</v>
      </c>
      <c r="AS1170" s="584">
        <f ca="1">IF(OR(MO.RealTimeStockPriceToggle=FALSE,EXACT(HP.TradeCurrency,MO.ReportCurrency),VLOOKUP(MO.DataSourceName,MO_SPT_FXAverage_Sources,COLUMN(),FALSE)="N/A"),VLOOKUP("Real-Time Off Source",MO_SPT_FXAverage_Sources,COLUMN(),FALSE),VLOOKUP(MO.DataSourceName,MO_SPT_FXAverage_Sources,COLUMN(),FALSE))</f>
        <v>0</v>
      </c>
      <c r="AT1170" s="584">
        <f ca="1">IF(OR(MO.RealTimeStockPriceToggle=FALSE,EXACT(HP.TradeCurrency,MO.ReportCurrency),VLOOKUP(MO.DataSourceName,MO_SPT_FXAverage_Sources,COLUMN(),FALSE)="N/A"),VLOOKUP("Real-Time Off Source",MO_SPT_FXAverage_Sources,COLUMN(),FALSE),VLOOKUP(MO.DataSourceName,MO_SPT_FXAverage_Sources,COLUMN(),FALSE))</f>
        <v>0</v>
      </c>
      <c r="AU1170" s="838">
        <f t="shared" ca="1" si="1600"/>
        <v>0</v>
      </c>
      <c r="AV1170" s="584">
        <f t="shared" ca="1" si="1600"/>
        <v>1</v>
      </c>
      <c r="AW1170" s="584">
        <f t="shared" ca="1" si="1600"/>
        <v>1</v>
      </c>
      <c r="AX1170" s="584">
        <f t="shared" ca="1" si="1600"/>
        <v>1</v>
      </c>
      <c r="AY1170" s="584">
        <f t="shared" ca="1" si="1600"/>
        <v>1</v>
      </c>
      <c r="AZ1170" s="584">
        <f t="shared" ref="AZ1170:BG1170" ca="1" si="1601">IF(OR(MO.RealTimeStockPriceToggle=FALSE,EXACT(HP.TradeCurrency,MO.ReportCurrency),VLOOKUP(MO.DataSourceName,MO_SPT_FXAverage_Sources,COLUMN(),FALSE)="N/A"),VLOOKUP("Real-Time Off Source",MO_SPT_FXAverage_Sources,COLUMN(),FALSE),VLOOKUP(MO.DataSourceName,MO_SPT_FXAverage_Sources,COLUMN(),FALSE))</f>
        <v>1</v>
      </c>
      <c r="BA1170" s="584">
        <f t="shared" ca="1" si="1601"/>
        <v>1</v>
      </c>
      <c r="BB1170" s="584">
        <f t="shared" ca="1" si="1601"/>
        <v>1</v>
      </c>
      <c r="BC1170" s="584">
        <f t="shared" ca="1" si="1601"/>
        <v>1</v>
      </c>
      <c r="BD1170" s="584">
        <f t="shared" ca="1" si="1601"/>
        <v>1</v>
      </c>
      <c r="BE1170" s="584">
        <f t="shared" ca="1" si="1601"/>
        <v>1</v>
      </c>
      <c r="BF1170" s="584">
        <f t="shared" ca="1" si="1601"/>
        <v>1</v>
      </c>
      <c r="BG1170" s="585">
        <f t="shared" ca="1" si="1601"/>
        <v>1</v>
      </c>
      <c r="BH1170" s="478"/>
    </row>
    <row r="1171" spans="1:60" s="403" customFormat="1" hidden="1" outlineLevel="1" x14ac:dyDescent="0.35">
      <c r="A1171" s="404" t="s">
        <v>245</v>
      </c>
      <c r="B1171" s="584"/>
      <c r="C1171" s="583"/>
      <c r="D1171" s="583"/>
      <c r="E1171" s="584"/>
      <c r="F1171" s="584"/>
      <c r="G1171" s="584"/>
      <c r="H1171" s="584"/>
      <c r="I1171" s="584"/>
      <c r="J1171" s="584"/>
      <c r="K1171" s="584"/>
      <c r="L1171" s="584"/>
      <c r="M1171" s="584"/>
      <c r="N1171" s="584"/>
      <c r="O1171" s="584"/>
      <c r="P1171" s="584"/>
      <c r="Q1171" s="584"/>
      <c r="R1171" s="584"/>
      <c r="S1171" s="584"/>
      <c r="T1171" s="584"/>
      <c r="U1171" s="584"/>
      <c r="V1171" s="584"/>
      <c r="W1171" s="584"/>
      <c r="X1171" s="584"/>
      <c r="Y1171" s="584"/>
      <c r="Z1171" s="584"/>
      <c r="AA1171" s="584"/>
      <c r="AB1171" s="584"/>
      <c r="AC1171" s="584"/>
      <c r="AD1171" s="584"/>
      <c r="AE1171" s="584"/>
      <c r="AF1171" s="584"/>
      <c r="AG1171" s="584"/>
      <c r="AH1171" s="584"/>
      <c r="AI1171" s="584"/>
      <c r="AJ1171" s="584"/>
      <c r="AK1171" s="584"/>
      <c r="AL1171" s="584"/>
      <c r="AM1171" s="584"/>
      <c r="AN1171" s="584"/>
      <c r="AO1171" s="584"/>
      <c r="AP1171" s="584"/>
      <c r="AQ1171" s="584"/>
      <c r="AR1171" s="584"/>
      <c r="AS1171" s="584"/>
      <c r="AT1171" s="584"/>
      <c r="AU1171" s="838"/>
      <c r="AV1171" s="584">
        <f t="shared" ref="AV1171:AY1171" si="1602">MO.MRFX.Hardcoded</f>
        <v>1</v>
      </c>
      <c r="AW1171" s="584">
        <f t="shared" si="1602"/>
        <v>1</v>
      </c>
      <c r="AX1171" s="584">
        <f t="shared" si="1602"/>
        <v>1</v>
      </c>
      <c r="AY1171" s="584">
        <f t="shared" si="1602"/>
        <v>1</v>
      </c>
      <c r="AZ1171" s="584">
        <f t="shared" ref="AZ1171:BG1171" si="1603">MO.MRFX.Hardcoded</f>
        <v>1</v>
      </c>
      <c r="BA1171" s="584">
        <f t="shared" si="1603"/>
        <v>1</v>
      </c>
      <c r="BB1171" s="584">
        <f t="shared" si="1603"/>
        <v>1</v>
      </c>
      <c r="BC1171" s="584">
        <f t="shared" si="1603"/>
        <v>1</v>
      </c>
      <c r="BD1171" s="584">
        <f t="shared" si="1603"/>
        <v>1</v>
      </c>
      <c r="BE1171" s="584">
        <f t="shared" si="1603"/>
        <v>1</v>
      </c>
      <c r="BF1171" s="584">
        <f t="shared" si="1603"/>
        <v>1</v>
      </c>
      <c r="BG1171" s="585">
        <f t="shared" si="1603"/>
        <v>1</v>
      </c>
      <c r="BH1171" s="478"/>
    </row>
    <row r="1172" spans="1:60" s="403" customFormat="1" hidden="1" outlineLevel="1" x14ac:dyDescent="0.35">
      <c r="A1172" s="404" t="s">
        <v>7</v>
      </c>
      <c r="B1172" s="584"/>
      <c r="C1172" s="583"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D1172" s="583"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E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F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G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H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I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J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K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L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M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N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O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P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Q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R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S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T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U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V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W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X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Y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Z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A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B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C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D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E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F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G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H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I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J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K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L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M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N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O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P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Q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R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S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T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U1172" s="838"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V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W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X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Y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AZ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A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B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C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D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E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F1172" s="584"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G1172" s="585" t="str">
        <f ca="1">IFERROR(IF(INDEX(MO_Common_QEndDate,0,COLUMN())&gt;TODAY(),BDP(MO.ReportCurrency&amp;HP.TradeCurrency&amp;" CURNCY","PX_LAST"),BDP(MO.ReportCurrency&amp;HP.TradeCurrency&amp;" CURNCY","INTERVAL_AVG","MARKET_DATA_OVERRIDE=PX_LAST","START_DATE_OVERRIDE",TEXT(INDEX(MO_SNA_FPStartDate,0,COLUMN()),"YYYYMMDD"),"END_DATE_OVERRIDE",TEXT(INDEX(MO_Common_QEndDate,0,COLUMN()),"YYYYMMDD"))),"N/A")</f>
        <v>N/A</v>
      </c>
      <c r="BH1172" s="478"/>
    </row>
    <row r="1173" spans="1:60" s="403" customFormat="1" hidden="1" outlineLevel="1" x14ac:dyDescent="0.35">
      <c r="A1173" s="404" t="s">
        <v>246</v>
      </c>
      <c r="B1173" s="584"/>
      <c r="C1173" s="583" t="str">
        <f ca="1">IFERROR(IF(INDEX(MO_Common_QEndDate,0,COLUMN())&gt;TODAY(),CIQ("$"&amp;HP.TradeCurrency&amp;MO.ReportCurrency,"IQ_LASTSALEPRICE"),CIQAVG("$"&amp;HP.TradeCurrency&amp;MO.ReportCurrency,"IQ_LASTSALEPRICE",INDEX(MO_SNA_FPStartDate,0,COLUMN()),INDEX(MO_Common_QEndDate,0,COLUMN()))),"N/A")</f>
        <v>N/A</v>
      </c>
      <c r="D1173" s="583" t="str">
        <f ca="1">IFERROR(IF(INDEX(MO_Common_QEndDate,0,COLUMN())&gt;TODAY(),CIQ("$"&amp;HP.TradeCurrency&amp;MO.ReportCurrency,"IQ_LASTSALEPRICE"),CIQAVG("$"&amp;HP.TradeCurrency&amp;MO.ReportCurrency,"IQ_LASTSALEPRICE",INDEX(MO_SNA_FPStartDate,0,COLUMN()),INDEX(MO_Common_QEndDate,0,COLUMN()))),"N/A")</f>
        <v>N/A</v>
      </c>
      <c r="E1173" s="584" t="str">
        <f ca="1">IFERROR(IF(INDEX(MO_Common_QEndDate,0,COLUMN())&gt;TODAY(),CIQ("$"&amp;HP.TradeCurrency&amp;MO.ReportCurrency,"IQ_LASTSALEPRICE"),CIQAVG("$"&amp;HP.TradeCurrency&amp;MO.ReportCurrency,"IQ_LASTSALEPRICE",INDEX(MO_SNA_FPStartDate,0,COLUMN()),INDEX(MO_Common_QEndDate,0,COLUMN()))),"N/A")</f>
        <v>N/A</v>
      </c>
      <c r="F1173" s="584" t="str">
        <f ca="1">IFERROR(IF(INDEX(MO_Common_QEndDate,0,COLUMN())&gt;TODAY(),CIQ("$"&amp;HP.TradeCurrency&amp;MO.ReportCurrency,"IQ_LASTSALEPRICE"),CIQAVG("$"&amp;HP.TradeCurrency&amp;MO.ReportCurrency,"IQ_LASTSALEPRICE",INDEX(MO_SNA_FPStartDate,0,COLUMN()),INDEX(MO_Common_QEndDate,0,COLUMN()))),"N/A")</f>
        <v>N/A</v>
      </c>
      <c r="G1173" s="584" t="str">
        <f ca="1">IFERROR(IF(INDEX(MO_Common_QEndDate,0,COLUMN())&gt;TODAY(),CIQ("$"&amp;HP.TradeCurrency&amp;MO.ReportCurrency,"IQ_LASTSALEPRICE"),CIQAVG("$"&amp;HP.TradeCurrency&amp;MO.ReportCurrency,"IQ_LASTSALEPRICE",INDEX(MO_SNA_FPStartDate,0,COLUMN()),INDEX(MO_Common_QEndDate,0,COLUMN()))),"N/A")</f>
        <v>N/A</v>
      </c>
      <c r="H1173" s="584" t="str">
        <f ca="1">IFERROR(IF(INDEX(MO_Common_QEndDate,0,COLUMN())&gt;TODAY(),CIQ("$"&amp;HP.TradeCurrency&amp;MO.ReportCurrency,"IQ_LASTSALEPRICE"),CIQAVG("$"&amp;HP.TradeCurrency&amp;MO.ReportCurrency,"IQ_LASTSALEPRICE",INDEX(MO_SNA_FPStartDate,0,COLUMN()),INDEX(MO_Common_QEndDate,0,COLUMN()))),"N/A")</f>
        <v>N/A</v>
      </c>
      <c r="I1173" s="584" t="str">
        <f ca="1">IFERROR(IF(INDEX(MO_Common_QEndDate,0,COLUMN())&gt;TODAY(),CIQ("$"&amp;HP.TradeCurrency&amp;MO.ReportCurrency,"IQ_LASTSALEPRICE"),CIQAVG("$"&amp;HP.TradeCurrency&amp;MO.ReportCurrency,"IQ_LASTSALEPRICE",INDEX(MO_SNA_FPStartDate,0,COLUMN()),INDEX(MO_Common_QEndDate,0,COLUMN()))),"N/A")</f>
        <v>N/A</v>
      </c>
      <c r="J1173" s="584" t="str">
        <f ca="1">IFERROR(IF(INDEX(MO_Common_QEndDate,0,COLUMN())&gt;TODAY(),CIQ("$"&amp;HP.TradeCurrency&amp;MO.ReportCurrency,"IQ_LASTSALEPRICE"),CIQAVG("$"&amp;HP.TradeCurrency&amp;MO.ReportCurrency,"IQ_LASTSALEPRICE",INDEX(MO_SNA_FPStartDate,0,COLUMN()),INDEX(MO_Common_QEndDate,0,COLUMN()))),"N/A")</f>
        <v>N/A</v>
      </c>
      <c r="K1173" s="584" t="str">
        <f ca="1">IFERROR(IF(INDEX(MO_Common_QEndDate,0,COLUMN())&gt;TODAY(),CIQ("$"&amp;HP.TradeCurrency&amp;MO.ReportCurrency,"IQ_LASTSALEPRICE"),CIQAVG("$"&amp;HP.TradeCurrency&amp;MO.ReportCurrency,"IQ_LASTSALEPRICE",INDEX(MO_SNA_FPStartDate,0,COLUMN()),INDEX(MO_Common_QEndDate,0,COLUMN()))),"N/A")</f>
        <v>N/A</v>
      </c>
      <c r="L1173" s="584" t="str">
        <f ca="1">IFERROR(IF(INDEX(MO_Common_QEndDate,0,COLUMN())&gt;TODAY(),CIQ("$"&amp;HP.TradeCurrency&amp;MO.ReportCurrency,"IQ_LASTSALEPRICE"),CIQAVG("$"&amp;HP.TradeCurrency&amp;MO.ReportCurrency,"IQ_LASTSALEPRICE",INDEX(MO_SNA_FPStartDate,0,COLUMN()),INDEX(MO_Common_QEndDate,0,COLUMN()))),"N/A")</f>
        <v>N/A</v>
      </c>
      <c r="M1173" s="584" t="str">
        <f ca="1">IFERROR(IF(INDEX(MO_Common_QEndDate,0,COLUMN())&gt;TODAY(),CIQ("$"&amp;HP.TradeCurrency&amp;MO.ReportCurrency,"IQ_LASTSALEPRICE"),CIQAVG("$"&amp;HP.TradeCurrency&amp;MO.ReportCurrency,"IQ_LASTSALEPRICE",INDEX(MO_SNA_FPStartDate,0,COLUMN()),INDEX(MO_Common_QEndDate,0,COLUMN()))),"N/A")</f>
        <v>N/A</v>
      </c>
      <c r="N1173" s="584" t="str">
        <f ca="1">IFERROR(IF(INDEX(MO_Common_QEndDate,0,COLUMN())&gt;TODAY(),CIQ("$"&amp;HP.TradeCurrency&amp;MO.ReportCurrency,"IQ_LASTSALEPRICE"),CIQAVG("$"&amp;HP.TradeCurrency&amp;MO.ReportCurrency,"IQ_LASTSALEPRICE",INDEX(MO_SNA_FPStartDate,0,COLUMN()),INDEX(MO_Common_QEndDate,0,COLUMN()))),"N/A")</f>
        <v>N/A</v>
      </c>
      <c r="O1173" s="584" t="str">
        <f ca="1">IFERROR(IF(INDEX(MO_Common_QEndDate,0,COLUMN())&gt;TODAY(),CIQ("$"&amp;HP.TradeCurrency&amp;MO.ReportCurrency,"IQ_LASTSALEPRICE"),CIQAVG("$"&amp;HP.TradeCurrency&amp;MO.ReportCurrency,"IQ_LASTSALEPRICE",INDEX(MO_SNA_FPStartDate,0,COLUMN()),INDEX(MO_Common_QEndDate,0,COLUMN()))),"N/A")</f>
        <v>N/A</v>
      </c>
      <c r="P1173" s="584" t="str">
        <f ca="1">IFERROR(IF(INDEX(MO_Common_QEndDate,0,COLUMN())&gt;TODAY(),CIQ("$"&amp;HP.TradeCurrency&amp;MO.ReportCurrency,"IQ_LASTSALEPRICE"),CIQAVG("$"&amp;HP.TradeCurrency&amp;MO.ReportCurrency,"IQ_LASTSALEPRICE",INDEX(MO_SNA_FPStartDate,0,COLUMN()),INDEX(MO_Common_QEndDate,0,COLUMN()))),"N/A")</f>
        <v>N/A</v>
      </c>
      <c r="Q1173" s="584" t="str">
        <f ca="1">IFERROR(IF(INDEX(MO_Common_QEndDate,0,COLUMN())&gt;TODAY(),CIQ("$"&amp;HP.TradeCurrency&amp;MO.ReportCurrency,"IQ_LASTSALEPRICE"),CIQAVG("$"&amp;HP.TradeCurrency&amp;MO.ReportCurrency,"IQ_LASTSALEPRICE",INDEX(MO_SNA_FPStartDate,0,COLUMN()),INDEX(MO_Common_QEndDate,0,COLUMN()))),"N/A")</f>
        <v>N/A</v>
      </c>
      <c r="R1173" s="584" t="str">
        <f ca="1">IFERROR(IF(INDEX(MO_Common_QEndDate,0,COLUMN())&gt;TODAY(),CIQ("$"&amp;HP.TradeCurrency&amp;MO.ReportCurrency,"IQ_LASTSALEPRICE"),CIQAVG("$"&amp;HP.TradeCurrency&amp;MO.ReportCurrency,"IQ_LASTSALEPRICE",INDEX(MO_SNA_FPStartDate,0,COLUMN()),INDEX(MO_Common_QEndDate,0,COLUMN()))),"N/A")</f>
        <v>N/A</v>
      </c>
      <c r="S1173" s="584" t="str">
        <f ca="1">IFERROR(IF(INDEX(MO_Common_QEndDate,0,COLUMN())&gt;TODAY(),CIQ("$"&amp;HP.TradeCurrency&amp;MO.ReportCurrency,"IQ_LASTSALEPRICE"),CIQAVG("$"&amp;HP.TradeCurrency&amp;MO.ReportCurrency,"IQ_LASTSALEPRICE",INDEX(MO_SNA_FPStartDate,0,COLUMN()),INDEX(MO_Common_QEndDate,0,COLUMN()))),"N/A")</f>
        <v>N/A</v>
      </c>
      <c r="T1173" s="584" t="str">
        <f ca="1">IFERROR(IF(INDEX(MO_Common_QEndDate,0,COLUMN())&gt;TODAY(),CIQ("$"&amp;HP.TradeCurrency&amp;MO.ReportCurrency,"IQ_LASTSALEPRICE"),CIQAVG("$"&amp;HP.TradeCurrency&amp;MO.ReportCurrency,"IQ_LASTSALEPRICE",INDEX(MO_SNA_FPStartDate,0,COLUMN()),INDEX(MO_Common_QEndDate,0,COLUMN()))),"N/A")</f>
        <v>N/A</v>
      </c>
      <c r="U1173" s="584" t="str">
        <f ca="1">IFERROR(IF(INDEX(MO_Common_QEndDate,0,COLUMN())&gt;TODAY(),CIQ("$"&amp;HP.TradeCurrency&amp;MO.ReportCurrency,"IQ_LASTSALEPRICE"),CIQAVG("$"&amp;HP.TradeCurrency&amp;MO.ReportCurrency,"IQ_LASTSALEPRICE",INDEX(MO_SNA_FPStartDate,0,COLUMN()),INDEX(MO_Common_QEndDate,0,COLUMN()))),"N/A")</f>
        <v>N/A</v>
      </c>
      <c r="V1173" s="584" t="str">
        <f ca="1">IFERROR(IF(INDEX(MO_Common_QEndDate,0,COLUMN())&gt;TODAY(),CIQ("$"&amp;HP.TradeCurrency&amp;MO.ReportCurrency,"IQ_LASTSALEPRICE"),CIQAVG("$"&amp;HP.TradeCurrency&amp;MO.ReportCurrency,"IQ_LASTSALEPRICE",INDEX(MO_SNA_FPStartDate,0,COLUMN()),INDEX(MO_Common_QEndDate,0,COLUMN()))),"N/A")</f>
        <v>N/A</v>
      </c>
      <c r="W1173" s="584" t="str">
        <f ca="1">IFERROR(IF(INDEX(MO_Common_QEndDate,0,COLUMN())&gt;TODAY(),CIQ("$"&amp;HP.TradeCurrency&amp;MO.ReportCurrency,"IQ_LASTSALEPRICE"),CIQAVG("$"&amp;HP.TradeCurrency&amp;MO.ReportCurrency,"IQ_LASTSALEPRICE",INDEX(MO_SNA_FPStartDate,0,COLUMN()),INDEX(MO_Common_QEndDate,0,COLUMN()))),"N/A")</f>
        <v>N/A</v>
      </c>
      <c r="X1173" s="584" t="str">
        <f ca="1">IFERROR(IF(INDEX(MO_Common_QEndDate,0,COLUMN())&gt;TODAY(),CIQ("$"&amp;HP.TradeCurrency&amp;MO.ReportCurrency,"IQ_LASTSALEPRICE"),CIQAVG("$"&amp;HP.TradeCurrency&amp;MO.ReportCurrency,"IQ_LASTSALEPRICE",INDEX(MO_SNA_FPStartDate,0,COLUMN()),INDEX(MO_Common_QEndDate,0,COLUMN()))),"N/A")</f>
        <v>N/A</v>
      </c>
      <c r="Y1173" s="584" t="str">
        <f ca="1">IFERROR(IF(INDEX(MO_Common_QEndDate,0,COLUMN())&gt;TODAY(),CIQ("$"&amp;HP.TradeCurrency&amp;MO.ReportCurrency,"IQ_LASTSALEPRICE"),CIQAVG("$"&amp;HP.TradeCurrency&amp;MO.ReportCurrency,"IQ_LASTSALEPRICE",INDEX(MO_SNA_FPStartDate,0,COLUMN()),INDEX(MO_Common_QEndDate,0,COLUMN()))),"N/A")</f>
        <v>N/A</v>
      </c>
      <c r="Z1173" s="584" t="str">
        <f ca="1">IFERROR(IF(INDEX(MO_Common_QEndDate,0,COLUMN())&gt;TODAY(),CIQ("$"&amp;HP.TradeCurrency&amp;MO.ReportCurrency,"IQ_LASTSALEPRICE"),CIQAVG("$"&amp;HP.TradeCurrency&amp;MO.ReportCurrency,"IQ_LASTSALEPRICE",INDEX(MO_SNA_FPStartDate,0,COLUMN()),INDEX(MO_Common_QEndDate,0,COLUMN()))),"N/A")</f>
        <v>N/A</v>
      </c>
      <c r="AA1173" s="584" t="str">
        <f ca="1">IFERROR(IF(INDEX(MO_Common_QEndDate,0,COLUMN())&gt;TODAY(),CIQ("$"&amp;HP.TradeCurrency&amp;MO.ReportCurrency,"IQ_LASTSALEPRICE"),CIQAVG("$"&amp;HP.TradeCurrency&amp;MO.ReportCurrency,"IQ_LASTSALEPRICE",INDEX(MO_SNA_FPStartDate,0,COLUMN()),INDEX(MO_Common_QEndDate,0,COLUMN()))),"N/A")</f>
        <v>N/A</v>
      </c>
      <c r="AB1173" s="584" t="str">
        <f ca="1">IFERROR(IF(INDEX(MO_Common_QEndDate,0,COLUMN())&gt;TODAY(),CIQ("$"&amp;HP.TradeCurrency&amp;MO.ReportCurrency,"IQ_LASTSALEPRICE"),CIQAVG("$"&amp;HP.TradeCurrency&amp;MO.ReportCurrency,"IQ_LASTSALEPRICE",INDEX(MO_SNA_FPStartDate,0,COLUMN()),INDEX(MO_Common_QEndDate,0,COLUMN()))),"N/A")</f>
        <v>N/A</v>
      </c>
      <c r="AC1173" s="584" t="str">
        <f ca="1">IFERROR(IF(INDEX(MO_Common_QEndDate,0,COLUMN())&gt;TODAY(),CIQ("$"&amp;HP.TradeCurrency&amp;MO.ReportCurrency,"IQ_LASTSALEPRICE"),CIQAVG("$"&amp;HP.TradeCurrency&amp;MO.ReportCurrency,"IQ_LASTSALEPRICE",INDEX(MO_SNA_FPStartDate,0,COLUMN()),INDEX(MO_Common_QEndDate,0,COLUMN()))),"N/A")</f>
        <v>N/A</v>
      </c>
      <c r="AD1173" s="584" t="str">
        <f ca="1">IFERROR(IF(INDEX(MO_Common_QEndDate,0,COLUMN())&gt;TODAY(),CIQ("$"&amp;HP.TradeCurrency&amp;MO.ReportCurrency,"IQ_LASTSALEPRICE"),CIQAVG("$"&amp;HP.TradeCurrency&amp;MO.ReportCurrency,"IQ_LASTSALEPRICE",INDEX(MO_SNA_FPStartDate,0,COLUMN()),INDEX(MO_Common_QEndDate,0,COLUMN()))),"N/A")</f>
        <v>N/A</v>
      </c>
      <c r="AE1173" s="584" t="str">
        <f ca="1">IFERROR(IF(INDEX(MO_Common_QEndDate,0,COLUMN())&gt;TODAY(),CIQ("$"&amp;HP.TradeCurrency&amp;MO.ReportCurrency,"IQ_LASTSALEPRICE"),CIQAVG("$"&amp;HP.TradeCurrency&amp;MO.ReportCurrency,"IQ_LASTSALEPRICE",INDEX(MO_SNA_FPStartDate,0,COLUMN()),INDEX(MO_Common_QEndDate,0,COLUMN()))),"N/A")</f>
        <v>N/A</v>
      </c>
      <c r="AF1173" s="584" t="str">
        <f ca="1">IFERROR(IF(INDEX(MO_Common_QEndDate,0,COLUMN())&gt;TODAY(),CIQ("$"&amp;HP.TradeCurrency&amp;MO.ReportCurrency,"IQ_LASTSALEPRICE"),CIQAVG("$"&amp;HP.TradeCurrency&amp;MO.ReportCurrency,"IQ_LASTSALEPRICE",INDEX(MO_SNA_FPStartDate,0,COLUMN()),INDEX(MO_Common_QEndDate,0,COLUMN()))),"N/A")</f>
        <v>N/A</v>
      </c>
      <c r="AG1173" s="584" t="str">
        <f ca="1">IFERROR(IF(INDEX(MO_Common_QEndDate,0,COLUMN())&gt;TODAY(),CIQ("$"&amp;HP.TradeCurrency&amp;MO.ReportCurrency,"IQ_LASTSALEPRICE"),CIQAVG("$"&amp;HP.TradeCurrency&amp;MO.ReportCurrency,"IQ_LASTSALEPRICE",INDEX(MO_SNA_FPStartDate,0,COLUMN()),INDEX(MO_Common_QEndDate,0,COLUMN()))),"N/A")</f>
        <v>N/A</v>
      </c>
      <c r="AH1173" s="584" t="str">
        <f ca="1">IFERROR(IF(INDEX(MO_Common_QEndDate,0,COLUMN())&gt;TODAY(),CIQ("$"&amp;HP.TradeCurrency&amp;MO.ReportCurrency,"IQ_LASTSALEPRICE"),CIQAVG("$"&amp;HP.TradeCurrency&amp;MO.ReportCurrency,"IQ_LASTSALEPRICE",INDEX(MO_SNA_FPStartDate,0,COLUMN()),INDEX(MO_Common_QEndDate,0,COLUMN()))),"N/A")</f>
        <v>N/A</v>
      </c>
      <c r="AI1173" s="584" t="str">
        <f ca="1">IFERROR(IF(INDEX(MO_Common_QEndDate,0,COLUMN())&gt;TODAY(),CIQ("$"&amp;HP.TradeCurrency&amp;MO.ReportCurrency,"IQ_LASTSALEPRICE"),CIQAVG("$"&amp;HP.TradeCurrency&amp;MO.ReportCurrency,"IQ_LASTSALEPRICE",INDEX(MO_SNA_FPStartDate,0,COLUMN()),INDEX(MO_Common_QEndDate,0,COLUMN()))),"N/A")</f>
        <v>N/A</v>
      </c>
      <c r="AJ1173" s="584" t="str">
        <f ca="1">IFERROR(IF(INDEX(MO_Common_QEndDate,0,COLUMN())&gt;TODAY(),CIQ("$"&amp;HP.TradeCurrency&amp;MO.ReportCurrency,"IQ_LASTSALEPRICE"),CIQAVG("$"&amp;HP.TradeCurrency&amp;MO.ReportCurrency,"IQ_LASTSALEPRICE",INDEX(MO_SNA_FPStartDate,0,COLUMN()),INDEX(MO_Common_QEndDate,0,COLUMN()))),"N/A")</f>
        <v>N/A</v>
      </c>
      <c r="AK1173" s="584" t="str">
        <f ca="1">IFERROR(IF(INDEX(MO_Common_QEndDate,0,COLUMN())&gt;TODAY(),CIQ("$"&amp;HP.TradeCurrency&amp;MO.ReportCurrency,"IQ_LASTSALEPRICE"),CIQAVG("$"&amp;HP.TradeCurrency&amp;MO.ReportCurrency,"IQ_LASTSALEPRICE",INDEX(MO_SNA_FPStartDate,0,COLUMN()),INDEX(MO_Common_QEndDate,0,COLUMN()))),"N/A")</f>
        <v>N/A</v>
      </c>
      <c r="AL1173" s="584" t="str">
        <f ca="1">IFERROR(IF(INDEX(MO_Common_QEndDate,0,COLUMN())&gt;TODAY(),CIQ("$"&amp;HP.TradeCurrency&amp;MO.ReportCurrency,"IQ_LASTSALEPRICE"),CIQAVG("$"&amp;HP.TradeCurrency&amp;MO.ReportCurrency,"IQ_LASTSALEPRICE",INDEX(MO_SNA_FPStartDate,0,COLUMN()),INDEX(MO_Common_QEndDate,0,COLUMN()))),"N/A")</f>
        <v>N/A</v>
      </c>
      <c r="AM1173" s="584" t="str">
        <f ca="1">IFERROR(IF(INDEX(MO_Common_QEndDate,0,COLUMN())&gt;TODAY(),CIQ("$"&amp;HP.TradeCurrency&amp;MO.ReportCurrency,"IQ_LASTSALEPRICE"),CIQAVG("$"&amp;HP.TradeCurrency&amp;MO.ReportCurrency,"IQ_LASTSALEPRICE",INDEX(MO_SNA_FPStartDate,0,COLUMN()),INDEX(MO_Common_QEndDate,0,COLUMN()))),"N/A")</f>
        <v>N/A</v>
      </c>
      <c r="AN1173" s="584" t="str">
        <f ca="1">IFERROR(IF(INDEX(MO_Common_QEndDate,0,COLUMN())&gt;TODAY(),CIQ("$"&amp;HP.TradeCurrency&amp;MO.ReportCurrency,"IQ_LASTSALEPRICE"),CIQAVG("$"&amp;HP.TradeCurrency&amp;MO.ReportCurrency,"IQ_LASTSALEPRICE",INDEX(MO_SNA_FPStartDate,0,COLUMN()),INDEX(MO_Common_QEndDate,0,COLUMN()))),"N/A")</f>
        <v>N/A</v>
      </c>
      <c r="AO1173" s="584" t="str">
        <f ca="1">IFERROR(IF(INDEX(MO_Common_QEndDate,0,COLUMN())&gt;TODAY(),CIQ("$"&amp;HP.TradeCurrency&amp;MO.ReportCurrency,"IQ_LASTSALEPRICE"),CIQAVG("$"&amp;HP.TradeCurrency&amp;MO.ReportCurrency,"IQ_LASTSALEPRICE",INDEX(MO_SNA_FPStartDate,0,COLUMN()),INDEX(MO_Common_QEndDate,0,COLUMN()))),"N/A")</f>
        <v>N/A</v>
      </c>
      <c r="AP1173" s="584" t="str">
        <f ca="1">IFERROR(IF(INDEX(MO_Common_QEndDate,0,COLUMN())&gt;TODAY(),CIQ("$"&amp;HP.TradeCurrency&amp;MO.ReportCurrency,"IQ_LASTSALEPRICE"),CIQAVG("$"&amp;HP.TradeCurrency&amp;MO.ReportCurrency,"IQ_LASTSALEPRICE",INDEX(MO_SNA_FPStartDate,0,COLUMN()),INDEX(MO_Common_QEndDate,0,COLUMN()))),"N/A")</f>
        <v>N/A</v>
      </c>
      <c r="AQ1173" s="584" t="str">
        <f ca="1">IFERROR(IF(INDEX(MO_Common_QEndDate,0,COLUMN())&gt;TODAY(),CIQ("$"&amp;HP.TradeCurrency&amp;MO.ReportCurrency,"IQ_LASTSALEPRICE"),CIQAVG("$"&amp;HP.TradeCurrency&amp;MO.ReportCurrency,"IQ_LASTSALEPRICE",INDEX(MO_SNA_FPStartDate,0,COLUMN()),INDEX(MO_Common_QEndDate,0,COLUMN()))),"N/A")</f>
        <v>N/A</v>
      </c>
      <c r="AR1173" s="584" t="str">
        <f ca="1">IFERROR(IF(INDEX(MO_Common_QEndDate,0,COLUMN())&gt;TODAY(),CIQ("$"&amp;HP.TradeCurrency&amp;MO.ReportCurrency,"IQ_LASTSALEPRICE"),CIQAVG("$"&amp;HP.TradeCurrency&amp;MO.ReportCurrency,"IQ_LASTSALEPRICE",INDEX(MO_SNA_FPStartDate,0,COLUMN()),INDEX(MO_Common_QEndDate,0,COLUMN()))),"N/A")</f>
        <v>N/A</v>
      </c>
      <c r="AS1173" s="584" t="str">
        <f ca="1">IFERROR(IF(INDEX(MO_Common_QEndDate,0,COLUMN())&gt;TODAY(),CIQ("$"&amp;HP.TradeCurrency&amp;MO.ReportCurrency,"IQ_LASTSALEPRICE"),CIQAVG("$"&amp;HP.TradeCurrency&amp;MO.ReportCurrency,"IQ_LASTSALEPRICE",INDEX(MO_SNA_FPStartDate,0,COLUMN()),INDEX(MO_Common_QEndDate,0,COLUMN()))),"N/A")</f>
        <v>N/A</v>
      </c>
      <c r="AT1173" s="584" t="str">
        <f ca="1">IFERROR(IF(INDEX(MO_Common_QEndDate,0,COLUMN())&gt;TODAY(),CIQ("$"&amp;HP.TradeCurrency&amp;MO.ReportCurrency,"IQ_LASTSALEPRICE"),CIQAVG("$"&amp;HP.TradeCurrency&amp;MO.ReportCurrency,"IQ_LASTSALEPRICE",INDEX(MO_SNA_FPStartDate,0,COLUMN()),INDEX(MO_Common_QEndDate,0,COLUMN()))),"N/A")</f>
        <v>N/A</v>
      </c>
      <c r="AU1173" s="838" t="str">
        <f ca="1">IFERROR(IF(INDEX(MO_Common_QEndDate,0,COLUMN())&gt;TODAY(),CIQ("$"&amp;HP.TradeCurrency&amp;MO.ReportCurrency,"IQ_LASTSALEPRICE"),CIQAVG("$"&amp;HP.TradeCurrency&amp;MO.ReportCurrency,"IQ_LASTSALEPRICE",INDEX(MO_SNA_FPStartDate,0,COLUMN()),INDEX(MO_Common_QEndDate,0,COLUMN()))),"N/A")</f>
        <v>N/A</v>
      </c>
      <c r="AV1173" s="584" t="str">
        <f ca="1">IFERROR(IF(INDEX(MO_Common_QEndDate,0,COLUMN())&gt;TODAY(),CIQ("$"&amp;HP.TradeCurrency&amp;MO.ReportCurrency,"IQ_LASTSALEPRICE"),CIQAVG("$"&amp;HP.TradeCurrency&amp;MO.ReportCurrency,"IQ_LASTSALEPRICE",INDEX(MO_SNA_FPStartDate,0,COLUMN()),INDEX(MO_Common_QEndDate,0,COLUMN()))),"N/A")</f>
        <v>N/A</v>
      </c>
      <c r="AW1173" s="584" t="str">
        <f ca="1">IFERROR(IF(INDEX(MO_Common_QEndDate,0,COLUMN())&gt;TODAY(),CIQ("$"&amp;HP.TradeCurrency&amp;MO.ReportCurrency,"IQ_LASTSALEPRICE"),CIQAVG("$"&amp;HP.TradeCurrency&amp;MO.ReportCurrency,"IQ_LASTSALEPRICE",INDEX(MO_SNA_FPStartDate,0,COLUMN()),INDEX(MO_Common_QEndDate,0,COLUMN()))),"N/A")</f>
        <v>N/A</v>
      </c>
      <c r="AX1173" s="584" t="str">
        <f ca="1">IFERROR(IF(INDEX(MO_Common_QEndDate,0,COLUMN())&gt;TODAY(),CIQ("$"&amp;HP.TradeCurrency&amp;MO.ReportCurrency,"IQ_LASTSALEPRICE"),CIQAVG("$"&amp;HP.TradeCurrency&amp;MO.ReportCurrency,"IQ_LASTSALEPRICE",INDEX(MO_SNA_FPStartDate,0,COLUMN()),INDEX(MO_Common_QEndDate,0,COLUMN()))),"N/A")</f>
        <v>N/A</v>
      </c>
      <c r="AY1173" s="584" t="str">
        <f ca="1">IFERROR(IF(INDEX(MO_Common_QEndDate,0,COLUMN())&gt;TODAY(),CIQ("$"&amp;HP.TradeCurrency&amp;MO.ReportCurrency,"IQ_LASTSALEPRICE"),CIQAVG("$"&amp;HP.TradeCurrency&amp;MO.ReportCurrency,"IQ_LASTSALEPRICE",INDEX(MO_SNA_FPStartDate,0,COLUMN()),INDEX(MO_Common_QEndDate,0,COLUMN()))),"N/A")</f>
        <v>N/A</v>
      </c>
      <c r="AZ1173" s="584" t="str">
        <f ca="1">IFERROR(IF(INDEX(MO_Common_QEndDate,0,COLUMN())&gt;TODAY(),CIQ("$"&amp;HP.TradeCurrency&amp;MO.ReportCurrency,"IQ_LASTSALEPRICE"),CIQAVG("$"&amp;HP.TradeCurrency&amp;MO.ReportCurrency,"IQ_LASTSALEPRICE",INDEX(MO_SNA_FPStartDate,0,COLUMN()),INDEX(MO_Common_QEndDate,0,COLUMN()))),"N/A")</f>
        <v>N/A</v>
      </c>
      <c r="BA1173" s="584" t="str">
        <f ca="1">IFERROR(IF(INDEX(MO_Common_QEndDate,0,COLUMN())&gt;TODAY(),CIQ("$"&amp;HP.TradeCurrency&amp;MO.ReportCurrency,"IQ_LASTSALEPRICE"),CIQAVG("$"&amp;HP.TradeCurrency&amp;MO.ReportCurrency,"IQ_LASTSALEPRICE",INDEX(MO_SNA_FPStartDate,0,COLUMN()),INDEX(MO_Common_QEndDate,0,COLUMN()))),"N/A")</f>
        <v>N/A</v>
      </c>
      <c r="BB1173" s="584" t="str">
        <f ca="1">IFERROR(IF(INDEX(MO_Common_QEndDate,0,COLUMN())&gt;TODAY(),CIQ("$"&amp;HP.TradeCurrency&amp;MO.ReportCurrency,"IQ_LASTSALEPRICE"),CIQAVG("$"&amp;HP.TradeCurrency&amp;MO.ReportCurrency,"IQ_LASTSALEPRICE",INDEX(MO_SNA_FPStartDate,0,COLUMN()),INDEX(MO_Common_QEndDate,0,COLUMN()))),"N/A")</f>
        <v>N/A</v>
      </c>
      <c r="BC1173" s="584" t="str">
        <f ca="1">IFERROR(IF(INDEX(MO_Common_QEndDate,0,COLUMN())&gt;TODAY(),CIQ("$"&amp;HP.TradeCurrency&amp;MO.ReportCurrency,"IQ_LASTSALEPRICE"),CIQAVG("$"&amp;HP.TradeCurrency&amp;MO.ReportCurrency,"IQ_LASTSALEPRICE",INDEX(MO_SNA_FPStartDate,0,COLUMN()),INDEX(MO_Common_QEndDate,0,COLUMN()))),"N/A")</f>
        <v>N/A</v>
      </c>
      <c r="BD1173" s="584" t="str">
        <f ca="1">IFERROR(IF(INDEX(MO_Common_QEndDate,0,COLUMN())&gt;TODAY(),CIQ("$"&amp;HP.TradeCurrency&amp;MO.ReportCurrency,"IQ_LASTSALEPRICE"),CIQAVG("$"&amp;HP.TradeCurrency&amp;MO.ReportCurrency,"IQ_LASTSALEPRICE",INDEX(MO_SNA_FPStartDate,0,COLUMN()),INDEX(MO_Common_QEndDate,0,COLUMN()))),"N/A")</f>
        <v>N/A</v>
      </c>
      <c r="BE1173" s="584" t="str">
        <f ca="1">IFERROR(IF(INDEX(MO_Common_QEndDate,0,COLUMN())&gt;TODAY(),CIQ("$"&amp;HP.TradeCurrency&amp;MO.ReportCurrency,"IQ_LASTSALEPRICE"),CIQAVG("$"&amp;HP.TradeCurrency&amp;MO.ReportCurrency,"IQ_LASTSALEPRICE",INDEX(MO_SNA_FPStartDate,0,COLUMN()),INDEX(MO_Common_QEndDate,0,COLUMN()))),"N/A")</f>
        <v>N/A</v>
      </c>
      <c r="BF1173" s="584" t="str">
        <f ca="1">IFERROR(IF(INDEX(MO_Common_QEndDate,0,COLUMN())&gt;TODAY(),CIQ("$"&amp;HP.TradeCurrency&amp;MO.ReportCurrency,"IQ_LASTSALEPRICE"),CIQAVG("$"&amp;HP.TradeCurrency&amp;MO.ReportCurrency,"IQ_LASTSALEPRICE",INDEX(MO_SNA_FPStartDate,0,COLUMN()),INDEX(MO_Common_QEndDate,0,COLUMN()))),"N/A")</f>
        <v>N/A</v>
      </c>
      <c r="BG1173" s="585" t="str">
        <f ca="1">IFERROR(IF(INDEX(MO_Common_QEndDate,0,COLUMN())&gt;TODAY(),CIQ("$"&amp;HP.TradeCurrency&amp;MO.ReportCurrency,"IQ_LASTSALEPRICE"),CIQAVG("$"&amp;HP.TradeCurrency&amp;MO.ReportCurrency,"IQ_LASTSALEPRICE",INDEX(MO_SNA_FPStartDate,0,COLUMN()),INDEX(MO_Common_QEndDate,0,COLUMN()))),"N/A")</f>
        <v>N/A</v>
      </c>
      <c r="BH1173" s="478"/>
    </row>
    <row r="1174" spans="1:60" s="403" customFormat="1" hidden="1" outlineLevel="1" x14ac:dyDescent="0.35">
      <c r="A1174" s="404" t="s">
        <v>247</v>
      </c>
      <c r="B1174" s="584"/>
      <c r="C1174" s="583" t="str">
        <f ca="1">IFERROR(IF(INDEX(MO_Common_QEndDate,0,COLUMN())&gt;TODAY(),FDS(MO.ReportCurrency&amp;HP.TradeCurrency,"FG_PRICE(NOW)"),FDS(MO.ReportCurrency&amp;HP.TradeCurrency,"P_PRICE_AVG("&amp;INDEX(MO_SNA_FPStartDate,0,COLUMN())&amp;","&amp;INDEX(MO_Common_QEndDate,0,COLUMN())&amp;",,,,0)")),"N/A")</f>
        <v>N/A</v>
      </c>
      <c r="D1174" s="583" t="str">
        <f ca="1">IFERROR(IF(INDEX(MO_Common_QEndDate,0,COLUMN())&gt;TODAY(),FDS(MO.ReportCurrency&amp;HP.TradeCurrency,"FG_PRICE(NOW)"),FDS(MO.ReportCurrency&amp;HP.TradeCurrency,"P_PRICE_AVG("&amp;INDEX(MO_SNA_FPStartDate,0,COLUMN())&amp;","&amp;INDEX(MO_Common_QEndDate,0,COLUMN())&amp;",,,,0)")),"N/A")</f>
        <v>N/A</v>
      </c>
      <c r="E1174" s="584" t="str">
        <f ca="1">IFERROR(IF(INDEX(MO_Common_QEndDate,0,COLUMN())&gt;TODAY(),FDS(MO.ReportCurrency&amp;HP.TradeCurrency,"FG_PRICE(NOW)"),FDS(MO.ReportCurrency&amp;HP.TradeCurrency,"P_PRICE_AVG("&amp;INDEX(MO_SNA_FPStartDate,0,COLUMN())&amp;","&amp;INDEX(MO_Common_QEndDate,0,COLUMN())&amp;",,,,0)")),"N/A")</f>
        <v>N/A</v>
      </c>
      <c r="F1174" s="584" t="str">
        <f ca="1">IFERROR(IF(INDEX(MO_Common_QEndDate,0,COLUMN())&gt;TODAY(),FDS(MO.ReportCurrency&amp;HP.TradeCurrency,"FG_PRICE(NOW)"),FDS(MO.ReportCurrency&amp;HP.TradeCurrency,"P_PRICE_AVG("&amp;INDEX(MO_SNA_FPStartDate,0,COLUMN())&amp;","&amp;INDEX(MO_Common_QEndDate,0,COLUMN())&amp;",,,,0)")),"N/A")</f>
        <v>N/A</v>
      </c>
      <c r="G1174" s="584" t="str">
        <f ca="1">IFERROR(IF(INDEX(MO_Common_QEndDate,0,COLUMN())&gt;TODAY(),FDS(MO.ReportCurrency&amp;HP.TradeCurrency,"FG_PRICE(NOW)"),FDS(MO.ReportCurrency&amp;HP.TradeCurrency,"P_PRICE_AVG("&amp;INDEX(MO_SNA_FPStartDate,0,COLUMN())&amp;","&amp;INDEX(MO_Common_QEndDate,0,COLUMN())&amp;",,,,0)")),"N/A")</f>
        <v>N/A</v>
      </c>
      <c r="H1174" s="584" t="str">
        <f ca="1">IFERROR(IF(INDEX(MO_Common_QEndDate,0,COLUMN())&gt;TODAY(),FDS(MO.ReportCurrency&amp;HP.TradeCurrency,"FG_PRICE(NOW)"),FDS(MO.ReportCurrency&amp;HP.TradeCurrency,"P_PRICE_AVG("&amp;INDEX(MO_SNA_FPStartDate,0,COLUMN())&amp;","&amp;INDEX(MO_Common_QEndDate,0,COLUMN())&amp;",,,,0)")),"N/A")</f>
        <v>N/A</v>
      </c>
      <c r="I1174" s="584" t="str">
        <f ca="1">IFERROR(IF(INDEX(MO_Common_QEndDate,0,COLUMN())&gt;TODAY(),FDS(MO.ReportCurrency&amp;HP.TradeCurrency,"FG_PRICE(NOW)"),FDS(MO.ReportCurrency&amp;HP.TradeCurrency,"P_PRICE_AVG("&amp;INDEX(MO_SNA_FPStartDate,0,COLUMN())&amp;","&amp;INDEX(MO_Common_QEndDate,0,COLUMN())&amp;",,,,0)")),"N/A")</f>
        <v>N/A</v>
      </c>
      <c r="J1174" s="584" t="str">
        <f ca="1">IFERROR(IF(INDEX(MO_Common_QEndDate,0,COLUMN())&gt;TODAY(),FDS(MO.ReportCurrency&amp;HP.TradeCurrency,"FG_PRICE(NOW)"),FDS(MO.ReportCurrency&amp;HP.TradeCurrency,"P_PRICE_AVG("&amp;INDEX(MO_SNA_FPStartDate,0,COLUMN())&amp;","&amp;INDEX(MO_Common_QEndDate,0,COLUMN())&amp;",,,,0)")),"N/A")</f>
        <v>N/A</v>
      </c>
      <c r="K1174" s="584" t="str">
        <f ca="1">IFERROR(IF(INDEX(MO_Common_QEndDate,0,COLUMN())&gt;TODAY(),FDS(MO.ReportCurrency&amp;HP.TradeCurrency,"FG_PRICE(NOW)"),FDS(MO.ReportCurrency&amp;HP.TradeCurrency,"P_PRICE_AVG("&amp;INDEX(MO_SNA_FPStartDate,0,COLUMN())&amp;","&amp;INDEX(MO_Common_QEndDate,0,COLUMN())&amp;",,,,0)")),"N/A")</f>
        <v>N/A</v>
      </c>
      <c r="L1174" s="584" t="str">
        <f ca="1">IFERROR(IF(INDEX(MO_Common_QEndDate,0,COLUMN())&gt;TODAY(),FDS(MO.ReportCurrency&amp;HP.TradeCurrency,"FG_PRICE(NOW)"),FDS(MO.ReportCurrency&amp;HP.TradeCurrency,"P_PRICE_AVG("&amp;INDEX(MO_SNA_FPStartDate,0,COLUMN())&amp;","&amp;INDEX(MO_Common_QEndDate,0,COLUMN())&amp;",,,,0)")),"N/A")</f>
        <v>N/A</v>
      </c>
      <c r="M1174" s="584" t="str">
        <f ca="1">IFERROR(IF(INDEX(MO_Common_QEndDate,0,COLUMN())&gt;TODAY(),FDS(MO.ReportCurrency&amp;HP.TradeCurrency,"FG_PRICE(NOW)"),FDS(MO.ReportCurrency&amp;HP.TradeCurrency,"P_PRICE_AVG("&amp;INDEX(MO_SNA_FPStartDate,0,COLUMN())&amp;","&amp;INDEX(MO_Common_QEndDate,0,COLUMN())&amp;",,,,0)")),"N/A")</f>
        <v>N/A</v>
      </c>
      <c r="N1174" s="584" t="str">
        <f ca="1">IFERROR(IF(INDEX(MO_Common_QEndDate,0,COLUMN())&gt;TODAY(),FDS(MO.ReportCurrency&amp;HP.TradeCurrency,"FG_PRICE(NOW)"),FDS(MO.ReportCurrency&amp;HP.TradeCurrency,"P_PRICE_AVG("&amp;INDEX(MO_SNA_FPStartDate,0,COLUMN())&amp;","&amp;INDEX(MO_Common_QEndDate,0,COLUMN())&amp;",,,,0)")),"N/A")</f>
        <v>N/A</v>
      </c>
      <c r="O1174" s="584" t="str">
        <f ca="1">IFERROR(IF(INDEX(MO_Common_QEndDate,0,COLUMN())&gt;TODAY(),FDS(MO.ReportCurrency&amp;HP.TradeCurrency,"FG_PRICE(NOW)"),FDS(MO.ReportCurrency&amp;HP.TradeCurrency,"P_PRICE_AVG("&amp;INDEX(MO_SNA_FPStartDate,0,COLUMN())&amp;","&amp;INDEX(MO_Common_QEndDate,0,COLUMN())&amp;",,,,0)")),"N/A")</f>
        <v>N/A</v>
      </c>
      <c r="P1174" s="584" t="str">
        <f ca="1">IFERROR(IF(INDEX(MO_Common_QEndDate,0,COLUMN())&gt;TODAY(),FDS(MO.ReportCurrency&amp;HP.TradeCurrency,"FG_PRICE(NOW)"),FDS(MO.ReportCurrency&amp;HP.TradeCurrency,"P_PRICE_AVG("&amp;INDEX(MO_SNA_FPStartDate,0,COLUMN())&amp;","&amp;INDEX(MO_Common_QEndDate,0,COLUMN())&amp;",,,,0)")),"N/A")</f>
        <v>N/A</v>
      </c>
      <c r="Q1174" s="584" t="str">
        <f ca="1">IFERROR(IF(INDEX(MO_Common_QEndDate,0,COLUMN())&gt;TODAY(),FDS(MO.ReportCurrency&amp;HP.TradeCurrency,"FG_PRICE(NOW)"),FDS(MO.ReportCurrency&amp;HP.TradeCurrency,"P_PRICE_AVG("&amp;INDEX(MO_SNA_FPStartDate,0,COLUMN())&amp;","&amp;INDEX(MO_Common_QEndDate,0,COLUMN())&amp;",,,,0)")),"N/A")</f>
        <v>N/A</v>
      </c>
      <c r="R1174" s="584" t="str">
        <f ca="1">IFERROR(IF(INDEX(MO_Common_QEndDate,0,COLUMN())&gt;TODAY(),FDS(MO.ReportCurrency&amp;HP.TradeCurrency,"FG_PRICE(NOW)"),FDS(MO.ReportCurrency&amp;HP.TradeCurrency,"P_PRICE_AVG("&amp;INDEX(MO_SNA_FPStartDate,0,COLUMN())&amp;","&amp;INDEX(MO_Common_QEndDate,0,COLUMN())&amp;",,,,0)")),"N/A")</f>
        <v>N/A</v>
      </c>
      <c r="S1174" s="584" t="str">
        <f ca="1">IFERROR(IF(INDEX(MO_Common_QEndDate,0,COLUMN())&gt;TODAY(),FDS(MO.ReportCurrency&amp;HP.TradeCurrency,"FG_PRICE(NOW)"),FDS(MO.ReportCurrency&amp;HP.TradeCurrency,"P_PRICE_AVG("&amp;INDEX(MO_SNA_FPStartDate,0,COLUMN())&amp;","&amp;INDEX(MO_Common_QEndDate,0,COLUMN())&amp;",,,,0)")),"N/A")</f>
        <v>N/A</v>
      </c>
      <c r="T1174" s="584" t="str">
        <f ca="1">IFERROR(IF(INDEX(MO_Common_QEndDate,0,COLUMN())&gt;TODAY(),FDS(MO.ReportCurrency&amp;HP.TradeCurrency,"FG_PRICE(NOW)"),FDS(MO.ReportCurrency&amp;HP.TradeCurrency,"P_PRICE_AVG("&amp;INDEX(MO_SNA_FPStartDate,0,COLUMN())&amp;","&amp;INDEX(MO_Common_QEndDate,0,COLUMN())&amp;",,,,0)")),"N/A")</f>
        <v>N/A</v>
      </c>
      <c r="U1174" s="584" t="str">
        <f ca="1">IFERROR(IF(INDEX(MO_Common_QEndDate,0,COLUMN())&gt;TODAY(),FDS(MO.ReportCurrency&amp;HP.TradeCurrency,"FG_PRICE(NOW)"),FDS(MO.ReportCurrency&amp;HP.TradeCurrency,"P_PRICE_AVG("&amp;INDEX(MO_SNA_FPStartDate,0,COLUMN())&amp;","&amp;INDEX(MO_Common_QEndDate,0,COLUMN())&amp;",,,,0)")),"N/A")</f>
        <v>N/A</v>
      </c>
      <c r="V1174" s="584" t="str">
        <f ca="1">IFERROR(IF(INDEX(MO_Common_QEndDate,0,COLUMN())&gt;TODAY(),FDS(MO.ReportCurrency&amp;HP.TradeCurrency,"FG_PRICE(NOW)"),FDS(MO.ReportCurrency&amp;HP.TradeCurrency,"P_PRICE_AVG("&amp;INDEX(MO_SNA_FPStartDate,0,COLUMN())&amp;","&amp;INDEX(MO_Common_QEndDate,0,COLUMN())&amp;",,,,0)")),"N/A")</f>
        <v>N/A</v>
      </c>
      <c r="W1174" s="584" t="str">
        <f ca="1">IFERROR(IF(INDEX(MO_Common_QEndDate,0,COLUMN())&gt;TODAY(),FDS(MO.ReportCurrency&amp;HP.TradeCurrency,"FG_PRICE(NOW)"),FDS(MO.ReportCurrency&amp;HP.TradeCurrency,"P_PRICE_AVG("&amp;INDEX(MO_SNA_FPStartDate,0,COLUMN())&amp;","&amp;INDEX(MO_Common_QEndDate,0,COLUMN())&amp;",,,,0)")),"N/A")</f>
        <v>N/A</v>
      </c>
      <c r="X1174" s="584" t="str">
        <f ca="1">IFERROR(IF(INDEX(MO_Common_QEndDate,0,COLUMN())&gt;TODAY(),FDS(MO.ReportCurrency&amp;HP.TradeCurrency,"FG_PRICE(NOW)"),FDS(MO.ReportCurrency&amp;HP.TradeCurrency,"P_PRICE_AVG("&amp;INDEX(MO_SNA_FPStartDate,0,COLUMN())&amp;","&amp;INDEX(MO_Common_QEndDate,0,COLUMN())&amp;",,,,0)")),"N/A")</f>
        <v>N/A</v>
      </c>
      <c r="Y1174" s="584" t="str">
        <f ca="1">IFERROR(IF(INDEX(MO_Common_QEndDate,0,COLUMN())&gt;TODAY(),FDS(MO.ReportCurrency&amp;HP.TradeCurrency,"FG_PRICE(NOW)"),FDS(MO.ReportCurrency&amp;HP.TradeCurrency,"P_PRICE_AVG("&amp;INDEX(MO_SNA_FPStartDate,0,COLUMN())&amp;","&amp;INDEX(MO_Common_QEndDate,0,COLUMN())&amp;",,,,0)")),"N/A")</f>
        <v>N/A</v>
      </c>
      <c r="Z1174" s="584" t="str">
        <f ca="1">IFERROR(IF(INDEX(MO_Common_QEndDate,0,COLUMN())&gt;TODAY(),FDS(MO.ReportCurrency&amp;HP.TradeCurrency,"FG_PRICE(NOW)"),FDS(MO.ReportCurrency&amp;HP.TradeCurrency,"P_PRICE_AVG("&amp;INDEX(MO_SNA_FPStartDate,0,COLUMN())&amp;","&amp;INDEX(MO_Common_QEndDate,0,COLUMN())&amp;",,,,0)")),"N/A")</f>
        <v>N/A</v>
      </c>
      <c r="AA1174" s="584" t="str">
        <f ca="1">IFERROR(IF(INDEX(MO_Common_QEndDate,0,COLUMN())&gt;TODAY(),FDS(MO.ReportCurrency&amp;HP.TradeCurrency,"FG_PRICE(NOW)"),FDS(MO.ReportCurrency&amp;HP.TradeCurrency,"P_PRICE_AVG("&amp;INDEX(MO_SNA_FPStartDate,0,COLUMN())&amp;","&amp;INDEX(MO_Common_QEndDate,0,COLUMN())&amp;",,,,0)")),"N/A")</f>
        <v>N/A</v>
      </c>
      <c r="AB1174" s="584" t="str">
        <f ca="1">IFERROR(IF(INDEX(MO_Common_QEndDate,0,COLUMN())&gt;TODAY(),FDS(MO.ReportCurrency&amp;HP.TradeCurrency,"FG_PRICE(NOW)"),FDS(MO.ReportCurrency&amp;HP.TradeCurrency,"P_PRICE_AVG("&amp;INDEX(MO_SNA_FPStartDate,0,COLUMN())&amp;","&amp;INDEX(MO_Common_QEndDate,0,COLUMN())&amp;",,,,0)")),"N/A")</f>
        <v>N/A</v>
      </c>
      <c r="AC1174" s="584" t="str">
        <f ca="1">IFERROR(IF(INDEX(MO_Common_QEndDate,0,COLUMN())&gt;TODAY(),FDS(MO.ReportCurrency&amp;HP.TradeCurrency,"FG_PRICE(NOW)"),FDS(MO.ReportCurrency&amp;HP.TradeCurrency,"P_PRICE_AVG("&amp;INDEX(MO_SNA_FPStartDate,0,COLUMN())&amp;","&amp;INDEX(MO_Common_QEndDate,0,COLUMN())&amp;",,,,0)")),"N/A")</f>
        <v>N/A</v>
      </c>
      <c r="AD1174" s="584" t="str">
        <f ca="1">IFERROR(IF(INDEX(MO_Common_QEndDate,0,COLUMN())&gt;TODAY(),FDS(MO.ReportCurrency&amp;HP.TradeCurrency,"FG_PRICE(NOW)"),FDS(MO.ReportCurrency&amp;HP.TradeCurrency,"P_PRICE_AVG("&amp;INDEX(MO_SNA_FPStartDate,0,COLUMN())&amp;","&amp;INDEX(MO_Common_QEndDate,0,COLUMN())&amp;",,,,0)")),"N/A")</f>
        <v>N/A</v>
      </c>
      <c r="AE1174" s="584" t="str">
        <f ca="1">IFERROR(IF(INDEX(MO_Common_QEndDate,0,COLUMN())&gt;TODAY(),FDS(MO.ReportCurrency&amp;HP.TradeCurrency,"FG_PRICE(NOW)"),FDS(MO.ReportCurrency&amp;HP.TradeCurrency,"P_PRICE_AVG("&amp;INDEX(MO_SNA_FPStartDate,0,COLUMN())&amp;","&amp;INDEX(MO_Common_QEndDate,0,COLUMN())&amp;",,,,0)")),"N/A")</f>
        <v>N/A</v>
      </c>
      <c r="AF1174" s="584" t="str">
        <f ca="1">IFERROR(IF(INDEX(MO_Common_QEndDate,0,COLUMN())&gt;TODAY(),FDS(MO.ReportCurrency&amp;HP.TradeCurrency,"FG_PRICE(NOW)"),FDS(MO.ReportCurrency&amp;HP.TradeCurrency,"P_PRICE_AVG("&amp;INDEX(MO_SNA_FPStartDate,0,COLUMN())&amp;","&amp;INDEX(MO_Common_QEndDate,0,COLUMN())&amp;",,,,0)")),"N/A")</f>
        <v>N/A</v>
      </c>
      <c r="AG1174" s="584" t="str">
        <f ca="1">IFERROR(IF(INDEX(MO_Common_QEndDate,0,COLUMN())&gt;TODAY(),FDS(MO.ReportCurrency&amp;HP.TradeCurrency,"FG_PRICE(NOW)"),FDS(MO.ReportCurrency&amp;HP.TradeCurrency,"P_PRICE_AVG("&amp;INDEX(MO_SNA_FPStartDate,0,COLUMN())&amp;","&amp;INDEX(MO_Common_QEndDate,0,COLUMN())&amp;",,,,0)")),"N/A")</f>
        <v>N/A</v>
      </c>
      <c r="AH1174" s="584" t="str">
        <f ca="1">IFERROR(IF(INDEX(MO_Common_QEndDate,0,COLUMN())&gt;TODAY(),FDS(MO.ReportCurrency&amp;HP.TradeCurrency,"FG_PRICE(NOW)"),FDS(MO.ReportCurrency&amp;HP.TradeCurrency,"P_PRICE_AVG("&amp;INDEX(MO_SNA_FPStartDate,0,COLUMN())&amp;","&amp;INDEX(MO_Common_QEndDate,0,COLUMN())&amp;",,,,0)")),"N/A")</f>
        <v>N/A</v>
      </c>
      <c r="AI1174" s="584" t="str">
        <f ca="1">IFERROR(IF(INDEX(MO_Common_QEndDate,0,COLUMN())&gt;TODAY(),FDS(MO.ReportCurrency&amp;HP.TradeCurrency,"FG_PRICE(NOW)"),FDS(MO.ReportCurrency&amp;HP.TradeCurrency,"P_PRICE_AVG("&amp;INDEX(MO_SNA_FPStartDate,0,COLUMN())&amp;","&amp;INDEX(MO_Common_QEndDate,0,COLUMN())&amp;",,,,0)")),"N/A")</f>
        <v>N/A</v>
      </c>
      <c r="AJ1174" s="584" t="str">
        <f ca="1">IFERROR(IF(INDEX(MO_Common_QEndDate,0,COLUMN())&gt;TODAY(),FDS(MO.ReportCurrency&amp;HP.TradeCurrency,"FG_PRICE(NOW)"),FDS(MO.ReportCurrency&amp;HP.TradeCurrency,"P_PRICE_AVG("&amp;INDEX(MO_SNA_FPStartDate,0,COLUMN())&amp;","&amp;INDEX(MO_Common_QEndDate,0,COLUMN())&amp;",,,,0)")),"N/A")</f>
        <v>N/A</v>
      </c>
      <c r="AK1174" s="584" t="str">
        <f ca="1">IFERROR(IF(INDEX(MO_Common_QEndDate,0,COLUMN())&gt;TODAY(),FDS(MO.ReportCurrency&amp;HP.TradeCurrency,"FG_PRICE(NOW)"),FDS(MO.ReportCurrency&amp;HP.TradeCurrency,"P_PRICE_AVG("&amp;INDEX(MO_SNA_FPStartDate,0,COLUMN())&amp;","&amp;INDEX(MO_Common_QEndDate,0,COLUMN())&amp;",,,,0)")),"N/A")</f>
        <v>N/A</v>
      </c>
      <c r="AL1174" s="584" t="str">
        <f ca="1">IFERROR(IF(INDEX(MO_Common_QEndDate,0,COLUMN())&gt;TODAY(),FDS(MO.ReportCurrency&amp;HP.TradeCurrency,"FG_PRICE(NOW)"),FDS(MO.ReportCurrency&amp;HP.TradeCurrency,"P_PRICE_AVG("&amp;INDEX(MO_SNA_FPStartDate,0,COLUMN())&amp;","&amp;INDEX(MO_Common_QEndDate,0,COLUMN())&amp;",,,,0)")),"N/A")</f>
        <v>N/A</v>
      </c>
      <c r="AM1174" s="584" t="str">
        <f ca="1">IFERROR(IF(INDEX(MO_Common_QEndDate,0,COLUMN())&gt;TODAY(),FDS(MO.ReportCurrency&amp;HP.TradeCurrency,"FG_PRICE(NOW)"),FDS(MO.ReportCurrency&amp;HP.TradeCurrency,"P_PRICE_AVG("&amp;INDEX(MO_SNA_FPStartDate,0,COLUMN())&amp;","&amp;INDEX(MO_Common_QEndDate,0,COLUMN())&amp;",,,,0)")),"N/A")</f>
        <v>N/A</v>
      </c>
      <c r="AN1174" s="584" t="str">
        <f ca="1">IFERROR(IF(INDEX(MO_Common_QEndDate,0,COLUMN())&gt;TODAY(),FDS(MO.ReportCurrency&amp;HP.TradeCurrency,"FG_PRICE(NOW)"),FDS(MO.ReportCurrency&amp;HP.TradeCurrency,"P_PRICE_AVG("&amp;INDEX(MO_SNA_FPStartDate,0,COLUMN())&amp;","&amp;INDEX(MO_Common_QEndDate,0,COLUMN())&amp;",,,,0)")),"N/A")</f>
        <v>N/A</v>
      </c>
      <c r="AO1174" s="584" t="str">
        <f ca="1">IFERROR(IF(INDEX(MO_Common_QEndDate,0,COLUMN())&gt;TODAY(),FDS(MO.ReportCurrency&amp;HP.TradeCurrency,"FG_PRICE(NOW)"),FDS(MO.ReportCurrency&amp;HP.TradeCurrency,"P_PRICE_AVG("&amp;INDEX(MO_SNA_FPStartDate,0,COLUMN())&amp;","&amp;INDEX(MO_Common_QEndDate,0,COLUMN())&amp;",,,,0)")),"N/A")</f>
        <v>N/A</v>
      </c>
      <c r="AP1174" s="584" t="str">
        <f ca="1">IFERROR(IF(INDEX(MO_Common_QEndDate,0,COLUMN())&gt;TODAY(),FDS(MO.ReportCurrency&amp;HP.TradeCurrency,"FG_PRICE(NOW)"),FDS(MO.ReportCurrency&amp;HP.TradeCurrency,"P_PRICE_AVG("&amp;INDEX(MO_SNA_FPStartDate,0,COLUMN())&amp;","&amp;INDEX(MO_Common_QEndDate,0,COLUMN())&amp;",,,,0)")),"N/A")</f>
        <v>N/A</v>
      </c>
      <c r="AQ1174" s="584" t="str">
        <f ca="1">IFERROR(IF(INDEX(MO_Common_QEndDate,0,COLUMN())&gt;TODAY(),FDS(MO.ReportCurrency&amp;HP.TradeCurrency,"FG_PRICE(NOW)"),FDS(MO.ReportCurrency&amp;HP.TradeCurrency,"P_PRICE_AVG("&amp;INDEX(MO_SNA_FPStartDate,0,COLUMN())&amp;","&amp;INDEX(MO_Common_QEndDate,0,COLUMN())&amp;",,,,0)")),"N/A")</f>
        <v>N/A</v>
      </c>
      <c r="AR1174" s="584" t="str">
        <f ca="1">IFERROR(IF(INDEX(MO_Common_QEndDate,0,COLUMN())&gt;TODAY(),FDS(MO.ReportCurrency&amp;HP.TradeCurrency,"FG_PRICE(NOW)"),FDS(MO.ReportCurrency&amp;HP.TradeCurrency,"P_PRICE_AVG("&amp;INDEX(MO_SNA_FPStartDate,0,COLUMN())&amp;","&amp;INDEX(MO_Common_QEndDate,0,COLUMN())&amp;",,,,0)")),"N/A")</f>
        <v>N/A</v>
      </c>
      <c r="AS1174" s="584" t="str">
        <f ca="1">IFERROR(IF(INDEX(MO_Common_QEndDate,0,COLUMN())&gt;TODAY(),FDS(MO.ReportCurrency&amp;HP.TradeCurrency,"FG_PRICE(NOW)"),FDS(MO.ReportCurrency&amp;HP.TradeCurrency,"P_PRICE_AVG("&amp;INDEX(MO_SNA_FPStartDate,0,COLUMN())&amp;","&amp;INDEX(MO_Common_QEndDate,0,COLUMN())&amp;",,,,0)")),"N/A")</f>
        <v>N/A</v>
      </c>
      <c r="AT1174" s="584" t="str">
        <f ca="1">IFERROR(IF(INDEX(MO_Common_QEndDate,0,COLUMN())&gt;TODAY(),FDS(MO.ReportCurrency&amp;HP.TradeCurrency,"FG_PRICE(NOW)"),FDS(MO.ReportCurrency&amp;HP.TradeCurrency,"P_PRICE_AVG("&amp;INDEX(MO_SNA_FPStartDate,0,COLUMN())&amp;","&amp;INDEX(MO_Common_QEndDate,0,COLUMN())&amp;",,,,0)")),"N/A")</f>
        <v>N/A</v>
      </c>
      <c r="AU1174" s="838" t="str">
        <f ca="1">IFERROR(IF(INDEX(MO_Common_QEndDate,0,COLUMN())&gt;TODAY(),FDS(MO.ReportCurrency&amp;HP.TradeCurrency,"FG_PRICE(NOW)"),FDS(MO.ReportCurrency&amp;HP.TradeCurrency,"P_PRICE_AVG("&amp;INDEX(MO_SNA_FPStartDate,0,COLUMN())&amp;","&amp;INDEX(MO_Common_QEndDate,0,COLUMN())&amp;",,,,0)")),"N/A")</f>
        <v>N/A</v>
      </c>
      <c r="AV1174" s="584" t="str">
        <f ca="1">IFERROR(IF(INDEX(MO_Common_QEndDate,0,COLUMN())&gt;TODAY(),FDS(MO.ReportCurrency&amp;HP.TradeCurrency,"FG_PRICE(NOW)"),FDS(MO.ReportCurrency&amp;HP.TradeCurrency,"P_PRICE_AVG("&amp;INDEX(MO_SNA_FPStartDate,0,COLUMN())&amp;","&amp;INDEX(MO_Common_QEndDate,0,COLUMN())&amp;",,,,0)")),"N/A")</f>
        <v>N/A</v>
      </c>
      <c r="AW1174" s="584" t="str">
        <f ca="1">IFERROR(IF(INDEX(MO_Common_QEndDate,0,COLUMN())&gt;TODAY(),FDS(MO.ReportCurrency&amp;HP.TradeCurrency,"FG_PRICE(NOW)"),FDS(MO.ReportCurrency&amp;HP.TradeCurrency,"P_PRICE_AVG("&amp;INDEX(MO_SNA_FPStartDate,0,COLUMN())&amp;","&amp;INDEX(MO_Common_QEndDate,0,COLUMN())&amp;",,,,0)")),"N/A")</f>
        <v>N/A</v>
      </c>
      <c r="AX1174" s="584" t="str">
        <f ca="1">IFERROR(IF(INDEX(MO_Common_QEndDate,0,COLUMN())&gt;TODAY(),FDS(MO.ReportCurrency&amp;HP.TradeCurrency,"FG_PRICE(NOW)"),FDS(MO.ReportCurrency&amp;HP.TradeCurrency,"P_PRICE_AVG("&amp;INDEX(MO_SNA_FPStartDate,0,COLUMN())&amp;","&amp;INDEX(MO_Common_QEndDate,0,COLUMN())&amp;",,,,0)")),"N/A")</f>
        <v>N/A</v>
      </c>
      <c r="AY1174" s="584" t="str">
        <f ca="1">IFERROR(IF(INDEX(MO_Common_QEndDate,0,COLUMN())&gt;TODAY(),FDS(MO.ReportCurrency&amp;HP.TradeCurrency,"FG_PRICE(NOW)"),FDS(MO.ReportCurrency&amp;HP.TradeCurrency,"P_PRICE_AVG("&amp;INDEX(MO_SNA_FPStartDate,0,COLUMN())&amp;","&amp;INDEX(MO_Common_QEndDate,0,COLUMN())&amp;",,,,0)")),"N/A")</f>
        <v>N/A</v>
      </c>
      <c r="AZ1174" s="584" t="str">
        <f ca="1">IFERROR(IF(INDEX(MO_Common_QEndDate,0,COLUMN())&gt;TODAY(),FDS(MO.ReportCurrency&amp;HP.TradeCurrency,"FG_PRICE(NOW)"),FDS(MO.ReportCurrency&amp;HP.TradeCurrency,"P_PRICE_AVG("&amp;INDEX(MO_SNA_FPStartDate,0,COLUMN())&amp;","&amp;INDEX(MO_Common_QEndDate,0,COLUMN())&amp;",,,,0)")),"N/A")</f>
        <v>N/A</v>
      </c>
      <c r="BA1174" s="584" t="str">
        <f ca="1">IFERROR(IF(INDEX(MO_Common_QEndDate,0,COLUMN())&gt;TODAY(),FDS(MO.ReportCurrency&amp;HP.TradeCurrency,"FG_PRICE(NOW)"),FDS(MO.ReportCurrency&amp;HP.TradeCurrency,"P_PRICE_AVG("&amp;INDEX(MO_SNA_FPStartDate,0,COLUMN())&amp;","&amp;INDEX(MO_Common_QEndDate,0,COLUMN())&amp;",,,,0)")),"N/A")</f>
        <v>N/A</v>
      </c>
      <c r="BB1174" s="584" t="str">
        <f ca="1">IFERROR(IF(INDEX(MO_Common_QEndDate,0,COLUMN())&gt;TODAY(),FDS(MO.ReportCurrency&amp;HP.TradeCurrency,"FG_PRICE(NOW)"),FDS(MO.ReportCurrency&amp;HP.TradeCurrency,"P_PRICE_AVG("&amp;INDEX(MO_SNA_FPStartDate,0,COLUMN())&amp;","&amp;INDEX(MO_Common_QEndDate,0,COLUMN())&amp;",,,,0)")),"N/A")</f>
        <v>N/A</v>
      </c>
      <c r="BC1174" s="584" t="str">
        <f ca="1">IFERROR(IF(INDEX(MO_Common_QEndDate,0,COLUMN())&gt;TODAY(),FDS(MO.ReportCurrency&amp;HP.TradeCurrency,"FG_PRICE(NOW)"),FDS(MO.ReportCurrency&amp;HP.TradeCurrency,"P_PRICE_AVG("&amp;INDEX(MO_SNA_FPStartDate,0,COLUMN())&amp;","&amp;INDEX(MO_Common_QEndDate,0,COLUMN())&amp;",,,,0)")),"N/A")</f>
        <v>N/A</v>
      </c>
      <c r="BD1174" s="584" t="str">
        <f ca="1">IFERROR(IF(INDEX(MO_Common_QEndDate,0,COLUMN())&gt;TODAY(),FDS(MO.ReportCurrency&amp;HP.TradeCurrency,"FG_PRICE(NOW)"),FDS(MO.ReportCurrency&amp;HP.TradeCurrency,"P_PRICE_AVG("&amp;INDEX(MO_SNA_FPStartDate,0,COLUMN())&amp;","&amp;INDEX(MO_Common_QEndDate,0,COLUMN())&amp;",,,,0)")),"N/A")</f>
        <v>N/A</v>
      </c>
      <c r="BE1174" s="584" t="str">
        <f ca="1">IFERROR(IF(INDEX(MO_Common_QEndDate,0,COLUMN())&gt;TODAY(),FDS(MO.ReportCurrency&amp;HP.TradeCurrency,"FG_PRICE(NOW)"),FDS(MO.ReportCurrency&amp;HP.TradeCurrency,"P_PRICE_AVG("&amp;INDEX(MO_SNA_FPStartDate,0,COLUMN())&amp;","&amp;INDEX(MO_Common_QEndDate,0,COLUMN())&amp;",,,,0)")),"N/A")</f>
        <v>N/A</v>
      </c>
      <c r="BF1174" s="584" t="str">
        <f ca="1">IFERROR(IF(INDEX(MO_Common_QEndDate,0,COLUMN())&gt;TODAY(),FDS(MO.ReportCurrency&amp;HP.TradeCurrency,"FG_PRICE(NOW)"),FDS(MO.ReportCurrency&amp;HP.TradeCurrency,"P_PRICE_AVG("&amp;INDEX(MO_SNA_FPStartDate,0,COLUMN())&amp;","&amp;INDEX(MO_Common_QEndDate,0,COLUMN())&amp;",,,,0)")),"N/A")</f>
        <v>N/A</v>
      </c>
      <c r="BG1174" s="585" t="str">
        <f ca="1">IFERROR(IF(INDEX(MO_Common_QEndDate,0,COLUMN())&gt;TODAY(),FDS(MO.ReportCurrency&amp;HP.TradeCurrency,"FG_PRICE(NOW)"),FDS(MO.ReportCurrency&amp;HP.TradeCurrency,"P_PRICE_AVG("&amp;INDEX(MO_SNA_FPStartDate,0,COLUMN())&amp;","&amp;INDEX(MO_Common_QEndDate,0,COLUMN())&amp;",,,,0)")),"N/A")</f>
        <v>N/A</v>
      </c>
      <c r="BH1174" s="478"/>
    </row>
    <row r="1175" spans="1:60" s="403" customFormat="1" hidden="1" outlineLevel="1" x14ac:dyDescent="0.35">
      <c r="A1175" s="404" t="s">
        <v>1062</v>
      </c>
      <c r="B1175" s="584"/>
      <c r="C1175" s="583" t="str">
        <f t="shared" ref="C1175:AH1175" si="1604">"N/A"</f>
        <v>N/A</v>
      </c>
      <c r="D1175" s="583" t="str">
        <f t="shared" si="1604"/>
        <v>N/A</v>
      </c>
      <c r="E1175" s="584" t="str">
        <f t="shared" si="1604"/>
        <v>N/A</v>
      </c>
      <c r="F1175" s="584" t="str">
        <f t="shared" si="1604"/>
        <v>N/A</v>
      </c>
      <c r="G1175" s="584" t="str">
        <f t="shared" si="1604"/>
        <v>N/A</v>
      </c>
      <c r="H1175" s="584" t="str">
        <f t="shared" si="1604"/>
        <v>N/A</v>
      </c>
      <c r="I1175" s="584" t="str">
        <f t="shared" si="1604"/>
        <v>N/A</v>
      </c>
      <c r="J1175" s="584" t="str">
        <f t="shared" si="1604"/>
        <v>N/A</v>
      </c>
      <c r="K1175" s="584" t="str">
        <f t="shared" si="1604"/>
        <v>N/A</v>
      </c>
      <c r="L1175" s="584" t="str">
        <f t="shared" si="1604"/>
        <v>N/A</v>
      </c>
      <c r="M1175" s="584" t="str">
        <f t="shared" si="1604"/>
        <v>N/A</v>
      </c>
      <c r="N1175" s="584" t="str">
        <f t="shared" si="1604"/>
        <v>N/A</v>
      </c>
      <c r="O1175" s="584" t="str">
        <f t="shared" si="1604"/>
        <v>N/A</v>
      </c>
      <c r="P1175" s="584" t="str">
        <f t="shared" si="1604"/>
        <v>N/A</v>
      </c>
      <c r="Q1175" s="584" t="str">
        <f t="shared" si="1604"/>
        <v>N/A</v>
      </c>
      <c r="R1175" s="584" t="str">
        <f t="shared" si="1604"/>
        <v>N/A</v>
      </c>
      <c r="S1175" s="584" t="str">
        <f t="shared" si="1604"/>
        <v>N/A</v>
      </c>
      <c r="T1175" s="584" t="str">
        <f t="shared" si="1604"/>
        <v>N/A</v>
      </c>
      <c r="U1175" s="584" t="str">
        <f t="shared" si="1604"/>
        <v>N/A</v>
      </c>
      <c r="V1175" s="584" t="str">
        <f t="shared" si="1604"/>
        <v>N/A</v>
      </c>
      <c r="W1175" s="584" t="str">
        <f t="shared" si="1604"/>
        <v>N/A</v>
      </c>
      <c r="X1175" s="584" t="str">
        <f t="shared" si="1604"/>
        <v>N/A</v>
      </c>
      <c r="Y1175" s="584" t="str">
        <f t="shared" si="1604"/>
        <v>N/A</v>
      </c>
      <c r="Z1175" s="584" t="str">
        <f t="shared" si="1604"/>
        <v>N/A</v>
      </c>
      <c r="AA1175" s="584" t="str">
        <f t="shared" si="1604"/>
        <v>N/A</v>
      </c>
      <c r="AB1175" s="584" t="str">
        <f t="shared" si="1604"/>
        <v>N/A</v>
      </c>
      <c r="AC1175" s="584" t="str">
        <f t="shared" si="1604"/>
        <v>N/A</v>
      </c>
      <c r="AD1175" s="584" t="str">
        <f t="shared" si="1604"/>
        <v>N/A</v>
      </c>
      <c r="AE1175" s="584" t="str">
        <f t="shared" si="1604"/>
        <v>N/A</v>
      </c>
      <c r="AF1175" s="584" t="str">
        <f t="shared" si="1604"/>
        <v>N/A</v>
      </c>
      <c r="AG1175" s="584" t="str">
        <f t="shared" si="1604"/>
        <v>N/A</v>
      </c>
      <c r="AH1175" s="584" t="str">
        <f t="shared" si="1604"/>
        <v>N/A</v>
      </c>
      <c r="AI1175" s="584" t="str">
        <f t="shared" ref="AI1175:AY1175" si="1605">"N/A"</f>
        <v>N/A</v>
      </c>
      <c r="AJ1175" s="584" t="str">
        <f t="shared" si="1605"/>
        <v>N/A</v>
      </c>
      <c r="AK1175" s="584" t="str">
        <f t="shared" si="1605"/>
        <v>N/A</v>
      </c>
      <c r="AL1175" s="584" t="str">
        <f t="shared" si="1605"/>
        <v>N/A</v>
      </c>
      <c r="AM1175" s="584" t="str">
        <f t="shared" si="1605"/>
        <v>N/A</v>
      </c>
      <c r="AN1175" s="584" t="str">
        <f t="shared" si="1605"/>
        <v>N/A</v>
      </c>
      <c r="AO1175" s="584" t="str">
        <f t="shared" si="1605"/>
        <v>N/A</v>
      </c>
      <c r="AP1175" s="584" t="str">
        <f t="shared" si="1605"/>
        <v>N/A</v>
      </c>
      <c r="AQ1175" s="584" t="str">
        <f t="shared" si="1605"/>
        <v>N/A</v>
      </c>
      <c r="AR1175" s="584" t="str">
        <f>"N/A"</f>
        <v>N/A</v>
      </c>
      <c r="AS1175" s="584" t="str">
        <f>"N/A"</f>
        <v>N/A</v>
      </c>
      <c r="AT1175" s="584" t="str">
        <f>"N/A"</f>
        <v>N/A</v>
      </c>
      <c r="AU1175" s="838" t="str">
        <f t="shared" si="1605"/>
        <v>N/A</v>
      </c>
      <c r="AV1175" s="584" t="str">
        <f t="shared" si="1605"/>
        <v>N/A</v>
      </c>
      <c r="AW1175" s="584" t="str">
        <f t="shared" si="1605"/>
        <v>N/A</v>
      </c>
      <c r="AX1175" s="584" t="str">
        <f t="shared" si="1605"/>
        <v>N/A</v>
      </c>
      <c r="AY1175" s="584" t="str">
        <f t="shared" si="1605"/>
        <v>N/A</v>
      </c>
      <c r="AZ1175" s="584" t="str">
        <f t="shared" ref="AZ1175:BG1175" si="1606">"N/A"</f>
        <v>N/A</v>
      </c>
      <c r="BA1175" s="584" t="str">
        <f t="shared" si="1606"/>
        <v>N/A</v>
      </c>
      <c r="BB1175" s="584" t="str">
        <f t="shared" si="1606"/>
        <v>N/A</v>
      </c>
      <c r="BC1175" s="584" t="str">
        <f t="shared" si="1606"/>
        <v>N/A</v>
      </c>
      <c r="BD1175" s="584" t="str">
        <f t="shared" si="1606"/>
        <v>N/A</v>
      </c>
      <c r="BE1175" s="584" t="str">
        <f t="shared" si="1606"/>
        <v>N/A</v>
      </c>
      <c r="BF1175" s="584" t="str">
        <f t="shared" si="1606"/>
        <v>N/A</v>
      </c>
      <c r="BG1175" s="585" t="str">
        <f t="shared" si="1606"/>
        <v>N/A</v>
      </c>
      <c r="BH1175" s="478"/>
    </row>
    <row r="1176" spans="1:60" s="15" customFormat="1" collapsed="1" x14ac:dyDescent="0.35">
      <c r="A1176" s="367"/>
      <c r="B1176" s="342"/>
      <c r="C1176" s="341"/>
      <c r="D1176" s="341"/>
      <c r="E1176" s="342"/>
      <c r="F1176" s="342"/>
      <c r="G1176" s="342"/>
      <c r="H1176" s="342"/>
      <c r="I1176" s="342"/>
      <c r="J1176" s="342"/>
      <c r="K1176" s="342"/>
      <c r="L1176" s="342"/>
      <c r="M1176" s="342"/>
      <c r="N1176" s="342"/>
      <c r="O1176" s="342"/>
      <c r="P1176" s="342"/>
      <c r="Q1176" s="342"/>
      <c r="R1176" s="342"/>
      <c r="S1176" s="342"/>
      <c r="T1176" s="342"/>
      <c r="U1176" s="342"/>
      <c r="V1176" s="342"/>
      <c r="W1176" s="342"/>
      <c r="X1176" s="342"/>
      <c r="Y1176" s="342"/>
      <c r="Z1176" s="342"/>
      <c r="AA1176" s="342"/>
      <c r="AB1176" s="342"/>
      <c r="AC1176" s="342"/>
      <c r="AD1176" s="342"/>
      <c r="AE1176" s="342"/>
      <c r="AF1176" s="342"/>
      <c r="AG1176" s="342"/>
      <c r="AH1176" s="342"/>
      <c r="AI1176" s="342"/>
      <c r="AJ1176" s="342"/>
      <c r="AK1176" s="342"/>
      <c r="AL1176" s="342"/>
      <c r="AM1176" s="342"/>
      <c r="AN1176" s="342"/>
      <c r="AO1176" s="342"/>
      <c r="AP1176" s="342"/>
      <c r="AQ1176" s="342"/>
      <c r="AR1176" s="342"/>
      <c r="AS1176" s="342"/>
      <c r="AT1176" s="342"/>
      <c r="AU1176" s="839"/>
      <c r="AV1176" s="342"/>
      <c r="AW1176" s="342"/>
      <c r="AX1176" s="342"/>
      <c r="AY1176" s="342"/>
      <c r="AZ1176" s="342"/>
      <c r="BA1176" s="342"/>
      <c r="BB1176" s="342"/>
      <c r="BC1176" s="342"/>
      <c r="BD1176" s="342"/>
      <c r="BE1176" s="342"/>
      <c r="BF1176" s="342"/>
      <c r="BG1176" s="365"/>
      <c r="BH1176" s="473"/>
    </row>
    <row r="1177" spans="1:60" s="15" customFormat="1" x14ac:dyDescent="0.35">
      <c r="A1177" s="475"/>
      <c r="B1177" s="461"/>
      <c r="C1177" s="388"/>
      <c r="D1177" s="388"/>
      <c r="E1177" s="387"/>
      <c r="F1177" s="387"/>
      <c r="G1177" s="387"/>
      <c r="H1177" s="387"/>
      <c r="I1177" s="387"/>
      <c r="J1177" s="387"/>
      <c r="K1177" s="387"/>
      <c r="L1177" s="387"/>
      <c r="M1177" s="387"/>
      <c r="N1177" s="387"/>
      <c r="O1177" s="387"/>
      <c r="P1177" s="387"/>
      <c r="Q1177" s="387"/>
      <c r="R1177" s="387"/>
      <c r="S1177" s="387"/>
      <c r="T1177" s="387"/>
      <c r="U1177" s="387"/>
      <c r="V1177" s="387"/>
      <c r="W1177" s="387"/>
      <c r="X1177" s="387"/>
      <c r="Y1177" s="387"/>
      <c r="Z1177" s="387"/>
      <c r="AA1177" s="387"/>
      <c r="AB1177" s="387"/>
      <c r="AC1177" s="387"/>
      <c r="AD1177" s="387"/>
      <c r="AE1177" s="387"/>
      <c r="AF1177" s="387"/>
      <c r="AG1177" s="387"/>
      <c r="AH1177" s="387"/>
      <c r="AI1177" s="387"/>
      <c r="AJ1177" s="387"/>
      <c r="AK1177" s="387"/>
      <c r="AL1177" s="387"/>
      <c r="AM1177" s="387"/>
      <c r="AN1177" s="387"/>
      <c r="AO1177" s="387"/>
      <c r="AP1177" s="387"/>
      <c r="AQ1177" s="387"/>
      <c r="AR1177" s="387"/>
      <c r="AS1177" s="387"/>
      <c r="AT1177" s="387"/>
      <c r="AU1177" s="835"/>
      <c r="AV1177" s="387"/>
      <c r="AW1177" s="387"/>
      <c r="AX1177" s="387"/>
      <c r="AY1177" s="387"/>
      <c r="AZ1177" s="387"/>
      <c r="BA1177" s="387"/>
      <c r="BB1177" s="387"/>
      <c r="BC1177" s="387"/>
      <c r="BD1177" s="387"/>
      <c r="BE1177" s="387"/>
      <c r="BF1177" s="387"/>
      <c r="BG1177" s="387"/>
      <c r="BH1177" s="749"/>
    </row>
    <row r="1178" spans="1:60" s="15" customFormat="1" x14ac:dyDescent="0.35">
      <c r="A1178" s="343" t="s">
        <v>248</v>
      </c>
      <c r="B1178" s="387"/>
      <c r="C1178" s="747"/>
      <c r="D1178" s="747"/>
      <c r="E1178" s="747"/>
      <c r="F1178" s="747"/>
      <c r="G1178" s="747"/>
      <c r="H1178" s="747"/>
      <c r="I1178" s="747"/>
      <c r="J1178" s="747"/>
      <c r="K1178" s="747"/>
      <c r="L1178" s="747"/>
      <c r="M1178" s="747"/>
      <c r="N1178" s="747"/>
      <c r="O1178" s="747"/>
      <c r="P1178" s="747"/>
      <c r="Q1178" s="747"/>
      <c r="R1178" s="747"/>
      <c r="S1178" s="747"/>
      <c r="T1178" s="747"/>
      <c r="U1178" s="747"/>
      <c r="V1178" s="747"/>
      <c r="W1178" s="747"/>
      <c r="X1178" s="747"/>
      <c r="Y1178" s="747"/>
      <c r="Z1178" s="747"/>
      <c r="AA1178" s="747"/>
      <c r="AB1178" s="747"/>
      <c r="AC1178" s="747"/>
      <c r="AD1178" s="747"/>
      <c r="AE1178" s="747"/>
      <c r="AF1178" s="747"/>
      <c r="AG1178" s="747"/>
      <c r="AH1178" s="747"/>
      <c r="AI1178" s="747"/>
      <c r="AJ1178" s="747"/>
      <c r="AK1178" s="747"/>
      <c r="AL1178" s="747"/>
      <c r="AM1178" s="747"/>
      <c r="AN1178" s="747"/>
      <c r="AO1178" s="747"/>
      <c r="AP1178" s="747"/>
      <c r="AQ1178" s="747"/>
      <c r="AR1178" s="747"/>
      <c r="AS1178" s="747"/>
      <c r="AT1178" s="747"/>
      <c r="AU1178" s="786"/>
      <c r="AV1178" s="747"/>
      <c r="AW1178" s="747"/>
      <c r="AX1178" s="747"/>
      <c r="AY1178" s="747"/>
      <c r="AZ1178" s="747"/>
      <c r="BA1178" s="747"/>
      <c r="BB1178" s="747"/>
      <c r="BC1178" s="747"/>
      <c r="BD1178" s="747"/>
      <c r="BE1178" s="747"/>
      <c r="BF1178" s="747"/>
      <c r="BG1178" s="747"/>
      <c r="BH1178" s="749"/>
    </row>
    <row r="1179" spans="1:60" s="344" customFormat="1" x14ac:dyDescent="0.35">
      <c r="A1179" s="405" t="s">
        <v>249</v>
      </c>
      <c r="B1179" s="346">
        <f>FP.LastPrice</f>
        <v>195.93</v>
      </c>
      <c r="C1179" s="396"/>
      <c r="D1179" s="396"/>
      <c r="E1179" s="396"/>
      <c r="F1179" s="396"/>
      <c r="G1179" s="396"/>
      <c r="H1179" s="396"/>
      <c r="I1179" s="396"/>
      <c r="J1179" s="396"/>
      <c r="K1179" s="396"/>
      <c r="L1179" s="396"/>
      <c r="M1179" s="396"/>
      <c r="N1179" s="396"/>
      <c r="O1179" s="396"/>
      <c r="P1179" s="396"/>
      <c r="Q1179" s="396"/>
      <c r="R1179" s="396"/>
      <c r="S1179" s="396"/>
      <c r="T1179" s="396"/>
      <c r="U1179" s="396"/>
      <c r="V1179" s="396"/>
      <c r="W1179" s="396"/>
      <c r="X1179" s="396"/>
      <c r="Y1179" s="396"/>
      <c r="Z1179" s="396"/>
      <c r="AA1179" s="396"/>
      <c r="AB1179" s="396"/>
      <c r="AC1179" s="396"/>
      <c r="AD1179" s="396"/>
      <c r="AE1179" s="396"/>
      <c r="AF1179" s="396"/>
      <c r="AG1179" s="396"/>
      <c r="AH1179" s="396"/>
      <c r="AI1179" s="396"/>
      <c r="AJ1179" s="396"/>
      <c r="AK1179" s="396"/>
      <c r="AL1179" s="396"/>
      <c r="AM1179" s="396"/>
      <c r="AN1179" s="396"/>
      <c r="AO1179" s="396"/>
      <c r="AP1179" s="396"/>
      <c r="AQ1179" s="396"/>
      <c r="AR1179" s="396"/>
      <c r="AS1179" s="396"/>
      <c r="AT1179" s="396"/>
      <c r="AU1179" s="837"/>
      <c r="AV1179" s="396"/>
      <c r="AW1179" s="396"/>
      <c r="AX1179" s="396"/>
      <c r="AY1179" s="396"/>
      <c r="AZ1179" s="396"/>
      <c r="BA1179" s="396"/>
      <c r="BB1179" s="396"/>
      <c r="BC1179" s="396"/>
      <c r="BD1179" s="396"/>
      <c r="BE1179" s="396"/>
      <c r="BF1179" s="396"/>
      <c r="BG1179" s="396"/>
      <c r="BH1179" s="347"/>
    </row>
    <row r="1180" spans="1:60" x14ac:dyDescent="0.35">
      <c r="A1180" s="348" t="s">
        <v>250</v>
      </c>
      <c r="B1180" s="626">
        <f>FP.LastPriceDate</f>
        <v>44314</v>
      </c>
      <c r="C1180" s="277"/>
      <c r="D1180" s="277"/>
      <c r="E1180" s="277"/>
      <c r="F1180" s="277"/>
      <c r="G1180" s="277"/>
      <c r="H1180" s="277"/>
      <c r="I1180" s="277"/>
      <c r="J1180" s="277"/>
      <c r="K1180" s="277"/>
      <c r="L1180" s="277"/>
      <c r="M1180" s="277"/>
      <c r="N1180" s="277"/>
      <c r="O1180" s="277"/>
      <c r="P1180" s="277"/>
      <c r="Q1180" s="277"/>
      <c r="R1180" s="277"/>
      <c r="S1180" s="277"/>
      <c r="T1180" s="277"/>
      <c r="U1180" s="277"/>
      <c r="V1180" s="277"/>
      <c r="W1180" s="277"/>
      <c r="X1180" s="277"/>
      <c r="Y1180" s="277"/>
      <c r="Z1180" s="277"/>
      <c r="AA1180" s="277"/>
      <c r="AB1180" s="277"/>
      <c r="AC1180" s="277"/>
      <c r="AD1180" s="277"/>
      <c r="AE1180" s="277"/>
      <c r="AF1180" s="277"/>
      <c r="AG1180" s="277"/>
      <c r="AH1180" s="277"/>
      <c r="AI1180" s="277"/>
      <c r="AJ1180" s="277"/>
      <c r="AK1180" s="277"/>
      <c r="AL1180" s="277"/>
      <c r="AM1180" s="277"/>
      <c r="AN1180" s="277"/>
      <c r="AO1180" s="277"/>
      <c r="AP1180" s="277"/>
      <c r="AQ1180" s="277"/>
      <c r="AR1180" s="277"/>
      <c r="AS1180" s="277"/>
      <c r="AT1180" s="277"/>
      <c r="AU1180" s="822"/>
      <c r="AV1180" s="277"/>
      <c r="AW1180" s="277"/>
      <c r="AX1180" s="277"/>
      <c r="AY1180" s="277"/>
      <c r="AZ1180" s="277"/>
      <c r="BA1180" s="277"/>
      <c r="BB1180" s="277"/>
      <c r="BC1180" s="277"/>
      <c r="BD1180" s="277"/>
      <c r="BE1180" s="277"/>
      <c r="BF1180" s="277"/>
      <c r="BG1180" s="277"/>
      <c r="BH1180" s="349"/>
    </row>
    <row r="1181" spans="1:60" x14ac:dyDescent="0.35">
      <c r="A1181" s="348" t="s">
        <v>251</v>
      </c>
      <c r="B1181" s="349" t="b">
        <f>IF(FP.RealTimeToggle="ON",TRUE,FALSE)</f>
        <v>1</v>
      </c>
      <c r="C1181" s="277"/>
      <c r="D1181" s="277"/>
      <c r="E1181" s="277"/>
      <c r="F1181" s="277"/>
      <c r="G1181" s="277"/>
      <c r="H1181" s="277"/>
      <c r="I1181" s="277"/>
      <c r="J1181" s="277"/>
      <c r="K1181" s="277"/>
      <c r="L1181" s="277"/>
      <c r="M1181" s="277"/>
      <c r="N1181" s="277"/>
      <c r="O1181" s="277"/>
      <c r="P1181" s="277"/>
      <c r="Q1181" s="277"/>
      <c r="R1181" s="277"/>
      <c r="S1181" s="277"/>
      <c r="T1181" s="277"/>
      <c r="U1181" s="277"/>
      <c r="V1181" s="277"/>
      <c r="W1181" s="277"/>
      <c r="X1181" s="277"/>
      <c r="Y1181" s="277"/>
      <c r="Z1181" s="277"/>
      <c r="AA1181" s="277"/>
      <c r="AB1181" s="277"/>
      <c r="AC1181" s="277"/>
      <c r="AD1181" s="277"/>
      <c r="AE1181" s="277"/>
      <c r="AF1181" s="277"/>
      <c r="AG1181" s="277"/>
      <c r="AH1181" s="277"/>
      <c r="AI1181" s="277"/>
      <c r="AJ1181" s="277"/>
      <c r="AK1181" s="277"/>
      <c r="AL1181" s="277"/>
      <c r="AM1181" s="277"/>
      <c r="AN1181" s="277"/>
      <c r="AO1181" s="277"/>
      <c r="AP1181" s="277"/>
      <c r="AQ1181" s="277"/>
      <c r="AR1181" s="277"/>
      <c r="AS1181" s="277"/>
      <c r="AT1181" s="277"/>
      <c r="AU1181" s="822"/>
      <c r="AV1181" s="277"/>
      <c r="AW1181" s="277"/>
      <c r="AX1181" s="277"/>
      <c r="AY1181" s="277"/>
      <c r="AZ1181" s="277"/>
      <c r="BA1181" s="277"/>
      <c r="BB1181" s="277"/>
      <c r="BC1181" s="277"/>
      <c r="BD1181" s="277"/>
      <c r="BE1181" s="277"/>
      <c r="BF1181" s="277"/>
      <c r="BG1181" s="277"/>
      <c r="BH1181" s="349"/>
    </row>
    <row r="1182" spans="1:60" s="344" customFormat="1" x14ac:dyDescent="0.35">
      <c r="A1182" s="405" t="s">
        <v>252</v>
      </c>
      <c r="B1182" s="347" t="str">
        <f ca="1">IFERROR(CHOOSE(MO.DataSourceIndex,BDP(MO.Ticker.Bloomberg&amp;" EQUITY","LAST_PRICE"),CIQ(MO.Ticker.CapIQ,"IQ_LASTSALEPRICE"),FDS(MO.Ticker.FactSet,"FG_PRICE(NOW)"),_xll.TR(MO.Ticker.Thomson,"TRDPRC_1")),"N/A")</f>
        <v>N/A</v>
      </c>
      <c r="C1182" s="396"/>
      <c r="D1182" s="396"/>
      <c r="E1182" s="396"/>
      <c r="F1182" s="396"/>
      <c r="G1182" s="396"/>
      <c r="H1182" s="396"/>
      <c r="I1182" s="396"/>
      <c r="J1182" s="396"/>
      <c r="K1182" s="396"/>
      <c r="L1182" s="396"/>
      <c r="M1182" s="396"/>
      <c r="N1182" s="396"/>
      <c r="O1182" s="396"/>
      <c r="P1182" s="396"/>
      <c r="Q1182" s="396"/>
      <c r="R1182" s="396"/>
      <c r="S1182" s="396"/>
      <c r="T1182" s="396"/>
      <c r="U1182" s="396"/>
      <c r="V1182" s="396"/>
      <c r="W1182" s="396"/>
      <c r="X1182" s="396"/>
      <c r="Y1182" s="396"/>
      <c r="Z1182" s="396"/>
      <c r="AA1182" s="396"/>
      <c r="AB1182" s="396"/>
      <c r="AC1182" s="396"/>
      <c r="AD1182" s="396"/>
      <c r="AE1182" s="396"/>
      <c r="AF1182" s="396"/>
      <c r="AG1182" s="396"/>
      <c r="AH1182" s="396"/>
      <c r="AI1182" s="396"/>
      <c r="AJ1182" s="396"/>
      <c r="AK1182" s="396"/>
      <c r="AL1182" s="396"/>
      <c r="AM1182" s="396"/>
      <c r="AN1182" s="396"/>
      <c r="AO1182" s="396"/>
      <c r="AP1182" s="396"/>
      <c r="AQ1182" s="396"/>
      <c r="AR1182" s="396"/>
      <c r="AS1182" s="396"/>
      <c r="AT1182" s="396"/>
      <c r="AU1182" s="837"/>
      <c r="AV1182" s="396"/>
      <c r="AW1182" s="396"/>
      <c r="AX1182" s="396"/>
      <c r="AY1182" s="396"/>
      <c r="AZ1182" s="396"/>
      <c r="BA1182" s="396"/>
      <c r="BB1182" s="396"/>
      <c r="BC1182" s="396"/>
      <c r="BD1182" s="396"/>
      <c r="BE1182" s="396"/>
      <c r="BF1182" s="396"/>
      <c r="BG1182" s="396"/>
      <c r="BH1182" s="347"/>
    </row>
    <row r="1183" spans="1:60" s="344" customFormat="1" x14ac:dyDescent="0.35">
      <c r="A1183" s="405" t="s">
        <v>253</v>
      </c>
      <c r="B1183" s="347" t="str">
        <f ca="1">IFERROR(CHOOSE(MO.DataSourceIndex,BDP(HP.Ticker&amp;" Equity","CRNCY"),CIQ(HP.Ticker,"IQ_TRADING_CURRENCY"),FDS(HP.Ticker,"P_CURRENCY(""ISO"")"),_xll.TR(HP.Ticker,"Currency")),HP.TradeCurrency.HardCoded)</f>
        <v>USD</v>
      </c>
      <c r="C1183" s="396"/>
      <c r="D1183" s="396"/>
      <c r="E1183" s="396"/>
      <c r="F1183" s="396"/>
      <c r="G1183" s="396"/>
      <c r="H1183" s="396"/>
      <c r="I1183" s="396"/>
      <c r="J1183" s="396"/>
      <c r="K1183" s="396"/>
      <c r="L1183" s="396"/>
      <c r="M1183" s="396"/>
      <c r="N1183" s="396"/>
      <c r="O1183" s="396"/>
      <c r="P1183" s="396"/>
      <c r="Q1183" s="396"/>
      <c r="R1183" s="396"/>
      <c r="S1183" s="396"/>
      <c r="T1183" s="396"/>
      <c r="U1183" s="396"/>
      <c r="V1183" s="396"/>
      <c r="W1183" s="396"/>
      <c r="X1183" s="396"/>
      <c r="Y1183" s="396"/>
      <c r="Z1183" s="396"/>
      <c r="AA1183" s="396"/>
      <c r="AB1183" s="396"/>
      <c r="AC1183" s="396"/>
      <c r="AD1183" s="396"/>
      <c r="AE1183" s="396"/>
      <c r="AF1183" s="396"/>
      <c r="AG1183" s="396"/>
      <c r="AH1183" s="396"/>
      <c r="AI1183" s="396"/>
      <c r="AJ1183" s="396"/>
      <c r="AK1183" s="396"/>
      <c r="AL1183" s="396"/>
      <c r="AM1183" s="396"/>
      <c r="AN1183" s="396"/>
      <c r="AO1183" s="396"/>
      <c r="AP1183" s="396"/>
      <c r="AQ1183" s="396"/>
      <c r="AR1183" s="396"/>
      <c r="AS1183" s="396"/>
      <c r="AT1183" s="396"/>
      <c r="AU1183" s="837"/>
      <c r="AV1183" s="396"/>
      <c r="AW1183" s="396"/>
      <c r="AX1183" s="396"/>
      <c r="AY1183" s="396"/>
      <c r="AZ1183" s="396"/>
      <c r="BA1183" s="396"/>
      <c r="BB1183" s="396"/>
      <c r="BC1183" s="396"/>
      <c r="BD1183" s="396"/>
      <c r="BE1183" s="396"/>
      <c r="BF1183" s="396"/>
      <c r="BG1183" s="396"/>
      <c r="BH1183" s="347"/>
    </row>
    <row r="1184" spans="1:60" s="344" customFormat="1" x14ac:dyDescent="0.35">
      <c r="A1184" s="405" t="s">
        <v>254</v>
      </c>
      <c r="B1184" s="347" t="s">
        <v>12</v>
      </c>
      <c r="C1184" s="396"/>
      <c r="D1184" s="396"/>
      <c r="E1184" s="396"/>
      <c r="F1184" s="396"/>
      <c r="G1184" s="396"/>
      <c r="H1184" s="396"/>
      <c r="I1184" s="396"/>
      <c r="J1184" s="396"/>
      <c r="K1184" s="396"/>
      <c r="L1184" s="396"/>
      <c r="M1184" s="396"/>
      <c r="N1184" s="396"/>
      <c r="O1184" s="396"/>
      <c r="P1184" s="396"/>
      <c r="Q1184" s="396"/>
      <c r="R1184" s="396"/>
      <c r="S1184" s="396"/>
      <c r="T1184" s="396"/>
      <c r="U1184" s="396"/>
      <c r="V1184" s="396"/>
      <c r="W1184" s="396"/>
      <c r="X1184" s="396"/>
      <c r="Y1184" s="396"/>
      <c r="Z1184" s="396"/>
      <c r="AA1184" s="396"/>
      <c r="AB1184" s="396"/>
      <c r="AC1184" s="396"/>
      <c r="AD1184" s="396"/>
      <c r="AE1184" s="396"/>
      <c r="AF1184" s="396"/>
      <c r="AG1184" s="396"/>
      <c r="AH1184" s="396"/>
      <c r="AI1184" s="396"/>
      <c r="AJ1184" s="396"/>
      <c r="AK1184" s="396"/>
      <c r="AL1184" s="396"/>
      <c r="AM1184" s="396"/>
      <c r="AN1184" s="396"/>
      <c r="AO1184" s="396"/>
      <c r="AP1184" s="396"/>
      <c r="AQ1184" s="396"/>
      <c r="AR1184" s="396"/>
      <c r="AS1184" s="396"/>
      <c r="AT1184" s="396"/>
      <c r="AU1184" s="837"/>
      <c r="AV1184" s="396"/>
      <c r="AW1184" s="396"/>
      <c r="AX1184" s="396"/>
      <c r="AY1184" s="396"/>
      <c r="AZ1184" s="396"/>
      <c r="BA1184" s="396"/>
      <c r="BB1184" s="396"/>
      <c r="BC1184" s="396"/>
      <c r="BD1184" s="396"/>
      <c r="BE1184" s="396"/>
      <c r="BF1184" s="396"/>
      <c r="BG1184" s="396"/>
      <c r="BH1184" s="347"/>
    </row>
    <row r="1185" spans="1:60" s="344" customFormat="1" x14ac:dyDescent="0.35">
      <c r="A1185" s="405" t="s">
        <v>255</v>
      </c>
      <c r="B1185" s="347" t="s">
        <v>12</v>
      </c>
      <c r="C1185" s="396"/>
      <c r="D1185" s="396"/>
      <c r="E1185" s="396"/>
      <c r="F1185" s="396"/>
      <c r="G1185" s="396"/>
      <c r="H1185" s="396"/>
      <c r="I1185" s="396"/>
      <c r="J1185" s="396"/>
      <c r="K1185" s="396"/>
      <c r="L1185" s="396"/>
      <c r="M1185" s="396"/>
      <c r="N1185" s="396"/>
      <c r="O1185" s="396"/>
      <c r="P1185" s="396"/>
      <c r="Q1185" s="396"/>
      <c r="R1185" s="396"/>
      <c r="S1185" s="396"/>
      <c r="T1185" s="396"/>
      <c r="U1185" s="396"/>
      <c r="V1185" s="396"/>
      <c r="W1185" s="396"/>
      <c r="X1185" s="396"/>
      <c r="Y1185" s="396"/>
      <c r="Z1185" s="396"/>
      <c r="AA1185" s="396"/>
      <c r="AB1185" s="396"/>
      <c r="AC1185" s="396"/>
      <c r="AD1185" s="396"/>
      <c r="AE1185" s="396"/>
      <c r="AF1185" s="396"/>
      <c r="AG1185" s="396"/>
      <c r="AH1185" s="396"/>
      <c r="AI1185" s="396"/>
      <c r="AJ1185" s="396"/>
      <c r="AK1185" s="396"/>
      <c r="AL1185" s="396"/>
      <c r="AM1185" s="396"/>
      <c r="AN1185" s="396"/>
      <c r="AO1185" s="396"/>
      <c r="AP1185" s="396"/>
      <c r="AQ1185" s="396"/>
      <c r="AR1185" s="396"/>
      <c r="AS1185" s="396"/>
      <c r="AT1185" s="396"/>
      <c r="AU1185" s="837"/>
      <c r="AV1185" s="396"/>
      <c r="AW1185" s="396"/>
      <c r="AX1185" s="396"/>
      <c r="AY1185" s="396"/>
      <c r="AZ1185" s="396"/>
      <c r="BA1185" s="396"/>
      <c r="BB1185" s="396"/>
      <c r="BC1185" s="396"/>
      <c r="BD1185" s="396"/>
      <c r="BE1185" s="396"/>
      <c r="BF1185" s="396"/>
      <c r="BG1185" s="396"/>
      <c r="BH1185" s="347"/>
    </row>
    <row r="1186" spans="1:60" s="344" customFormat="1" x14ac:dyDescent="0.35">
      <c r="A1186" s="405" t="s">
        <v>256</v>
      </c>
      <c r="B1186" s="402">
        <f ca="1">IF(EXACT(MO.ReportFX,HP.TradeCurrency),1,IF(OR(INDEX(MO_SPT_FXAverage,1,MO.MRFPColumnNumber+1)="N/A",ISERROR(INDEX(MO_SPT_FXAverage,1,MO.MRFPColumnNumber+1))),MO.MRFX.Hardcoded,INDEX(MO_SPT_FXAverage,1,MO.MRFPColumnNumber+1)))</f>
        <v>1</v>
      </c>
      <c r="C1186" s="396"/>
      <c r="D1186" s="396"/>
      <c r="E1186" s="396"/>
      <c r="F1186" s="396"/>
      <c r="G1186" s="396"/>
      <c r="H1186" s="396"/>
      <c r="I1186" s="396"/>
      <c r="J1186" s="396"/>
      <c r="K1186" s="396"/>
      <c r="L1186" s="396"/>
      <c r="M1186" s="396"/>
      <c r="N1186" s="396"/>
      <c r="O1186" s="396"/>
      <c r="P1186" s="396"/>
      <c r="Q1186" s="396"/>
      <c r="R1186" s="396"/>
      <c r="S1186" s="396"/>
      <c r="T1186" s="396"/>
      <c r="U1186" s="396"/>
      <c r="V1186" s="396"/>
      <c r="W1186" s="396"/>
      <c r="X1186" s="396"/>
      <c r="Y1186" s="396"/>
      <c r="Z1186" s="396"/>
      <c r="AA1186" s="396"/>
      <c r="AB1186" s="396"/>
      <c r="AC1186" s="396"/>
      <c r="AD1186" s="396"/>
      <c r="AE1186" s="396"/>
      <c r="AF1186" s="396"/>
      <c r="AG1186" s="396"/>
      <c r="AH1186" s="396"/>
      <c r="AI1186" s="396"/>
      <c r="AJ1186" s="396"/>
      <c r="AK1186" s="396"/>
      <c r="AL1186" s="396"/>
      <c r="AM1186" s="396"/>
      <c r="AN1186" s="396"/>
      <c r="AO1186" s="396"/>
      <c r="AP1186" s="396"/>
      <c r="AQ1186" s="396"/>
      <c r="AR1186" s="396"/>
      <c r="AS1186" s="396"/>
      <c r="AT1186" s="396"/>
      <c r="AU1186" s="837"/>
      <c r="AV1186" s="396"/>
      <c r="AW1186" s="396"/>
      <c r="AX1186" s="396"/>
      <c r="AY1186" s="396"/>
      <c r="AZ1186" s="396"/>
      <c r="BA1186" s="396"/>
      <c r="BB1186" s="396"/>
      <c r="BC1186" s="396"/>
      <c r="BD1186" s="396"/>
      <c r="BE1186" s="396"/>
      <c r="BF1186" s="396"/>
      <c r="BG1186" s="396"/>
      <c r="BH1186" s="347"/>
    </row>
    <row r="1187" spans="1:60" s="344" customFormat="1" x14ac:dyDescent="0.35">
      <c r="A1187" s="405" t="s">
        <v>257</v>
      </c>
      <c r="B1187" s="386">
        <v>1</v>
      </c>
      <c r="C1187" s="396"/>
      <c r="D1187" s="396"/>
      <c r="E1187" s="396"/>
      <c r="F1187" s="396"/>
      <c r="G1187" s="396"/>
      <c r="H1187" s="396"/>
      <c r="I1187" s="396"/>
      <c r="J1187" s="396"/>
      <c r="K1187" s="396"/>
      <c r="L1187" s="396"/>
      <c r="M1187" s="396"/>
      <c r="N1187" s="396"/>
      <c r="O1187" s="396"/>
      <c r="P1187" s="396"/>
      <c r="Q1187" s="396"/>
      <c r="R1187" s="396"/>
      <c r="S1187" s="396"/>
      <c r="T1187" s="396"/>
      <c r="U1187" s="396"/>
      <c r="V1187" s="396"/>
      <c r="W1187" s="396"/>
      <c r="X1187" s="396"/>
      <c r="Y1187" s="396"/>
      <c r="Z1187" s="396"/>
      <c r="AA1187" s="396"/>
      <c r="AB1187" s="396"/>
      <c r="AC1187" s="396"/>
      <c r="AD1187" s="396"/>
      <c r="AE1187" s="396"/>
      <c r="AF1187" s="396"/>
      <c r="AG1187" s="396"/>
      <c r="AH1187" s="396"/>
      <c r="AI1187" s="396"/>
      <c r="AJ1187" s="396"/>
      <c r="AK1187" s="396"/>
      <c r="AL1187" s="396"/>
      <c r="AM1187" s="396"/>
      <c r="AN1187" s="396"/>
      <c r="AO1187" s="396"/>
      <c r="AP1187" s="396"/>
      <c r="AQ1187" s="396"/>
      <c r="AR1187" s="396"/>
      <c r="AS1187" s="396"/>
      <c r="AT1187" s="396"/>
      <c r="AU1187" s="837"/>
      <c r="AV1187" s="396"/>
      <c r="AW1187" s="396"/>
      <c r="AX1187" s="396"/>
      <c r="AY1187" s="396"/>
      <c r="AZ1187" s="396"/>
      <c r="BA1187" s="396"/>
      <c r="BB1187" s="396"/>
      <c r="BC1187" s="396"/>
      <c r="BD1187" s="396"/>
      <c r="BE1187" s="396"/>
      <c r="BF1187" s="396"/>
      <c r="BG1187" s="396"/>
      <c r="BH1187" s="347"/>
    </row>
    <row r="1188" spans="1:60" s="345" customFormat="1" x14ac:dyDescent="0.35">
      <c r="A1188" s="350" t="s">
        <v>258</v>
      </c>
      <c r="B1188" s="351">
        <f>MATCH(MO.MRFP,MO_Common_ColumnHeader,0)</f>
        <v>47</v>
      </c>
      <c r="C1188" s="203"/>
      <c r="D1188" s="203"/>
      <c r="E1188" s="203"/>
      <c r="F1188" s="203"/>
      <c r="G1188" s="203"/>
      <c r="H1188" s="203"/>
      <c r="I1188" s="203"/>
      <c r="J1188" s="203"/>
      <c r="K1188" s="203"/>
      <c r="L1188" s="203"/>
      <c r="M1188" s="203"/>
      <c r="N1188" s="203"/>
      <c r="O1188" s="203"/>
      <c r="P1188" s="203"/>
      <c r="Q1188" s="203"/>
      <c r="R1188" s="203"/>
      <c r="S1188" s="203"/>
      <c r="T1188" s="203"/>
      <c r="U1188" s="203"/>
      <c r="V1188" s="203"/>
      <c r="W1188" s="203"/>
      <c r="X1188" s="203"/>
      <c r="Y1188" s="203"/>
      <c r="Z1188" s="203"/>
      <c r="AA1188" s="203"/>
      <c r="AB1188" s="203"/>
      <c r="AC1188" s="203"/>
      <c r="AD1188" s="203"/>
      <c r="AE1188" s="203"/>
      <c r="AF1188" s="203"/>
      <c r="AG1188" s="203"/>
      <c r="AH1188" s="203"/>
      <c r="AI1188" s="203"/>
      <c r="AJ1188" s="203"/>
      <c r="AK1188" s="203"/>
      <c r="AL1188" s="203"/>
      <c r="AM1188" s="203"/>
      <c r="AN1188" s="203"/>
      <c r="AO1188" s="203"/>
      <c r="AP1188" s="203"/>
      <c r="AQ1188" s="203"/>
      <c r="AR1188" s="203"/>
      <c r="AS1188" s="203"/>
      <c r="AT1188" s="203"/>
      <c r="AU1188" s="790"/>
      <c r="AV1188" s="203"/>
      <c r="AW1188" s="203"/>
      <c r="AX1188" s="203"/>
      <c r="AY1188" s="203"/>
      <c r="AZ1188" s="203"/>
      <c r="BA1188" s="203"/>
      <c r="BB1188" s="203"/>
      <c r="BC1188" s="203"/>
      <c r="BD1188" s="203"/>
      <c r="BE1188" s="203"/>
      <c r="BF1188" s="203"/>
      <c r="BG1188" s="203"/>
      <c r="BH1188" s="351"/>
    </row>
    <row r="1189" spans="1:60" s="345" customFormat="1" x14ac:dyDescent="0.35">
      <c r="A1189" s="350" t="s">
        <v>259</v>
      </c>
      <c r="B1189" s="351" t="s">
        <v>1071</v>
      </c>
      <c r="C1189" s="203"/>
      <c r="D1189" s="203"/>
      <c r="E1189" s="203"/>
      <c r="F1189" s="203"/>
      <c r="G1189" s="203"/>
      <c r="H1189" s="203"/>
      <c r="I1189" s="203"/>
      <c r="J1189" s="203"/>
      <c r="K1189" s="203"/>
      <c r="L1189" s="203"/>
      <c r="M1189" s="203"/>
      <c r="N1189" s="203"/>
      <c r="O1189" s="203"/>
      <c r="P1189" s="203"/>
      <c r="Q1189" s="203"/>
      <c r="R1189" s="203"/>
      <c r="S1189" s="203"/>
      <c r="T1189" s="203"/>
      <c r="U1189" s="203"/>
      <c r="V1189" s="203"/>
      <c r="W1189" s="203"/>
      <c r="X1189" s="203"/>
      <c r="Y1189" s="203"/>
      <c r="Z1189" s="203"/>
      <c r="AA1189" s="203"/>
      <c r="AB1189" s="203"/>
      <c r="AC1189" s="203"/>
      <c r="AD1189" s="203"/>
      <c r="AE1189" s="203"/>
      <c r="AF1189" s="203"/>
      <c r="AG1189" s="203"/>
      <c r="AH1189" s="203"/>
      <c r="AI1189" s="203"/>
      <c r="AJ1189" s="203"/>
      <c r="AK1189" s="203"/>
      <c r="AL1189" s="203"/>
      <c r="AM1189" s="203"/>
      <c r="AN1189" s="203"/>
      <c r="AO1189" s="203"/>
      <c r="AP1189" s="203"/>
      <c r="AQ1189" s="203"/>
      <c r="AR1189" s="203"/>
      <c r="AS1189" s="203"/>
      <c r="AT1189" s="203"/>
      <c r="AU1189" s="790"/>
      <c r="AV1189" s="203"/>
      <c r="AW1189" s="203"/>
      <c r="AX1189" s="203"/>
      <c r="AY1189" s="203"/>
      <c r="AZ1189" s="203"/>
      <c r="BA1189" s="203"/>
      <c r="BB1189" s="203"/>
      <c r="BC1189" s="203"/>
      <c r="BD1189" s="203"/>
      <c r="BE1189" s="203"/>
      <c r="BF1189" s="203"/>
      <c r="BG1189" s="203"/>
      <c r="BH1189" s="351"/>
    </row>
    <row r="1190" spans="1:60" s="345" customFormat="1" x14ac:dyDescent="0.35">
      <c r="A1190" s="350" t="s">
        <v>260</v>
      </c>
      <c r="B1190" s="351" t="str">
        <f>"FY"&amp;RIGHT(MO.MRFP,4)</f>
        <v>FY2021</v>
      </c>
      <c r="C1190" s="203"/>
      <c r="D1190" s="203"/>
      <c r="E1190" s="203"/>
      <c r="F1190" s="203"/>
      <c r="G1190" s="203"/>
      <c r="H1190" s="203"/>
      <c r="I1190" s="203"/>
      <c r="J1190" s="203"/>
      <c r="K1190" s="203"/>
      <c r="L1190" s="203"/>
      <c r="M1190" s="203"/>
      <c r="N1190" s="203"/>
      <c r="O1190" s="203"/>
      <c r="P1190" s="203"/>
      <c r="Q1190" s="203"/>
      <c r="R1190" s="203"/>
      <c r="S1190" s="203"/>
      <c r="T1190" s="203"/>
      <c r="U1190" s="203"/>
      <c r="V1190" s="203"/>
      <c r="W1190" s="203"/>
      <c r="X1190" s="203"/>
      <c r="Y1190" s="203"/>
      <c r="Z1190" s="203"/>
      <c r="AA1190" s="203"/>
      <c r="AB1190" s="203"/>
      <c r="AC1190" s="203"/>
      <c r="AD1190" s="203"/>
      <c r="AE1190" s="203"/>
      <c r="AF1190" s="203"/>
      <c r="AG1190" s="203"/>
      <c r="AH1190" s="203"/>
      <c r="AI1190" s="203"/>
      <c r="AJ1190" s="203"/>
      <c r="AK1190" s="203"/>
      <c r="AL1190" s="203"/>
      <c r="AM1190" s="203"/>
      <c r="AN1190" s="203"/>
      <c r="AO1190" s="203"/>
      <c r="AP1190" s="203"/>
      <c r="AQ1190" s="203"/>
      <c r="AR1190" s="203"/>
      <c r="AS1190" s="203"/>
      <c r="AT1190" s="203"/>
      <c r="AU1190" s="790"/>
      <c r="AV1190" s="203"/>
      <c r="AW1190" s="203"/>
      <c r="AX1190" s="203"/>
      <c r="AY1190" s="203"/>
      <c r="AZ1190" s="203"/>
      <c r="BA1190" s="203"/>
      <c r="BB1190" s="203"/>
      <c r="BC1190" s="203"/>
      <c r="BD1190" s="203"/>
      <c r="BE1190" s="203"/>
      <c r="BF1190" s="203"/>
      <c r="BG1190" s="203"/>
      <c r="BH1190" s="351"/>
    </row>
    <row r="1191" spans="1:60" s="345" customFormat="1" x14ac:dyDescent="0.35">
      <c r="A1191" s="350" t="s">
        <v>406</v>
      </c>
      <c r="B1191" s="351" t="str">
        <f>"FY"&amp;RIGHT(MO.MRFP,4)+IF(LEFT(MO.MRFP,2)="FY",1,0)</f>
        <v>FY2021</v>
      </c>
      <c r="C1191" s="203"/>
      <c r="D1191" s="203"/>
      <c r="E1191" s="203"/>
      <c r="F1191" s="203"/>
      <c r="G1191" s="203"/>
      <c r="H1191" s="203"/>
      <c r="I1191" s="203"/>
      <c r="J1191" s="203"/>
      <c r="K1191" s="203"/>
      <c r="L1191" s="203"/>
      <c r="M1191" s="203"/>
      <c r="N1191" s="203"/>
      <c r="O1191" s="203"/>
      <c r="P1191" s="203"/>
      <c r="Q1191" s="203"/>
      <c r="R1191" s="203"/>
      <c r="S1191" s="203"/>
      <c r="T1191" s="203"/>
      <c r="U1191" s="203"/>
      <c r="V1191" s="203"/>
      <c r="W1191" s="203"/>
      <c r="X1191" s="203"/>
      <c r="Y1191" s="203"/>
      <c r="Z1191" s="203"/>
      <c r="AA1191" s="203"/>
      <c r="AB1191" s="203"/>
      <c r="AC1191" s="203"/>
      <c r="AD1191" s="203"/>
      <c r="AE1191" s="203"/>
      <c r="AF1191" s="203"/>
      <c r="AG1191" s="203"/>
      <c r="AH1191" s="203"/>
      <c r="AI1191" s="203"/>
      <c r="AJ1191" s="203"/>
      <c r="AK1191" s="203"/>
      <c r="AL1191" s="203"/>
      <c r="AM1191" s="203"/>
      <c r="AN1191" s="203"/>
      <c r="AO1191" s="203"/>
      <c r="AP1191" s="203"/>
      <c r="AQ1191" s="203"/>
      <c r="AR1191" s="203"/>
      <c r="AS1191" s="203"/>
      <c r="AT1191" s="203"/>
      <c r="AU1191" s="790"/>
      <c r="AV1191" s="203"/>
      <c r="AW1191" s="203"/>
      <c r="AX1191" s="203"/>
      <c r="AY1191" s="203"/>
      <c r="AZ1191" s="203"/>
      <c r="BA1191" s="203"/>
      <c r="BB1191" s="203"/>
      <c r="BC1191" s="203"/>
      <c r="BD1191" s="203"/>
      <c r="BE1191" s="203"/>
      <c r="BF1191" s="203"/>
      <c r="BG1191" s="203"/>
      <c r="BH1191" s="351"/>
    </row>
    <row r="1192" spans="1:60" s="345" customFormat="1" x14ac:dyDescent="0.35">
      <c r="A1192" s="352" t="s">
        <v>261</v>
      </c>
      <c r="B1192" s="353">
        <f>IF(MO.DataSourceName="Bloomberg",1,IF(MO.DataSourceName="Capital IQ",2,IF(MO.DataSourceName="FactSet",3,IF(MO.DataSourceName="Refinitiv",4,1))))</f>
        <v>1</v>
      </c>
      <c r="C1192" s="203"/>
      <c r="D1192" s="203"/>
      <c r="E1192" s="203"/>
      <c r="F1192" s="203"/>
      <c r="G1192" s="203"/>
      <c r="H1192" s="203"/>
      <c r="I1192" s="203"/>
      <c r="J1192" s="203"/>
      <c r="K1192" s="203"/>
      <c r="L1192" s="203"/>
      <c r="M1192" s="203"/>
      <c r="N1192" s="203"/>
      <c r="O1192" s="203"/>
      <c r="P1192" s="203"/>
      <c r="Q1192" s="203"/>
      <c r="R1192" s="203"/>
      <c r="S1192" s="203"/>
      <c r="T1192" s="203"/>
      <c r="U1192" s="203"/>
      <c r="V1192" s="203"/>
      <c r="W1192" s="203"/>
      <c r="X1192" s="203"/>
      <c r="Y1192" s="203"/>
      <c r="Z1192" s="203"/>
      <c r="AA1192" s="203"/>
      <c r="AB1192" s="203"/>
      <c r="AC1192" s="203"/>
      <c r="AD1192" s="203"/>
      <c r="AE1192" s="203"/>
      <c r="AF1192" s="203"/>
      <c r="AG1192" s="203"/>
      <c r="AH1192" s="203"/>
      <c r="AI1192" s="203"/>
      <c r="AJ1192" s="203"/>
      <c r="AK1192" s="203"/>
      <c r="AL1192" s="203"/>
      <c r="AM1192" s="203"/>
      <c r="AN1192" s="203"/>
      <c r="AO1192" s="203"/>
      <c r="AP1192" s="203"/>
      <c r="AQ1192" s="203"/>
      <c r="AR1192" s="203"/>
      <c r="AS1192" s="203"/>
      <c r="AT1192" s="203"/>
      <c r="AU1192" s="790"/>
      <c r="AV1192" s="203"/>
      <c r="AW1192" s="203"/>
      <c r="AX1192" s="203"/>
      <c r="AY1192" s="203"/>
      <c r="AZ1192" s="203"/>
      <c r="BA1192" s="203"/>
      <c r="BB1192" s="203"/>
      <c r="BC1192" s="203"/>
      <c r="BD1192" s="203"/>
      <c r="BE1192" s="203"/>
      <c r="BF1192" s="203"/>
      <c r="BG1192" s="203"/>
      <c r="BH1192" s="351"/>
    </row>
    <row r="1193" spans="1:60" x14ac:dyDescent="0.35">
      <c r="A1193" s="726"/>
      <c r="B1193" s="726"/>
      <c r="C1193" s="277"/>
      <c r="D1193" s="277"/>
      <c r="E1193" s="277"/>
      <c r="F1193" s="277"/>
      <c r="G1193" s="277"/>
      <c r="H1193" s="277"/>
      <c r="I1193" s="277"/>
      <c r="J1193" s="277"/>
      <c r="K1193" s="277"/>
      <c r="L1193" s="277"/>
      <c r="M1193" s="277"/>
      <c r="N1193" s="277"/>
      <c r="O1193" s="277"/>
      <c r="P1193" s="277"/>
      <c r="Q1193" s="277"/>
      <c r="R1193" s="277"/>
      <c r="S1193" s="277"/>
      <c r="T1193" s="277"/>
      <c r="U1193" s="277"/>
      <c r="V1193" s="277"/>
      <c r="W1193" s="277"/>
      <c r="X1193" s="277"/>
      <c r="Y1193" s="277"/>
      <c r="Z1193" s="277"/>
      <c r="AA1193" s="277"/>
      <c r="AB1193" s="277"/>
      <c r="AC1193" s="277"/>
      <c r="AD1193" s="277"/>
      <c r="AE1193" s="277"/>
      <c r="AF1193" s="277"/>
      <c r="AG1193" s="277"/>
      <c r="AH1193" s="277"/>
      <c r="AI1193" s="277"/>
      <c r="AJ1193" s="277"/>
      <c r="AK1193" s="277"/>
      <c r="AL1193" s="277"/>
      <c r="AM1193" s="277"/>
      <c r="AN1193" s="277"/>
      <c r="AO1193" s="277"/>
      <c r="AP1193" s="277"/>
      <c r="AQ1193" s="277"/>
      <c r="AR1193" s="277"/>
      <c r="AS1193" s="277"/>
      <c r="AT1193" s="277"/>
      <c r="AU1193" s="822"/>
      <c r="AV1193" s="277"/>
      <c r="AW1193" s="277"/>
      <c r="AX1193" s="277"/>
      <c r="AY1193" s="277"/>
      <c r="AZ1193" s="277"/>
      <c r="BA1193" s="277"/>
      <c r="BB1193" s="277"/>
      <c r="BC1193" s="277"/>
      <c r="BD1193" s="277"/>
      <c r="BE1193" s="277"/>
      <c r="BF1193" s="277"/>
      <c r="BG1193" s="277"/>
      <c r="BH1193" s="349"/>
    </row>
    <row r="1194" spans="1:60" x14ac:dyDescent="0.35">
      <c r="A1194" s="582" t="s">
        <v>778</v>
      </c>
      <c r="B1194" s="354"/>
      <c r="C1194" s="354"/>
      <c r="D1194" s="354"/>
      <c r="E1194" s="354"/>
      <c r="F1194" s="354"/>
      <c r="G1194" s="354"/>
      <c r="H1194" s="354"/>
      <c r="I1194" s="354"/>
      <c r="J1194" s="354"/>
      <c r="K1194" s="354"/>
      <c r="L1194" s="354"/>
      <c r="M1194" s="354"/>
      <c r="N1194" s="354"/>
      <c r="O1194" s="354"/>
      <c r="P1194" s="354"/>
      <c r="Q1194" s="354"/>
      <c r="R1194" s="354"/>
      <c r="S1194" s="354"/>
      <c r="T1194" s="354"/>
      <c r="U1194" s="354"/>
      <c r="V1194" s="354"/>
      <c r="W1194" s="354"/>
      <c r="X1194" s="354"/>
      <c r="Y1194" s="354"/>
      <c r="Z1194" s="354"/>
      <c r="AA1194" s="354"/>
      <c r="AB1194" s="354"/>
      <c r="AC1194" s="354"/>
      <c r="AD1194" s="354"/>
      <c r="AE1194" s="354"/>
      <c r="AF1194" s="354"/>
      <c r="AG1194" s="354"/>
      <c r="AH1194" s="354"/>
      <c r="AI1194" s="354"/>
      <c r="AJ1194" s="354"/>
      <c r="AK1194" s="354"/>
      <c r="AL1194" s="354"/>
      <c r="AM1194" s="354"/>
      <c r="AN1194" s="354"/>
      <c r="AO1194" s="354"/>
      <c r="AP1194" s="354"/>
      <c r="AQ1194" s="354"/>
      <c r="AR1194" s="354"/>
      <c r="AS1194" s="354"/>
      <c r="AT1194" s="354"/>
      <c r="AU1194" s="354"/>
      <c r="AV1194" s="354"/>
      <c r="AW1194" s="354"/>
      <c r="AX1194" s="354"/>
      <c r="AY1194" s="354"/>
      <c r="AZ1194" s="354"/>
      <c r="BA1194" s="354"/>
      <c r="BB1194" s="354"/>
      <c r="BC1194" s="354"/>
      <c r="BD1194" s="354"/>
      <c r="BE1194" s="354"/>
      <c r="BF1194" s="354"/>
      <c r="BG1194" s="354"/>
      <c r="BH1194" s="349"/>
    </row>
    <row r="1195" spans="1:60" x14ac:dyDescent="0.35">
      <c r="A1195" s="349"/>
      <c r="B1195" s="349"/>
      <c r="C1195" s="349"/>
      <c r="D1195" s="349"/>
      <c r="E1195" s="349"/>
      <c r="F1195" s="349"/>
      <c r="G1195" s="349"/>
      <c r="H1195" s="349"/>
      <c r="I1195" s="349"/>
      <c r="J1195" s="349"/>
      <c r="K1195" s="349"/>
      <c r="L1195" s="349"/>
      <c r="M1195" s="349"/>
      <c r="N1195" s="349"/>
      <c r="O1195" s="349"/>
      <c r="P1195" s="349"/>
      <c r="Q1195" s="349"/>
      <c r="R1195" s="349"/>
      <c r="S1195" s="349"/>
      <c r="T1195" s="349"/>
      <c r="U1195" s="349"/>
      <c r="V1195" s="349"/>
      <c r="W1195" s="349"/>
      <c r="X1195" s="349"/>
      <c r="Y1195" s="349"/>
      <c r="Z1195" s="349"/>
      <c r="AA1195" s="349"/>
      <c r="AB1195" s="349"/>
      <c r="AC1195" s="349"/>
      <c r="AD1195" s="349"/>
      <c r="AE1195" s="349"/>
      <c r="AF1195" s="349"/>
      <c r="AG1195" s="349"/>
      <c r="AH1195" s="349"/>
      <c r="AI1195" s="349"/>
      <c r="AJ1195" s="349"/>
      <c r="AK1195" s="349"/>
      <c r="AL1195" s="349"/>
      <c r="AM1195" s="349"/>
      <c r="AN1195" s="349"/>
      <c r="AO1195" s="349"/>
      <c r="AP1195" s="349"/>
      <c r="AQ1195" s="349"/>
      <c r="AR1195" s="349"/>
      <c r="AS1195" s="349"/>
      <c r="AT1195" s="349"/>
      <c r="AU1195" s="349"/>
      <c r="AV1195" s="349"/>
      <c r="AW1195" s="349"/>
      <c r="AX1195" s="349"/>
      <c r="AY1195" s="349"/>
      <c r="AZ1195" s="349"/>
      <c r="BA1195" s="349"/>
      <c r="BB1195" s="349"/>
      <c r="BC1195" s="349"/>
      <c r="BD1195" s="349"/>
      <c r="BE1195" s="349"/>
      <c r="BF1195" s="349"/>
      <c r="BG1195" s="349"/>
      <c r="BH1195" s="349"/>
    </row>
  </sheetData>
  <conditionalFormatting sqref="C745:BG745">
    <cfRule type="cellIs" dxfId="9" priority="425" operator="equal">
      <formula>0</formula>
    </cfRule>
  </conditionalFormatting>
  <conditionalFormatting sqref="C745:BG745">
    <cfRule type="cellIs" dxfId="8" priority="426" operator="notEqual">
      <formula>0</formula>
    </cfRule>
  </conditionalFormatting>
  <conditionalFormatting sqref="C997:BG997">
    <cfRule type="cellIs" dxfId="7" priority="427" operator="equal">
      <formula>0</formula>
    </cfRule>
  </conditionalFormatting>
  <conditionalFormatting sqref="C997:BG997">
    <cfRule type="cellIs" dxfId="6" priority="428" operator="notEqual">
      <formula>0</formula>
    </cfRule>
  </conditionalFormatting>
  <conditionalFormatting sqref="C1086:BG1086">
    <cfRule type="cellIs" dxfId="5" priority="429" operator="equal">
      <formula>0</formula>
    </cfRule>
  </conditionalFormatting>
  <conditionalFormatting sqref="C1086:BG1086">
    <cfRule type="cellIs" dxfId="4" priority="430" operator="notEqual">
      <formula>0</formula>
    </cfRule>
  </conditionalFormatting>
  <conditionalFormatting sqref="C1089:BG1093 C1094:U1094 AA1094:BG1094 C1095:BG1103 C1105:BG1111 C1104:X1104 Z1104:AF1104 AH1104:AI1104 AK1104:BG1104">
    <cfRule type="cellIs" dxfId="3" priority="431" operator="equal">
      <formula>0</formula>
    </cfRule>
  </conditionalFormatting>
  <conditionalFormatting sqref="C1089:BG1093 C1094:U1094 AA1094:BG1094 C1095:BG1103 C1105:BG1111 C1104:X1104 Z1104:AF1104 AH1104:AI1104 AK1104:BG1104">
    <cfRule type="cellIs" dxfId="2" priority="432" operator="notEqual">
      <formula>0</formula>
    </cfRule>
  </conditionalFormatting>
  <dataValidations count="1">
    <dataValidation type="list" allowBlank="1" showInputMessage="1" showErrorMessage="1" sqref="B878" xr:uid="{00000000-0002-0000-0200-000000000000}">
      <formula1>$A$1122:$A$1124</formula1>
    </dataValidation>
  </dataValidations>
  <hyperlinks>
    <hyperlink ref="A1" r:id="rId1" xr:uid="{00000000-0004-0000-0200-000000000000}"/>
  </hyperlinks>
  <pageMargins left="0" right="0" top="0.39370078740157499" bottom="0" header="0.196850393700787" footer="0"/>
  <pageSetup scale="23" fitToHeight="0" orientation="landscape" r:id="rId2"/>
  <headerFooter>
    <oddHeader>&amp;C3M Company&amp;RPage &amp;P</oddHeader>
  </headerFooter>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1:T172"/>
  <sheetViews>
    <sheetView workbookViewId="0">
      <pane ySplit="5" topLeftCell="A6" activePane="bottomLeft" state="frozen"/>
      <selection pane="bottomLeft"/>
    </sheetView>
  </sheetViews>
  <sheetFormatPr defaultColWidth="8.81640625" defaultRowHeight="14.5" outlineLevelCol="1" x14ac:dyDescent="0.35"/>
  <cols>
    <col min="1" max="1" width="3" style="259" bestFit="1" customWidth="1"/>
    <col min="2" max="2" width="9.26953125" style="255" bestFit="1" customWidth="1"/>
    <col min="3" max="3" width="2.7265625" style="255" customWidth="1"/>
    <col min="4" max="4" width="41.7265625" style="260" bestFit="1" customWidth="1"/>
    <col min="5" max="5" width="56.81640625" style="261" hidden="1" customWidth="1" outlineLevel="1"/>
    <col min="6" max="6" width="14.453125" style="255" bestFit="1" customWidth="1" collapsed="1"/>
    <col min="7" max="7" width="2.7265625" style="255" customWidth="1"/>
    <col min="8" max="8" width="9.453125" style="255" bestFit="1" customWidth="1"/>
    <col min="9" max="9" width="10.26953125" style="255" bestFit="1" customWidth="1"/>
    <col min="10" max="10" width="9.453125" style="255" bestFit="1" customWidth="1"/>
    <col min="11" max="11" width="2.7265625" style="255" customWidth="1"/>
    <col min="12" max="12" width="8.7265625" style="255" bestFit="1" customWidth="1"/>
    <col min="13" max="13" width="11.81640625" style="260" bestFit="1" customWidth="1"/>
    <col min="14" max="14" width="2.7265625" style="255" customWidth="1"/>
    <col min="15" max="15" width="13.453125" style="255" bestFit="1" customWidth="1"/>
    <col min="16" max="16" width="14.26953125" style="262" bestFit="1" customWidth="1"/>
    <col min="17" max="17" width="2.7265625" style="255" customWidth="1"/>
    <col min="18" max="18" width="10.7265625" style="263" bestFit="1" customWidth="1"/>
    <col min="19" max="19" width="13.26953125" style="264" bestFit="1" customWidth="1"/>
    <col min="20" max="22" width="8.81640625" style="258" customWidth="1"/>
    <col min="23" max="16384" width="8.81640625" style="258"/>
  </cols>
  <sheetData>
    <row r="1" spans="1:20" s="255" customFormat="1" ht="28.5" x14ac:dyDescent="0.65">
      <c r="A1" s="267"/>
      <c r="B1" s="273" t="str">
        <f>MO.CompanyName</f>
        <v>3M Company</v>
      </c>
      <c r="C1" s="277"/>
      <c r="D1" s="277"/>
      <c r="E1" s="275"/>
      <c r="F1" s="277"/>
      <c r="G1" s="277"/>
      <c r="H1" s="277"/>
      <c r="I1" s="277"/>
      <c r="J1" s="277"/>
      <c r="K1" s="277"/>
      <c r="L1" s="277"/>
      <c r="M1" s="277"/>
      <c r="N1" s="277"/>
      <c r="O1" s="277"/>
      <c r="P1" s="188"/>
      <c r="Q1" s="277"/>
      <c r="R1" s="276"/>
      <c r="S1" s="277"/>
      <c r="T1" s="277"/>
    </row>
    <row r="2" spans="1:20" s="255" customFormat="1" x14ac:dyDescent="0.35">
      <c r="A2" s="267"/>
      <c r="B2" s="274" t="s">
        <v>403</v>
      </c>
      <c r="C2" s="277"/>
      <c r="D2" s="277"/>
      <c r="E2" s="275"/>
      <c r="F2" s="277" t="str">
        <f>UL.MRQ</f>
        <v>Q1-2021</v>
      </c>
      <c r="G2" s="277"/>
      <c r="H2" s="277"/>
      <c r="I2" s="277"/>
      <c r="J2" s="277"/>
      <c r="K2" s="277"/>
      <c r="L2" s="277"/>
      <c r="M2" s="277"/>
      <c r="N2" s="277"/>
      <c r="O2" s="277"/>
      <c r="P2" s="188"/>
      <c r="Q2" s="277"/>
      <c r="R2" s="276"/>
      <c r="S2" s="277"/>
      <c r="T2" s="277"/>
    </row>
    <row r="3" spans="1:20" s="255" customFormat="1" x14ac:dyDescent="0.35">
      <c r="A3" s="267"/>
      <c r="B3" s="277"/>
      <c r="C3" s="277"/>
      <c r="D3" s="277"/>
      <c r="E3" s="275"/>
      <c r="F3" s="277"/>
      <c r="G3" s="277"/>
      <c r="H3" s="277"/>
      <c r="I3" s="277"/>
      <c r="J3" s="277"/>
      <c r="K3" s="277"/>
      <c r="L3" s="277"/>
      <c r="M3" s="277"/>
      <c r="N3" s="277"/>
      <c r="O3" s="277"/>
      <c r="P3" s="188"/>
      <c r="Q3" s="277"/>
      <c r="R3" s="277"/>
      <c r="S3" s="277"/>
      <c r="T3" s="277"/>
    </row>
    <row r="4" spans="1:20" s="256" customFormat="1" x14ac:dyDescent="0.35">
      <c r="A4" s="267"/>
      <c r="B4" s="280"/>
      <c r="C4" s="293"/>
      <c r="D4" s="280"/>
      <c r="E4" s="280"/>
      <c r="F4" s="280"/>
      <c r="G4" s="293"/>
      <c r="H4" s="281" t="s">
        <v>262</v>
      </c>
      <c r="I4" s="281"/>
      <c r="J4" s="281"/>
      <c r="K4" s="293"/>
      <c r="L4" s="281" t="s">
        <v>263</v>
      </c>
      <c r="M4" s="281"/>
      <c r="N4" s="293"/>
      <c r="O4" s="281" t="s">
        <v>264</v>
      </c>
      <c r="P4" s="281"/>
      <c r="Q4" s="293"/>
      <c r="R4" s="281" t="s">
        <v>265</v>
      </c>
      <c r="S4" s="281"/>
      <c r="T4" s="276"/>
    </row>
    <row r="5" spans="1:20" s="257" customFormat="1" x14ac:dyDescent="0.35">
      <c r="A5" s="267"/>
      <c r="B5" s="280" t="s">
        <v>266</v>
      </c>
      <c r="C5" s="294"/>
      <c r="D5" s="280" t="s">
        <v>267</v>
      </c>
      <c r="E5" s="280" t="s">
        <v>268</v>
      </c>
      <c r="F5" s="280" t="s">
        <v>269</v>
      </c>
      <c r="G5" s="294"/>
      <c r="H5" s="282" t="s">
        <v>239</v>
      </c>
      <c r="I5" s="282" t="s">
        <v>238</v>
      </c>
      <c r="J5" s="282" t="s">
        <v>270</v>
      </c>
      <c r="K5" s="294"/>
      <c r="L5" s="280" t="s">
        <v>266</v>
      </c>
      <c r="M5" s="282" t="s">
        <v>271</v>
      </c>
      <c r="N5" s="294"/>
      <c r="O5" s="282" t="s">
        <v>272</v>
      </c>
      <c r="P5" s="283" t="s">
        <v>273</v>
      </c>
      <c r="Q5" s="294"/>
      <c r="R5" s="282" t="s">
        <v>274</v>
      </c>
      <c r="S5" s="282" t="s">
        <v>275</v>
      </c>
      <c r="T5" s="279"/>
    </row>
    <row r="6" spans="1:20" x14ac:dyDescent="0.35">
      <c r="A6" s="267">
        <v>165</v>
      </c>
      <c r="B6" s="284" t="str">
        <f t="shared" ref="B6:B9" si="0">IF(MATCH(F6,MO_Common_ColumnHeader,0)&gt;UL.MRQColNum,"Forward","Historical")</f>
        <v>Forward</v>
      </c>
      <c r="C6" s="277"/>
      <c r="D6" s="295" t="str">
        <f t="shared" ref="D6:D8" ca="1" si="1">INDEX(INDIRECT(E6),0,COLUMN(MO_Common_Column_A))</f>
        <v>Total Organic local-currency revenue growth, %</v>
      </c>
      <c r="E6" s="285" t="s">
        <v>276</v>
      </c>
      <c r="F6" s="284" t="s">
        <v>1064</v>
      </c>
      <c r="G6" s="277"/>
      <c r="H6" s="286">
        <v>0.03</v>
      </c>
      <c r="I6" s="286">
        <v>0.06</v>
      </c>
      <c r="J6" s="286">
        <f t="shared" ref="J6:J9" si="2">AVERAGE(H6:I6)</f>
        <v>4.4999999999999998E-2</v>
      </c>
      <c r="K6" s="277"/>
      <c r="L6" s="284" t="str">
        <f t="shared" ref="L6:L9" si="3">IF(MATCH(F6,MO_Common_ColumnHeader,0)&gt;UL.MRQColNum,"Estimate","Actual")</f>
        <v>Estimate</v>
      </c>
      <c r="M6" s="287" t="s">
        <v>278</v>
      </c>
      <c r="N6" s="278"/>
      <c r="O6" s="296" t="str">
        <f t="shared" ref="O6:O9" si="4">IF(ISNUMBER(M6),M6-J6,"N/A")</f>
        <v>N/A</v>
      </c>
      <c r="P6" s="296" t="str">
        <f t="shared" ref="P6:P9" si="5">IFERROR(IF(ISNUMBER(M6),(M6-J6)/ABS(J6),"N/A"),"N/A")</f>
        <v>N/A</v>
      </c>
      <c r="Q6" s="277"/>
      <c r="R6" s="288">
        <v>44313</v>
      </c>
      <c r="S6" s="422" t="s">
        <v>382</v>
      </c>
      <c r="T6" s="277"/>
    </row>
    <row r="7" spans="1:20" x14ac:dyDescent="0.35">
      <c r="A7" s="267">
        <v>164</v>
      </c>
      <c r="B7" s="284" t="str">
        <f t="shared" si="0"/>
        <v>Forward</v>
      </c>
      <c r="C7" s="277"/>
      <c r="D7" s="295" t="str">
        <f t="shared" ca="1" si="1"/>
        <v>Total Revenue Growth, %</v>
      </c>
      <c r="E7" s="285" t="s">
        <v>1067</v>
      </c>
      <c r="F7" s="284" t="s">
        <v>1064</v>
      </c>
      <c r="G7" s="277"/>
      <c r="H7" s="286">
        <v>0.05</v>
      </c>
      <c r="I7" s="286">
        <v>0.08</v>
      </c>
      <c r="J7" s="286">
        <f t="shared" si="2"/>
        <v>6.5000000000000002E-2</v>
      </c>
      <c r="K7" s="277"/>
      <c r="L7" s="284" t="str">
        <f t="shared" si="3"/>
        <v>Estimate</v>
      </c>
      <c r="M7" s="287">
        <f t="shared" ref="M7" ca="1" si="6">IFERROR(INDEX(INDIRECT(E7),0,MATCH(F7,MO_Common_ColumnHeader,0)),"N/A")</f>
        <v>6.4104517772806568E-2</v>
      </c>
      <c r="N7" s="278"/>
      <c r="O7" s="296">
        <f t="shared" ca="1" si="4"/>
        <v>-8.9548222719343373E-4</v>
      </c>
      <c r="P7" s="296">
        <f t="shared" ca="1" si="5"/>
        <v>-1.3776649649129748E-2</v>
      </c>
      <c r="Q7" s="277"/>
      <c r="R7" s="288">
        <v>44313</v>
      </c>
      <c r="S7" s="422" t="s">
        <v>382</v>
      </c>
      <c r="T7" s="277"/>
    </row>
    <row r="8" spans="1:20" x14ac:dyDescent="0.35">
      <c r="A8" s="267">
        <v>163</v>
      </c>
      <c r="B8" s="284" t="str">
        <f t="shared" si="0"/>
        <v>Forward</v>
      </c>
      <c r="C8" s="277"/>
      <c r="D8" s="295" t="str">
        <f t="shared" ca="1" si="1"/>
        <v>Earnings Per Share - WAD</v>
      </c>
      <c r="E8" s="285" t="s">
        <v>279</v>
      </c>
      <c r="F8" s="284" t="s">
        <v>1064</v>
      </c>
      <c r="G8" s="277"/>
      <c r="H8" s="291">
        <v>9.1999999999999993</v>
      </c>
      <c r="I8" s="291">
        <v>9.6999999999999993</v>
      </c>
      <c r="J8" s="291">
        <f t="shared" si="2"/>
        <v>9.4499999999999993</v>
      </c>
      <c r="K8" s="277"/>
      <c r="L8" s="284" t="str">
        <f t="shared" si="3"/>
        <v>Estimate</v>
      </c>
      <c r="M8" s="292">
        <f t="shared" ref="M8" ca="1" si="7">IFERROR(INDEX(INDIRECT(E8),0,MATCH(F8,MO_Common_ColumnHeader,0)),"N/A")</f>
        <v>10.246222457541528</v>
      </c>
      <c r="N8" s="278"/>
      <c r="O8" s="298">
        <f t="shared" ca="1" si="4"/>
        <v>0.79622245754152843</v>
      </c>
      <c r="P8" s="296">
        <f t="shared" ca="1" si="5"/>
        <v>8.4256344713389261E-2</v>
      </c>
      <c r="Q8" s="277"/>
      <c r="R8" s="288">
        <v>44313</v>
      </c>
      <c r="S8" s="422" t="s">
        <v>382</v>
      </c>
      <c r="T8" s="277"/>
    </row>
    <row r="9" spans="1:20" s="257" customFormat="1" x14ac:dyDescent="0.35">
      <c r="A9" s="267">
        <v>162</v>
      </c>
      <c r="B9" s="284" t="str">
        <f t="shared" si="0"/>
        <v>Forward</v>
      </c>
      <c r="C9" s="277"/>
      <c r="D9" s="295" t="str">
        <f ca="1">INDEX(INDIRECT(E9),0,COLUMN(MO_Common_Column_A))</f>
        <v>FCF conversion, %</v>
      </c>
      <c r="E9" s="285" t="s">
        <v>1066</v>
      </c>
      <c r="F9" s="284" t="s">
        <v>1064</v>
      </c>
      <c r="G9" s="277"/>
      <c r="H9" s="286">
        <v>0.95</v>
      </c>
      <c r="I9" s="286">
        <v>1.05</v>
      </c>
      <c r="J9" s="286">
        <f t="shared" si="2"/>
        <v>1</v>
      </c>
      <c r="K9" s="277"/>
      <c r="L9" s="284" t="str">
        <f t="shared" si="3"/>
        <v>Estimate</v>
      </c>
      <c r="M9" s="287">
        <f ca="1">IFERROR(INDEX(INDIRECT(E9),0,MATCH(F9,MO_Common_ColumnHeader,0)),"N/A")</f>
        <v>0.94382376074425933</v>
      </c>
      <c r="N9" s="278"/>
      <c r="O9" s="296">
        <f t="shared" ca="1" si="4"/>
        <v>-5.6176239255740668E-2</v>
      </c>
      <c r="P9" s="296">
        <f t="shared" ca="1" si="5"/>
        <v>-5.6176239255740668E-2</v>
      </c>
      <c r="Q9" s="277"/>
      <c r="R9" s="288">
        <v>44313</v>
      </c>
      <c r="S9" s="422" t="s">
        <v>382</v>
      </c>
      <c r="T9" s="279"/>
    </row>
    <row r="10" spans="1:20" s="257" customFormat="1" x14ac:dyDescent="0.35">
      <c r="A10" s="267">
        <v>161</v>
      </c>
      <c r="B10" s="277"/>
      <c r="C10" s="277"/>
      <c r="D10" s="274"/>
      <c r="E10" s="275"/>
      <c r="F10" s="277"/>
      <c r="G10" s="277"/>
      <c r="H10" s="277"/>
      <c r="I10" s="277"/>
      <c r="J10" s="277"/>
      <c r="K10" s="277"/>
      <c r="L10" s="277"/>
      <c r="M10" s="277"/>
      <c r="N10" s="277"/>
      <c r="O10" s="274"/>
      <c r="P10" s="299"/>
      <c r="Q10" s="277"/>
      <c r="R10" s="276"/>
      <c r="S10" s="300"/>
      <c r="T10" s="279"/>
    </row>
    <row r="11" spans="1:20" s="257" customFormat="1" x14ac:dyDescent="0.35">
      <c r="A11" s="267">
        <v>160</v>
      </c>
      <c r="B11" s="284" t="str">
        <f>IF(MATCH(F11,MO_Common_ColumnHeader,0)&gt;UL.MRQColNum,"Forward","Historical")</f>
        <v>Forward</v>
      </c>
      <c r="C11" s="277"/>
      <c r="D11" s="295" t="str">
        <f t="shared" ref="D11:D21" ca="1" si="8">INDEX(INDIRECT(E11),0,COLUMN(MO_Common_Column_A))</f>
        <v>Safety and Industrial Organic Local-Currency Sales Growth, %</v>
      </c>
      <c r="E11" s="285" t="s">
        <v>602</v>
      </c>
      <c r="F11" s="284" t="s">
        <v>1064</v>
      </c>
      <c r="G11" s="277"/>
      <c r="H11" s="286">
        <v>0.05</v>
      </c>
      <c r="I11" s="286">
        <v>0.05</v>
      </c>
      <c r="J11" s="286">
        <f>AVERAGE(H11:I11)</f>
        <v>0.05</v>
      </c>
      <c r="K11" s="277"/>
      <c r="L11" s="284" t="str">
        <f>IF(MATCH(F11,MO_Common_ColumnHeader,0)&gt;UL.MRQColNum,"Estimate","Actual")</f>
        <v>Estimate</v>
      </c>
      <c r="M11" s="287" t="s">
        <v>278</v>
      </c>
      <c r="N11" s="278"/>
      <c r="O11" s="296" t="str">
        <f>IF(ISNUMBER(M11),M11-J11,"N/A")</f>
        <v>N/A</v>
      </c>
      <c r="P11" s="296" t="str">
        <f>IFERROR(IF(ISNUMBER(M11),(M11-J11)/ABS(J11),"N/A"),"N/A")</f>
        <v>N/A</v>
      </c>
      <c r="Q11" s="277"/>
      <c r="R11" s="288">
        <v>44222</v>
      </c>
      <c r="S11" s="422" t="s">
        <v>382</v>
      </c>
      <c r="T11" s="279"/>
    </row>
    <row r="12" spans="1:20" s="257" customFormat="1" x14ac:dyDescent="0.35">
      <c r="A12" s="267">
        <v>159</v>
      </c>
      <c r="B12" s="284" t="str">
        <f>IF(MATCH(F12,MO_Common_ColumnHeader,0)&gt;UL.MRQColNum,"Forward","Historical")</f>
        <v>Forward</v>
      </c>
      <c r="C12" s="277"/>
      <c r="D12" s="295" t="str">
        <f t="shared" ca="1" si="8"/>
        <v>Transportation and Electronics Organic Local-Currency Sales Growth, %</v>
      </c>
      <c r="E12" s="285" t="s">
        <v>603</v>
      </c>
      <c r="F12" s="284" t="s">
        <v>1064</v>
      </c>
      <c r="G12" s="277"/>
      <c r="H12" s="286">
        <v>0.02</v>
      </c>
      <c r="I12" s="286">
        <v>0.09</v>
      </c>
      <c r="J12" s="286">
        <f>AVERAGE(H12:I12)</f>
        <v>5.4999999999999993E-2</v>
      </c>
      <c r="K12" s="277"/>
      <c r="L12" s="284" t="str">
        <f>IF(MATCH(F12,MO_Common_ColumnHeader,0)&gt;UL.MRQColNum,"Estimate","Actual")</f>
        <v>Estimate</v>
      </c>
      <c r="M12" s="287" t="s">
        <v>278</v>
      </c>
      <c r="N12" s="278"/>
      <c r="O12" s="296" t="str">
        <f>IF(ISNUMBER(M12),M12-J12,"N/A")</f>
        <v>N/A</v>
      </c>
      <c r="P12" s="296" t="str">
        <f>IFERROR(IF(ISNUMBER(M12),(M12-J12)/ABS(J12),"N/A"),"N/A")</f>
        <v>N/A</v>
      </c>
      <c r="Q12" s="277"/>
      <c r="R12" s="288">
        <v>44222</v>
      </c>
      <c r="S12" s="422" t="s">
        <v>382</v>
      </c>
      <c r="T12" s="279"/>
    </row>
    <row r="13" spans="1:20" x14ac:dyDescent="0.35">
      <c r="A13" s="267">
        <v>158</v>
      </c>
      <c r="B13" s="284" t="str">
        <f t="shared" ref="B13:B23" si="9">IF(MATCH(F13,MO_Common_ColumnHeader,0)&gt;UL.MRQColNum,"Forward","Historical")</f>
        <v>Forward</v>
      </c>
      <c r="C13" s="277"/>
      <c r="D13" s="295" t="str">
        <f t="shared" ca="1" si="8"/>
        <v>Health Care Organic Local-Currency Sales Growth, %</v>
      </c>
      <c r="E13" s="285" t="s">
        <v>604</v>
      </c>
      <c r="F13" s="284" t="s">
        <v>1064</v>
      </c>
      <c r="G13" s="277"/>
      <c r="H13" s="286">
        <v>0.02</v>
      </c>
      <c r="I13" s="286">
        <v>0.05</v>
      </c>
      <c r="J13" s="286">
        <f t="shared" ref="J13:J23" si="10">AVERAGE(H13:I13)</f>
        <v>3.5000000000000003E-2</v>
      </c>
      <c r="K13" s="277"/>
      <c r="L13" s="284" t="str">
        <f t="shared" ref="L13:L23" si="11">IF(MATCH(F13,MO_Common_ColumnHeader,0)&gt;UL.MRQColNum,"Estimate","Actual")</f>
        <v>Estimate</v>
      </c>
      <c r="M13" s="287" t="s">
        <v>278</v>
      </c>
      <c r="N13" s="278"/>
      <c r="O13" s="296" t="str">
        <f t="shared" ref="O13:O23" si="12">IF(ISNUMBER(M13),M13-J13,"N/A")</f>
        <v>N/A</v>
      </c>
      <c r="P13" s="296" t="str">
        <f t="shared" ref="P13:P23" si="13">IFERROR(IF(ISNUMBER(M13),(M13-J13)/ABS(J13),"N/A"),"N/A")</f>
        <v>N/A</v>
      </c>
      <c r="Q13" s="277"/>
      <c r="R13" s="288">
        <v>44222</v>
      </c>
      <c r="S13" s="422" t="s">
        <v>382</v>
      </c>
      <c r="T13" s="277"/>
    </row>
    <row r="14" spans="1:20" s="257" customFormat="1" x14ac:dyDescent="0.35">
      <c r="A14" s="267">
        <v>157</v>
      </c>
      <c r="B14" s="284" t="str">
        <f t="shared" si="9"/>
        <v>Forward</v>
      </c>
      <c r="C14" s="277"/>
      <c r="D14" s="295" t="str">
        <f t="shared" ca="1" si="8"/>
        <v>Consumer Organic Local-Currency Sales Growth, %</v>
      </c>
      <c r="E14" s="285" t="s">
        <v>605</v>
      </c>
      <c r="F14" s="284" t="s">
        <v>1064</v>
      </c>
      <c r="G14" s="277"/>
      <c r="H14" s="286">
        <v>0.02</v>
      </c>
      <c r="I14" s="286">
        <v>0.05</v>
      </c>
      <c r="J14" s="286">
        <f t="shared" si="10"/>
        <v>3.5000000000000003E-2</v>
      </c>
      <c r="K14" s="277"/>
      <c r="L14" s="284" t="str">
        <f t="shared" si="11"/>
        <v>Estimate</v>
      </c>
      <c r="M14" s="287" t="s">
        <v>278</v>
      </c>
      <c r="N14" s="278"/>
      <c r="O14" s="296" t="str">
        <f t="shared" si="12"/>
        <v>N/A</v>
      </c>
      <c r="P14" s="296" t="str">
        <f t="shared" si="13"/>
        <v>N/A</v>
      </c>
      <c r="Q14" s="277"/>
      <c r="R14" s="288">
        <v>44222</v>
      </c>
      <c r="S14" s="422" t="s">
        <v>382</v>
      </c>
      <c r="T14" s="279"/>
    </row>
    <row r="15" spans="1:20" x14ac:dyDescent="0.35">
      <c r="A15" s="267">
        <v>156</v>
      </c>
      <c r="B15" s="284" t="str">
        <f t="shared" si="9"/>
        <v>Forward</v>
      </c>
      <c r="C15" s="277"/>
      <c r="D15" s="295" t="str">
        <f t="shared" ca="1" si="8"/>
        <v>Total Organic local-currency revenue growth, %</v>
      </c>
      <c r="E15" s="285" t="s">
        <v>276</v>
      </c>
      <c r="F15" s="284" t="s">
        <v>1064</v>
      </c>
      <c r="G15" s="277"/>
      <c r="H15" s="286">
        <v>0.03</v>
      </c>
      <c r="I15" s="286">
        <v>0.06</v>
      </c>
      <c r="J15" s="286">
        <f t="shared" si="10"/>
        <v>4.4999999999999998E-2</v>
      </c>
      <c r="K15" s="277"/>
      <c r="L15" s="284" t="str">
        <f t="shared" si="11"/>
        <v>Estimate</v>
      </c>
      <c r="M15" s="287" t="s">
        <v>278</v>
      </c>
      <c r="N15" s="278"/>
      <c r="O15" s="296" t="str">
        <f t="shared" si="12"/>
        <v>N/A</v>
      </c>
      <c r="P15" s="296" t="str">
        <f t="shared" si="13"/>
        <v>N/A</v>
      </c>
      <c r="Q15" s="277"/>
      <c r="R15" s="288">
        <v>44222</v>
      </c>
      <c r="S15" s="422" t="s">
        <v>382</v>
      </c>
      <c r="T15" s="277"/>
    </row>
    <row r="16" spans="1:20" x14ac:dyDescent="0.35">
      <c r="A16" s="267">
        <v>155</v>
      </c>
      <c r="B16" s="284" t="str">
        <f t="shared" si="9"/>
        <v>Forward</v>
      </c>
      <c r="C16" s="277"/>
      <c r="D16" s="295" t="str">
        <f t="shared" ca="1" si="8"/>
        <v>Total Divestiture impact on revenue, %</v>
      </c>
      <c r="E16" s="285" t="s">
        <v>1065</v>
      </c>
      <c r="F16" s="284" t="s">
        <v>1064</v>
      </c>
      <c r="G16" s="277"/>
      <c r="H16" s="286">
        <v>-5.0000000000000001E-3</v>
      </c>
      <c r="I16" s="286">
        <v>-5.0000000000000001E-3</v>
      </c>
      <c r="J16" s="286">
        <f t="shared" si="10"/>
        <v>-5.0000000000000001E-3</v>
      </c>
      <c r="K16" s="277"/>
      <c r="L16" s="284" t="str">
        <f t="shared" si="11"/>
        <v>Estimate</v>
      </c>
      <c r="M16" s="287" t="s">
        <v>278</v>
      </c>
      <c r="N16" s="278"/>
      <c r="O16" s="296" t="str">
        <f t="shared" si="12"/>
        <v>N/A</v>
      </c>
      <c r="P16" s="296" t="str">
        <f t="shared" si="13"/>
        <v>N/A</v>
      </c>
      <c r="Q16" s="277"/>
      <c r="R16" s="288">
        <v>44222</v>
      </c>
      <c r="S16" s="422" t="s">
        <v>382</v>
      </c>
      <c r="T16" s="277"/>
    </row>
    <row r="17" spans="1:20" x14ac:dyDescent="0.35">
      <c r="A17" s="267">
        <v>154</v>
      </c>
      <c r="B17" s="284" t="str">
        <f t="shared" si="9"/>
        <v>Forward</v>
      </c>
      <c r="C17" s="277"/>
      <c r="D17" s="295" t="str">
        <f t="shared" ca="1" si="8"/>
        <v>Total Translation impact on revenue, %</v>
      </c>
      <c r="E17" s="285" t="s">
        <v>601</v>
      </c>
      <c r="F17" s="284" t="s">
        <v>1064</v>
      </c>
      <c r="G17" s="277"/>
      <c r="H17" s="286">
        <v>0.02</v>
      </c>
      <c r="I17" s="286">
        <v>0.02</v>
      </c>
      <c r="J17" s="286">
        <f t="shared" si="10"/>
        <v>0.02</v>
      </c>
      <c r="K17" s="277"/>
      <c r="L17" s="284" t="str">
        <f t="shared" si="11"/>
        <v>Estimate</v>
      </c>
      <c r="M17" s="287" t="s">
        <v>278</v>
      </c>
      <c r="N17" s="278"/>
      <c r="O17" s="296" t="str">
        <f t="shared" si="12"/>
        <v>N/A</v>
      </c>
      <c r="P17" s="296" t="str">
        <f t="shared" si="13"/>
        <v>N/A</v>
      </c>
      <c r="Q17" s="277"/>
      <c r="R17" s="288">
        <v>44222</v>
      </c>
      <c r="S17" s="422" t="s">
        <v>382</v>
      </c>
      <c r="T17" s="277"/>
    </row>
    <row r="18" spans="1:20" x14ac:dyDescent="0.35">
      <c r="A18" s="267">
        <v>153</v>
      </c>
      <c r="B18" s="284" t="str">
        <f t="shared" ref="B18" si="14">IF(MATCH(F18,MO_Common_ColumnHeader,0)&gt;UL.MRQColNum,"Forward","Historical")</f>
        <v>Forward</v>
      </c>
      <c r="C18" s="277"/>
      <c r="D18" s="295" t="str">
        <f t="shared" ca="1" si="8"/>
        <v>Total Revenue Growth, %</v>
      </c>
      <c r="E18" s="285" t="s">
        <v>1067</v>
      </c>
      <c r="F18" s="284" t="s">
        <v>1064</v>
      </c>
      <c r="G18" s="277"/>
      <c r="H18" s="286">
        <v>0.05</v>
      </c>
      <c r="I18" s="286">
        <v>0.08</v>
      </c>
      <c r="J18" s="286">
        <f t="shared" ref="J18" si="15">AVERAGE(H18:I18)</f>
        <v>6.5000000000000002E-2</v>
      </c>
      <c r="K18" s="277"/>
      <c r="L18" s="284" t="str">
        <f t="shared" ref="L18" si="16">IF(MATCH(F18,MO_Common_ColumnHeader,0)&gt;UL.MRQColNum,"Estimate","Actual")</f>
        <v>Estimate</v>
      </c>
      <c r="M18" s="287">
        <f t="shared" ref="M18:M21" ca="1" si="17">IFERROR(INDEX(INDIRECT(E18),0,MATCH(F18,MO_Common_ColumnHeader,0)),"N/A")</f>
        <v>6.4104517772806568E-2</v>
      </c>
      <c r="N18" s="278"/>
      <c r="O18" s="296">
        <f t="shared" ref="O18" ca="1" si="18">IF(ISNUMBER(M18),M18-J18,"N/A")</f>
        <v>-8.9548222719343373E-4</v>
      </c>
      <c r="P18" s="296">
        <f t="shared" ref="P18" ca="1" si="19">IFERROR(IF(ISNUMBER(M18),(M18-J18)/ABS(J18),"N/A"),"N/A")</f>
        <v>-1.3776649649129748E-2</v>
      </c>
      <c r="Q18" s="277"/>
      <c r="R18" s="288">
        <v>44222</v>
      </c>
      <c r="S18" s="422" t="s">
        <v>382</v>
      </c>
      <c r="T18" s="277"/>
    </row>
    <row r="19" spans="1:20" x14ac:dyDescent="0.35">
      <c r="A19" s="267">
        <v>152</v>
      </c>
      <c r="B19" s="284" t="str">
        <f t="shared" si="9"/>
        <v>Forward</v>
      </c>
      <c r="C19" s="277"/>
      <c r="D19" s="295" t="str">
        <f t="shared" ca="1" si="8"/>
        <v>Earnings Per Share - WAD</v>
      </c>
      <c r="E19" s="285" t="s">
        <v>279</v>
      </c>
      <c r="F19" s="284" t="s">
        <v>1064</v>
      </c>
      <c r="G19" s="277"/>
      <c r="H19" s="291">
        <v>9.1999999999999993</v>
      </c>
      <c r="I19" s="291">
        <v>9.6999999999999993</v>
      </c>
      <c r="J19" s="291">
        <f t="shared" si="10"/>
        <v>9.4499999999999993</v>
      </c>
      <c r="K19" s="277"/>
      <c r="L19" s="284" t="str">
        <f t="shared" si="11"/>
        <v>Estimate</v>
      </c>
      <c r="M19" s="292">
        <f t="shared" ca="1" si="17"/>
        <v>10.246222457541528</v>
      </c>
      <c r="N19" s="278"/>
      <c r="O19" s="298">
        <f t="shared" ca="1" si="12"/>
        <v>0.79622245754152843</v>
      </c>
      <c r="P19" s="296">
        <f t="shared" ca="1" si="13"/>
        <v>8.4256344713389261E-2</v>
      </c>
      <c r="Q19" s="277"/>
      <c r="R19" s="288">
        <v>44222</v>
      </c>
      <c r="S19" s="422" t="s">
        <v>382</v>
      </c>
      <c r="T19" s="277"/>
    </row>
    <row r="20" spans="1:20" s="257" customFormat="1" x14ac:dyDescent="0.35">
      <c r="A20" s="267">
        <v>151</v>
      </c>
      <c r="B20" s="284" t="str">
        <f t="shared" si="9"/>
        <v>Forward</v>
      </c>
      <c r="C20" s="277"/>
      <c r="D20" s="295" t="str">
        <f t="shared" ca="1" si="8"/>
        <v>Net CFO</v>
      </c>
      <c r="E20" s="285" t="s">
        <v>284</v>
      </c>
      <c r="F20" s="284" t="s">
        <v>1064</v>
      </c>
      <c r="G20" s="277"/>
      <c r="H20" s="289">
        <v>7100</v>
      </c>
      <c r="I20" s="289">
        <v>7800</v>
      </c>
      <c r="J20" s="289">
        <f t="shared" si="10"/>
        <v>7450</v>
      </c>
      <c r="K20" s="277"/>
      <c r="L20" s="284" t="str">
        <f t="shared" si="11"/>
        <v>Estimate</v>
      </c>
      <c r="M20" s="290">
        <f t="shared" ca="1" si="17"/>
        <v>7367.5028721790632</v>
      </c>
      <c r="N20" s="278"/>
      <c r="O20" s="297">
        <f t="shared" ca="1" si="12"/>
        <v>-82.497127820936839</v>
      </c>
      <c r="P20" s="296">
        <f t="shared" ca="1" si="13"/>
        <v>-1.1073439975964676E-2</v>
      </c>
      <c r="Q20" s="277"/>
      <c r="R20" s="288">
        <v>44222</v>
      </c>
      <c r="S20" s="422" t="s">
        <v>382</v>
      </c>
      <c r="T20" s="279"/>
    </row>
    <row r="21" spans="1:20" s="257" customFormat="1" x14ac:dyDescent="0.35">
      <c r="A21" s="267">
        <v>150</v>
      </c>
      <c r="B21" s="284" t="str">
        <f t="shared" si="9"/>
        <v>Forward</v>
      </c>
      <c r="C21" s="277"/>
      <c r="D21" s="295" t="str">
        <f t="shared" ca="1" si="8"/>
        <v>Capex</v>
      </c>
      <c r="E21" s="285" t="s">
        <v>285</v>
      </c>
      <c r="F21" s="284" t="s">
        <v>1064</v>
      </c>
      <c r="G21" s="277"/>
      <c r="H21" s="289">
        <v>-1800</v>
      </c>
      <c r="I21" s="289">
        <v>-2000</v>
      </c>
      <c r="J21" s="289">
        <f t="shared" si="10"/>
        <v>-1900</v>
      </c>
      <c r="K21" s="277"/>
      <c r="L21" s="284" t="str">
        <f t="shared" si="11"/>
        <v>Estimate</v>
      </c>
      <c r="M21" s="290">
        <f t="shared" ca="1" si="17"/>
        <v>-1735</v>
      </c>
      <c r="N21" s="278"/>
      <c r="O21" s="297">
        <f t="shared" ca="1" si="12"/>
        <v>165</v>
      </c>
      <c r="P21" s="296">
        <f t="shared" ca="1" si="13"/>
        <v>8.6842105263157901E-2</v>
      </c>
      <c r="Q21" s="277"/>
      <c r="R21" s="288">
        <v>44222</v>
      </c>
      <c r="S21" s="422" t="s">
        <v>382</v>
      </c>
      <c r="T21" s="279"/>
    </row>
    <row r="22" spans="1:20" s="257" customFormat="1" x14ac:dyDescent="0.35">
      <c r="A22" s="267">
        <v>149</v>
      </c>
      <c r="B22" s="284" t="str">
        <f t="shared" si="9"/>
        <v>Forward</v>
      </c>
      <c r="C22" s="277"/>
      <c r="D22" s="295" t="s">
        <v>286</v>
      </c>
      <c r="E22" s="285"/>
      <c r="F22" s="284" t="s">
        <v>1064</v>
      </c>
      <c r="G22" s="277"/>
      <c r="H22" s="289">
        <v>5100</v>
      </c>
      <c r="I22" s="289">
        <v>6000</v>
      </c>
      <c r="J22" s="289">
        <f t="shared" si="10"/>
        <v>5550</v>
      </c>
      <c r="K22" s="277"/>
      <c r="L22" s="284" t="str">
        <f t="shared" si="11"/>
        <v>Estimate</v>
      </c>
      <c r="M22" s="290">
        <f>INDEX(MO_CFS_CFO,0,MATCH(F22,MO_Common_ColumnHeader,0))+INDEX(MO_CFSum_Capex,0,MATCH(F22,MO_Common_ColumnHeader,0))</f>
        <v>5632.5028721790632</v>
      </c>
      <c r="N22" s="278"/>
      <c r="O22" s="297">
        <f t="shared" si="12"/>
        <v>82.502872179063161</v>
      </c>
      <c r="P22" s="296">
        <f t="shared" si="13"/>
        <v>1.4865382374605975E-2</v>
      </c>
      <c r="Q22" s="277"/>
      <c r="R22" s="288">
        <v>44222</v>
      </c>
      <c r="S22" s="422" t="s">
        <v>382</v>
      </c>
      <c r="T22" s="279"/>
    </row>
    <row r="23" spans="1:20" s="257" customFormat="1" x14ac:dyDescent="0.35">
      <c r="A23" s="267">
        <v>148</v>
      </c>
      <c r="B23" s="284" t="str">
        <f t="shared" si="9"/>
        <v>Forward</v>
      </c>
      <c r="C23" s="277"/>
      <c r="D23" s="295" t="str">
        <f ca="1">INDEX(INDIRECT(E23),0,COLUMN(MO_Common_Column_A))</f>
        <v>FCF conversion, %</v>
      </c>
      <c r="E23" s="285" t="s">
        <v>1066</v>
      </c>
      <c r="F23" s="284" t="s">
        <v>1064</v>
      </c>
      <c r="G23" s="277"/>
      <c r="H23" s="286">
        <v>0.95</v>
      </c>
      <c r="I23" s="286">
        <v>1.05</v>
      </c>
      <c r="J23" s="286">
        <f t="shared" si="10"/>
        <v>1</v>
      </c>
      <c r="K23" s="277"/>
      <c r="L23" s="284" t="str">
        <f t="shared" si="11"/>
        <v>Estimate</v>
      </c>
      <c r="M23" s="287">
        <f ca="1">IFERROR(INDEX(INDIRECT(E23),0,MATCH(F23,MO_Common_ColumnHeader,0)),"N/A")</f>
        <v>0.94382376074425933</v>
      </c>
      <c r="N23" s="278"/>
      <c r="O23" s="296">
        <f t="shared" ca="1" si="12"/>
        <v>-5.6176239255740668E-2</v>
      </c>
      <c r="P23" s="296">
        <f t="shared" ca="1" si="13"/>
        <v>-5.6176239255740668E-2</v>
      </c>
      <c r="Q23" s="277"/>
      <c r="R23" s="288">
        <v>44222</v>
      </c>
      <c r="S23" s="422" t="s">
        <v>382</v>
      </c>
      <c r="T23" s="279"/>
    </row>
    <row r="24" spans="1:20" s="257" customFormat="1" x14ac:dyDescent="0.35">
      <c r="A24" s="267">
        <v>147</v>
      </c>
      <c r="B24" s="277"/>
      <c r="C24" s="277"/>
      <c r="D24" s="274"/>
      <c r="E24" s="275"/>
      <c r="F24" s="277"/>
      <c r="G24" s="277"/>
      <c r="H24" s="277"/>
      <c r="I24" s="277"/>
      <c r="J24" s="277"/>
      <c r="K24" s="277"/>
      <c r="L24" s="277"/>
      <c r="M24" s="277"/>
      <c r="N24" s="277"/>
      <c r="O24" s="274"/>
      <c r="P24" s="299"/>
      <c r="Q24" s="277"/>
      <c r="R24" s="276"/>
      <c r="S24" s="300"/>
      <c r="T24" s="279"/>
    </row>
    <row r="25" spans="1:20" s="257" customFormat="1" x14ac:dyDescent="0.35">
      <c r="A25" s="267">
        <v>146</v>
      </c>
      <c r="B25" s="284" t="str">
        <f t="shared" ref="B25" si="20">IF(MATCH(F25,MO_Common_ColumnHeader,0)&gt;UL.MRQColNum,"Forward","Historical")</f>
        <v>Historical</v>
      </c>
      <c r="C25" s="277"/>
      <c r="D25" s="295" t="str">
        <f ca="1">INDEX(INDIRECT(E25),0,COLUMN(MO_Common_Column_A))</f>
        <v>Adjusted EBIT Margin, %</v>
      </c>
      <c r="E25" s="285" t="s">
        <v>785</v>
      </c>
      <c r="F25" s="284" t="s">
        <v>786</v>
      </c>
      <c r="G25" s="277"/>
      <c r="H25" s="286">
        <v>0.21</v>
      </c>
      <c r="I25" s="286">
        <v>0.21</v>
      </c>
      <c r="J25" s="286">
        <f t="shared" ref="J25" si="21">AVERAGE(H25:I25)</f>
        <v>0.21</v>
      </c>
      <c r="K25" s="277"/>
      <c r="L25" s="284" t="str">
        <f t="shared" ref="L25" si="22">IF(MATCH(F25,MO_Common_ColumnHeader,0)&gt;UL.MRQColNum,"Estimate","Actual")</f>
        <v>Actual</v>
      </c>
      <c r="M25" s="287">
        <f ca="1">IFERROR(INDEX(INDIRECT(E25),0,MATCH(F25,MO_Common_ColumnHeader,0)),"N/A")</f>
        <v>0.21542584178026331</v>
      </c>
      <c r="N25" s="278"/>
      <c r="O25" s="296">
        <f t="shared" ref="O25" ca="1" si="23">IF(ISNUMBER(M25),M25-J25,"N/A")</f>
        <v>5.425841780263313E-3</v>
      </c>
      <c r="P25" s="296">
        <f ca="1">IFERROR(IF(ISNUMBER(M25),(M25-J25)/ABS(J25),"N/A"),"N/A")</f>
        <v>2.5837341810777681E-2</v>
      </c>
      <c r="Q25" s="277"/>
      <c r="R25" s="288">
        <v>44138</v>
      </c>
      <c r="S25" s="422" t="s">
        <v>382</v>
      </c>
      <c r="T25" s="279"/>
    </row>
    <row r="26" spans="1:20" s="257" customFormat="1" x14ac:dyDescent="0.35">
      <c r="A26" s="267">
        <v>145</v>
      </c>
      <c r="B26" s="277"/>
      <c r="C26" s="277"/>
      <c r="D26" s="274"/>
      <c r="E26" s="275"/>
      <c r="F26" s="277"/>
      <c r="G26" s="277"/>
      <c r="H26" s="277"/>
      <c r="I26" s="277"/>
      <c r="J26" s="277"/>
      <c r="K26" s="277"/>
      <c r="L26" s="277"/>
      <c r="M26" s="277"/>
      <c r="N26" s="277"/>
      <c r="O26" s="274"/>
      <c r="P26" s="299"/>
      <c r="Q26" s="277"/>
      <c r="R26" s="276"/>
      <c r="S26" s="300"/>
      <c r="T26" s="279"/>
    </row>
    <row r="27" spans="1:20" s="257" customFormat="1" x14ac:dyDescent="0.35">
      <c r="A27" s="267">
        <v>144</v>
      </c>
      <c r="B27" s="284" t="str">
        <f>IF(MATCH(F27,MO_Common_ColumnHeader,0)&gt;UL.MRQColNum,"Forward","Historical")</f>
        <v>Historical</v>
      </c>
      <c r="C27" s="277"/>
      <c r="D27" s="295" t="s">
        <v>729</v>
      </c>
      <c r="E27" s="285" t="s">
        <v>285</v>
      </c>
      <c r="F27" s="284" t="s">
        <v>704</v>
      </c>
      <c r="G27" s="277"/>
      <c r="H27" s="289"/>
      <c r="I27" s="289"/>
      <c r="J27" s="289" t="s">
        <v>728</v>
      </c>
      <c r="K27" s="277"/>
      <c r="L27" s="284"/>
      <c r="M27" s="290"/>
      <c r="N27" s="278"/>
      <c r="O27" s="297"/>
      <c r="P27" s="296"/>
      <c r="Q27" s="277"/>
      <c r="R27" s="288">
        <v>43949</v>
      </c>
      <c r="S27" s="422" t="s">
        <v>382</v>
      </c>
      <c r="T27" s="279"/>
    </row>
    <row r="28" spans="1:20" s="257" customFormat="1" x14ac:dyDescent="0.35">
      <c r="A28" s="267">
        <v>143</v>
      </c>
      <c r="B28" s="284" t="str">
        <f>IF(MATCH(F28,MO_Common_ColumnHeader,0)&gt;UL.MRQColNum,"Forward","Historical")</f>
        <v>Historical</v>
      </c>
      <c r="C28" s="277"/>
      <c r="D28" s="295" t="str">
        <f ca="1">INDEX(INDIRECT(E28),0,COLUMN(MO_Common_Column_A))</f>
        <v>Capex</v>
      </c>
      <c r="E28" s="285" t="s">
        <v>285</v>
      </c>
      <c r="F28" s="284" t="s">
        <v>704</v>
      </c>
      <c r="G28" s="277"/>
      <c r="H28" s="289">
        <v>-1300</v>
      </c>
      <c r="I28" s="289">
        <v>-1300</v>
      </c>
      <c r="J28" s="289">
        <f>AVERAGE(H28:I28)</f>
        <v>-1300</v>
      </c>
      <c r="K28" s="277"/>
      <c r="L28" s="284" t="str">
        <f>IF(MATCH(F28,MO_Common_ColumnHeader,0)&gt;UL.MRQColNum,"Estimate","Actual")</f>
        <v>Actual</v>
      </c>
      <c r="M28" s="290">
        <f ca="1">IFERROR(INDEX(INDIRECT(E28),0,MATCH(F28,MO_Common_ColumnHeader,0)),"N/A")</f>
        <v>-1501</v>
      </c>
      <c r="N28" s="278"/>
      <c r="O28" s="297">
        <f ca="1">IF(ISNUMBER(M28),M28-J28,"N/A")</f>
        <v>-201</v>
      </c>
      <c r="P28" s="296">
        <f ca="1">IFERROR(IF(ISNUMBER(M28),(M28-J28)/ABS(J28),"N/A"),"N/A")</f>
        <v>-0.15461538461538463</v>
      </c>
      <c r="Q28" s="277"/>
      <c r="R28" s="288">
        <v>43949</v>
      </c>
      <c r="S28" s="422" t="s">
        <v>382</v>
      </c>
      <c r="T28" s="279"/>
    </row>
    <row r="29" spans="1:20" s="257" customFormat="1" x14ac:dyDescent="0.35">
      <c r="A29" s="267">
        <v>142</v>
      </c>
      <c r="B29" s="277"/>
      <c r="C29" s="277"/>
      <c r="D29" s="274"/>
      <c r="E29" s="275"/>
      <c r="F29" s="277"/>
      <c r="G29" s="277"/>
      <c r="H29" s="277"/>
      <c r="I29" s="277"/>
      <c r="J29" s="277"/>
      <c r="K29" s="277"/>
      <c r="L29" s="277"/>
      <c r="M29" s="277"/>
      <c r="N29" s="277"/>
      <c r="O29" s="274"/>
      <c r="P29" s="299"/>
      <c r="Q29" s="277"/>
      <c r="R29" s="276"/>
      <c r="S29" s="300"/>
      <c r="T29" s="279"/>
    </row>
    <row r="30" spans="1:20" x14ac:dyDescent="0.35">
      <c r="A30" s="267">
        <v>141</v>
      </c>
      <c r="B30" s="284" t="str">
        <f t="shared" ref="B30:B46" si="24">IF(MATCH(F30,MO_Common_ColumnHeader,0)&gt;UL.MRQColNum,"Forward","Historical")</f>
        <v>Historical</v>
      </c>
      <c r="C30" s="277"/>
      <c r="D30" s="295" t="str">
        <f ca="1">INDEX(INDIRECT(E30),0,COLUMN(MO_Common_Column_A))</f>
        <v>Health Care Organic Local-Currency Sales Growth, %</v>
      </c>
      <c r="E30" s="285" t="s">
        <v>604</v>
      </c>
      <c r="F30" s="284" t="s">
        <v>704</v>
      </c>
      <c r="G30" s="277"/>
      <c r="H30" s="286">
        <v>0.02</v>
      </c>
      <c r="I30" s="286">
        <v>0.04</v>
      </c>
      <c r="J30" s="286">
        <f t="shared" ref="J30:J46" si="25">AVERAGE(H30:I30)</f>
        <v>0.03</v>
      </c>
      <c r="K30" s="277"/>
      <c r="L30" s="284" t="str">
        <f t="shared" ref="L30:L46" si="26">IF(MATCH(F30,MO_Common_ColumnHeader,0)&gt;UL.MRQColNum,"Estimate","Actual")</f>
        <v>Actual</v>
      </c>
      <c r="M30" s="287">
        <f ca="1">IFERROR(INDEX(INDIRECT(E30),0,MATCH(F30,MO_Common_ColumnHeader,0)),"N/A")</f>
        <v>1.0028125420535595E-2</v>
      </c>
      <c r="N30" s="278"/>
      <c r="O30" s="296">
        <f t="shared" ref="O30:O46" ca="1" si="27">IF(ISNUMBER(M30),M30-J30,"N/A")</f>
        <v>-1.9971874579464404E-2</v>
      </c>
      <c r="P30" s="296">
        <f t="shared" ref="P30:P46" ca="1" si="28">IFERROR(IF(ISNUMBER(M30),(M30-J30)/ABS(J30),"N/A"),"N/A")</f>
        <v>-0.66572915264881349</v>
      </c>
      <c r="Q30" s="277"/>
      <c r="R30" s="288">
        <v>43858</v>
      </c>
      <c r="S30" s="422" t="s">
        <v>382</v>
      </c>
      <c r="T30" s="277"/>
    </row>
    <row r="31" spans="1:20" s="257" customFormat="1" x14ac:dyDescent="0.35">
      <c r="A31" s="267">
        <v>140</v>
      </c>
      <c r="B31" s="284" t="str">
        <f t="shared" si="24"/>
        <v>Historical</v>
      </c>
      <c r="C31" s="277"/>
      <c r="D31" s="295" t="str">
        <f ca="1">INDEX(INDIRECT(E31),0,COLUMN(MO_Common_Column_A))</f>
        <v>Safety and Industrial Organic Local-Currency Sales Growth, %</v>
      </c>
      <c r="E31" s="285" t="s">
        <v>602</v>
      </c>
      <c r="F31" s="284" t="s">
        <v>704</v>
      </c>
      <c r="G31" s="277"/>
      <c r="H31" s="286">
        <v>0</v>
      </c>
      <c r="I31" s="286">
        <v>0.02</v>
      </c>
      <c r="J31" s="286">
        <f t="shared" si="25"/>
        <v>0.01</v>
      </c>
      <c r="K31" s="277"/>
      <c r="L31" s="284" t="str">
        <f t="shared" si="26"/>
        <v>Actual</v>
      </c>
      <c r="M31" s="287">
        <f ca="1">IFERROR(INDEX(INDIRECT(E31),0,MATCH(F31,MO_Common_ColumnHeader,0)),"N/A")</f>
        <v>3.4629147125238839E-2</v>
      </c>
      <c r="N31" s="278"/>
      <c r="O31" s="296">
        <f t="shared" ca="1" si="27"/>
        <v>2.4629147125238837E-2</v>
      </c>
      <c r="P31" s="296">
        <f t="shared" ca="1" si="28"/>
        <v>2.4629147125238835</v>
      </c>
      <c r="Q31" s="277"/>
      <c r="R31" s="288">
        <v>43858</v>
      </c>
      <c r="S31" s="422" t="s">
        <v>382</v>
      </c>
      <c r="T31" s="279"/>
    </row>
    <row r="32" spans="1:20" s="257" customFormat="1" x14ac:dyDescent="0.35">
      <c r="A32" s="267">
        <v>139</v>
      </c>
      <c r="B32" s="284" t="str">
        <f t="shared" si="24"/>
        <v>Historical</v>
      </c>
      <c r="C32" s="277"/>
      <c r="D32" s="295" t="str">
        <f ca="1">INDEX(INDIRECT(E32),0,COLUMN(MO_Common_Column_A))</f>
        <v>Transportation and Electronics Organic Local-Currency Sales Growth, %</v>
      </c>
      <c r="E32" s="285" t="s">
        <v>603</v>
      </c>
      <c r="F32" s="284" t="s">
        <v>704</v>
      </c>
      <c r="G32" s="277"/>
      <c r="H32" s="286">
        <v>-0.02</v>
      </c>
      <c r="I32" s="286">
        <v>0.02</v>
      </c>
      <c r="J32" s="286">
        <f t="shared" si="25"/>
        <v>0</v>
      </c>
      <c r="K32" s="277"/>
      <c r="L32" s="284" t="str">
        <f t="shared" si="26"/>
        <v>Actual</v>
      </c>
      <c r="M32" s="287">
        <f ca="1">IFERROR(INDEX(INDIRECT(E32),0,MATCH(F32,MO_Common_ColumnHeader,0)),"N/A")</f>
        <v>-7.0815973308309882E-2</v>
      </c>
      <c r="N32" s="278"/>
      <c r="O32" s="296">
        <f t="shared" ca="1" si="27"/>
        <v>-7.0815973308309882E-2</v>
      </c>
      <c r="P32" s="296" t="str">
        <f t="shared" ca="1" si="28"/>
        <v>N/A</v>
      </c>
      <c r="Q32" s="277"/>
      <c r="R32" s="288">
        <v>43858</v>
      </c>
      <c r="S32" s="422" t="s">
        <v>382</v>
      </c>
      <c r="T32" s="279"/>
    </row>
    <row r="33" spans="1:20" s="257" customFormat="1" x14ac:dyDescent="0.35">
      <c r="A33" s="267">
        <v>138</v>
      </c>
      <c r="B33" s="284" t="str">
        <f t="shared" si="24"/>
        <v>Historical</v>
      </c>
      <c r="C33" s="277"/>
      <c r="D33" s="295" t="str">
        <f ca="1">INDEX(INDIRECT(E33),0,COLUMN(MO_Common_Column_A))</f>
        <v>Consumer Organic Local-Currency Sales Growth, %</v>
      </c>
      <c r="E33" s="285" t="s">
        <v>605</v>
      </c>
      <c r="F33" s="284" t="s">
        <v>704</v>
      </c>
      <c r="G33" s="277"/>
      <c r="H33" s="286">
        <v>0.01</v>
      </c>
      <c r="I33" s="286">
        <v>0.03</v>
      </c>
      <c r="J33" s="286">
        <f t="shared" si="25"/>
        <v>1.9999999999999997E-2</v>
      </c>
      <c r="K33" s="277"/>
      <c r="L33" s="284" t="str">
        <f t="shared" si="26"/>
        <v>Actual</v>
      </c>
      <c r="M33" s="287">
        <f ca="1">IFERROR(INDEX(INDIRECT(E33),0,MATCH(F33,MO_Common_ColumnHeader,0)),"N/A")</f>
        <v>4.0501067753834212E-2</v>
      </c>
      <c r="N33" s="278"/>
      <c r="O33" s="296">
        <f t="shared" ca="1" si="27"/>
        <v>2.0501067753834215E-2</v>
      </c>
      <c r="P33" s="296">
        <f t="shared" ca="1" si="28"/>
        <v>1.0250533876917109</v>
      </c>
      <c r="Q33" s="277"/>
      <c r="R33" s="288">
        <v>43858</v>
      </c>
      <c r="S33" s="422" t="s">
        <v>382</v>
      </c>
      <c r="T33" s="279"/>
    </row>
    <row r="34" spans="1:20" s="257" customFormat="1" x14ac:dyDescent="0.35">
      <c r="A34" s="267">
        <v>137</v>
      </c>
      <c r="B34" s="284" t="str">
        <f t="shared" si="24"/>
        <v>Historical</v>
      </c>
      <c r="C34" s="277"/>
      <c r="D34" s="295" t="s">
        <v>705</v>
      </c>
      <c r="E34" s="285"/>
      <c r="F34" s="284" t="s">
        <v>704</v>
      </c>
      <c r="G34" s="277"/>
      <c r="H34" s="286">
        <v>0.01</v>
      </c>
      <c r="I34" s="286">
        <v>0.03</v>
      </c>
      <c r="J34" s="286">
        <f t="shared" si="25"/>
        <v>1.9999999999999997E-2</v>
      </c>
      <c r="K34" s="277"/>
      <c r="L34" s="284" t="str">
        <f t="shared" si="26"/>
        <v>Actual</v>
      </c>
      <c r="M34" s="287" t="s">
        <v>278</v>
      </c>
      <c r="N34" s="278"/>
      <c r="O34" s="296" t="str">
        <f t="shared" si="27"/>
        <v>N/A</v>
      </c>
      <c r="P34" s="296" t="str">
        <f t="shared" si="28"/>
        <v>N/A</v>
      </c>
      <c r="Q34" s="277"/>
      <c r="R34" s="288">
        <v>43494</v>
      </c>
      <c r="S34" s="422" t="s">
        <v>382</v>
      </c>
      <c r="T34" s="279"/>
    </row>
    <row r="35" spans="1:20" s="257" customFormat="1" x14ac:dyDescent="0.35">
      <c r="A35" s="267">
        <v>136</v>
      </c>
      <c r="B35" s="284" t="str">
        <f t="shared" si="24"/>
        <v>Historical</v>
      </c>
      <c r="C35" s="277"/>
      <c r="D35" s="295" t="str">
        <f ca="1">INDEX(INDIRECT(E35),0,COLUMN(MO_Common_Column_A))</f>
        <v>EMEA Organic Local-Currency Sales Growth, %</v>
      </c>
      <c r="E35" s="285" t="s">
        <v>611</v>
      </c>
      <c r="F35" s="284" t="s">
        <v>704</v>
      </c>
      <c r="G35" s="277"/>
      <c r="H35" s="286">
        <v>-0.01</v>
      </c>
      <c r="I35" s="286">
        <v>0.01</v>
      </c>
      <c r="J35" s="286">
        <f t="shared" si="25"/>
        <v>0</v>
      </c>
      <c r="K35" s="277"/>
      <c r="L35" s="284" t="str">
        <f t="shared" si="26"/>
        <v>Actual</v>
      </c>
      <c r="M35" s="287" t="s">
        <v>278</v>
      </c>
      <c r="N35" s="278"/>
      <c r="O35" s="296" t="str">
        <f t="shared" si="27"/>
        <v>N/A</v>
      </c>
      <c r="P35" s="296" t="str">
        <f t="shared" si="28"/>
        <v>N/A</v>
      </c>
      <c r="Q35" s="277"/>
      <c r="R35" s="288">
        <v>43494</v>
      </c>
      <c r="S35" s="422" t="s">
        <v>382</v>
      </c>
      <c r="T35" s="279"/>
    </row>
    <row r="36" spans="1:20" s="257" customFormat="1" x14ac:dyDescent="0.35">
      <c r="A36" s="267">
        <v>135</v>
      </c>
      <c r="B36" s="284" t="str">
        <f t="shared" si="24"/>
        <v>Historical</v>
      </c>
      <c r="C36" s="277"/>
      <c r="D36" s="295" t="str">
        <f ca="1">INDEX(INDIRECT(E36),0,COLUMN(MO_Common_Column_A))</f>
        <v>AP Organic Local-Currency Sales Growth, %</v>
      </c>
      <c r="E36" s="285" t="s">
        <v>610</v>
      </c>
      <c r="F36" s="284" t="s">
        <v>704</v>
      </c>
      <c r="G36" s="277"/>
      <c r="H36" s="286">
        <v>-0.01</v>
      </c>
      <c r="I36" s="286">
        <v>0.03</v>
      </c>
      <c r="J36" s="286">
        <f t="shared" si="25"/>
        <v>0.01</v>
      </c>
      <c r="K36" s="277"/>
      <c r="L36" s="284" t="str">
        <f t="shared" si="26"/>
        <v>Actual</v>
      </c>
      <c r="M36" s="287" t="s">
        <v>278</v>
      </c>
      <c r="N36" s="278"/>
      <c r="O36" s="296" t="str">
        <f t="shared" si="27"/>
        <v>N/A</v>
      </c>
      <c r="P36" s="296" t="str">
        <f t="shared" si="28"/>
        <v>N/A</v>
      </c>
      <c r="Q36" s="277"/>
      <c r="R36" s="288">
        <v>43494</v>
      </c>
      <c r="S36" s="422" t="s">
        <v>382</v>
      </c>
      <c r="T36" s="279"/>
    </row>
    <row r="37" spans="1:20" s="257" customFormat="1" x14ac:dyDescent="0.35">
      <c r="A37" s="267">
        <v>134</v>
      </c>
      <c r="B37" s="284" t="str">
        <f t="shared" si="24"/>
        <v>Historical</v>
      </c>
      <c r="C37" s="277"/>
      <c r="D37" s="295" t="str">
        <f ca="1">INDEX(INDIRECT(E37),0,COLUMN(MO_Common_Column_A))</f>
        <v>Total Organic local-currency revenue growth, %</v>
      </c>
      <c r="E37" s="285" t="s">
        <v>276</v>
      </c>
      <c r="F37" s="284" t="s">
        <v>704</v>
      </c>
      <c r="G37" s="277"/>
      <c r="H37" s="286">
        <v>0</v>
      </c>
      <c r="I37" s="286">
        <v>0.02</v>
      </c>
      <c r="J37" s="286">
        <f t="shared" si="25"/>
        <v>0.01</v>
      </c>
      <c r="K37" s="277"/>
      <c r="L37" s="284" t="str">
        <f t="shared" si="26"/>
        <v>Actual</v>
      </c>
      <c r="M37" s="287">
        <f ca="1">IFERROR(INDEX(INDIRECT(E37),0,MATCH(F37,MO_Common_ColumnHeader,0)),"N/A")</f>
        <v>-1.6454692556634308E-2</v>
      </c>
      <c r="N37" s="278"/>
      <c r="O37" s="296">
        <f t="shared" ca="1" si="27"/>
        <v>-2.645469255663431E-2</v>
      </c>
      <c r="P37" s="296">
        <f t="shared" ca="1" si="28"/>
        <v>-2.6454692556634312</v>
      </c>
      <c r="Q37" s="277"/>
      <c r="R37" s="288">
        <v>43858</v>
      </c>
      <c r="S37" s="422" t="s">
        <v>382</v>
      </c>
      <c r="T37" s="279"/>
    </row>
    <row r="38" spans="1:20" s="257" customFormat="1" x14ac:dyDescent="0.35">
      <c r="A38" s="267">
        <v>133</v>
      </c>
      <c r="B38" s="284" t="str">
        <f t="shared" si="24"/>
        <v>Historical</v>
      </c>
      <c r="C38" s="277"/>
      <c r="D38" s="295" t="str">
        <f ca="1">INDEX(INDIRECT(E38),0,COLUMN(MO_Common_Column_A))</f>
        <v>Total Acquisition impact on revenue, %</v>
      </c>
      <c r="E38" s="285" t="s">
        <v>600</v>
      </c>
      <c r="F38" s="284" t="s">
        <v>704</v>
      </c>
      <c r="G38" s="277"/>
      <c r="H38" s="286">
        <v>0.03</v>
      </c>
      <c r="I38" s="286">
        <v>0.03</v>
      </c>
      <c r="J38" s="286">
        <f t="shared" si="25"/>
        <v>0.03</v>
      </c>
      <c r="K38" s="277"/>
      <c r="L38" s="284" t="str">
        <f t="shared" si="26"/>
        <v>Actual</v>
      </c>
      <c r="M38" s="287">
        <f ca="1">IFERROR(INDEX(INDIRECT(E38),0,MATCH(F38,MO_Common_ColumnHeader,0)),"N/A")</f>
        <v>3.485860094597959E-2</v>
      </c>
      <c r="N38" s="278"/>
      <c r="O38" s="296">
        <f t="shared" ca="1" si="27"/>
        <v>4.8586009459795909E-3</v>
      </c>
      <c r="P38" s="296">
        <f t="shared" ca="1" si="28"/>
        <v>0.16195336486598638</v>
      </c>
      <c r="Q38" s="277"/>
      <c r="R38" s="288">
        <v>43858</v>
      </c>
      <c r="S38" s="422" t="s">
        <v>382</v>
      </c>
      <c r="T38" s="279"/>
    </row>
    <row r="39" spans="1:20" s="257" customFormat="1" x14ac:dyDescent="0.35">
      <c r="A39" s="267">
        <v>132</v>
      </c>
      <c r="B39" s="284" t="str">
        <f t="shared" si="24"/>
        <v>Historical</v>
      </c>
      <c r="C39" s="277"/>
      <c r="D39" s="295" t="str">
        <f ca="1">INDEX(INDIRECT(E39),0,COLUMN(MO_Common_Column_A))</f>
        <v>Total Translation impact on revenue, %</v>
      </c>
      <c r="E39" s="285" t="s">
        <v>601</v>
      </c>
      <c r="F39" s="284" t="s">
        <v>704</v>
      </c>
      <c r="G39" s="277"/>
      <c r="H39" s="286">
        <v>0</v>
      </c>
      <c r="I39" s="286">
        <v>0</v>
      </c>
      <c r="J39" s="286">
        <f t="shared" si="25"/>
        <v>0</v>
      </c>
      <c r="K39" s="277"/>
      <c r="L39" s="284" t="str">
        <f t="shared" si="26"/>
        <v>Actual</v>
      </c>
      <c r="M39" s="287">
        <f ca="1">IFERROR(INDEX(INDIRECT(E39),0,MATCH(F39,MO_Common_ColumnHeader,0)),"N/A")</f>
        <v>-3.1926499875528998E-3</v>
      </c>
      <c r="N39" s="278"/>
      <c r="O39" s="296">
        <f t="shared" ca="1" si="27"/>
        <v>-3.1926499875528998E-3</v>
      </c>
      <c r="P39" s="296" t="str">
        <f t="shared" ca="1" si="28"/>
        <v>N/A</v>
      </c>
      <c r="Q39" s="277"/>
      <c r="R39" s="288">
        <v>43858</v>
      </c>
      <c r="S39" s="422" t="s">
        <v>382</v>
      </c>
      <c r="T39" s="279"/>
    </row>
    <row r="40" spans="1:20" s="257" customFormat="1" x14ac:dyDescent="0.35">
      <c r="A40" s="267">
        <v>131</v>
      </c>
      <c r="B40" s="284" t="str">
        <f t="shared" si="24"/>
        <v>Historical</v>
      </c>
      <c r="C40" s="277"/>
      <c r="D40" s="295" t="s">
        <v>281</v>
      </c>
      <c r="E40" s="285"/>
      <c r="F40" s="284" t="s">
        <v>704</v>
      </c>
      <c r="G40" s="277"/>
      <c r="H40" s="286">
        <v>0.2</v>
      </c>
      <c r="I40" s="286">
        <v>0.21</v>
      </c>
      <c r="J40" s="286">
        <f t="shared" si="25"/>
        <v>0.20500000000000002</v>
      </c>
      <c r="K40" s="277"/>
      <c r="L40" s="284" t="str">
        <f t="shared" si="26"/>
        <v>Actual</v>
      </c>
      <c r="M40" s="287">
        <f>INDEX(MO_RIS_TaxRate_Current,0,MATCH(F40,MO_Common_ColumnHeader,0))+INDEX(MO_RIS_TaxRate_Deferred,0,MATCH(F40,MO_Common_ColumnHeader,0))</f>
        <v>0.196393980032782</v>
      </c>
      <c r="N40" s="200"/>
      <c r="O40" s="296">
        <f t="shared" si="27"/>
        <v>-8.6060199672180204E-3</v>
      </c>
      <c r="P40" s="296">
        <f t="shared" si="28"/>
        <v>-4.1980585205941563E-2</v>
      </c>
      <c r="Q40" s="277"/>
      <c r="R40" s="288">
        <v>43858</v>
      </c>
      <c r="S40" s="422" t="s">
        <v>382</v>
      </c>
      <c r="T40" s="279"/>
    </row>
    <row r="41" spans="1:20" s="257" customFormat="1" x14ac:dyDescent="0.35">
      <c r="A41" s="267">
        <v>130</v>
      </c>
      <c r="B41" s="284" t="str">
        <f t="shared" si="24"/>
        <v>Historical</v>
      </c>
      <c r="C41" s="277"/>
      <c r="D41" s="295" t="str">
        <f ca="1">INDEX(INDIRECT(E41),0,COLUMN(MO_Common_Column_A))</f>
        <v>Earnings Per Share - WAD</v>
      </c>
      <c r="E41" s="285" t="s">
        <v>279</v>
      </c>
      <c r="F41" s="284" t="s">
        <v>704</v>
      </c>
      <c r="G41" s="277"/>
      <c r="H41" s="291">
        <v>9.3000000000000007</v>
      </c>
      <c r="I41" s="291">
        <v>9.75</v>
      </c>
      <c r="J41" s="291">
        <f t="shared" si="25"/>
        <v>9.5250000000000004</v>
      </c>
      <c r="K41" s="277"/>
      <c r="L41" s="284" t="str">
        <f t="shared" si="26"/>
        <v>Actual</v>
      </c>
      <c r="M41" s="292">
        <f ca="1">IFERROR(INDEX(INDIRECT(E41),0,MATCH(F41,MO_Common_ColumnHeader,0)),"N/A")</f>
        <v>9.2476812092064584</v>
      </c>
      <c r="N41" s="278"/>
      <c r="O41" s="298">
        <f t="shared" ca="1" si="27"/>
        <v>-0.27731879079354194</v>
      </c>
      <c r="P41" s="296">
        <f t="shared" ca="1" si="28"/>
        <v>-2.9114833679112013E-2</v>
      </c>
      <c r="Q41" s="277"/>
      <c r="R41" s="288">
        <v>43858</v>
      </c>
      <c r="S41" s="422" t="s">
        <v>382</v>
      </c>
      <c r="T41" s="279"/>
    </row>
    <row r="42" spans="1:20" s="257" customFormat="1" x14ac:dyDescent="0.35">
      <c r="A42" s="267">
        <v>129</v>
      </c>
      <c r="B42" s="284" t="str">
        <f t="shared" si="24"/>
        <v>Historical</v>
      </c>
      <c r="C42" s="277"/>
      <c r="D42" s="295" t="str">
        <f ca="1">INDEX(INDIRECT(E42),0,COLUMN(MO_Common_Column_A))</f>
        <v>Adjusted Net Income</v>
      </c>
      <c r="E42" s="285" t="s">
        <v>283</v>
      </c>
      <c r="F42" s="284" t="s">
        <v>704</v>
      </c>
      <c r="G42" s="277"/>
      <c r="H42" s="289">
        <v>5800</v>
      </c>
      <c r="I42" s="289">
        <v>6100</v>
      </c>
      <c r="J42" s="289">
        <f t="shared" si="25"/>
        <v>5950</v>
      </c>
      <c r="K42" s="277"/>
      <c r="L42" s="284" t="str">
        <f t="shared" si="26"/>
        <v>Actual</v>
      </c>
      <c r="M42" s="290">
        <f ca="1">IFERROR(INDEX(INDIRECT(E42),0,MATCH(F42,MO_Common_ColumnHeader,0)),"N/A")</f>
        <v>5088</v>
      </c>
      <c r="N42" s="278"/>
      <c r="O42" s="297">
        <f t="shared" ca="1" si="27"/>
        <v>-862</v>
      </c>
      <c r="P42" s="296">
        <f t="shared" ca="1" si="28"/>
        <v>-0.14487394957983193</v>
      </c>
      <c r="Q42" s="277"/>
      <c r="R42" s="288">
        <v>43858</v>
      </c>
      <c r="S42" s="422" t="s">
        <v>382</v>
      </c>
      <c r="T42" s="279"/>
    </row>
    <row r="43" spans="1:20" s="257" customFormat="1" x14ac:dyDescent="0.35">
      <c r="A43" s="267">
        <v>128</v>
      </c>
      <c r="B43" s="284" t="str">
        <f t="shared" si="24"/>
        <v>Historical</v>
      </c>
      <c r="C43" s="277"/>
      <c r="D43" s="295" t="str">
        <f ca="1">INDEX(INDIRECT(E43),0,COLUMN(MO_Common_Column_A))</f>
        <v>Net CFO</v>
      </c>
      <c r="E43" s="285" t="s">
        <v>284</v>
      </c>
      <c r="F43" s="284" t="s">
        <v>704</v>
      </c>
      <c r="G43" s="277"/>
      <c r="H43" s="289">
        <v>6900</v>
      </c>
      <c r="I43" s="289">
        <v>7600</v>
      </c>
      <c r="J43" s="289">
        <f t="shared" si="25"/>
        <v>7250</v>
      </c>
      <c r="K43" s="277"/>
      <c r="L43" s="284" t="str">
        <f t="shared" si="26"/>
        <v>Actual</v>
      </c>
      <c r="M43" s="290">
        <f ca="1">IFERROR(INDEX(INDIRECT(E43),0,MATCH(F43,MO_Common_ColumnHeader,0)),"N/A")</f>
        <v>8113</v>
      </c>
      <c r="N43" s="278"/>
      <c r="O43" s="297">
        <f t="shared" ca="1" si="27"/>
        <v>863</v>
      </c>
      <c r="P43" s="296">
        <f t="shared" ca="1" si="28"/>
        <v>0.11903448275862069</v>
      </c>
      <c r="Q43" s="277"/>
      <c r="R43" s="288">
        <v>43858</v>
      </c>
      <c r="S43" s="422" t="s">
        <v>382</v>
      </c>
      <c r="T43" s="279"/>
    </row>
    <row r="44" spans="1:20" s="257" customFormat="1" x14ac:dyDescent="0.35">
      <c r="A44" s="267">
        <v>127</v>
      </c>
      <c r="B44" s="284" t="str">
        <f t="shared" si="24"/>
        <v>Historical</v>
      </c>
      <c r="C44" s="277"/>
      <c r="D44" s="295" t="str">
        <f ca="1">INDEX(INDIRECT(E44),0,COLUMN(MO_Common_Column_A))</f>
        <v>Capex</v>
      </c>
      <c r="E44" s="285" t="s">
        <v>285</v>
      </c>
      <c r="F44" s="284" t="s">
        <v>704</v>
      </c>
      <c r="G44" s="277"/>
      <c r="H44" s="289">
        <v>-1600</v>
      </c>
      <c r="I44" s="289">
        <v>-1800</v>
      </c>
      <c r="J44" s="289">
        <f t="shared" si="25"/>
        <v>-1700</v>
      </c>
      <c r="K44" s="277"/>
      <c r="L44" s="284" t="str">
        <f t="shared" si="26"/>
        <v>Actual</v>
      </c>
      <c r="M44" s="290">
        <f ca="1">IFERROR(INDEX(INDIRECT(E44),0,MATCH(F44,MO_Common_ColumnHeader,0)),"N/A")</f>
        <v>-1501</v>
      </c>
      <c r="N44" s="278"/>
      <c r="O44" s="297">
        <f t="shared" ca="1" si="27"/>
        <v>199</v>
      </c>
      <c r="P44" s="296">
        <f t="shared" ca="1" si="28"/>
        <v>0.11705882352941177</v>
      </c>
      <c r="Q44" s="277"/>
      <c r="R44" s="288">
        <v>43858</v>
      </c>
      <c r="S44" s="422" t="s">
        <v>382</v>
      </c>
      <c r="T44" s="279"/>
    </row>
    <row r="45" spans="1:20" s="257" customFormat="1" x14ac:dyDescent="0.35">
      <c r="A45" s="267">
        <v>126</v>
      </c>
      <c r="B45" s="284" t="str">
        <f t="shared" si="24"/>
        <v>Historical</v>
      </c>
      <c r="C45" s="277"/>
      <c r="D45" s="295" t="s">
        <v>286</v>
      </c>
      <c r="E45" s="285"/>
      <c r="F45" s="284" t="s">
        <v>704</v>
      </c>
      <c r="G45" s="277"/>
      <c r="H45" s="289">
        <v>5100</v>
      </c>
      <c r="I45" s="289">
        <v>6000</v>
      </c>
      <c r="J45" s="289">
        <f t="shared" si="25"/>
        <v>5550</v>
      </c>
      <c r="K45" s="277"/>
      <c r="L45" s="284" t="str">
        <f t="shared" si="26"/>
        <v>Actual</v>
      </c>
      <c r="M45" s="290">
        <f>INDEX(MO_CFS_CFO,0,MATCH(F45,MO_Common_ColumnHeader,0))+INDEX(MO_CFSum_Capex,0,MATCH(F45,MO_Common_ColumnHeader,0))</f>
        <v>6612</v>
      </c>
      <c r="N45" s="278"/>
      <c r="O45" s="297">
        <f t="shared" si="27"/>
        <v>1062</v>
      </c>
      <c r="P45" s="296">
        <f t="shared" si="28"/>
        <v>0.19135135135135134</v>
      </c>
      <c r="Q45" s="277"/>
      <c r="R45" s="288">
        <v>43858</v>
      </c>
      <c r="S45" s="422" t="s">
        <v>382</v>
      </c>
      <c r="T45" s="279"/>
    </row>
    <row r="46" spans="1:20" s="257" customFormat="1" x14ac:dyDescent="0.35">
      <c r="A46" s="267">
        <v>125</v>
      </c>
      <c r="B46" s="284" t="str">
        <f t="shared" si="24"/>
        <v>Historical</v>
      </c>
      <c r="C46" s="277"/>
      <c r="D46" s="295" t="s">
        <v>280</v>
      </c>
      <c r="E46" s="285"/>
      <c r="F46" s="284" t="s">
        <v>704</v>
      </c>
      <c r="G46" s="277"/>
      <c r="H46" s="286">
        <v>0.95</v>
      </c>
      <c r="I46" s="286">
        <v>1.05</v>
      </c>
      <c r="J46" s="286">
        <f t="shared" si="25"/>
        <v>1</v>
      </c>
      <c r="K46" s="277"/>
      <c r="L46" s="284" t="str">
        <f t="shared" si="26"/>
        <v>Actual</v>
      </c>
      <c r="M46" s="287">
        <f>M45/INDEX(MO_RIS_NI_GAAP_Basic,0,MATCH(F46,MO_Common_ColumnHeader,0))</f>
        <v>1.2280832095096583</v>
      </c>
      <c r="N46" s="278"/>
      <c r="O46" s="296">
        <f t="shared" si="27"/>
        <v>0.22808320950965832</v>
      </c>
      <c r="P46" s="296">
        <f t="shared" si="28"/>
        <v>0.22808320950965832</v>
      </c>
      <c r="Q46" s="277"/>
      <c r="R46" s="288">
        <v>43858</v>
      </c>
      <c r="S46" s="422" t="s">
        <v>382</v>
      </c>
      <c r="T46" s="279"/>
    </row>
    <row r="47" spans="1:20" s="257" customFormat="1" x14ac:dyDescent="0.35">
      <c r="A47" s="267">
        <v>124</v>
      </c>
      <c r="B47" s="277"/>
      <c r="C47" s="277"/>
      <c r="D47" s="274"/>
      <c r="E47" s="275"/>
      <c r="F47" s="277"/>
      <c r="G47" s="277"/>
      <c r="H47" s="277"/>
      <c r="I47" s="277"/>
      <c r="J47" s="277"/>
      <c r="K47" s="277"/>
      <c r="L47" s="277"/>
      <c r="M47" s="277"/>
      <c r="N47" s="277"/>
      <c r="O47" s="274"/>
      <c r="P47" s="299"/>
      <c r="Q47" s="277"/>
      <c r="R47" s="276"/>
      <c r="S47" s="300"/>
      <c r="T47" s="279"/>
    </row>
    <row r="48" spans="1:20" s="257" customFormat="1" x14ac:dyDescent="0.35">
      <c r="A48" s="267">
        <v>123</v>
      </c>
      <c r="B48" s="284" t="str">
        <f t="shared" ref="B48:B61" si="29">IF(MATCH(F48,MO_Common_ColumnHeader,0)&gt;UL.MRQColNum,"Forward","Historical")</f>
        <v>Historical</v>
      </c>
      <c r="C48" s="277"/>
      <c r="D48" s="295" t="str">
        <f ca="1">INDEX(INDIRECT(E48),0,COLUMN(MO_Common_Column_A))</f>
        <v>Total Organic local-currency revenue growth, %</v>
      </c>
      <c r="E48" s="285" t="s">
        <v>276</v>
      </c>
      <c r="F48" s="284" t="s">
        <v>277</v>
      </c>
      <c r="G48" s="277"/>
      <c r="H48" s="286">
        <v>-0.01</v>
      </c>
      <c r="I48" s="286">
        <v>-1.4999999999999999E-2</v>
      </c>
      <c r="J48" s="286">
        <f t="shared" ref="J48:J61" si="30">AVERAGE(H48:I48)</f>
        <v>-1.2500000000000001E-2</v>
      </c>
      <c r="K48" s="277"/>
      <c r="L48" s="284" t="str">
        <f t="shared" ref="L48:L61" si="31">IF(MATCH(F48,MO_Common_ColumnHeader,0)&gt;UL.MRQColNum,"Estimate","Actual")</f>
        <v>Actual</v>
      </c>
      <c r="M48" s="287">
        <f ca="1">IFERROR(INDEX(INDIRECT(E48),0,MATCH(F48,MO_Common_ColumnHeader,0)),"N/A")</f>
        <v>-1.4622737677399663E-2</v>
      </c>
      <c r="N48" s="278"/>
      <c r="O48" s="296">
        <f t="shared" ref="O48:O61" ca="1" si="32">IF(ISNUMBER(M48),M48-J48,"N/A")</f>
        <v>-2.1227376773996619E-3</v>
      </c>
      <c r="P48" s="296">
        <f t="shared" ref="P48:P61" ca="1" si="33">IFERROR(IF(ISNUMBER(M48),(M48-J48)/ABS(J48),"N/A"),"N/A")</f>
        <v>-0.16981901419197296</v>
      </c>
      <c r="Q48" s="277"/>
      <c r="R48" s="288">
        <v>43762</v>
      </c>
      <c r="S48" s="422" t="s">
        <v>382</v>
      </c>
      <c r="T48" s="279"/>
    </row>
    <row r="49" spans="1:20" s="257" customFormat="1" x14ac:dyDescent="0.35">
      <c r="A49" s="267">
        <v>122</v>
      </c>
      <c r="B49" s="284" t="str">
        <f t="shared" si="29"/>
        <v>Historical</v>
      </c>
      <c r="C49" s="277"/>
      <c r="D49" s="295" t="str">
        <f ca="1">INDEX(INDIRECT(E49),0,COLUMN(MO_Common_Column_A))</f>
        <v>Total Acquisition impact on revenue, %</v>
      </c>
      <c r="E49" s="285" t="s">
        <v>600</v>
      </c>
      <c r="F49" s="284" t="s">
        <v>277</v>
      </c>
      <c r="G49" s="277"/>
      <c r="H49" s="286">
        <v>0.01</v>
      </c>
      <c r="I49" s="286">
        <v>0.01</v>
      </c>
      <c r="J49" s="286">
        <f t="shared" si="30"/>
        <v>0.01</v>
      </c>
      <c r="K49" s="277"/>
      <c r="L49" s="284" t="str">
        <f t="shared" si="31"/>
        <v>Actual</v>
      </c>
      <c r="M49" s="287">
        <f ca="1">IFERROR(INDEX(INDIRECT(E49),0,MATCH(F49,MO_Common_ColumnHeader,0)),"N/A")</f>
        <v>1.9638821913627348E-2</v>
      </c>
      <c r="N49" s="278"/>
      <c r="O49" s="296">
        <f t="shared" ca="1" si="32"/>
        <v>9.6388219136273479E-3</v>
      </c>
      <c r="P49" s="296">
        <f t="shared" ca="1" si="33"/>
        <v>0.96388219136273479</v>
      </c>
      <c r="Q49" s="277"/>
      <c r="R49" s="288">
        <v>43762</v>
      </c>
      <c r="S49" s="422" t="s">
        <v>382</v>
      </c>
      <c r="T49" s="279"/>
    </row>
    <row r="50" spans="1:20" x14ac:dyDescent="0.35">
      <c r="A50" s="267">
        <v>121</v>
      </c>
      <c r="B50" s="284" t="str">
        <f t="shared" si="29"/>
        <v>Historical</v>
      </c>
      <c r="C50" s="277"/>
      <c r="D50" s="295" t="str">
        <f ca="1">INDEX(INDIRECT(E50),0,COLUMN(MO_Common_Column_A))</f>
        <v>Total Translation impact on revenue, %</v>
      </c>
      <c r="E50" s="285" t="s">
        <v>601</v>
      </c>
      <c r="F50" s="284" t="s">
        <v>277</v>
      </c>
      <c r="G50" s="277"/>
      <c r="H50" s="286">
        <v>-0.02</v>
      </c>
      <c r="I50" s="286">
        <v>-0.02</v>
      </c>
      <c r="J50" s="286">
        <f t="shared" si="30"/>
        <v>-0.02</v>
      </c>
      <c r="K50" s="277"/>
      <c r="L50" s="284" t="str">
        <f t="shared" si="31"/>
        <v>Actual</v>
      </c>
      <c r="M50" s="287">
        <f ca="1">IFERROR(INDEX(INDIRECT(E50),0,MATCH(F50,MO_Common_ColumnHeader,0)),"N/A")</f>
        <v>-1.7403570883564777E-2</v>
      </c>
      <c r="N50" s="278"/>
      <c r="O50" s="296">
        <f t="shared" ca="1" si="32"/>
        <v>2.5964291164352234E-3</v>
      </c>
      <c r="P50" s="296">
        <f t="shared" ca="1" si="33"/>
        <v>0.12982145582176116</v>
      </c>
      <c r="Q50" s="277"/>
      <c r="R50" s="288">
        <v>43762</v>
      </c>
      <c r="S50" s="422" t="s">
        <v>382</v>
      </c>
      <c r="T50" s="277"/>
    </row>
    <row r="51" spans="1:20" s="257" customFormat="1" x14ac:dyDescent="0.35">
      <c r="A51" s="267">
        <v>120</v>
      </c>
      <c r="B51" s="284" t="str">
        <f t="shared" si="29"/>
        <v>Historical</v>
      </c>
      <c r="C51" s="277"/>
      <c r="D51" s="295" t="str">
        <f ca="1">INDEX(INDIRECT(E51),0,COLUMN(MO_Common_Column_A))</f>
        <v>EBT</v>
      </c>
      <c r="E51" s="285" t="s">
        <v>288</v>
      </c>
      <c r="F51" s="284" t="s">
        <v>277</v>
      </c>
      <c r="G51" s="277"/>
      <c r="H51" s="289">
        <v>6000</v>
      </c>
      <c r="I51" s="289">
        <v>6100</v>
      </c>
      <c r="J51" s="289">
        <f t="shared" si="30"/>
        <v>6050</v>
      </c>
      <c r="K51" s="277"/>
      <c r="L51" s="284" t="str">
        <f t="shared" si="31"/>
        <v>Actual</v>
      </c>
      <c r="M51" s="290">
        <f ca="1">IFERROR(INDEX(INDIRECT(E51),0,MATCH(F51,MO_Common_ColumnHeader,0)),"N/A")</f>
        <v>5712</v>
      </c>
      <c r="N51" s="278"/>
      <c r="O51" s="297">
        <f t="shared" ca="1" si="32"/>
        <v>-338</v>
      </c>
      <c r="P51" s="296">
        <f t="shared" ca="1" si="33"/>
        <v>-5.586776859504132E-2</v>
      </c>
      <c r="Q51" s="277"/>
      <c r="R51" s="288">
        <v>43762</v>
      </c>
      <c r="S51" s="422" t="s">
        <v>382</v>
      </c>
      <c r="T51" s="279"/>
    </row>
    <row r="52" spans="1:20" s="257" customFormat="1" x14ac:dyDescent="0.35">
      <c r="A52" s="267">
        <v>119</v>
      </c>
      <c r="B52" s="284" t="str">
        <f t="shared" si="29"/>
        <v>Historical</v>
      </c>
      <c r="C52" s="277"/>
      <c r="D52" s="295" t="s">
        <v>289</v>
      </c>
      <c r="E52" s="285"/>
      <c r="F52" s="284" t="s">
        <v>277</v>
      </c>
      <c r="G52" s="277"/>
      <c r="H52" s="289">
        <v>1200</v>
      </c>
      <c r="I52" s="289">
        <v>1300</v>
      </c>
      <c r="J52" s="289">
        <f t="shared" si="30"/>
        <v>1250</v>
      </c>
      <c r="K52" s="277"/>
      <c r="L52" s="284" t="str">
        <f t="shared" si="31"/>
        <v>Actual</v>
      </c>
      <c r="M52" s="290">
        <f>INDEX(MO_RIS_Tax_Current,0,MATCH(F52,MO_Common_ColumnHeader,0))+INDEX(MO_RIS_Tax_Deferred,0,MATCH(F52,MO_Common_ColumnHeader,0))</f>
        <v>1130</v>
      </c>
      <c r="N52" s="278"/>
      <c r="O52" s="297">
        <f t="shared" si="32"/>
        <v>-120</v>
      </c>
      <c r="P52" s="296">
        <f t="shared" si="33"/>
        <v>-9.6000000000000002E-2</v>
      </c>
      <c r="Q52" s="277"/>
      <c r="R52" s="288">
        <v>43762</v>
      </c>
      <c r="S52" s="422" t="s">
        <v>382</v>
      </c>
      <c r="T52" s="279"/>
    </row>
    <row r="53" spans="1:20" x14ac:dyDescent="0.35">
      <c r="A53" s="267">
        <v>118</v>
      </c>
      <c r="B53" s="284" t="str">
        <f t="shared" si="29"/>
        <v>Historical</v>
      </c>
      <c r="C53" s="277"/>
      <c r="D53" s="295" t="s">
        <v>281</v>
      </c>
      <c r="E53" s="285"/>
      <c r="F53" s="284" t="s">
        <v>277</v>
      </c>
      <c r="G53" s="277"/>
      <c r="H53" s="286">
        <v>0.2</v>
      </c>
      <c r="I53" s="286">
        <v>0.21</v>
      </c>
      <c r="J53" s="286">
        <f t="shared" si="30"/>
        <v>0.20500000000000002</v>
      </c>
      <c r="K53" s="277"/>
      <c r="L53" s="284" t="str">
        <f t="shared" si="31"/>
        <v>Actual</v>
      </c>
      <c r="M53" s="287">
        <f>INDEX(MO_RIS_TaxRate_Current,0,MATCH(F53,MO_Common_ColumnHeader,0))+INDEX(MO_RIS_TaxRate_Deferred,0,MATCH(F53,MO_Common_ColumnHeader,0))</f>
        <v>0.19782913165266106</v>
      </c>
      <c r="N53" s="200"/>
      <c r="O53" s="296">
        <f t="shared" si="32"/>
        <v>-7.1708683473389601E-3</v>
      </c>
      <c r="P53" s="296">
        <f t="shared" si="33"/>
        <v>-3.4979845596775409E-2</v>
      </c>
      <c r="Q53" s="277"/>
      <c r="R53" s="288">
        <v>43762</v>
      </c>
      <c r="S53" s="422" t="s">
        <v>382</v>
      </c>
      <c r="T53" s="277"/>
    </row>
    <row r="54" spans="1:20" s="257" customFormat="1" x14ac:dyDescent="0.35">
      <c r="A54" s="267">
        <v>117</v>
      </c>
      <c r="B54" s="284" t="str">
        <f t="shared" si="29"/>
        <v>Historical</v>
      </c>
      <c r="C54" s="277"/>
      <c r="D54" s="295" t="str">
        <f t="shared" ref="D54:D59" ca="1" si="34">INDEX(INDIRECT(E54),0,COLUMN(MO_Common_Column_A))</f>
        <v>Net Income to Common Shareholders</v>
      </c>
      <c r="E54" s="285" t="s">
        <v>282</v>
      </c>
      <c r="F54" s="284" t="s">
        <v>277</v>
      </c>
      <c r="G54" s="277"/>
      <c r="H54" s="289">
        <v>4800</v>
      </c>
      <c r="I54" s="289">
        <v>4900</v>
      </c>
      <c r="J54" s="289">
        <f t="shared" si="30"/>
        <v>4850</v>
      </c>
      <c r="K54" s="277"/>
      <c r="L54" s="284" t="str">
        <f t="shared" si="31"/>
        <v>Actual</v>
      </c>
      <c r="M54" s="290">
        <f t="shared" ref="M54:M59" ca="1" si="35">IFERROR(INDEX(INDIRECT(E54),0,MATCH(F54,MO_Common_ColumnHeader,0)),"N/A")</f>
        <v>4570</v>
      </c>
      <c r="N54" s="278"/>
      <c r="O54" s="297">
        <f t="shared" ca="1" si="32"/>
        <v>-280</v>
      </c>
      <c r="P54" s="296">
        <f t="shared" ca="1" si="33"/>
        <v>-5.7731958762886601E-2</v>
      </c>
      <c r="Q54" s="277"/>
      <c r="R54" s="288">
        <v>43762</v>
      </c>
      <c r="S54" s="422" t="s">
        <v>382</v>
      </c>
      <c r="T54" s="279"/>
    </row>
    <row r="55" spans="1:20" s="257" customFormat="1" x14ac:dyDescent="0.35">
      <c r="A55" s="267">
        <v>116</v>
      </c>
      <c r="B55" s="284" t="str">
        <f t="shared" si="29"/>
        <v>Historical</v>
      </c>
      <c r="C55" s="277"/>
      <c r="D55" s="295" t="str">
        <f t="shared" ca="1" si="34"/>
        <v>Earnings Per Share - WAD</v>
      </c>
      <c r="E55" s="285" t="s">
        <v>279</v>
      </c>
      <c r="F55" s="284" t="s">
        <v>277</v>
      </c>
      <c r="G55" s="277"/>
      <c r="H55" s="291">
        <v>8.1999999999999993</v>
      </c>
      <c r="I55" s="291">
        <v>8.3000000000000007</v>
      </c>
      <c r="J55" s="291">
        <f t="shared" si="30"/>
        <v>8.25</v>
      </c>
      <c r="K55" s="277"/>
      <c r="L55" s="284" t="str">
        <f t="shared" si="31"/>
        <v>Actual</v>
      </c>
      <c r="M55" s="292">
        <f t="shared" ca="1" si="35"/>
        <v>7.8106306614253969</v>
      </c>
      <c r="N55" s="278"/>
      <c r="O55" s="298">
        <f t="shared" ca="1" si="32"/>
        <v>-0.43936933857460314</v>
      </c>
      <c r="P55" s="296">
        <f t="shared" ca="1" si="33"/>
        <v>-5.3256889524194322E-2</v>
      </c>
      <c r="Q55" s="277"/>
      <c r="R55" s="288">
        <v>43762</v>
      </c>
      <c r="S55" s="422" t="s">
        <v>382</v>
      </c>
      <c r="T55" s="279"/>
    </row>
    <row r="56" spans="1:20" s="257" customFormat="1" x14ac:dyDescent="0.35">
      <c r="A56" s="267">
        <v>115</v>
      </c>
      <c r="B56" s="284" t="str">
        <f t="shared" si="29"/>
        <v>Historical</v>
      </c>
      <c r="C56" s="277"/>
      <c r="D56" s="295" t="str">
        <f t="shared" ca="1" si="34"/>
        <v>Adjusted Net Income</v>
      </c>
      <c r="E56" s="285" t="s">
        <v>283</v>
      </c>
      <c r="F56" s="284" t="s">
        <v>277</v>
      </c>
      <c r="G56" s="277"/>
      <c r="H56" s="289">
        <v>5200</v>
      </c>
      <c r="I56" s="289">
        <v>5300</v>
      </c>
      <c r="J56" s="289">
        <f t="shared" si="30"/>
        <v>5250</v>
      </c>
      <c r="K56" s="277"/>
      <c r="L56" s="284" t="str">
        <f t="shared" si="31"/>
        <v>Actual</v>
      </c>
      <c r="M56" s="290">
        <f t="shared" ca="1" si="35"/>
        <v>5193</v>
      </c>
      <c r="N56" s="278"/>
      <c r="O56" s="297">
        <f t="shared" ca="1" si="32"/>
        <v>-57</v>
      </c>
      <c r="P56" s="296">
        <f t="shared" ca="1" si="33"/>
        <v>-1.0857142857142857E-2</v>
      </c>
      <c r="Q56" s="277"/>
      <c r="R56" s="288">
        <v>43762</v>
      </c>
      <c r="S56" s="422" t="s">
        <v>382</v>
      </c>
      <c r="T56" s="279"/>
    </row>
    <row r="57" spans="1:20" s="257" customFormat="1" x14ac:dyDescent="0.35">
      <c r="A57" s="267">
        <v>114</v>
      </c>
      <c r="B57" s="284" t="str">
        <f t="shared" si="29"/>
        <v>Historical</v>
      </c>
      <c r="C57" s="277"/>
      <c r="D57" s="295" t="str">
        <f t="shared" ca="1" si="34"/>
        <v>Adjusted Earnings Per Share - WAD</v>
      </c>
      <c r="E57" s="285" t="s">
        <v>290</v>
      </c>
      <c r="F57" s="284" t="s">
        <v>277</v>
      </c>
      <c r="G57" s="277"/>
      <c r="H57" s="291">
        <v>8.99</v>
      </c>
      <c r="I57" s="291">
        <v>9.09</v>
      </c>
      <c r="J57" s="291">
        <f t="shared" si="30"/>
        <v>9.0399999999999991</v>
      </c>
      <c r="K57" s="277"/>
      <c r="L57" s="284" t="str">
        <f t="shared" si="31"/>
        <v>Actual</v>
      </c>
      <c r="M57" s="292">
        <f t="shared" ca="1" si="35"/>
        <v>8.8754059135190566</v>
      </c>
      <c r="N57" s="278"/>
      <c r="O57" s="298">
        <f t="shared" ca="1" si="32"/>
        <v>-0.16459408648094254</v>
      </c>
      <c r="P57" s="296">
        <f t="shared" ca="1" si="33"/>
        <v>-1.8207310451431698E-2</v>
      </c>
      <c r="Q57" s="277"/>
      <c r="R57" s="288">
        <v>43762</v>
      </c>
      <c r="S57" s="422" t="s">
        <v>382</v>
      </c>
      <c r="T57" s="279"/>
    </row>
    <row r="58" spans="1:20" s="257" customFormat="1" x14ac:dyDescent="0.35">
      <c r="A58" s="267">
        <v>113</v>
      </c>
      <c r="B58" s="284" t="str">
        <f t="shared" si="29"/>
        <v>Historical</v>
      </c>
      <c r="C58" s="277"/>
      <c r="D58" s="295" t="str">
        <f t="shared" ca="1" si="34"/>
        <v>Net CFO</v>
      </c>
      <c r="E58" s="285" t="s">
        <v>284</v>
      </c>
      <c r="F58" s="284" t="s">
        <v>277</v>
      </c>
      <c r="G58" s="277"/>
      <c r="H58" s="289">
        <v>6700</v>
      </c>
      <c r="I58" s="289">
        <v>6900</v>
      </c>
      <c r="J58" s="289">
        <f t="shared" si="30"/>
        <v>6800</v>
      </c>
      <c r="K58" s="277"/>
      <c r="L58" s="284" t="str">
        <f t="shared" si="31"/>
        <v>Actual</v>
      </c>
      <c r="M58" s="290">
        <f t="shared" ca="1" si="35"/>
        <v>7070</v>
      </c>
      <c r="N58" s="278"/>
      <c r="O58" s="297">
        <f t="shared" ca="1" si="32"/>
        <v>270</v>
      </c>
      <c r="P58" s="296">
        <f t="shared" ca="1" si="33"/>
        <v>3.9705882352941174E-2</v>
      </c>
      <c r="Q58" s="277"/>
      <c r="R58" s="288">
        <v>43762</v>
      </c>
      <c r="S58" s="422" t="s">
        <v>382</v>
      </c>
      <c r="T58" s="279"/>
    </row>
    <row r="59" spans="1:20" s="257" customFormat="1" x14ac:dyDescent="0.35">
      <c r="A59" s="267">
        <v>112</v>
      </c>
      <c r="B59" s="284" t="str">
        <f t="shared" si="29"/>
        <v>Historical</v>
      </c>
      <c r="C59" s="277"/>
      <c r="D59" s="295" t="str">
        <f t="shared" ca="1" si="34"/>
        <v>Capex</v>
      </c>
      <c r="E59" s="285" t="s">
        <v>285</v>
      </c>
      <c r="F59" s="284" t="s">
        <v>277</v>
      </c>
      <c r="G59" s="277"/>
      <c r="H59" s="289">
        <v>-1600</v>
      </c>
      <c r="I59" s="289">
        <v>-1700</v>
      </c>
      <c r="J59" s="289">
        <f t="shared" si="30"/>
        <v>-1650</v>
      </c>
      <c r="K59" s="277"/>
      <c r="L59" s="284" t="str">
        <f t="shared" si="31"/>
        <v>Actual</v>
      </c>
      <c r="M59" s="290">
        <f t="shared" ca="1" si="35"/>
        <v>-1699</v>
      </c>
      <c r="N59" s="278"/>
      <c r="O59" s="297">
        <f t="shared" ca="1" si="32"/>
        <v>-49</v>
      </c>
      <c r="P59" s="296">
        <f t="shared" ca="1" si="33"/>
        <v>-2.9696969696969697E-2</v>
      </c>
      <c r="Q59" s="277"/>
      <c r="R59" s="288">
        <v>43762</v>
      </c>
      <c r="S59" s="422" t="s">
        <v>382</v>
      </c>
      <c r="T59" s="279"/>
    </row>
    <row r="60" spans="1:20" s="257" customFormat="1" x14ac:dyDescent="0.35">
      <c r="A60" s="267">
        <v>111</v>
      </c>
      <c r="B60" s="284" t="str">
        <f t="shared" si="29"/>
        <v>Historical</v>
      </c>
      <c r="C60" s="277"/>
      <c r="D60" s="295" t="s">
        <v>286</v>
      </c>
      <c r="E60" s="285"/>
      <c r="F60" s="284" t="s">
        <v>277</v>
      </c>
      <c r="G60" s="277"/>
      <c r="H60" s="289">
        <v>5000</v>
      </c>
      <c r="I60" s="289">
        <v>5300</v>
      </c>
      <c r="J60" s="289">
        <f t="shared" si="30"/>
        <v>5150</v>
      </c>
      <c r="K60" s="277"/>
      <c r="L60" s="284" t="str">
        <f t="shared" si="31"/>
        <v>Actual</v>
      </c>
      <c r="M60" s="290">
        <f>INDEX(MO_CFS_CFO,0,MATCH(F60,MO_Common_ColumnHeader,0))+INDEX(MO_CFSum_Capex,0,MATCH(F60,MO_Common_ColumnHeader,0))</f>
        <v>5371</v>
      </c>
      <c r="N60" s="278"/>
      <c r="O60" s="297">
        <f t="shared" si="32"/>
        <v>221</v>
      </c>
      <c r="P60" s="296">
        <f t="shared" si="33"/>
        <v>4.2912621359223302E-2</v>
      </c>
      <c r="Q60" s="277"/>
      <c r="R60" s="288">
        <v>43762</v>
      </c>
      <c r="S60" s="422" t="s">
        <v>382</v>
      </c>
      <c r="T60" s="279"/>
    </row>
    <row r="61" spans="1:20" s="257" customFormat="1" x14ac:dyDescent="0.35">
      <c r="A61" s="267">
        <v>110</v>
      </c>
      <c r="B61" s="284" t="str">
        <f t="shared" si="29"/>
        <v>Historical</v>
      </c>
      <c r="C61" s="277"/>
      <c r="D61" s="295" t="s">
        <v>280</v>
      </c>
      <c r="E61" s="285"/>
      <c r="F61" s="284" t="s">
        <v>277</v>
      </c>
      <c r="G61" s="277"/>
      <c r="H61" s="286">
        <v>1.05</v>
      </c>
      <c r="I61" s="286">
        <v>1.1000000000000001</v>
      </c>
      <c r="J61" s="286">
        <f t="shared" si="30"/>
        <v>1.0750000000000002</v>
      </c>
      <c r="K61" s="277"/>
      <c r="L61" s="284" t="str">
        <f t="shared" si="31"/>
        <v>Actual</v>
      </c>
      <c r="M61" s="287">
        <f ca="1">M60/M54</f>
        <v>1.1752735229759299</v>
      </c>
      <c r="N61" s="278"/>
      <c r="O61" s="296">
        <f t="shared" ca="1" si="32"/>
        <v>0.10027352297592973</v>
      </c>
      <c r="P61" s="296">
        <f t="shared" ca="1" si="33"/>
        <v>9.3277695791562518E-2</v>
      </c>
      <c r="Q61" s="277"/>
      <c r="R61" s="288">
        <v>43762</v>
      </c>
      <c r="S61" s="422" t="s">
        <v>382</v>
      </c>
      <c r="T61" s="279"/>
    </row>
    <row r="62" spans="1:20" s="257" customFormat="1" x14ac:dyDescent="0.35">
      <c r="A62" s="267">
        <v>109</v>
      </c>
      <c r="B62" s="277"/>
      <c r="C62" s="277"/>
      <c r="D62" s="274"/>
      <c r="E62" s="275"/>
      <c r="F62" s="277"/>
      <c r="G62" s="277"/>
      <c r="H62" s="277"/>
      <c r="I62" s="277"/>
      <c r="J62" s="277"/>
      <c r="K62" s="277"/>
      <c r="L62" s="277"/>
      <c r="M62" s="277"/>
      <c r="N62" s="277"/>
      <c r="O62" s="274"/>
      <c r="P62" s="299"/>
      <c r="Q62" s="277"/>
      <c r="R62" s="276"/>
      <c r="S62" s="300"/>
      <c r="T62" s="279"/>
    </row>
    <row r="63" spans="1:20" s="257" customFormat="1" x14ac:dyDescent="0.35">
      <c r="A63" s="267">
        <v>108</v>
      </c>
      <c r="B63" s="284" t="str">
        <f>IF(MATCH(F63,MO_Common_ColumnHeader,0)&gt;UL.MRQColNum,"Forward","Historical")</f>
        <v>Historical</v>
      </c>
      <c r="C63" s="277"/>
      <c r="D63" s="295" t="str">
        <f ca="1">INDEX(INDIRECT(E63),0,COLUMN(MO_Common_Column_A))</f>
        <v>Total Organic local-currency revenue growth, %</v>
      </c>
      <c r="E63" s="285" t="s">
        <v>276</v>
      </c>
      <c r="F63" s="284" t="s">
        <v>408</v>
      </c>
      <c r="G63" s="277"/>
      <c r="H63" s="286">
        <v>-0.03</v>
      </c>
      <c r="I63" s="286">
        <v>-0.01</v>
      </c>
      <c r="J63" s="286">
        <f>AVERAGE(H63:I63)</f>
        <v>-0.02</v>
      </c>
      <c r="K63" s="277"/>
      <c r="L63" s="284" t="str">
        <f>IF(MATCH(F63,MO_Common_ColumnHeader,0)&gt;UL.MRQColNum,"Estimate","Actual")</f>
        <v>Actual</v>
      </c>
      <c r="M63" s="287">
        <f ca="1">IFERROR(INDEX(INDIRECT(E63),0,MATCH(F63,MO_Common_ColumnHeader,0)),"N/A")</f>
        <v>-2.6000000000000002E-2</v>
      </c>
      <c r="N63" s="278"/>
      <c r="O63" s="296">
        <f ca="1">IF(ISNUMBER(M63),M63-J63,"N/A")</f>
        <v>-6.0000000000000019E-3</v>
      </c>
      <c r="P63" s="296">
        <f ca="1">IFERROR(IF(ISNUMBER(M63),(M63-J63)/ABS(J63),"N/A"),"N/A")</f>
        <v>-0.3000000000000001</v>
      </c>
      <c r="Q63" s="277"/>
      <c r="R63" s="288">
        <v>43762</v>
      </c>
      <c r="S63" s="422" t="s">
        <v>382</v>
      </c>
      <c r="T63" s="279"/>
    </row>
    <row r="64" spans="1:20" s="257" customFormat="1" x14ac:dyDescent="0.35">
      <c r="A64" s="267">
        <v>107</v>
      </c>
      <c r="B64" s="284" t="str">
        <f>IF(MATCH(F64,MO_Common_ColumnHeader,0)&gt;UL.MRQColNum,"Forward","Historical")</f>
        <v>Historical</v>
      </c>
      <c r="C64" s="277"/>
      <c r="D64" s="295" t="str">
        <f ca="1">INDEX(INDIRECT(E64),0,COLUMN(MO_Common_Column_A))</f>
        <v>Total Acquisition impact on revenue, %</v>
      </c>
      <c r="E64" s="285" t="s">
        <v>600</v>
      </c>
      <c r="F64" s="284" t="s">
        <v>408</v>
      </c>
      <c r="G64" s="277"/>
      <c r="H64" s="286">
        <v>0.05</v>
      </c>
      <c r="I64" s="286">
        <v>0.05</v>
      </c>
      <c r="J64" s="286">
        <f>AVERAGE(H64:I64)</f>
        <v>0.05</v>
      </c>
      <c r="K64" s="277"/>
      <c r="L64" s="284" t="str">
        <f>IF(MATCH(F64,MO_Common_ColumnHeader,0)&gt;UL.MRQColNum,"Estimate","Actual")</f>
        <v>Actual</v>
      </c>
      <c r="M64" s="287">
        <f ca="1">IFERROR(INDEX(INDIRECT(E64),0,MATCH(F64,MO_Common_ColumnHeader,0)),"N/A")</f>
        <v>5.6000000000000001E-2</v>
      </c>
      <c r="N64" s="278"/>
      <c r="O64" s="296">
        <f ca="1">IF(ISNUMBER(M64),M64-J64,"N/A")</f>
        <v>5.9999999999999984E-3</v>
      </c>
      <c r="P64" s="296">
        <f ca="1">IFERROR(IF(ISNUMBER(M64),(M64-J64)/ABS(J64),"N/A"),"N/A")</f>
        <v>0.11999999999999997</v>
      </c>
      <c r="Q64" s="277"/>
      <c r="R64" s="288">
        <v>43762</v>
      </c>
      <c r="S64" s="422" t="s">
        <v>382</v>
      </c>
      <c r="T64" s="279"/>
    </row>
    <row r="65" spans="1:20" s="257" customFormat="1" x14ac:dyDescent="0.35">
      <c r="A65" s="267">
        <v>106</v>
      </c>
      <c r="B65" s="284" t="str">
        <f>IF(MATCH(F65,MO_Common_ColumnHeader,0)&gt;UL.MRQColNum,"Forward","Historical")</f>
        <v>Historical</v>
      </c>
      <c r="C65" s="277"/>
      <c r="D65" s="295" t="str">
        <f ca="1">INDEX(INDIRECT(E65),0,COLUMN(MO_Common_Column_A))</f>
        <v>Total Translation impact on revenue, %</v>
      </c>
      <c r="E65" s="285" t="s">
        <v>601</v>
      </c>
      <c r="F65" s="284" t="s">
        <v>408</v>
      </c>
      <c r="G65" s="277"/>
      <c r="H65" s="286">
        <v>-0.01</v>
      </c>
      <c r="I65" s="286">
        <v>-0.01</v>
      </c>
      <c r="J65" s="286">
        <f>AVERAGE(H65:I65)</f>
        <v>-0.01</v>
      </c>
      <c r="K65" s="277"/>
      <c r="L65" s="284" t="str">
        <f>IF(MATCH(F65,MO_Common_ColumnHeader,0)&gt;UL.MRQColNum,"Estimate","Actual")</f>
        <v>Actual</v>
      </c>
      <c r="M65" s="287">
        <f ca="1">IFERROR(INDEX(INDIRECT(E65),0,MATCH(F65,MO_Common_ColumnHeader,0)),"N/A")</f>
        <v>-4.0000000000000001E-3</v>
      </c>
      <c r="N65" s="278"/>
      <c r="O65" s="296">
        <f ca="1">IF(ISNUMBER(M65),M65-J65,"N/A")</f>
        <v>6.0000000000000001E-3</v>
      </c>
      <c r="P65" s="296">
        <f ca="1">IFERROR(IF(ISNUMBER(M65),(M65-J65)/ABS(J65),"N/A"),"N/A")</f>
        <v>0.6</v>
      </c>
      <c r="Q65" s="277"/>
      <c r="R65" s="288">
        <v>43762</v>
      </c>
      <c r="S65" s="422" t="s">
        <v>382</v>
      </c>
      <c r="T65" s="279"/>
    </row>
    <row r="66" spans="1:20" x14ac:dyDescent="0.35">
      <c r="A66" s="267">
        <v>105</v>
      </c>
      <c r="B66" s="284" t="str">
        <f>IF(MATCH(F66,MO_Common_ColumnHeader,0)&gt;UL.MRQColNum,"Forward","Historical")</f>
        <v>Historical</v>
      </c>
      <c r="C66" s="277"/>
      <c r="D66" s="295" t="str">
        <f ca="1">INDEX(INDIRECT(E66),0,COLUMN(MO_Common_Column_A))</f>
        <v>Earnings Per Share - WAD</v>
      </c>
      <c r="E66" s="285" t="s">
        <v>279</v>
      </c>
      <c r="F66" s="284" t="s">
        <v>408</v>
      </c>
      <c r="G66" s="277"/>
      <c r="H66" s="291">
        <v>2.0499999999999998</v>
      </c>
      <c r="I66" s="291">
        <v>2.15</v>
      </c>
      <c r="J66" s="291">
        <f>AVERAGE(H66:I66)</f>
        <v>2.0999999999999996</v>
      </c>
      <c r="K66" s="277"/>
      <c r="L66" s="284" t="str">
        <f>IF(MATCH(F66,MO_Common_ColumnHeader,0)&gt;UL.MRQColNum,"Estimate","Actual")</f>
        <v>Actual</v>
      </c>
      <c r="M66" s="292">
        <f ca="1">IFERROR(INDEX(INDIRECT(E66),0,MATCH(F66,MO_Common_ColumnHeader,0)),"N/A")</f>
        <v>1.6629483439162518</v>
      </c>
      <c r="N66" s="278"/>
      <c r="O66" s="298">
        <f ca="1">IF(ISNUMBER(M66),M66-J66,"N/A")</f>
        <v>-0.43705165608374785</v>
      </c>
      <c r="P66" s="296">
        <f ca="1">IFERROR(IF(ISNUMBER(M66),(M66-J66)/ABS(J66),"N/A"),"N/A")</f>
        <v>-0.20811983623035615</v>
      </c>
      <c r="Q66" s="277"/>
      <c r="R66" s="288">
        <v>43762</v>
      </c>
      <c r="S66" s="422" t="s">
        <v>382</v>
      </c>
      <c r="T66" s="277"/>
    </row>
    <row r="67" spans="1:20" x14ac:dyDescent="0.35">
      <c r="A67" s="267">
        <v>104</v>
      </c>
      <c r="B67" s="277"/>
      <c r="C67" s="277"/>
      <c r="D67" s="274"/>
      <c r="E67" s="275"/>
      <c r="F67" s="277"/>
      <c r="G67" s="277"/>
      <c r="H67" s="277"/>
      <c r="I67" s="277"/>
      <c r="J67" s="277"/>
      <c r="K67" s="277"/>
      <c r="L67" s="277"/>
      <c r="M67" s="277"/>
      <c r="N67" s="277"/>
      <c r="O67" s="274"/>
      <c r="P67" s="299"/>
      <c r="Q67" s="277"/>
      <c r="R67" s="276"/>
      <c r="S67" s="300"/>
      <c r="T67" s="277"/>
    </row>
    <row r="68" spans="1:20" x14ac:dyDescent="0.35">
      <c r="A68" s="267">
        <v>103</v>
      </c>
      <c r="B68" s="284" t="str">
        <f t="shared" ref="B68:B82" si="36">IF(MATCH(F68,MO_Common_ColumnHeader,0)&gt;UL.MRQColNum,"Forward","Historical")</f>
        <v>Historical</v>
      </c>
      <c r="C68" s="277"/>
      <c r="D68" s="295" t="str">
        <f ca="1">INDEX(INDIRECT(E68),0,COLUMN(MO_Common_Column_A))</f>
        <v>Total Organic local-currency revenue growth, %</v>
      </c>
      <c r="E68" s="285" t="s">
        <v>276</v>
      </c>
      <c r="F68" s="284" t="s">
        <v>277</v>
      </c>
      <c r="G68" s="277"/>
      <c r="H68" s="286">
        <v>-0.01</v>
      </c>
      <c r="I68" s="286">
        <v>0.02</v>
      </c>
      <c r="J68" s="286">
        <f t="shared" ref="J68:J82" si="37">AVERAGE(H68:I68)</f>
        <v>4.9999999999999992E-3</v>
      </c>
      <c r="K68" s="277"/>
      <c r="L68" s="284" t="str">
        <f t="shared" ref="L68:L82" si="38">IF(MATCH(F68,MO_Common_ColumnHeader,0)&gt;UL.MRQColNum,"Estimate","Actual")</f>
        <v>Actual</v>
      </c>
      <c r="M68" s="287">
        <f ca="1">IFERROR(INDEX(INDIRECT(E68),0,MATCH(F68,MO_Common_ColumnHeader,0)),"N/A")</f>
        <v>-1.4622737677399663E-2</v>
      </c>
      <c r="N68" s="278"/>
      <c r="O68" s="296">
        <f t="shared" ref="O68:O82" ca="1" si="39">IF(ISNUMBER(M68),M68-J68,"N/A")</f>
        <v>-1.9622737677399662E-2</v>
      </c>
      <c r="P68" s="296">
        <f t="shared" ref="P68:P82" ca="1" si="40">IFERROR(IF(ISNUMBER(M68),(M68-J68)/ABS(J68),"N/A"),"N/A")</f>
        <v>-3.9245475354799328</v>
      </c>
      <c r="Q68" s="277"/>
      <c r="R68" s="288">
        <v>43671</v>
      </c>
      <c r="S68" s="422" t="s">
        <v>382</v>
      </c>
      <c r="T68" s="277"/>
    </row>
    <row r="69" spans="1:20" x14ac:dyDescent="0.35">
      <c r="A69" s="267">
        <v>102</v>
      </c>
      <c r="B69" s="284" t="str">
        <f t="shared" si="36"/>
        <v>Historical</v>
      </c>
      <c r="C69" s="277"/>
      <c r="D69" s="295" t="str">
        <f ca="1">INDEX(INDIRECT(E69),0,COLUMN(MO_Common_Column_A))</f>
        <v>Total Acquisition impact on revenue, %</v>
      </c>
      <c r="E69" s="285" t="s">
        <v>600</v>
      </c>
      <c r="F69" s="284" t="s">
        <v>277</v>
      </c>
      <c r="G69" s="277"/>
      <c r="H69" s="286">
        <v>0</v>
      </c>
      <c r="I69" s="286">
        <v>0</v>
      </c>
      <c r="J69" s="286">
        <f t="shared" si="37"/>
        <v>0</v>
      </c>
      <c r="K69" s="277"/>
      <c r="L69" s="284" t="str">
        <f t="shared" si="38"/>
        <v>Actual</v>
      </c>
      <c r="M69" s="287">
        <f ca="1">IFERROR(INDEX(INDIRECT(E69),0,MATCH(F69,MO_Common_ColumnHeader,0)),"N/A")</f>
        <v>1.9638821913627348E-2</v>
      </c>
      <c r="N69" s="278"/>
      <c r="O69" s="296">
        <f t="shared" ca="1" si="39"/>
        <v>1.9638821913627348E-2</v>
      </c>
      <c r="P69" s="296" t="str">
        <f t="shared" ca="1" si="40"/>
        <v>N/A</v>
      </c>
      <c r="Q69" s="277"/>
      <c r="R69" s="288">
        <v>43671</v>
      </c>
      <c r="S69" s="422" t="s">
        <v>382</v>
      </c>
      <c r="T69" s="277"/>
    </row>
    <row r="70" spans="1:20" x14ac:dyDescent="0.35">
      <c r="A70" s="267">
        <v>101</v>
      </c>
      <c r="B70" s="284" t="str">
        <f t="shared" si="36"/>
        <v>Historical</v>
      </c>
      <c r="C70" s="277"/>
      <c r="D70" s="295" t="str">
        <f ca="1">INDEX(INDIRECT(E70),0,COLUMN(MO_Common_Column_A))</f>
        <v>Total Translation impact on revenue, %</v>
      </c>
      <c r="E70" s="285" t="s">
        <v>601</v>
      </c>
      <c r="F70" s="284" t="s">
        <v>277</v>
      </c>
      <c r="G70" s="277"/>
      <c r="H70" s="286">
        <v>-0.01</v>
      </c>
      <c r="I70" s="286">
        <v>-0.01</v>
      </c>
      <c r="J70" s="286">
        <f t="shared" si="37"/>
        <v>-0.01</v>
      </c>
      <c r="K70" s="277"/>
      <c r="L70" s="284" t="str">
        <f t="shared" si="38"/>
        <v>Actual</v>
      </c>
      <c r="M70" s="287">
        <f ca="1">IFERROR(INDEX(INDIRECT(E70),0,MATCH(F70,MO_Common_ColumnHeader,0)),"N/A")</f>
        <v>-1.7403570883564777E-2</v>
      </c>
      <c r="N70" s="278"/>
      <c r="O70" s="296">
        <f t="shared" ca="1" si="39"/>
        <v>-7.4035708835647768E-3</v>
      </c>
      <c r="P70" s="296">
        <f t="shared" ca="1" si="40"/>
        <v>-0.74035708835647762</v>
      </c>
      <c r="Q70" s="277"/>
      <c r="R70" s="288">
        <v>43671</v>
      </c>
      <c r="S70" s="422" t="s">
        <v>382</v>
      </c>
      <c r="T70" s="277"/>
    </row>
    <row r="71" spans="1:20" s="257" customFormat="1" x14ac:dyDescent="0.35">
      <c r="A71" s="267">
        <v>100</v>
      </c>
      <c r="B71" s="284" t="str">
        <f t="shared" si="36"/>
        <v>Historical</v>
      </c>
      <c r="C71" s="277"/>
      <c r="D71" s="295" t="str">
        <f ca="1">INDEX(INDIRECT(E71),0,COLUMN(MO_Common_Column_A))</f>
        <v>Purchases of treasury stock</v>
      </c>
      <c r="E71" s="285" t="s">
        <v>701</v>
      </c>
      <c r="F71" s="284" t="s">
        <v>277</v>
      </c>
      <c r="G71" s="277"/>
      <c r="H71" s="289">
        <v>-1000</v>
      </c>
      <c r="I71" s="289">
        <v>-1500</v>
      </c>
      <c r="J71" s="289">
        <f t="shared" si="37"/>
        <v>-1250</v>
      </c>
      <c r="K71" s="277"/>
      <c r="L71" s="284" t="str">
        <f t="shared" si="38"/>
        <v>Actual</v>
      </c>
      <c r="M71" s="290">
        <f ca="1">IFERROR(INDEX(INDIRECT(E71),0,MATCH(F71,MO_Common_ColumnHeader,0)),"N/A")</f>
        <v>-1407</v>
      </c>
      <c r="N71" s="278"/>
      <c r="O71" s="297">
        <f t="shared" ca="1" si="39"/>
        <v>-157</v>
      </c>
      <c r="P71" s="296">
        <f t="shared" ca="1" si="40"/>
        <v>-0.12559999999999999</v>
      </c>
      <c r="Q71" s="277"/>
      <c r="R71" s="288">
        <v>43671</v>
      </c>
      <c r="S71" s="422" t="s">
        <v>382</v>
      </c>
      <c r="T71" s="279"/>
    </row>
    <row r="72" spans="1:20" s="257" customFormat="1" x14ac:dyDescent="0.35">
      <c r="A72" s="267">
        <v>99</v>
      </c>
      <c r="B72" s="284" t="str">
        <f t="shared" si="36"/>
        <v>Historical</v>
      </c>
      <c r="C72" s="277"/>
      <c r="D72" s="295" t="str">
        <f ca="1">INDEX(INDIRECT(E72),0,COLUMN(MO_Common_Column_A))</f>
        <v>EBT</v>
      </c>
      <c r="E72" s="285" t="s">
        <v>288</v>
      </c>
      <c r="F72" s="284" t="s">
        <v>277</v>
      </c>
      <c r="G72" s="277"/>
      <c r="H72" s="289">
        <v>6200</v>
      </c>
      <c r="I72" s="289">
        <v>6400</v>
      </c>
      <c r="J72" s="289">
        <f t="shared" si="37"/>
        <v>6300</v>
      </c>
      <c r="K72" s="277"/>
      <c r="L72" s="284" t="str">
        <f t="shared" si="38"/>
        <v>Actual</v>
      </c>
      <c r="M72" s="290">
        <f ca="1">IFERROR(INDEX(INDIRECT(E72),0,MATCH(F72,MO_Common_ColumnHeader,0)),"N/A")</f>
        <v>5712</v>
      </c>
      <c r="N72" s="278"/>
      <c r="O72" s="297">
        <f t="shared" ca="1" si="39"/>
        <v>-588</v>
      </c>
      <c r="P72" s="296">
        <f t="shared" ca="1" si="40"/>
        <v>-9.3333333333333338E-2</v>
      </c>
      <c r="Q72" s="277"/>
      <c r="R72" s="288">
        <v>43671</v>
      </c>
      <c r="S72" s="422" t="s">
        <v>382</v>
      </c>
      <c r="T72" s="279"/>
    </row>
    <row r="73" spans="1:20" x14ac:dyDescent="0.35">
      <c r="A73" s="267">
        <v>98</v>
      </c>
      <c r="B73" s="284" t="str">
        <f t="shared" si="36"/>
        <v>Historical</v>
      </c>
      <c r="C73" s="277"/>
      <c r="D73" s="295" t="s">
        <v>289</v>
      </c>
      <c r="E73" s="285"/>
      <c r="F73" s="284" t="s">
        <v>277</v>
      </c>
      <c r="G73" s="277"/>
      <c r="H73" s="289">
        <v>1300</v>
      </c>
      <c r="I73" s="289">
        <v>1400</v>
      </c>
      <c r="J73" s="289">
        <f t="shared" si="37"/>
        <v>1350</v>
      </c>
      <c r="K73" s="277"/>
      <c r="L73" s="284" t="str">
        <f t="shared" si="38"/>
        <v>Actual</v>
      </c>
      <c r="M73" s="290">
        <f>INDEX(MO_RIS_Tax_Current,0,MATCH(F73,MO_Common_ColumnHeader,0))+INDEX(MO_RIS_Tax_Deferred,0,MATCH(F73,MO_Common_ColumnHeader,0))</f>
        <v>1130</v>
      </c>
      <c r="N73" s="278"/>
      <c r="O73" s="297">
        <f t="shared" si="39"/>
        <v>-220</v>
      </c>
      <c r="P73" s="296">
        <f t="shared" si="40"/>
        <v>-0.16296296296296298</v>
      </c>
      <c r="Q73" s="277"/>
      <c r="R73" s="288">
        <v>43671</v>
      </c>
      <c r="S73" s="422" t="s">
        <v>382</v>
      </c>
      <c r="T73" s="277"/>
    </row>
    <row r="74" spans="1:20" s="257" customFormat="1" x14ac:dyDescent="0.35">
      <c r="A74" s="267">
        <v>97</v>
      </c>
      <c r="B74" s="284" t="str">
        <f t="shared" si="36"/>
        <v>Historical</v>
      </c>
      <c r="C74" s="277"/>
      <c r="D74" s="295" t="s">
        <v>281</v>
      </c>
      <c r="E74" s="285"/>
      <c r="F74" s="284" t="s">
        <v>277</v>
      </c>
      <c r="G74" s="277"/>
      <c r="H74" s="286">
        <v>0.2</v>
      </c>
      <c r="I74" s="286">
        <v>0.22</v>
      </c>
      <c r="J74" s="286">
        <f t="shared" si="37"/>
        <v>0.21000000000000002</v>
      </c>
      <c r="K74" s="277"/>
      <c r="L74" s="284" t="str">
        <f t="shared" si="38"/>
        <v>Actual</v>
      </c>
      <c r="M74" s="287">
        <f>INDEX(MO_RIS_TaxRate_Current,0,MATCH(F74,MO_Common_ColumnHeader,0))+INDEX(MO_RIS_TaxRate_Deferred,0,MATCH(F74,MO_Common_ColumnHeader,0))</f>
        <v>0.19782913165266106</v>
      </c>
      <c r="N74" s="200"/>
      <c r="O74" s="296">
        <f t="shared" si="39"/>
        <v>-1.2170868347338964E-2</v>
      </c>
      <c r="P74" s="296">
        <f t="shared" si="40"/>
        <v>-5.7956515939709352E-2</v>
      </c>
      <c r="Q74" s="277"/>
      <c r="R74" s="288">
        <v>43671</v>
      </c>
      <c r="S74" s="422" t="s">
        <v>382</v>
      </c>
      <c r="T74" s="279"/>
    </row>
    <row r="75" spans="1:20" s="257" customFormat="1" x14ac:dyDescent="0.35">
      <c r="A75" s="267">
        <v>96</v>
      </c>
      <c r="B75" s="284" t="str">
        <f t="shared" si="36"/>
        <v>Historical</v>
      </c>
      <c r="C75" s="277"/>
      <c r="D75" s="295" t="str">
        <f t="shared" ref="D75:D80" ca="1" si="41">INDEX(INDIRECT(E75),0,COLUMN(MO_Common_Column_A))</f>
        <v>Net Income to Common Shareholders</v>
      </c>
      <c r="E75" s="285" t="s">
        <v>282</v>
      </c>
      <c r="F75" s="284" t="s">
        <v>277</v>
      </c>
      <c r="G75" s="277"/>
      <c r="H75" s="289">
        <v>4800</v>
      </c>
      <c r="I75" s="289">
        <v>5100</v>
      </c>
      <c r="J75" s="289">
        <f t="shared" si="37"/>
        <v>4950</v>
      </c>
      <c r="K75" s="277"/>
      <c r="L75" s="284" t="str">
        <f t="shared" si="38"/>
        <v>Actual</v>
      </c>
      <c r="M75" s="290">
        <f t="shared" ref="M75:M80" ca="1" si="42">IFERROR(INDEX(INDIRECT(E75),0,MATCH(F75,MO_Common_ColumnHeader,0)),"N/A")</f>
        <v>4570</v>
      </c>
      <c r="N75" s="278"/>
      <c r="O75" s="297">
        <f t="shared" ca="1" si="39"/>
        <v>-380</v>
      </c>
      <c r="P75" s="296">
        <f t="shared" ca="1" si="40"/>
        <v>-7.6767676767676762E-2</v>
      </c>
      <c r="Q75" s="277"/>
      <c r="R75" s="288">
        <v>43671</v>
      </c>
      <c r="S75" s="422" t="s">
        <v>382</v>
      </c>
      <c r="T75" s="279"/>
    </row>
    <row r="76" spans="1:20" s="257" customFormat="1" x14ac:dyDescent="0.35">
      <c r="A76" s="267">
        <v>95</v>
      </c>
      <c r="B76" s="284" t="str">
        <f t="shared" si="36"/>
        <v>Historical</v>
      </c>
      <c r="C76" s="277"/>
      <c r="D76" s="295" t="str">
        <f t="shared" ca="1" si="41"/>
        <v>Earnings Per Share - WAD</v>
      </c>
      <c r="E76" s="285" t="s">
        <v>279</v>
      </c>
      <c r="F76" s="284" t="s">
        <v>277</v>
      </c>
      <c r="G76" s="277"/>
      <c r="H76" s="291">
        <v>8.25</v>
      </c>
      <c r="I76" s="291">
        <v>8.75</v>
      </c>
      <c r="J76" s="291">
        <f t="shared" si="37"/>
        <v>8.5</v>
      </c>
      <c r="K76" s="277"/>
      <c r="L76" s="284" t="str">
        <f t="shared" si="38"/>
        <v>Actual</v>
      </c>
      <c r="M76" s="292">
        <f t="shared" ca="1" si="42"/>
        <v>7.8106306614253969</v>
      </c>
      <c r="N76" s="278"/>
      <c r="O76" s="298">
        <f t="shared" ca="1" si="39"/>
        <v>-0.68936933857460314</v>
      </c>
      <c r="P76" s="296">
        <f t="shared" ca="1" si="40"/>
        <v>-8.1102275126423901E-2</v>
      </c>
      <c r="Q76" s="277"/>
      <c r="R76" s="288">
        <v>43671</v>
      </c>
      <c r="S76" s="422" t="s">
        <v>382</v>
      </c>
      <c r="T76" s="279"/>
    </row>
    <row r="77" spans="1:20" s="257" customFormat="1" x14ac:dyDescent="0.35">
      <c r="A77" s="267">
        <v>94</v>
      </c>
      <c r="B77" s="284" t="str">
        <f t="shared" si="36"/>
        <v>Historical</v>
      </c>
      <c r="C77" s="277"/>
      <c r="D77" s="295" t="str">
        <f t="shared" ca="1" si="41"/>
        <v>Adjusted Net Income</v>
      </c>
      <c r="E77" s="285" t="s">
        <v>283</v>
      </c>
      <c r="F77" s="284" t="s">
        <v>277</v>
      </c>
      <c r="G77" s="277"/>
      <c r="H77" s="289">
        <v>5400</v>
      </c>
      <c r="I77" s="289">
        <v>5700</v>
      </c>
      <c r="J77" s="289">
        <f t="shared" si="37"/>
        <v>5550</v>
      </c>
      <c r="K77" s="277"/>
      <c r="L77" s="284" t="str">
        <f t="shared" si="38"/>
        <v>Actual</v>
      </c>
      <c r="M77" s="290">
        <f t="shared" ca="1" si="42"/>
        <v>5193</v>
      </c>
      <c r="N77" s="278"/>
      <c r="O77" s="297">
        <f t="shared" ca="1" si="39"/>
        <v>-357</v>
      </c>
      <c r="P77" s="296">
        <f t="shared" ca="1" si="40"/>
        <v>-6.432432432432432E-2</v>
      </c>
      <c r="Q77" s="277"/>
      <c r="R77" s="288">
        <v>43671</v>
      </c>
      <c r="S77" s="422" t="s">
        <v>382</v>
      </c>
      <c r="T77" s="279"/>
    </row>
    <row r="78" spans="1:20" s="257" customFormat="1" x14ac:dyDescent="0.35">
      <c r="A78" s="267">
        <v>93</v>
      </c>
      <c r="B78" s="284" t="str">
        <f t="shared" si="36"/>
        <v>Historical</v>
      </c>
      <c r="C78" s="277"/>
      <c r="D78" s="295" t="str">
        <f t="shared" ca="1" si="41"/>
        <v>Adjusted Earnings Per Share - WAD</v>
      </c>
      <c r="E78" s="285" t="s">
        <v>290</v>
      </c>
      <c r="F78" s="284" t="s">
        <v>277</v>
      </c>
      <c r="G78" s="277"/>
      <c r="H78" s="291">
        <v>9.25</v>
      </c>
      <c r="I78" s="291">
        <v>9.75</v>
      </c>
      <c r="J78" s="291">
        <f t="shared" si="37"/>
        <v>9.5</v>
      </c>
      <c r="K78" s="277"/>
      <c r="L78" s="284" t="str">
        <f t="shared" si="38"/>
        <v>Actual</v>
      </c>
      <c r="M78" s="292">
        <f t="shared" ca="1" si="42"/>
        <v>8.8754059135190566</v>
      </c>
      <c r="N78" s="278"/>
      <c r="O78" s="298">
        <f t="shared" ca="1" si="39"/>
        <v>-0.62459408648094339</v>
      </c>
      <c r="P78" s="296">
        <f t="shared" ca="1" si="40"/>
        <v>-6.5746745945362464E-2</v>
      </c>
      <c r="Q78" s="277"/>
      <c r="R78" s="288">
        <v>43671</v>
      </c>
      <c r="S78" s="422" t="s">
        <v>382</v>
      </c>
      <c r="T78" s="279"/>
    </row>
    <row r="79" spans="1:20" s="257" customFormat="1" x14ac:dyDescent="0.35">
      <c r="A79" s="267">
        <v>92</v>
      </c>
      <c r="B79" s="284" t="str">
        <f t="shared" si="36"/>
        <v>Historical</v>
      </c>
      <c r="C79" s="277"/>
      <c r="D79" s="295" t="str">
        <f t="shared" ca="1" si="41"/>
        <v>Net CFO</v>
      </c>
      <c r="E79" s="285" t="s">
        <v>284</v>
      </c>
      <c r="F79" s="284" t="s">
        <v>277</v>
      </c>
      <c r="G79" s="277"/>
      <c r="H79" s="289">
        <v>6300</v>
      </c>
      <c r="I79" s="289">
        <v>7000</v>
      </c>
      <c r="J79" s="289">
        <f t="shared" si="37"/>
        <v>6650</v>
      </c>
      <c r="K79" s="277"/>
      <c r="L79" s="284" t="str">
        <f t="shared" si="38"/>
        <v>Actual</v>
      </c>
      <c r="M79" s="290">
        <f t="shared" ca="1" si="42"/>
        <v>7070</v>
      </c>
      <c r="N79" s="278"/>
      <c r="O79" s="297">
        <f t="shared" ca="1" si="39"/>
        <v>420</v>
      </c>
      <c r="P79" s="296">
        <f t="shared" ca="1" si="40"/>
        <v>6.3157894736842107E-2</v>
      </c>
      <c r="Q79" s="277"/>
      <c r="R79" s="288">
        <v>43671</v>
      </c>
      <c r="S79" s="422" t="s">
        <v>382</v>
      </c>
      <c r="T79" s="279"/>
    </row>
    <row r="80" spans="1:20" s="257" customFormat="1" x14ac:dyDescent="0.35">
      <c r="A80" s="267">
        <v>91</v>
      </c>
      <c r="B80" s="284" t="str">
        <f t="shared" si="36"/>
        <v>Historical</v>
      </c>
      <c r="C80" s="277"/>
      <c r="D80" s="295" t="str">
        <f t="shared" ca="1" si="41"/>
        <v>Capex</v>
      </c>
      <c r="E80" s="285" t="s">
        <v>285</v>
      </c>
      <c r="F80" s="284" t="s">
        <v>277</v>
      </c>
      <c r="G80" s="277"/>
      <c r="H80" s="289">
        <v>-1600</v>
      </c>
      <c r="I80" s="289">
        <v>-1700</v>
      </c>
      <c r="J80" s="289">
        <f t="shared" si="37"/>
        <v>-1650</v>
      </c>
      <c r="K80" s="277"/>
      <c r="L80" s="284" t="str">
        <f t="shared" si="38"/>
        <v>Actual</v>
      </c>
      <c r="M80" s="290">
        <f t="shared" ca="1" si="42"/>
        <v>-1699</v>
      </c>
      <c r="N80" s="278"/>
      <c r="O80" s="297">
        <f t="shared" ca="1" si="39"/>
        <v>-49</v>
      </c>
      <c r="P80" s="296">
        <f t="shared" ca="1" si="40"/>
        <v>-2.9696969696969697E-2</v>
      </c>
      <c r="Q80" s="277"/>
      <c r="R80" s="288">
        <v>43671</v>
      </c>
      <c r="S80" s="422" t="s">
        <v>382</v>
      </c>
      <c r="T80" s="279"/>
    </row>
    <row r="81" spans="1:20" s="257" customFormat="1" x14ac:dyDescent="0.35">
      <c r="A81" s="267">
        <v>90</v>
      </c>
      <c r="B81" s="284" t="str">
        <f t="shared" si="36"/>
        <v>Historical</v>
      </c>
      <c r="C81" s="277"/>
      <c r="D81" s="295" t="s">
        <v>286</v>
      </c>
      <c r="E81" s="285"/>
      <c r="F81" s="284" t="s">
        <v>277</v>
      </c>
      <c r="G81" s="277"/>
      <c r="H81" s="289">
        <v>4600</v>
      </c>
      <c r="I81" s="289">
        <v>5400</v>
      </c>
      <c r="J81" s="289">
        <f t="shared" si="37"/>
        <v>5000</v>
      </c>
      <c r="K81" s="277"/>
      <c r="L81" s="284" t="str">
        <f t="shared" si="38"/>
        <v>Actual</v>
      </c>
      <c r="M81" s="290">
        <f>INDEX(MO_CFS_CFO,0,MATCH(F81,MO_Common_ColumnHeader,0))+INDEX(MO_CFSum_Capex,0,MATCH(F81,MO_Common_ColumnHeader,0))</f>
        <v>5371</v>
      </c>
      <c r="N81" s="278"/>
      <c r="O81" s="297">
        <f t="shared" si="39"/>
        <v>371</v>
      </c>
      <c r="P81" s="296">
        <f t="shared" si="40"/>
        <v>7.4200000000000002E-2</v>
      </c>
      <c r="Q81" s="277"/>
      <c r="R81" s="288">
        <v>43671</v>
      </c>
      <c r="S81" s="422" t="s">
        <v>382</v>
      </c>
      <c r="T81" s="279"/>
    </row>
    <row r="82" spans="1:20" s="257" customFormat="1" x14ac:dyDescent="0.35">
      <c r="A82" s="267">
        <v>89</v>
      </c>
      <c r="B82" s="284" t="str">
        <f t="shared" si="36"/>
        <v>Historical</v>
      </c>
      <c r="C82" s="277"/>
      <c r="D82" s="295" t="s">
        <v>280</v>
      </c>
      <c r="E82" s="285"/>
      <c r="F82" s="284" t="s">
        <v>277</v>
      </c>
      <c r="G82" s="277"/>
      <c r="H82" s="286">
        <v>0.95</v>
      </c>
      <c r="I82" s="286">
        <v>1.05</v>
      </c>
      <c r="J82" s="286">
        <f t="shared" si="37"/>
        <v>1</v>
      </c>
      <c r="K82" s="277"/>
      <c r="L82" s="284" t="str">
        <f t="shared" si="38"/>
        <v>Actual</v>
      </c>
      <c r="M82" s="287">
        <f ca="1">M81/M75</f>
        <v>1.1752735229759299</v>
      </c>
      <c r="N82" s="278"/>
      <c r="O82" s="296">
        <f t="shared" ca="1" si="39"/>
        <v>0.17527352297592991</v>
      </c>
      <c r="P82" s="296">
        <f t="shared" ca="1" si="40"/>
        <v>0.17527352297592991</v>
      </c>
      <c r="Q82" s="277"/>
      <c r="R82" s="288">
        <v>43671</v>
      </c>
      <c r="S82" s="422" t="s">
        <v>382</v>
      </c>
      <c r="T82" s="279"/>
    </row>
    <row r="83" spans="1:20" s="257" customFormat="1" x14ac:dyDescent="0.35">
      <c r="A83" s="267">
        <v>88</v>
      </c>
      <c r="B83" s="277"/>
      <c r="C83" s="277"/>
      <c r="D83" s="274"/>
      <c r="E83" s="275"/>
      <c r="F83" s="277"/>
      <c r="G83" s="277"/>
      <c r="H83" s="277"/>
      <c r="I83" s="277"/>
      <c r="J83" s="277"/>
      <c r="K83" s="277"/>
      <c r="L83" s="277"/>
      <c r="M83" s="277"/>
      <c r="N83" s="277"/>
      <c r="O83" s="274"/>
      <c r="P83" s="299"/>
      <c r="Q83" s="277"/>
      <c r="R83" s="276"/>
      <c r="S83" s="300"/>
      <c r="T83" s="279"/>
    </row>
    <row r="84" spans="1:20" s="257" customFormat="1" x14ac:dyDescent="0.35">
      <c r="A84" s="267">
        <v>87</v>
      </c>
      <c r="B84" s="284" t="str">
        <f t="shared" ref="B84:B102" si="43">IF(MATCH(F84,MO_Common_ColumnHeader,0)&gt;UL.MRQColNum,"Forward","Historical")</f>
        <v>Historical</v>
      </c>
      <c r="C84" s="277"/>
      <c r="D84" s="295" t="str">
        <f t="shared" ref="D84:D92" ca="1" si="44">INDEX(INDIRECT(E84),0,COLUMN(MO_Common_Column_A))</f>
        <v>Health Care Organic Local-Currency Sales Growth, %</v>
      </c>
      <c r="E84" s="285" t="s">
        <v>604</v>
      </c>
      <c r="F84" s="284" t="s">
        <v>277</v>
      </c>
      <c r="G84" s="277"/>
      <c r="H84" s="286">
        <v>0.02</v>
      </c>
      <c r="I84" s="286">
        <v>0.04</v>
      </c>
      <c r="J84" s="286">
        <f t="shared" ref="J84:J102" si="45">AVERAGE(H84:I84)</f>
        <v>0.03</v>
      </c>
      <c r="K84" s="277"/>
      <c r="L84" s="284" t="str">
        <f t="shared" ref="L84:L102" si="46">IF(MATCH(F84,MO_Common_ColumnHeader,0)&gt;UL.MRQColNum,"Estimate","Actual")</f>
        <v>Actual</v>
      </c>
      <c r="M84" s="287">
        <f t="shared" ref="M84:M92" ca="1" si="47">IFERROR(INDEX(INDIRECT(E84),0,MATCH(F84,MO_Common_ColumnHeader,0)),"N/A")</f>
        <v>1.4973483738646353E-2</v>
      </c>
      <c r="N84" s="278"/>
      <c r="O84" s="296">
        <f t="shared" ref="O84:O102" ca="1" si="48">IF(ISNUMBER(M84),M84-J84,"N/A")</f>
        <v>-1.5026516261353646E-2</v>
      </c>
      <c r="P84" s="296">
        <f t="shared" ref="P84:P102" ca="1" si="49">IFERROR(IF(ISNUMBER(M84),(M84-J84)/ABS(J84),"N/A"),"N/A")</f>
        <v>-0.50088387537845491</v>
      </c>
      <c r="Q84" s="277"/>
      <c r="R84" s="288">
        <v>43580</v>
      </c>
      <c r="S84" s="422" t="s">
        <v>382</v>
      </c>
      <c r="T84" s="279"/>
    </row>
    <row r="85" spans="1:20" s="257" customFormat="1" x14ac:dyDescent="0.35">
      <c r="A85" s="267">
        <v>86</v>
      </c>
      <c r="B85" s="284" t="str">
        <f t="shared" si="43"/>
        <v>Historical</v>
      </c>
      <c r="C85" s="277"/>
      <c r="D85" s="295" t="str">
        <f t="shared" ca="1" si="44"/>
        <v>Safety and Industrial Organic Local-Currency Sales Growth, %</v>
      </c>
      <c r="E85" s="285" t="s">
        <v>602</v>
      </c>
      <c r="F85" s="284" t="s">
        <v>277</v>
      </c>
      <c r="G85" s="277"/>
      <c r="H85" s="286">
        <v>-0.01</v>
      </c>
      <c r="I85" s="286">
        <v>0.02</v>
      </c>
      <c r="J85" s="286">
        <f t="shared" si="45"/>
        <v>4.9999999999999992E-3</v>
      </c>
      <c r="K85" s="277"/>
      <c r="L85" s="284" t="str">
        <f t="shared" si="46"/>
        <v>Actual</v>
      </c>
      <c r="M85" s="287">
        <f t="shared" ca="1" si="47"/>
        <v>-3.310605090443413E-2</v>
      </c>
      <c r="N85" s="278"/>
      <c r="O85" s="296">
        <f t="shared" ca="1" si="48"/>
        <v>-3.8106050904434127E-2</v>
      </c>
      <c r="P85" s="296">
        <f t="shared" ca="1" si="49"/>
        <v>-7.6212101808868269</v>
      </c>
      <c r="Q85" s="277"/>
      <c r="R85" s="288">
        <v>43580</v>
      </c>
      <c r="S85" s="422" t="s">
        <v>382</v>
      </c>
      <c r="T85" s="279"/>
    </row>
    <row r="86" spans="1:20" x14ac:dyDescent="0.35">
      <c r="A86" s="267">
        <v>85</v>
      </c>
      <c r="B86" s="284" t="str">
        <f t="shared" si="43"/>
        <v>Historical</v>
      </c>
      <c r="C86" s="277"/>
      <c r="D86" s="295" t="str">
        <f t="shared" ca="1" si="44"/>
        <v>Transportation and Electronics Organic Local-Currency Sales Growth, %</v>
      </c>
      <c r="E86" s="285" t="s">
        <v>603</v>
      </c>
      <c r="F86" s="284" t="s">
        <v>277</v>
      </c>
      <c r="G86" s="277"/>
      <c r="H86" s="286">
        <v>-0.03</v>
      </c>
      <c r="I86" s="286">
        <v>0</v>
      </c>
      <c r="J86" s="286">
        <f t="shared" si="45"/>
        <v>-1.4999999999999999E-2</v>
      </c>
      <c r="K86" s="277"/>
      <c r="L86" s="284" t="str">
        <f t="shared" si="46"/>
        <v>Actual</v>
      </c>
      <c r="M86" s="287">
        <f t="shared" ca="1" si="47"/>
        <v>-3.47866613892737E-2</v>
      </c>
      <c r="N86" s="278"/>
      <c r="O86" s="296">
        <f t="shared" ca="1" si="48"/>
        <v>-1.9786661389273701E-2</v>
      </c>
      <c r="P86" s="296">
        <f t="shared" ca="1" si="49"/>
        <v>-1.3191107592849134</v>
      </c>
      <c r="Q86" s="277"/>
      <c r="R86" s="288">
        <v>43580</v>
      </c>
      <c r="S86" s="422" t="s">
        <v>382</v>
      </c>
      <c r="T86" s="277"/>
    </row>
    <row r="87" spans="1:20" x14ac:dyDescent="0.35">
      <c r="A87" s="267">
        <v>84</v>
      </c>
      <c r="B87" s="284" t="str">
        <f t="shared" si="43"/>
        <v>Historical</v>
      </c>
      <c r="C87" s="277"/>
      <c r="D87" s="295" t="str">
        <f t="shared" ca="1" si="44"/>
        <v>Consumer Organic Local-Currency Sales Growth, %</v>
      </c>
      <c r="E87" s="285" t="s">
        <v>605</v>
      </c>
      <c r="F87" s="284" t="s">
        <v>277</v>
      </c>
      <c r="G87" s="277"/>
      <c r="H87" s="286">
        <v>0.01</v>
      </c>
      <c r="I87" s="286">
        <v>0.03</v>
      </c>
      <c r="J87" s="286">
        <f t="shared" si="45"/>
        <v>1.9999999999999997E-2</v>
      </c>
      <c r="K87" s="277"/>
      <c r="L87" s="284" t="str">
        <f t="shared" si="46"/>
        <v>Actual</v>
      </c>
      <c r="M87" s="287">
        <f t="shared" ca="1" si="47"/>
        <v>1.2755996854109318E-2</v>
      </c>
      <c r="N87" s="278"/>
      <c r="O87" s="296">
        <f t="shared" ca="1" si="48"/>
        <v>-7.2440031458906786E-3</v>
      </c>
      <c r="P87" s="296">
        <f t="shared" ca="1" si="49"/>
        <v>-0.36220015729453398</v>
      </c>
      <c r="Q87" s="277"/>
      <c r="R87" s="288">
        <v>43580</v>
      </c>
      <c r="S87" s="422" t="s">
        <v>382</v>
      </c>
      <c r="T87" s="277"/>
    </row>
    <row r="88" spans="1:20" x14ac:dyDescent="0.35">
      <c r="A88" s="267">
        <v>83</v>
      </c>
      <c r="B88" s="284" t="str">
        <f t="shared" si="43"/>
        <v>Historical</v>
      </c>
      <c r="C88" s="277"/>
      <c r="D88" s="295" t="str">
        <f t="shared" ca="1" si="44"/>
        <v>Total Organic local-currency revenue growth, %</v>
      </c>
      <c r="E88" s="285" t="s">
        <v>276</v>
      </c>
      <c r="F88" s="284" t="s">
        <v>277</v>
      </c>
      <c r="G88" s="277"/>
      <c r="H88" s="286">
        <v>-0.01</v>
      </c>
      <c r="I88" s="286">
        <v>0.02</v>
      </c>
      <c r="J88" s="286">
        <f t="shared" si="45"/>
        <v>4.9999999999999992E-3</v>
      </c>
      <c r="K88" s="277"/>
      <c r="L88" s="284" t="str">
        <f t="shared" si="46"/>
        <v>Actual</v>
      </c>
      <c r="M88" s="287">
        <f t="shared" ca="1" si="47"/>
        <v>-1.4622737677399663E-2</v>
      </c>
      <c r="N88" s="278"/>
      <c r="O88" s="296">
        <f t="shared" ca="1" si="48"/>
        <v>-1.9622737677399662E-2</v>
      </c>
      <c r="P88" s="296">
        <f t="shared" ca="1" si="49"/>
        <v>-3.9245475354799328</v>
      </c>
      <c r="Q88" s="277"/>
      <c r="R88" s="288">
        <v>43580</v>
      </c>
      <c r="S88" s="422" t="s">
        <v>382</v>
      </c>
      <c r="T88" s="277"/>
    </row>
    <row r="89" spans="1:20" x14ac:dyDescent="0.35">
      <c r="A89" s="267">
        <v>82</v>
      </c>
      <c r="B89" s="284" t="str">
        <f t="shared" si="43"/>
        <v>Historical</v>
      </c>
      <c r="C89" s="277"/>
      <c r="D89" s="295" t="str">
        <f t="shared" ca="1" si="44"/>
        <v>Total Acquisition impact on revenue, %</v>
      </c>
      <c r="E89" s="285" t="s">
        <v>600</v>
      </c>
      <c r="F89" s="284" t="s">
        <v>277</v>
      </c>
      <c r="G89" s="277"/>
      <c r="H89" s="286">
        <v>0</v>
      </c>
      <c r="I89" s="286">
        <v>0</v>
      </c>
      <c r="J89" s="286">
        <f t="shared" si="45"/>
        <v>0</v>
      </c>
      <c r="K89" s="277"/>
      <c r="L89" s="284" t="str">
        <f t="shared" si="46"/>
        <v>Actual</v>
      </c>
      <c r="M89" s="287">
        <f t="shared" ca="1" si="47"/>
        <v>1.9638821913627348E-2</v>
      </c>
      <c r="N89" s="278"/>
      <c r="O89" s="296">
        <f t="shared" ca="1" si="48"/>
        <v>1.9638821913627348E-2</v>
      </c>
      <c r="P89" s="296" t="str">
        <f t="shared" ca="1" si="49"/>
        <v>N/A</v>
      </c>
      <c r="Q89" s="277"/>
      <c r="R89" s="288">
        <v>43580</v>
      </c>
      <c r="S89" s="422" t="s">
        <v>382</v>
      </c>
      <c r="T89" s="277"/>
    </row>
    <row r="90" spans="1:20" x14ac:dyDescent="0.35">
      <c r="A90" s="267">
        <v>81</v>
      </c>
      <c r="B90" s="284" t="str">
        <f t="shared" si="43"/>
        <v>Historical</v>
      </c>
      <c r="C90" s="277"/>
      <c r="D90" s="295" t="str">
        <f t="shared" ca="1" si="44"/>
        <v>Total Translation impact on revenue, %</v>
      </c>
      <c r="E90" s="285" t="s">
        <v>601</v>
      </c>
      <c r="F90" s="284" t="s">
        <v>277</v>
      </c>
      <c r="G90" s="277"/>
      <c r="H90" s="286">
        <v>-0.01</v>
      </c>
      <c r="I90" s="286">
        <v>-0.01</v>
      </c>
      <c r="J90" s="286">
        <f t="shared" si="45"/>
        <v>-0.01</v>
      </c>
      <c r="K90" s="277"/>
      <c r="L90" s="284" t="str">
        <f t="shared" si="46"/>
        <v>Actual</v>
      </c>
      <c r="M90" s="287">
        <f t="shared" ca="1" si="47"/>
        <v>-1.7403570883564777E-2</v>
      </c>
      <c r="N90" s="278"/>
      <c r="O90" s="296">
        <f t="shared" ca="1" si="48"/>
        <v>-7.4035708835647768E-3</v>
      </c>
      <c r="P90" s="296">
        <f t="shared" ca="1" si="49"/>
        <v>-0.74035708835647762</v>
      </c>
      <c r="Q90" s="277"/>
      <c r="R90" s="288">
        <v>43580</v>
      </c>
      <c r="S90" s="422" t="s">
        <v>382</v>
      </c>
      <c r="T90" s="277"/>
    </row>
    <row r="91" spans="1:20" x14ac:dyDescent="0.35">
      <c r="A91" s="267">
        <v>80</v>
      </c>
      <c r="B91" s="284" t="str">
        <f t="shared" si="43"/>
        <v>Historical</v>
      </c>
      <c r="C91" s="277"/>
      <c r="D91" s="295" t="str">
        <f t="shared" ca="1" si="44"/>
        <v>Purchases of treasury stock</v>
      </c>
      <c r="E91" s="285" t="s">
        <v>701</v>
      </c>
      <c r="F91" s="284" t="s">
        <v>277</v>
      </c>
      <c r="G91" s="277"/>
      <c r="H91" s="289">
        <v>-2000</v>
      </c>
      <c r="I91" s="289">
        <v>-4000</v>
      </c>
      <c r="J91" s="289">
        <f t="shared" si="45"/>
        <v>-3000</v>
      </c>
      <c r="K91" s="277"/>
      <c r="L91" s="284" t="str">
        <f t="shared" si="46"/>
        <v>Actual</v>
      </c>
      <c r="M91" s="290">
        <f t="shared" ca="1" si="47"/>
        <v>-1407</v>
      </c>
      <c r="N91" s="278"/>
      <c r="O91" s="297">
        <f t="shared" ca="1" si="48"/>
        <v>1593</v>
      </c>
      <c r="P91" s="296">
        <f t="shared" ca="1" si="49"/>
        <v>0.53100000000000003</v>
      </c>
      <c r="Q91" s="277"/>
      <c r="R91" s="288">
        <v>43580</v>
      </c>
      <c r="S91" s="422" t="s">
        <v>382</v>
      </c>
      <c r="T91" s="277"/>
    </row>
    <row r="92" spans="1:20" x14ac:dyDescent="0.35">
      <c r="A92" s="267">
        <v>79</v>
      </c>
      <c r="B92" s="284" t="str">
        <f t="shared" si="43"/>
        <v>Historical</v>
      </c>
      <c r="C92" s="277"/>
      <c r="D92" s="295" t="str">
        <f t="shared" ca="1" si="44"/>
        <v>EBT</v>
      </c>
      <c r="E92" s="285" t="s">
        <v>288</v>
      </c>
      <c r="F92" s="284" t="s">
        <v>277</v>
      </c>
      <c r="G92" s="277"/>
      <c r="H92" s="289">
        <v>6400</v>
      </c>
      <c r="I92" s="289">
        <v>6600</v>
      </c>
      <c r="J92" s="289">
        <f t="shared" si="45"/>
        <v>6500</v>
      </c>
      <c r="K92" s="277"/>
      <c r="L92" s="284" t="str">
        <f t="shared" si="46"/>
        <v>Actual</v>
      </c>
      <c r="M92" s="290">
        <f t="shared" ca="1" si="47"/>
        <v>5712</v>
      </c>
      <c r="N92" s="278"/>
      <c r="O92" s="297">
        <f t="shared" ca="1" si="48"/>
        <v>-788</v>
      </c>
      <c r="P92" s="296">
        <f t="shared" ca="1" si="49"/>
        <v>-0.12123076923076923</v>
      </c>
      <c r="Q92" s="277"/>
      <c r="R92" s="288">
        <v>43580</v>
      </c>
      <c r="S92" s="422" t="s">
        <v>382</v>
      </c>
      <c r="T92" s="277"/>
    </row>
    <row r="93" spans="1:20" x14ac:dyDescent="0.35">
      <c r="A93" s="267">
        <v>78</v>
      </c>
      <c r="B93" s="284" t="str">
        <f t="shared" si="43"/>
        <v>Historical</v>
      </c>
      <c r="C93" s="277"/>
      <c r="D93" s="295" t="s">
        <v>289</v>
      </c>
      <c r="E93" s="285"/>
      <c r="F93" s="284" t="s">
        <v>277</v>
      </c>
      <c r="G93" s="277"/>
      <c r="H93" s="289">
        <v>1300</v>
      </c>
      <c r="I93" s="289">
        <v>1400</v>
      </c>
      <c r="J93" s="289">
        <f t="shared" si="45"/>
        <v>1350</v>
      </c>
      <c r="K93" s="277"/>
      <c r="L93" s="284" t="str">
        <f t="shared" si="46"/>
        <v>Actual</v>
      </c>
      <c r="M93" s="290">
        <f>INDEX(MO_RIS_Tax_Current,0,MATCH(F93,MO_Common_ColumnHeader,0))+INDEX(MO_RIS_Tax_Deferred,0,MATCH(F93,MO_Common_ColumnHeader,0))</f>
        <v>1130</v>
      </c>
      <c r="N93" s="278"/>
      <c r="O93" s="297">
        <f t="shared" si="48"/>
        <v>-220</v>
      </c>
      <c r="P93" s="296">
        <f t="shared" si="49"/>
        <v>-0.16296296296296298</v>
      </c>
      <c r="Q93" s="277"/>
      <c r="R93" s="288">
        <v>43580</v>
      </c>
      <c r="S93" s="422" t="s">
        <v>382</v>
      </c>
      <c r="T93" s="277"/>
    </row>
    <row r="94" spans="1:20" x14ac:dyDescent="0.35">
      <c r="A94" s="267">
        <v>77</v>
      </c>
      <c r="B94" s="284" t="str">
        <f t="shared" si="43"/>
        <v>Historical</v>
      </c>
      <c r="C94" s="277"/>
      <c r="D94" s="295" t="s">
        <v>281</v>
      </c>
      <c r="E94" s="285"/>
      <c r="F94" s="284" t="s">
        <v>277</v>
      </c>
      <c r="G94" s="277"/>
      <c r="H94" s="286">
        <v>0.2</v>
      </c>
      <c r="I94" s="286">
        <v>0.22</v>
      </c>
      <c r="J94" s="286">
        <f t="shared" si="45"/>
        <v>0.21000000000000002</v>
      </c>
      <c r="K94" s="277"/>
      <c r="L94" s="284" t="str">
        <f t="shared" si="46"/>
        <v>Actual</v>
      </c>
      <c r="M94" s="287">
        <f>INDEX(MO_RIS_TaxRate_Current,0,MATCH(F94,MO_Common_ColumnHeader,0))+INDEX(MO_RIS_TaxRate_Deferred,0,MATCH(F94,MO_Common_ColumnHeader,0))</f>
        <v>0.19782913165266106</v>
      </c>
      <c r="N94" s="200"/>
      <c r="O94" s="296">
        <f t="shared" si="48"/>
        <v>-1.2170868347338964E-2</v>
      </c>
      <c r="P94" s="296">
        <f t="shared" si="49"/>
        <v>-5.7956515939709352E-2</v>
      </c>
      <c r="Q94" s="277"/>
      <c r="R94" s="288">
        <v>43580</v>
      </c>
      <c r="S94" s="422" t="s">
        <v>382</v>
      </c>
      <c r="T94" s="277"/>
    </row>
    <row r="95" spans="1:20" x14ac:dyDescent="0.35">
      <c r="A95" s="267">
        <v>76</v>
      </c>
      <c r="B95" s="284" t="str">
        <f t="shared" si="43"/>
        <v>Historical</v>
      </c>
      <c r="C95" s="277"/>
      <c r="D95" s="295" t="str">
        <f t="shared" ref="D95:D100" ca="1" si="50">INDEX(INDIRECT(E95),0,COLUMN(MO_Common_Column_A))</f>
        <v>Net Income to Common Shareholders</v>
      </c>
      <c r="E95" s="285" t="s">
        <v>282</v>
      </c>
      <c r="F95" s="284" t="s">
        <v>277</v>
      </c>
      <c r="G95" s="277"/>
      <c r="H95" s="289">
        <v>5000</v>
      </c>
      <c r="I95" s="289">
        <v>5300</v>
      </c>
      <c r="J95" s="289">
        <f t="shared" si="45"/>
        <v>5150</v>
      </c>
      <c r="K95" s="277"/>
      <c r="L95" s="284" t="str">
        <f t="shared" si="46"/>
        <v>Actual</v>
      </c>
      <c r="M95" s="290">
        <f t="shared" ref="M95:M100" ca="1" si="51">IFERROR(INDEX(INDIRECT(E95),0,MATCH(F95,MO_Common_ColumnHeader,0)),"N/A")</f>
        <v>4570</v>
      </c>
      <c r="N95" s="278"/>
      <c r="O95" s="297">
        <f t="shared" ca="1" si="48"/>
        <v>-580</v>
      </c>
      <c r="P95" s="296">
        <f t="shared" ca="1" si="49"/>
        <v>-0.11262135922330097</v>
      </c>
      <c r="Q95" s="277"/>
      <c r="R95" s="288">
        <v>43580</v>
      </c>
      <c r="S95" s="422" t="s">
        <v>382</v>
      </c>
      <c r="T95" s="277"/>
    </row>
    <row r="96" spans="1:20" s="257" customFormat="1" x14ac:dyDescent="0.35">
      <c r="A96" s="267">
        <v>75</v>
      </c>
      <c r="B96" s="284" t="str">
        <f t="shared" si="43"/>
        <v>Historical</v>
      </c>
      <c r="C96" s="277"/>
      <c r="D96" s="295" t="str">
        <f t="shared" ca="1" si="50"/>
        <v>Earnings Per Share - WAD</v>
      </c>
      <c r="E96" s="285" t="s">
        <v>279</v>
      </c>
      <c r="F96" s="284" t="s">
        <v>277</v>
      </c>
      <c r="G96" s="277"/>
      <c r="H96" s="291">
        <v>8.5299999999999994</v>
      </c>
      <c r="I96" s="291">
        <v>9.0299999999999994</v>
      </c>
      <c r="J96" s="291">
        <f t="shared" si="45"/>
        <v>8.7799999999999994</v>
      </c>
      <c r="K96" s="277"/>
      <c r="L96" s="284" t="str">
        <f t="shared" si="46"/>
        <v>Actual</v>
      </c>
      <c r="M96" s="292">
        <f t="shared" ca="1" si="51"/>
        <v>7.8106306614253969</v>
      </c>
      <c r="N96" s="278"/>
      <c r="O96" s="298">
        <f t="shared" ca="1" si="48"/>
        <v>-0.9693693385746025</v>
      </c>
      <c r="P96" s="296">
        <f t="shared" ca="1" si="49"/>
        <v>-0.11040653058936248</v>
      </c>
      <c r="Q96" s="277"/>
      <c r="R96" s="288">
        <v>43580</v>
      </c>
      <c r="S96" s="422" t="s">
        <v>382</v>
      </c>
      <c r="T96" s="279"/>
    </row>
    <row r="97" spans="1:20" s="257" customFormat="1" x14ac:dyDescent="0.35">
      <c r="A97" s="267">
        <v>74</v>
      </c>
      <c r="B97" s="284" t="str">
        <f t="shared" si="43"/>
        <v>Historical</v>
      </c>
      <c r="C97" s="277"/>
      <c r="D97" s="295" t="str">
        <f t="shared" ca="1" si="50"/>
        <v>Adjusted Net Income</v>
      </c>
      <c r="E97" s="285" t="s">
        <v>283</v>
      </c>
      <c r="F97" s="284" t="s">
        <v>277</v>
      </c>
      <c r="G97" s="277"/>
      <c r="H97" s="289">
        <v>5400</v>
      </c>
      <c r="I97" s="289">
        <v>5700</v>
      </c>
      <c r="J97" s="289">
        <f t="shared" si="45"/>
        <v>5550</v>
      </c>
      <c r="K97" s="277"/>
      <c r="L97" s="284" t="str">
        <f t="shared" si="46"/>
        <v>Actual</v>
      </c>
      <c r="M97" s="290">
        <f t="shared" ca="1" si="51"/>
        <v>5193</v>
      </c>
      <c r="N97" s="278"/>
      <c r="O97" s="297">
        <f t="shared" ca="1" si="48"/>
        <v>-357</v>
      </c>
      <c r="P97" s="296">
        <f t="shared" ca="1" si="49"/>
        <v>-6.432432432432432E-2</v>
      </c>
      <c r="Q97" s="277"/>
      <c r="R97" s="288">
        <v>43580</v>
      </c>
      <c r="S97" s="422" t="s">
        <v>382</v>
      </c>
      <c r="T97" s="279"/>
    </row>
    <row r="98" spans="1:20" x14ac:dyDescent="0.35">
      <c r="A98" s="267">
        <v>73</v>
      </c>
      <c r="B98" s="284" t="str">
        <f t="shared" si="43"/>
        <v>Historical</v>
      </c>
      <c r="C98" s="277"/>
      <c r="D98" s="295" t="str">
        <f t="shared" ca="1" si="50"/>
        <v>Adjusted Earnings Per Share - WAD</v>
      </c>
      <c r="E98" s="285" t="s">
        <v>290</v>
      </c>
      <c r="F98" s="284" t="s">
        <v>277</v>
      </c>
      <c r="G98" s="277"/>
      <c r="H98" s="291">
        <v>9.25</v>
      </c>
      <c r="I98" s="291">
        <v>9.75</v>
      </c>
      <c r="J98" s="291">
        <f t="shared" si="45"/>
        <v>9.5</v>
      </c>
      <c r="K98" s="277"/>
      <c r="L98" s="284" t="str">
        <f t="shared" si="46"/>
        <v>Actual</v>
      </c>
      <c r="M98" s="292">
        <f t="shared" ca="1" si="51"/>
        <v>8.8754059135190566</v>
      </c>
      <c r="N98" s="278"/>
      <c r="O98" s="298">
        <f t="shared" ca="1" si="48"/>
        <v>-0.62459408648094339</v>
      </c>
      <c r="P98" s="296">
        <f t="shared" ca="1" si="49"/>
        <v>-6.5746745945362464E-2</v>
      </c>
      <c r="Q98" s="277"/>
      <c r="R98" s="288">
        <v>43580</v>
      </c>
      <c r="S98" s="422" t="s">
        <v>382</v>
      </c>
      <c r="T98" s="277"/>
    </row>
    <row r="99" spans="1:20" s="257" customFormat="1" x14ac:dyDescent="0.35">
      <c r="A99" s="267">
        <v>72</v>
      </c>
      <c r="B99" s="284" t="str">
        <f t="shared" si="43"/>
        <v>Historical</v>
      </c>
      <c r="C99" s="277"/>
      <c r="D99" s="295" t="str">
        <f t="shared" ca="1" si="50"/>
        <v>Net CFO</v>
      </c>
      <c r="E99" s="285" t="s">
        <v>284</v>
      </c>
      <c r="F99" s="284" t="s">
        <v>277</v>
      </c>
      <c r="G99" s="277"/>
      <c r="H99" s="289">
        <v>6400</v>
      </c>
      <c r="I99" s="289">
        <v>7200</v>
      </c>
      <c r="J99" s="289">
        <f t="shared" si="45"/>
        <v>6800</v>
      </c>
      <c r="K99" s="277"/>
      <c r="L99" s="284" t="str">
        <f t="shared" si="46"/>
        <v>Actual</v>
      </c>
      <c r="M99" s="290">
        <f t="shared" ca="1" si="51"/>
        <v>7070</v>
      </c>
      <c r="N99" s="278"/>
      <c r="O99" s="297">
        <f t="shared" ca="1" si="48"/>
        <v>270</v>
      </c>
      <c r="P99" s="296">
        <f t="shared" ca="1" si="49"/>
        <v>3.9705882352941174E-2</v>
      </c>
      <c r="Q99" s="277"/>
      <c r="R99" s="288">
        <v>43580</v>
      </c>
      <c r="S99" s="422" t="s">
        <v>382</v>
      </c>
      <c r="T99" s="279"/>
    </row>
    <row r="100" spans="1:20" s="257" customFormat="1" x14ac:dyDescent="0.35">
      <c r="A100" s="267">
        <v>71</v>
      </c>
      <c r="B100" s="284" t="str">
        <f t="shared" si="43"/>
        <v>Historical</v>
      </c>
      <c r="C100" s="277"/>
      <c r="D100" s="295" t="str">
        <f t="shared" ca="1" si="50"/>
        <v>Capex</v>
      </c>
      <c r="E100" s="285" t="s">
        <v>285</v>
      </c>
      <c r="F100" s="284" t="s">
        <v>277</v>
      </c>
      <c r="G100" s="277"/>
      <c r="H100" s="289">
        <v>-1600</v>
      </c>
      <c r="I100" s="289">
        <v>-1700</v>
      </c>
      <c r="J100" s="289">
        <f t="shared" si="45"/>
        <v>-1650</v>
      </c>
      <c r="K100" s="277"/>
      <c r="L100" s="284" t="str">
        <f t="shared" si="46"/>
        <v>Actual</v>
      </c>
      <c r="M100" s="290">
        <f t="shared" ca="1" si="51"/>
        <v>-1699</v>
      </c>
      <c r="N100" s="278"/>
      <c r="O100" s="297">
        <f t="shared" ca="1" si="48"/>
        <v>-49</v>
      </c>
      <c r="P100" s="296">
        <f t="shared" ca="1" si="49"/>
        <v>-2.9696969696969697E-2</v>
      </c>
      <c r="Q100" s="277"/>
      <c r="R100" s="288">
        <v>43580</v>
      </c>
      <c r="S100" s="422" t="s">
        <v>382</v>
      </c>
      <c r="T100" s="279"/>
    </row>
    <row r="101" spans="1:20" s="257" customFormat="1" x14ac:dyDescent="0.35">
      <c r="A101" s="267">
        <v>70</v>
      </c>
      <c r="B101" s="284" t="str">
        <f t="shared" si="43"/>
        <v>Historical</v>
      </c>
      <c r="C101" s="277"/>
      <c r="D101" s="295" t="s">
        <v>286</v>
      </c>
      <c r="E101" s="285"/>
      <c r="F101" s="284" t="s">
        <v>277</v>
      </c>
      <c r="G101" s="277"/>
      <c r="H101" s="289">
        <v>4700</v>
      </c>
      <c r="I101" s="289">
        <v>5600</v>
      </c>
      <c r="J101" s="289">
        <f t="shared" si="45"/>
        <v>5150</v>
      </c>
      <c r="K101" s="277"/>
      <c r="L101" s="284" t="str">
        <f t="shared" si="46"/>
        <v>Actual</v>
      </c>
      <c r="M101" s="290">
        <f>INDEX(MO_CFS_CFO,0,MATCH(F101,MO_Common_ColumnHeader,0))+INDEX(MO_CFSum_Capex,0,MATCH(F101,MO_Common_ColumnHeader,0))</f>
        <v>5371</v>
      </c>
      <c r="N101" s="278"/>
      <c r="O101" s="297">
        <f t="shared" si="48"/>
        <v>221</v>
      </c>
      <c r="P101" s="296">
        <f t="shared" si="49"/>
        <v>4.2912621359223302E-2</v>
      </c>
      <c r="Q101" s="277"/>
      <c r="R101" s="288">
        <v>43580</v>
      </c>
      <c r="S101" s="422" t="s">
        <v>382</v>
      </c>
      <c r="T101" s="279"/>
    </row>
    <row r="102" spans="1:20" s="257" customFormat="1" x14ac:dyDescent="0.35">
      <c r="A102" s="267">
        <v>69</v>
      </c>
      <c r="B102" s="284" t="str">
        <f t="shared" si="43"/>
        <v>Historical</v>
      </c>
      <c r="C102" s="277"/>
      <c r="D102" s="295" t="s">
        <v>280</v>
      </c>
      <c r="E102" s="285"/>
      <c r="F102" s="284" t="s">
        <v>277</v>
      </c>
      <c r="G102" s="277"/>
      <c r="H102" s="286">
        <v>0.95</v>
      </c>
      <c r="I102" s="286">
        <v>1.05</v>
      </c>
      <c r="J102" s="286">
        <f t="shared" si="45"/>
        <v>1</v>
      </c>
      <c r="K102" s="277"/>
      <c r="L102" s="284" t="str">
        <f t="shared" si="46"/>
        <v>Actual</v>
      </c>
      <c r="M102" s="287">
        <f ca="1">M101/M95</f>
        <v>1.1752735229759299</v>
      </c>
      <c r="N102" s="278"/>
      <c r="O102" s="296">
        <f t="shared" ca="1" si="48"/>
        <v>0.17527352297592991</v>
      </c>
      <c r="P102" s="296">
        <f t="shared" ca="1" si="49"/>
        <v>0.17527352297592991</v>
      </c>
      <c r="Q102" s="277"/>
      <c r="R102" s="288">
        <v>43580</v>
      </c>
      <c r="S102" s="422" t="s">
        <v>382</v>
      </c>
      <c r="T102" s="279"/>
    </row>
    <row r="103" spans="1:20" s="257" customFormat="1" x14ac:dyDescent="0.35">
      <c r="A103" s="267">
        <v>68</v>
      </c>
      <c r="B103" s="277"/>
      <c r="C103" s="277"/>
      <c r="D103" s="274"/>
      <c r="E103" s="275"/>
      <c r="F103" s="277"/>
      <c r="G103" s="277"/>
      <c r="H103" s="277"/>
      <c r="I103" s="277"/>
      <c r="J103" s="277"/>
      <c r="K103" s="277"/>
      <c r="L103" s="277"/>
      <c r="M103" s="277"/>
      <c r="N103" s="277"/>
      <c r="O103" s="274"/>
      <c r="P103" s="299"/>
      <c r="Q103" s="277"/>
      <c r="R103" s="276"/>
      <c r="S103" s="300"/>
      <c r="T103" s="279"/>
    </row>
    <row r="104" spans="1:20" s="257" customFormat="1" x14ac:dyDescent="0.35">
      <c r="A104" s="267">
        <v>67</v>
      </c>
      <c r="B104" s="284" t="str">
        <f t="shared" ref="B104:B125" si="52">IF(MATCH(F104,MO_Common_ColumnHeader,0)&gt;UL.MRQColNum,"Forward","Historical")</f>
        <v>Historical</v>
      </c>
      <c r="C104" s="277"/>
      <c r="D104" s="295" t="str">
        <f t="shared" ref="D104:D116" ca="1" si="53">INDEX(INDIRECT(E104),0,COLUMN(MO_Common_Column_A))</f>
        <v>Historic pre Q2-2019 Health Care Organic Local-Currency Sales Growth, %</v>
      </c>
      <c r="E104" s="285" t="s">
        <v>380</v>
      </c>
      <c r="F104" s="284" t="s">
        <v>277</v>
      </c>
      <c r="G104" s="277"/>
      <c r="H104" s="286">
        <v>0.03</v>
      </c>
      <c r="I104" s="286">
        <v>0.05</v>
      </c>
      <c r="J104" s="286">
        <f t="shared" ref="J104:J125" si="54">AVERAGE(H104:I104)</f>
        <v>0.04</v>
      </c>
      <c r="K104" s="277"/>
      <c r="L104" s="284" t="str">
        <f t="shared" ref="L104:L125" si="55">IF(MATCH(F104,MO_Common_ColumnHeader,0)&gt;UL.MRQColNum,"Estimate","Actual")</f>
        <v>Actual</v>
      </c>
      <c r="M104" s="287" t="s">
        <v>278</v>
      </c>
      <c r="N104" s="278"/>
      <c r="O104" s="296" t="str">
        <f t="shared" ref="O104:O125" si="56">IF(ISNUMBER(M104),M104-J104,"N/A")</f>
        <v>N/A</v>
      </c>
      <c r="P104" s="296" t="str">
        <f t="shared" ref="P104:P125" si="57">IFERROR(IF(ISNUMBER(M104),(M104-J104)/ABS(J104),"N/A"),"N/A")</f>
        <v>N/A</v>
      </c>
      <c r="Q104" s="277"/>
      <c r="R104" s="288">
        <v>43494</v>
      </c>
      <c r="S104" s="422" t="s">
        <v>382</v>
      </c>
      <c r="T104" s="279"/>
    </row>
    <row r="105" spans="1:20" s="257" customFormat="1" x14ac:dyDescent="0.35">
      <c r="A105" s="267">
        <v>66</v>
      </c>
      <c r="B105" s="284" t="str">
        <f t="shared" si="52"/>
        <v>Historical</v>
      </c>
      <c r="C105" s="277"/>
      <c r="D105" s="295" t="str">
        <f t="shared" ca="1" si="53"/>
        <v>Historic pre Q2-2019 Safety and Graphics Organic Local-Currency Sales Growth, %</v>
      </c>
      <c r="E105" s="285" t="s">
        <v>607</v>
      </c>
      <c r="F105" s="284" t="s">
        <v>277</v>
      </c>
      <c r="G105" s="277"/>
      <c r="H105" s="286">
        <v>0.02</v>
      </c>
      <c r="I105" s="286">
        <v>0.05</v>
      </c>
      <c r="J105" s="286">
        <f t="shared" si="54"/>
        <v>3.5000000000000003E-2</v>
      </c>
      <c r="K105" s="277"/>
      <c r="L105" s="284" t="str">
        <f t="shared" si="55"/>
        <v>Actual</v>
      </c>
      <c r="M105" s="287" t="s">
        <v>278</v>
      </c>
      <c r="N105" s="278"/>
      <c r="O105" s="296" t="str">
        <f t="shared" si="56"/>
        <v>N/A</v>
      </c>
      <c r="P105" s="296" t="str">
        <f t="shared" si="57"/>
        <v>N/A</v>
      </c>
      <c r="Q105" s="277"/>
      <c r="R105" s="288">
        <v>43494</v>
      </c>
      <c r="S105" s="422" t="s">
        <v>382</v>
      </c>
      <c r="T105" s="279"/>
    </row>
    <row r="106" spans="1:20" s="257" customFormat="1" x14ac:dyDescent="0.35">
      <c r="A106" s="267">
        <v>65</v>
      </c>
      <c r="B106" s="284" t="str">
        <f t="shared" si="52"/>
        <v>Historical</v>
      </c>
      <c r="C106" s="277"/>
      <c r="D106" s="295" t="str">
        <f t="shared" ca="1" si="53"/>
        <v>Historic pre Q2-2019 Industrial Organic Local-Currency Sales Growth, %</v>
      </c>
      <c r="E106" s="285" t="s">
        <v>606</v>
      </c>
      <c r="F106" s="284" t="s">
        <v>277</v>
      </c>
      <c r="G106" s="277"/>
      <c r="H106" s="286">
        <v>0.01</v>
      </c>
      <c r="I106" s="286">
        <v>0.04</v>
      </c>
      <c r="J106" s="286">
        <f t="shared" si="54"/>
        <v>2.5000000000000001E-2</v>
      </c>
      <c r="K106" s="277"/>
      <c r="L106" s="284" t="str">
        <f t="shared" si="55"/>
        <v>Actual</v>
      </c>
      <c r="M106" s="287" t="s">
        <v>278</v>
      </c>
      <c r="N106" s="278"/>
      <c r="O106" s="296" t="str">
        <f t="shared" si="56"/>
        <v>N/A</v>
      </c>
      <c r="P106" s="296" t="str">
        <f t="shared" si="57"/>
        <v>N/A</v>
      </c>
      <c r="Q106" s="277"/>
      <c r="R106" s="288">
        <v>43494</v>
      </c>
      <c r="S106" s="422" t="s">
        <v>382</v>
      </c>
      <c r="T106" s="279"/>
    </row>
    <row r="107" spans="1:20" s="257" customFormat="1" x14ac:dyDescent="0.35">
      <c r="A107" s="267">
        <v>64</v>
      </c>
      <c r="B107" s="284" t="str">
        <f t="shared" si="52"/>
        <v>Historical</v>
      </c>
      <c r="C107" s="277"/>
      <c r="D107" s="295" t="str">
        <f t="shared" ca="1" si="53"/>
        <v>Historic pre Q2-2019 Electronics and Energy Organic Local-Currency Sales Growth, %</v>
      </c>
      <c r="E107" s="285" t="s">
        <v>608</v>
      </c>
      <c r="F107" s="284" t="s">
        <v>277</v>
      </c>
      <c r="G107" s="277"/>
      <c r="H107" s="286">
        <v>0</v>
      </c>
      <c r="I107" s="286">
        <v>0.04</v>
      </c>
      <c r="J107" s="286">
        <f t="shared" si="54"/>
        <v>0.02</v>
      </c>
      <c r="K107" s="277"/>
      <c r="L107" s="284" t="str">
        <f t="shared" si="55"/>
        <v>Actual</v>
      </c>
      <c r="M107" s="287" t="s">
        <v>278</v>
      </c>
      <c r="N107" s="278"/>
      <c r="O107" s="296" t="str">
        <f t="shared" si="56"/>
        <v>N/A</v>
      </c>
      <c r="P107" s="296" t="str">
        <f t="shared" si="57"/>
        <v>N/A</v>
      </c>
      <c r="Q107" s="277"/>
      <c r="R107" s="288">
        <v>43494</v>
      </c>
      <c r="S107" s="422" t="s">
        <v>382</v>
      </c>
      <c r="T107" s="279"/>
    </row>
    <row r="108" spans="1:20" s="257" customFormat="1" x14ac:dyDescent="0.35">
      <c r="A108" s="267">
        <v>63</v>
      </c>
      <c r="B108" s="284" t="str">
        <f t="shared" si="52"/>
        <v>Historical</v>
      </c>
      <c r="C108" s="277"/>
      <c r="D108" s="295" t="str">
        <f t="shared" ca="1" si="53"/>
        <v>Historic pre Q2-2019 Consumer Organic Local-Currency Sales Growth, %</v>
      </c>
      <c r="E108" s="285" t="s">
        <v>381</v>
      </c>
      <c r="F108" s="284" t="s">
        <v>277</v>
      </c>
      <c r="G108" s="277"/>
      <c r="H108" s="286">
        <v>0.01</v>
      </c>
      <c r="I108" s="286">
        <v>0.03</v>
      </c>
      <c r="J108" s="286">
        <f t="shared" si="54"/>
        <v>1.9999999999999997E-2</v>
      </c>
      <c r="K108" s="277"/>
      <c r="L108" s="284" t="str">
        <f t="shared" si="55"/>
        <v>Actual</v>
      </c>
      <c r="M108" s="287" t="s">
        <v>278</v>
      </c>
      <c r="N108" s="278"/>
      <c r="O108" s="296" t="str">
        <f t="shared" si="56"/>
        <v>N/A</v>
      </c>
      <c r="P108" s="296" t="str">
        <f t="shared" si="57"/>
        <v>N/A</v>
      </c>
      <c r="Q108" s="277"/>
      <c r="R108" s="288">
        <v>43494</v>
      </c>
      <c r="S108" s="422" t="s">
        <v>382</v>
      </c>
      <c r="T108" s="279"/>
    </row>
    <row r="109" spans="1:20" x14ac:dyDescent="0.35">
      <c r="A109" s="267">
        <v>62</v>
      </c>
      <c r="B109" s="284" t="str">
        <f t="shared" si="52"/>
        <v>Historical</v>
      </c>
      <c r="C109" s="277"/>
      <c r="D109" s="295" t="str">
        <f t="shared" ca="1" si="53"/>
        <v>US Organic Local-Currency Sales Growth, %</v>
      </c>
      <c r="E109" s="285" t="s">
        <v>609</v>
      </c>
      <c r="F109" s="284" t="s">
        <v>277</v>
      </c>
      <c r="G109" s="277"/>
      <c r="H109" s="286">
        <v>0.02</v>
      </c>
      <c r="I109" s="286">
        <v>0.04</v>
      </c>
      <c r="J109" s="286">
        <f t="shared" si="54"/>
        <v>0.03</v>
      </c>
      <c r="K109" s="277"/>
      <c r="L109" s="284" t="str">
        <f t="shared" si="55"/>
        <v>Actual</v>
      </c>
      <c r="M109" s="287" t="s">
        <v>278</v>
      </c>
      <c r="N109" s="278"/>
      <c r="O109" s="296" t="str">
        <f t="shared" si="56"/>
        <v>N/A</v>
      </c>
      <c r="P109" s="296" t="str">
        <f t="shared" si="57"/>
        <v>N/A</v>
      </c>
      <c r="Q109" s="277"/>
      <c r="R109" s="288">
        <v>43494</v>
      </c>
      <c r="S109" s="422" t="s">
        <v>382</v>
      </c>
      <c r="T109" s="277"/>
    </row>
    <row r="110" spans="1:20" s="257" customFormat="1" x14ac:dyDescent="0.35">
      <c r="A110" s="267">
        <v>61</v>
      </c>
      <c r="B110" s="284" t="str">
        <f t="shared" si="52"/>
        <v>Historical</v>
      </c>
      <c r="C110" s="277"/>
      <c r="D110" s="295" t="str">
        <f t="shared" ca="1" si="53"/>
        <v>EMEA Organic Local-Currency Sales Growth, %</v>
      </c>
      <c r="E110" s="285" t="s">
        <v>611</v>
      </c>
      <c r="F110" s="284" t="s">
        <v>277</v>
      </c>
      <c r="G110" s="277"/>
      <c r="H110" s="286">
        <v>0.01</v>
      </c>
      <c r="I110" s="286">
        <v>0.03</v>
      </c>
      <c r="J110" s="286">
        <f t="shared" si="54"/>
        <v>1.9999999999999997E-2</v>
      </c>
      <c r="K110" s="277"/>
      <c r="L110" s="284" t="str">
        <f t="shared" si="55"/>
        <v>Actual</v>
      </c>
      <c r="M110" s="287" t="s">
        <v>278</v>
      </c>
      <c r="N110" s="278"/>
      <c r="O110" s="296" t="str">
        <f t="shared" si="56"/>
        <v>N/A</v>
      </c>
      <c r="P110" s="296" t="str">
        <f t="shared" si="57"/>
        <v>N/A</v>
      </c>
      <c r="Q110" s="277"/>
      <c r="R110" s="288">
        <v>43494</v>
      </c>
      <c r="S110" s="422" t="s">
        <v>382</v>
      </c>
      <c r="T110" s="279"/>
    </row>
    <row r="111" spans="1:20" s="257" customFormat="1" x14ac:dyDescent="0.35">
      <c r="A111" s="267">
        <v>60</v>
      </c>
      <c r="B111" s="284" t="str">
        <f t="shared" si="52"/>
        <v>Historical</v>
      </c>
      <c r="C111" s="277"/>
      <c r="D111" s="295" t="str">
        <f t="shared" ca="1" si="53"/>
        <v>AP Organic Local-Currency Sales Growth, %</v>
      </c>
      <c r="E111" s="285" t="s">
        <v>610</v>
      </c>
      <c r="F111" s="284" t="s">
        <v>277</v>
      </c>
      <c r="G111" s="277"/>
      <c r="H111" s="286">
        <v>0.01</v>
      </c>
      <c r="I111" s="286">
        <v>0.05</v>
      </c>
      <c r="J111" s="286">
        <f t="shared" si="54"/>
        <v>0.03</v>
      </c>
      <c r="K111" s="277"/>
      <c r="L111" s="284" t="str">
        <f t="shared" si="55"/>
        <v>Actual</v>
      </c>
      <c r="M111" s="287" t="s">
        <v>278</v>
      </c>
      <c r="N111" s="278"/>
      <c r="O111" s="296" t="str">
        <f t="shared" si="56"/>
        <v>N/A</v>
      </c>
      <c r="P111" s="296" t="str">
        <f t="shared" si="57"/>
        <v>N/A</v>
      </c>
      <c r="Q111" s="277"/>
      <c r="R111" s="288">
        <v>43494</v>
      </c>
      <c r="S111" s="422" t="s">
        <v>382</v>
      </c>
      <c r="T111" s="279"/>
    </row>
    <row r="112" spans="1:20" s="257" customFormat="1" x14ac:dyDescent="0.35">
      <c r="A112" s="267">
        <v>59</v>
      </c>
      <c r="B112" s="284" t="str">
        <f t="shared" si="52"/>
        <v>Historical</v>
      </c>
      <c r="C112" s="277"/>
      <c r="D112" s="295" t="str">
        <f t="shared" ca="1" si="53"/>
        <v>LATAM and Canada Organic Local-Currency Sales Growth, %</v>
      </c>
      <c r="E112" s="285" t="s">
        <v>612</v>
      </c>
      <c r="F112" s="284" t="s">
        <v>277</v>
      </c>
      <c r="G112" s="277"/>
      <c r="H112" s="286">
        <v>0.03</v>
      </c>
      <c r="I112" s="286">
        <v>0.05</v>
      </c>
      <c r="J112" s="286">
        <f t="shared" si="54"/>
        <v>0.04</v>
      </c>
      <c r="K112" s="277"/>
      <c r="L112" s="284" t="str">
        <f t="shared" si="55"/>
        <v>Actual</v>
      </c>
      <c r="M112" s="287" t="s">
        <v>278</v>
      </c>
      <c r="N112" s="278"/>
      <c r="O112" s="296" t="str">
        <f t="shared" si="56"/>
        <v>N/A</v>
      </c>
      <c r="P112" s="296" t="str">
        <f t="shared" si="57"/>
        <v>N/A</v>
      </c>
      <c r="Q112" s="277"/>
      <c r="R112" s="288">
        <v>43494</v>
      </c>
      <c r="S112" s="422" t="s">
        <v>382</v>
      </c>
      <c r="T112" s="279"/>
    </row>
    <row r="113" spans="1:20" s="257" customFormat="1" x14ac:dyDescent="0.35">
      <c r="A113" s="267">
        <v>58</v>
      </c>
      <c r="B113" s="284" t="str">
        <f t="shared" si="52"/>
        <v>Historical</v>
      </c>
      <c r="C113" s="277"/>
      <c r="D113" s="295" t="str">
        <f t="shared" ca="1" si="53"/>
        <v>Total Organic local-currency revenue growth, %</v>
      </c>
      <c r="E113" s="285" t="s">
        <v>276</v>
      </c>
      <c r="F113" s="284" t="s">
        <v>277</v>
      </c>
      <c r="G113" s="277"/>
      <c r="H113" s="286">
        <v>0.01</v>
      </c>
      <c r="I113" s="286">
        <v>0.04</v>
      </c>
      <c r="J113" s="286">
        <f t="shared" si="54"/>
        <v>2.5000000000000001E-2</v>
      </c>
      <c r="K113" s="277"/>
      <c r="L113" s="284" t="str">
        <f t="shared" si="55"/>
        <v>Actual</v>
      </c>
      <c r="M113" s="287">
        <f ca="1">IFERROR(INDEX(INDIRECT(E113),0,MATCH(F113,MO_Common_ColumnHeader,0)),"N/A")</f>
        <v>-1.4622737677399663E-2</v>
      </c>
      <c r="N113" s="278"/>
      <c r="O113" s="296">
        <f t="shared" ca="1" si="56"/>
        <v>-3.9622737677399662E-2</v>
      </c>
      <c r="P113" s="296">
        <f t="shared" ca="1" si="57"/>
        <v>-1.5849095070959864</v>
      </c>
      <c r="Q113" s="277"/>
      <c r="R113" s="288">
        <v>43494</v>
      </c>
      <c r="S113" s="422" t="s">
        <v>382</v>
      </c>
      <c r="T113" s="279"/>
    </row>
    <row r="114" spans="1:20" s="257" customFormat="1" x14ac:dyDescent="0.35">
      <c r="A114" s="267">
        <v>57</v>
      </c>
      <c r="B114" s="284" t="str">
        <f t="shared" si="52"/>
        <v>Historical</v>
      </c>
      <c r="C114" s="277"/>
      <c r="D114" s="295" t="str">
        <f t="shared" ca="1" si="53"/>
        <v>Total Acquisition impact on revenue, %</v>
      </c>
      <c r="E114" s="285" t="s">
        <v>600</v>
      </c>
      <c r="F114" s="284" t="s">
        <v>277</v>
      </c>
      <c r="G114" s="277"/>
      <c r="H114" s="286">
        <v>0</v>
      </c>
      <c r="I114" s="286">
        <v>0</v>
      </c>
      <c r="J114" s="286">
        <f t="shared" si="54"/>
        <v>0</v>
      </c>
      <c r="K114" s="277"/>
      <c r="L114" s="284" t="str">
        <f t="shared" si="55"/>
        <v>Actual</v>
      </c>
      <c r="M114" s="287">
        <f ca="1">IFERROR(INDEX(INDIRECT(E114),0,MATCH(F114,MO_Common_ColumnHeader,0)),"N/A")</f>
        <v>1.9638821913627348E-2</v>
      </c>
      <c r="N114" s="278"/>
      <c r="O114" s="296">
        <f t="shared" ca="1" si="56"/>
        <v>1.9638821913627348E-2</v>
      </c>
      <c r="P114" s="296" t="str">
        <f t="shared" ca="1" si="57"/>
        <v>N/A</v>
      </c>
      <c r="Q114" s="277"/>
      <c r="R114" s="288">
        <v>43494</v>
      </c>
      <c r="S114" s="422" t="s">
        <v>382</v>
      </c>
      <c r="T114" s="279"/>
    </row>
    <row r="115" spans="1:20" s="257" customFormat="1" x14ac:dyDescent="0.35">
      <c r="A115" s="267">
        <v>56</v>
      </c>
      <c r="B115" s="284" t="str">
        <f t="shared" si="52"/>
        <v>Historical</v>
      </c>
      <c r="C115" s="277"/>
      <c r="D115" s="295" t="str">
        <f t="shared" ca="1" si="53"/>
        <v>Total Translation impact on revenue, %</v>
      </c>
      <c r="E115" s="285" t="s">
        <v>601</v>
      </c>
      <c r="F115" s="284" t="s">
        <v>277</v>
      </c>
      <c r="G115" s="277"/>
      <c r="H115" s="286">
        <v>-0.01</v>
      </c>
      <c r="I115" s="286">
        <v>-0.01</v>
      </c>
      <c r="J115" s="286">
        <f t="shared" si="54"/>
        <v>-0.01</v>
      </c>
      <c r="K115" s="277"/>
      <c r="L115" s="284" t="str">
        <f t="shared" si="55"/>
        <v>Actual</v>
      </c>
      <c r="M115" s="287">
        <f ca="1">IFERROR(INDEX(INDIRECT(E115),0,MATCH(F115,MO_Common_ColumnHeader,0)),"N/A")</f>
        <v>-1.7403570883564777E-2</v>
      </c>
      <c r="N115" s="278"/>
      <c r="O115" s="296">
        <f t="shared" ca="1" si="56"/>
        <v>-7.4035708835647768E-3</v>
      </c>
      <c r="P115" s="296">
        <f t="shared" ca="1" si="57"/>
        <v>-0.74035708835647762</v>
      </c>
      <c r="Q115" s="277"/>
      <c r="R115" s="288">
        <v>43494</v>
      </c>
      <c r="S115" s="422" t="s">
        <v>382</v>
      </c>
      <c r="T115" s="279"/>
    </row>
    <row r="116" spans="1:20" s="257" customFormat="1" x14ac:dyDescent="0.35">
      <c r="A116" s="267">
        <v>55</v>
      </c>
      <c r="B116" s="284" t="str">
        <f t="shared" si="52"/>
        <v>Historical</v>
      </c>
      <c r="C116" s="277"/>
      <c r="D116" s="295" t="str">
        <f t="shared" ca="1" si="53"/>
        <v>Purchases of treasury stock</v>
      </c>
      <c r="E116" s="285" t="s">
        <v>701</v>
      </c>
      <c r="F116" s="284" t="s">
        <v>277</v>
      </c>
      <c r="G116" s="277"/>
      <c r="H116" s="289">
        <v>-2000</v>
      </c>
      <c r="I116" s="289">
        <v>-4000</v>
      </c>
      <c r="J116" s="289">
        <f t="shared" si="54"/>
        <v>-3000</v>
      </c>
      <c r="K116" s="277"/>
      <c r="L116" s="284" t="str">
        <f t="shared" si="55"/>
        <v>Actual</v>
      </c>
      <c r="M116" s="290">
        <f ca="1">IFERROR(INDEX(INDIRECT(E116),0,MATCH(F116,MO_Common_ColumnHeader,0)),"N/A")</f>
        <v>-1407</v>
      </c>
      <c r="N116" s="278"/>
      <c r="O116" s="297">
        <f t="shared" ca="1" si="56"/>
        <v>1593</v>
      </c>
      <c r="P116" s="296">
        <f t="shared" ca="1" si="57"/>
        <v>0.53100000000000003</v>
      </c>
      <c r="Q116" s="277"/>
      <c r="R116" s="288">
        <v>43494</v>
      </c>
      <c r="S116" s="422" t="s">
        <v>382</v>
      </c>
      <c r="T116" s="279"/>
    </row>
    <row r="117" spans="1:20" s="257" customFormat="1" x14ac:dyDescent="0.35">
      <c r="A117" s="267">
        <v>54</v>
      </c>
      <c r="B117" s="284" t="str">
        <f t="shared" si="52"/>
        <v>Historical</v>
      </c>
      <c r="C117" s="277"/>
      <c r="D117" s="295" t="s">
        <v>281</v>
      </c>
      <c r="E117" s="285"/>
      <c r="F117" s="284" t="s">
        <v>277</v>
      </c>
      <c r="G117" s="277"/>
      <c r="H117" s="286">
        <v>0.2</v>
      </c>
      <c r="I117" s="286">
        <v>0.22</v>
      </c>
      <c r="J117" s="286">
        <f t="shared" si="54"/>
        <v>0.21000000000000002</v>
      </c>
      <c r="K117" s="277"/>
      <c r="L117" s="284" t="str">
        <f t="shared" si="55"/>
        <v>Actual</v>
      </c>
      <c r="M117" s="287">
        <f>INDEX(MO_RIS_TaxRate_Current,0,MATCH(F117,MO_Common_ColumnHeader,0))+INDEX(MO_RIS_TaxRate_Deferred,0,MATCH(F117,MO_Common_ColumnHeader,0))</f>
        <v>0.19782913165266106</v>
      </c>
      <c r="N117" s="200"/>
      <c r="O117" s="296">
        <f t="shared" si="56"/>
        <v>-1.2170868347338964E-2</v>
      </c>
      <c r="P117" s="296">
        <f t="shared" si="57"/>
        <v>-5.7956515939709352E-2</v>
      </c>
      <c r="Q117" s="277"/>
      <c r="R117" s="288">
        <v>43494</v>
      </c>
      <c r="S117" s="422" t="s">
        <v>382</v>
      </c>
      <c r="T117" s="279"/>
    </row>
    <row r="118" spans="1:20" s="257" customFormat="1" x14ac:dyDescent="0.35">
      <c r="A118" s="267">
        <v>53</v>
      </c>
      <c r="B118" s="284" t="str">
        <f t="shared" si="52"/>
        <v>Historical</v>
      </c>
      <c r="C118" s="277"/>
      <c r="D118" s="295" t="str">
        <f ca="1">INDEX(INDIRECT(E118),0,COLUMN(MO_Common_Column_A))</f>
        <v>Net Income to Common Shareholders</v>
      </c>
      <c r="E118" s="285" t="s">
        <v>282</v>
      </c>
      <c r="F118" s="284" t="s">
        <v>277</v>
      </c>
      <c r="G118" s="277"/>
      <c r="H118" s="289">
        <v>6100</v>
      </c>
      <c r="I118" s="289">
        <v>6400</v>
      </c>
      <c r="J118" s="289">
        <f t="shared" si="54"/>
        <v>6250</v>
      </c>
      <c r="K118" s="277"/>
      <c r="L118" s="284" t="str">
        <f t="shared" si="55"/>
        <v>Actual</v>
      </c>
      <c r="M118" s="290">
        <f ca="1">IFERROR(INDEX(INDIRECT(E118),0,MATCH(F118,MO_Common_ColumnHeader,0)),"N/A")</f>
        <v>4570</v>
      </c>
      <c r="N118" s="278"/>
      <c r="O118" s="297">
        <f t="shared" ca="1" si="56"/>
        <v>-1680</v>
      </c>
      <c r="P118" s="296">
        <f t="shared" ca="1" si="57"/>
        <v>-0.26879999999999998</v>
      </c>
      <c r="Q118" s="277"/>
      <c r="R118" s="288">
        <v>43494</v>
      </c>
      <c r="S118" s="422" t="s">
        <v>382</v>
      </c>
      <c r="T118" s="279"/>
    </row>
    <row r="119" spans="1:20" s="257" customFormat="1" x14ac:dyDescent="0.35">
      <c r="A119" s="267">
        <v>52</v>
      </c>
      <c r="B119" s="284" t="str">
        <f t="shared" si="52"/>
        <v>Historical</v>
      </c>
      <c r="C119" s="277"/>
      <c r="D119" s="295" t="str">
        <f ca="1">INDEX(INDIRECT(E119),0,COLUMN(MO_Common_Column_A))</f>
        <v>Earnings Per Share - WAD</v>
      </c>
      <c r="E119" s="285" t="s">
        <v>279</v>
      </c>
      <c r="F119" s="284" t="s">
        <v>277</v>
      </c>
      <c r="G119" s="277"/>
      <c r="H119" s="291">
        <v>10.45</v>
      </c>
      <c r="I119" s="291">
        <v>10.9</v>
      </c>
      <c r="J119" s="291">
        <f t="shared" si="54"/>
        <v>10.675000000000001</v>
      </c>
      <c r="K119" s="277"/>
      <c r="L119" s="284" t="str">
        <f t="shared" si="55"/>
        <v>Actual</v>
      </c>
      <c r="M119" s="292">
        <f ca="1">IFERROR(INDEX(INDIRECT(E119),0,MATCH(F119,MO_Common_ColumnHeader,0)),"N/A")</f>
        <v>7.8106306614253969</v>
      </c>
      <c r="N119" s="278"/>
      <c r="O119" s="298">
        <f t="shared" ca="1" si="56"/>
        <v>-2.8643693385746039</v>
      </c>
      <c r="P119" s="296">
        <f t="shared" ca="1" si="57"/>
        <v>-0.26832499658778486</v>
      </c>
      <c r="Q119" s="277"/>
      <c r="R119" s="288">
        <v>43494</v>
      </c>
      <c r="S119" s="422" t="s">
        <v>382</v>
      </c>
      <c r="T119" s="279"/>
    </row>
    <row r="120" spans="1:20" s="257" customFormat="1" x14ac:dyDescent="0.35">
      <c r="A120" s="267">
        <v>51</v>
      </c>
      <c r="B120" s="284" t="str">
        <f t="shared" si="52"/>
        <v>Historical</v>
      </c>
      <c r="C120" s="277"/>
      <c r="D120" s="295" t="str">
        <f ca="1">INDEX(INDIRECT(E120),0,COLUMN(MO_Common_Column_A))</f>
        <v>Adjusted Net Income</v>
      </c>
      <c r="E120" s="285" t="s">
        <v>283</v>
      </c>
      <c r="F120" s="284" t="s">
        <v>277</v>
      </c>
      <c r="G120" s="277"/>
      <c r="H120" s="289">
        <v>6500</v>
      </c>
      <c r="I120" s="289">
        <v>6800</v>
      </c>
      <c r="J120" s="289">
        <f t="shared" si="54"/>
        <v>6650</v>
      </c>
      <c r="K120" s="277"/>
      <c r="L120" s="284" t="str">
        <f t="shared" si="55"/>
        <v>Actual</v>
      </c>
      <c r="M120" s="290">
        <f ca="1">IFERROR(INDEX(INDIRECT(E120),0,MATCH(F120,MO_Common_ColumnHeader,0)),"N/A")</f>
        <v>5193</v>
      </c>
      <c r="N120" s="278"/>
      <c r="O120" s="297">
        <f t="shared" ca="1" si="56"/>
        <v>-1457</v>
      </c>
      <c r="P120" s="296">
        <f t="shared" ca="1" si="57"/>
        <v>-0.21909774436090226</v>
      </c>
      <c r="Q120" s="277"/>
      <c r="R120" s="288">
        <v>43494</v>
      </c>
      <c r="S120" s="422" t="s">
        <v>382</v>
      </c>
      <c r="T120" s="279"/>
    </row>
    <row r="121" spans="1:20" s="257" customFormat="1" x14ac:dyDescent="0.35">
      <c r="A121" s="267">
        <v>50</v>
      </c>
      <c r="B121" s="284" t="str">
        <f t="shared" si="52"/>
        <v>Historical</v>
      </c>
      <c r="C121" s="277"/>
      <c r="D121" s="295" t="str">
        <f ca="1">INDEX(INDIRECT(E121),0,COLUMN(MO_Common_Column_A))</f>
        <v>Net CFO</v>
      </c>
      <c r="E121" s="285" t="s">
        <v>284</v>
      </c>
      <c r="F121" s="284" t="s">
        <v>277</v>
      </c>
      <c r="G121" s="277"/>
      <c r="H121" s="289">
        <v>7700</v>
      </c>
      <c r="I121" s="289">
        <v>8400</v>
      </c>
      <c r="J121" s="289">
        <f t="shared" si="54"/>
        <v>8050</v>
      </c>
      <c r="K121" s="277"/>
      <c r="L121" s="284" t="str">
        <f t="shared" si="55"/>
        <v>Actual</v>
      </c>
      <c r="M121" s="290">
        <f ca="1">IFERROR(INDEX(INDIRECT(E121),0,MATCH(F121,MO_Common_ColumnHeader,0)),"N/A")</f>
        <v>7070</v>
      </c>
      <c r="N121" s="278"/>
      <c r="O121" s="297">
        <f t="shared" ca="1" si="56"/>
        <v>-980</v>
      </c>
      <c r="P121" s="296">
        <f t="shared" ca="1" si="57"/>
        <v>-0.12173913043478261</v>
      </c>
      <c r="Q121" s="277"/>
      <c r="R121" s="288">
        <v>43494</v>
      </c>
      <c r="S121" s="422" t="s">
        <v>382</v>
      </c>
      <c r="T121" s="279"/>
    </row>
    <row r="122" spans="1:20" s="257" customFormat="1" x14ac:dyDescent="0.35">
      <c r="A122" s="267">
        <v>49</v>
      </c>
      <c r="B122" s="284" t="str">
        <f t="shared" si="52"/>
        <v>Historical</v>
      </c>
      <c r="C122" s="277"/>
      <c r="D122" s="295" t="str">
        <f ca="1">INDEX(INDIRECT(E122),0,COLUMN(MO_Common_Column_A))</f>
        <v>Capex</v>
      </c>
      <c r="E122" s="285" t="s">
        <v>285</v>
      </c>
      <c r="F122" s="284" t="s">
        <v>277</v>
      </c>
      <c r="G122" s="277"/>
      <c r="H122" s="289">
        <v>-1700</v>
      </c>
      <c r="I122" s="289">
        <v>-1900</v>
      </c>
      <c r="J122" s="289">
        <f t="shared" si="54"/>
        <v>-1800</v>
      </c>
      <c r="K122" s="277"/>
      <c r="L122" s="284" t="str">
        <f t="shared" si="55"/>
        <v>Actual</v>
      </c>
      <c r="M122" s="290">
        <f ca="1">IFERROR(INDEX(INDIRECT(E122),0,MATCH(F122,MO_Common_ColumnHeader,0)),"N/A")</f>
        <v>-1699</v>
      </c>
      <c r="N122" s="278"/>
      <c r="O122" s="297">
        <f t="shared" ca="1" si="56"/>
        <v>101</v>
      </c>
      <c r="P122" s="296">
        <f t="shared" ca="1" si="57"/>
        <v>5.6111111111111112E-2</v>
      </c>
      <c r="Q122" s="277"/>
      <c r="R122" s="288">
        <v>43494</v>
      </c>
      <c r="S122" s="422" t="s">
        <v>382</v>
      </c>
      <c r="T122" s="279"/>
    </row>
    <row r="123" spans="1:20" s="257" customFormat="1" x14ac:dyDescent="0.35">
      <c r="A123" s="267">
        <v>48</v>
      </c>
      <c r="B123" s="284" t="str">
        <f t="shared" si="52"/>
        <v>Historical</v>
      </c>
      <c r="C123" s="277"/>
      <c r="D123" s="295" t="s">
        <v>286</v>
      </c>
      <c r="E123" s="285"/>
      <c r="F123" s="284" t="s">
        <v>277</v>
      </c>
      <c r="G123" s="277"/>
      <c r="H123" s="289">
        <v>5800</v>
      </c>
      <c r="I123" s="289">
        <v>6700</v>
      </c>
      <c r="J123" s="289">
        <f t="shared" si="54"/>
        <v>6250</v>
      </c>
      <c r="K123" s="277"/>
      <c r="L123" s="284" t="str">
        <f t="shared" si="55"/>
        <v>Actual</v>
      </c>
      <c r="M123" s="290">
        <f>INDEX(MO_CFS_CFO,0,MATCH(F123,MO_Common_ColumnHeader,0))+INDEX(MO_CFSum_Capex,0,MATCH(F123,MO_Common_ColumnHeader,0))</f>
        <v>5371</v>
      </c>
      <c r="N123" s="278"/>
      <c r="O123" s="297">
        <f t="shared" si="56"/>
        <v>-879</v>
      </c>
      <c r="P123" s="296">
        <f t="shared" si="57"/>
        <v>-0.14063999999999999</v>
      </c>
      <c r="Q123" s="277"/>
      <c r="R123" s="288">
        <v>43494</v>
      </c>
      <c r="S123" s="422" t="s">
        <v>382</v>
      </c>
      <c r="T123" s="279"/>
    </row>
    <row r="124" spans="1:20" x14ac:dyDescent="0.35">
      <c r="A124" s="267">
        <v>47</v>
      </c>
      <c r="B124" s="284" t="str">
        <f t="shared" si="52"/>
        <v>Historical</v>
      </c>
      <c r="C124" s="277"/>
      <c r="D124" s="295" t="s">
        <v>280</v>
      </c>
      <c r="E124" s="285"/>
      <c r="F124" s="284" t="s">
        <v>277</v>
      </c>
      <c r="G124" s="277"/>
      <c r="H124" s="286">
        <v>0.95</v>
      </c>
      <c r="I124" s="286">
        <v>1.05</v>
      </c>
      <c r="J124" s="286">
        <f t="shared" si="54"/>
        <v>1</v>
      </c>
      <c r="K124" s="277"/>
      <c r="L124" s="284" t="str">
        <f t="shared" si="55"/>
        <v>Actual</v>
      </c>
      <c r="M124" s="287">
        <f ca="1">M123/M118</f>
        <v>1.1752735229759299</v>
      </c>
      <c r="N124" s="278"/>
      <c r="O124" s="296">
        <f t="shared" ca="1" si="56"/>
        <v>0.17527352297592991</v>
      </c>
      <c r="P124" s="296">
        <f t="shared" ca="1" si="57"/>
        <v>0.17527352297592991</v>
      </c>
      <c r="Q124" s="277"/>
      <c r="R124" s="288">
        <v>43494</v>
      </c>
      <c r="S124" s="422" t="s">
        <v>382</v>
      </c>
      <c r="T124" s="277"/>
    </row>
    <row r="125" spans="1:20" s="257" customFormat="1" x14ac:dyDescent="0.35">
      <c r="A125" s="267">
        <v>46</v>
      </c>
      <c r="B125" s="284" t="str">
        <f t="shared" si="52"/>
        <v>Historical</v>
      </c>
      <c r="C125" s="277"/>
      <c r="D125" s="295" t="str">
        <f ca="1">INDEX(INDIRECT(E125),0,COLUMN(MO_Common_Column_A))</f>
        <v>R&amp;D (adj. for SBC)</v>
      </c>
      <c r="E125" s="285" t="s">
        <v>613</v>
      </c>
      <c r="F125" s="284" t="s">
        <v>277</v>
      </c>
      <c r="G125" s="277"/>
      <c r="H125" s="289">
        <v>1900</v>
      </c>
      <c r="I125" s="289">
        <v>1900</v>
      </c>
      <c r="J125" s="289">
        <f t="shared" si="54"/>
        <v>1900</v>
      </c>
      <c r="K125" s="277"/>
      <c r="L125" s="284" t="str">
        <f t="shared" si="55"/>
        <v>Actual</v>
      </c>
      <c r="M125" s="290">
        <f ca="1">IFERROR(INDEX(INDIRECT(E125),0,MATCH(F125,MO_Common_ColumnHeader,0)),"N/A")</f>
        <v>1865</v>
      </c>
      <c r="N125" s="278"/>
      <c r="O125" s="297">
        <f t="shared" ca="1" si="56"/>
        <v>-35</v>
      </c>
      <c r="P125" s="296">
        <f t="shared" ca="1" si="57"/>
        <v>-1.8421052631578946E-2</v>
      </c>
      <c r="Q125" s="277"/>
      <c r="R125" s="288">
        <v>43494</v>
      </c>
      <c r="S125" s="422" t="s">
        <v>382</v>
      </c>
      <c r="T125" s="279"/>
    </row>
    <row r="126" spans="1:20" s="257" customFormat="1" x14ac:dyDescent="0.35">
      <c r="A126" s="267">
        <v>45</v>
      </c>
      <c r="B126" s="277"/>
      <c r="C126" s="277"/>
      <c r="D126" s="274"/>
      <c r="E126" s="275"/>
      <c r="F126" s="277"/>
      <c r="G126" s="277"/>
      <c r="H126" s="277"/>
      <c r="I126" s="277"/>
      <c r="J126" s="277"/>
      <c r="K126" s="277"/>
      <c r="L126" s="277"/>
      <c r="M126" s="277"/>
      <c r="N126" s="277"/>
      <c r="O126" s="274"/>
      <c r="P126" s="299"/>
      <c r="Q126" s="277"/>
      <c r="R126" s="276"/>
      <c r="S126" s="300"/>
      <c r="T126" s="279"/>
    </row>
    <row r="127" spans="1:20" s="257" customFormat="1" x14ac:dyDescent="0.35">
      <c r="A127" s="267">
        <v>44</v>
      </c>
      <c r="B127" s="284" t="str">
        <f t="shared" ref="B127:B140" si="58">IF(MATCH(F127,MO_Common_ColumnHeader,0)&gt;UL.MRQColNum,"Forward","Historical")</f>
        <v>Historical</v>
      </c>
      <c r="C127" s="277"/>
      <c r="D127" s="295" t="str">
        <f ca="1">INDEX(INDIRECT(E127),0,COLUMN(MO_Common_Column_A))</f>
        <v>Total Organic local-currency revenue growth, %</v>
      </c>
      <c r="E127" s="285" t="s">
        <v>276</v>
      </c>
      <c r="F127" s="284" t="s">
        <v>287</v>
      </c>
      <c r="G127" s="277"/>
      <c r="H127" s="286">
        <v>0.03</v>
      </c>
      <c r="I127" s="286">
        <v>0.03</v>
      </c>
      <c r="J127" s="286">
        <f t="shared" ref="J127:J140" si="59">AVERAGE(H127:I127)</f>
        <v>0.03</v>
      </c>
      <c r="K127" s="277"/>
      <c r="L127" s="284" t="str">
        <f t="shared" ref="L127:L140" si="60">IF(MATCH(F127,MO_Common_ColumnHeader,0)&gt;UL.MRQColNum,"Estimate","Actual")</f>
        <v>Actual</v>
      </c>
      <c r="M127" s="287">
        <f ca="1">IFERROR(INDEX(INDIRECT(E127),0,MATCH(F127,MO_Common_ColumnHeader,0)),"N/A")</f>
        <v>3.1540449189752663E-2</v>
      </c>
      <c r="N127" s="278"/>
      <c r="O127" s="296">
        <f t="shared" ref="O127:O140" ca="1" si="61">IF(ISNUMBER(M127),M127-J127,"N/A")</f>
        <v>1.5404491897526643E-3</v>
      </c>
      <c r="P127" s="296">
        <f t="shared" ref="P127:P140" ca="1" si="62">IFERROR(IF(ISNUMBER(M127),(M127-J127)/ABS(J127),"N/A"),"N/A")</f>
        <v>5.1348306325088813E-2</v>
      </c>
      <c r="Q127" s="277"/>
      <c r="R127" s="288">
        <v>43396</v>
      </c>
      <c r="S127" s="422" t="s">
        <v>382</v>
      </c>
      <c r="T127" s="279"/>
    </row>
    <row r="128" spans="1:20" s="257" customFormat="1" x14ac:dyDescent="0.35">
      <c r="A128" s="267">
        <v>43</v>
      </c>
      <c r="B128" s="284" t="str">
        <f t="shared" si="58"/>
        <v>Historical</v>
      </c>
      <c r="C128" s="277"/>
      <c r="D128" s="295" t="str">
        <f ca="1">INDEX(INDIRECT(E128),0,COLUMN(MO_Common_Column_A))</f>
        <v>Total Acquisition impact on revenue, %</v>
      </c>
      <c r="E128" s="285" t="s">
        <v>600</v>
      </c>
      <c r="F128" s="284" t="s">
        <v>287</v>
      </c>
      <c r="G128" s="277"/>
      <c r="H128" s="286">
        <v>0</v>
      </c>
      <c r="I128" s="286">
        <v>0</v>
      </c>
      <c r="J128" s="286">
        <f t="shared" si="59"/>
        <v>0</v>
      </c>
      <c r="K128" s="277"/>
      <c r="L128" s="284" t="str">
        <f t="shared" si="60"/>
        <v>Actual</v>
      </c>
      <c r="M128" s="287">
        <f ca="1">IFERROR(INDEX(INDIRECT(E128),0,MATCH(F128,MO_Common_ColumnHeader,0)),"N/A")</f>
        <v>1.418166598224721E-2</v>
      </c>
      <c r="N128" s="278"/>
      <c r="O128" s="296">
        <f t="shared" ca="1" si="61"/>
        <v>1.418166598224721E-2</v>
      </c>
      <c r="P128" s="296" t="str">
        <f t="shared" ca="1" si="62"/>
        <v>N/A</v>
      </c>
      <c r="Q128" s="277"/>
      <c r="R128" s="288">
        <v>43396</v>
      </c>
      <c r="S128" s="422" t="s">
        <v>382</v>
      </c>
      <c r="T128" s="279"/>
    </row>
    <row r="129" spans="1:20" s="257" customFormat="1" x14ac:dyDescent="0.35">
      <c r="A129" s="267">
        <v>42</v>
      </c>
      <c r="B129" s="284" t="str">
        <f t="shared" si="58"/>
        <v>Historical</v>
      </c>
      <c r="C129" s="277"/>
      <c r="D129" s="295" t="str">
        <f ca="1">INDEX(INDIRECT(E129),0,COLUMN(MO_Common_Column_A))</f>
        <v>Total Translation impact on revenue, %</v>
      </c>
      <c r="E129" s="285" t="s">
        <v>601</v>
      </c>
      <c r="F129" s="284" t="s">
        <v>287</v>
      </c>
      <c r="G129" s="277"/>
      <c r="H129" s="286">
        <v>0</v>
      </c>
      <c r="I129" s="286">
        <v>0</v>
      </c>
      <c r="J129" s="286">
        <f t="shared" si="59"/>
        <v>0</v>
      </c>
      <c r="K129" s="277"/>
      <c r="L129" s="284" t="str">
        <f t="shared" si="60"/>
        <v>Actual</v>
      </c>
      <c r="M129" s="287">
        <f ca="1">IFERROR(INDEX(INDIRECT(E129),0,MATCH(F129,MO_Common_ColumnHeader,0)),"N/A")</f>
        <v>2.4694696275705222E-3</v>
      </c>
      <c r="N129" s="278"/>
      <c r="O129" s="296">
        <f t="shared" ca="1" si="61"/>
        <v>2.4694696275705222E-3</v>
      </c>
      <c r="P129" s="296" t="str">
        <f t="shared" ca="1" si="62"/>
        <v>N/A</v>
      </c>
      <c r="Q129" s="277"/>
      <c r="R129" s="288">
        <v>43396</v>
      </c>
      <c r="S129" s="422" t="s">
        <v>382</v>
      </c>
      <c r="T129" s="279"/>
    </row>
    <row r="130" spans="1:20" s="257" customFormat="1" x14ac:dyDescent="0.35">
      <c r="A130" s="267">
        <v>41</v>
      </c>
      <c r="B130" s="284" t="str">
        <f t="shared" si="58"/>
        <v>Historical</v>
      </c>
      <c r="C130" s="277"/>
      <c r="D130" s="295" t="str">
        <f ca="1">INDEX(INDIRECT(E130),0,COLUMN(MO_Common_Column_A))</f>
        <v>EBT</v>
      </c>
      <c r="E130" s="285" t="s">
        <v>288</v>
      </c>
      <c r="F130" s="284" t="s">
        <v>287</v>
      </c>
      <c r="G130" s="277"/>
      <c r="H130" s="289">
        <v>7000</v>
      </c>
      <c r="I130" s="289">
        <v>7100</v>
      </c>
      <c r="J130" s="289">
        <f t="shared" si="59"/>
        <v>7050</v>
      </c>
      <c r="K130" s="277"/>
      <c r="L130" s="284" t="str">
        <f t="shared" si="60"/>
        <v>Actual</v>
      </c>
      <c r="M130" s="290">
        <f ca="1">IFERROR(INDEX(INDIRECT(E130),0,MATCH(F130,MO_Common_ColumnHeader,0)),"N/A")</f>
        <v>7000</v>
      </c>
      <c r="N130" s="278"/>
      <c r="O130" s="297">
        <f t="shared" ca="1" si="61"/>
        <v>-50</v>
      </c>
      <c r="P130" s="296">
        <f t="shared" ca="1" si="62"/>
        <v>-7.0921985815602835E-3</v>
      </c>
      <c r="Q130" s="277"/>
      <c r="R130" s="288">
        <v>43396</v>
      </c>
      <c r="S130" s="422" t="s">
        <v>382</v>
      </c>
      <c r="T130" s="279"/>
    </row>
    <row r="131" spans="1:20" s="257" customFormat="1" x14ac:dyDescent="0.35">
      <c r="A131" s="267">
        <v>40</v>
      </c>
      <c r="B131" s="284" t="str">
        <f t="shared" si="58"/>
        <v>Historical</v>
      </c>
      <c r="C131" s="277"/>
      <c r="D131" s="295" t="s">
        <v>289</v>
      </c>
      <c r="E131" s="285"/>
      <c r="F131" s="284" t="s">
        <v>287</v>
      </c>
      <c r="G131" s="277"/>
      <c r="H131" s="289">
        <v>1600</v>
      </c>
      <c r="I131" s="289">
        <v>1700</v>
      </c>
      <c r="J131" s="289">
        <f t="shared" si="59"/>
        <v>1650</v>
      </c>
      <c r="K131" s="277"/>
      <c r="L131" s="284" t="str">
        <f t="shared" si="60"/>
        <v>Actual</v>
      </c>
      <c r="M131" s="290">
        <f>INDEX(MO_RIS_Tax_Current,0,MATCH(F131,MO_Common_ColumnHeader,0))+INDEX(MO_RIS_Tax_Deferred,0,MATCH(F131,MO_Common_ColumnHeader,0))</f>
        <v>1637</v>
      </c>
      <c r="N131" s="278"/>
      <c r="O131" s="297">
        <f t="shared" si="61"/>
        <v>-13</v>
      </c>
      <c r="P131" s="296">
        <f t="shared" si="62"/>
        <v>-7.8787878787878792E-3</v>
      </c>
      <c r="Q131" s="277"/>
      <c r="R131" s="288">
        <v>43396</v>
      </c>
      <c r="S131" s="422" t="s">
        <v>382</v>
      </c>
      <c r="T131" s="279"/>
    </row>
    <row r="132" spans="1:20" s="257" customFormat="1" x14ac:dyDescent="0.35">
      <c r="A132" s="267">
        <v>39</v>
      </c>
      <c r="B132" s="284" t="str">
        <f t="shared" si="58"/>
        <v>Historical</v>
      </c>
      <c r="C132" s="277"/>
      <c r="D132" s="295" t="s">
        <v>281</v>
      </c>
      <c r="E132" s="285"/>
      <c r="F132" s="284" t="s">
        <v>287</v>
      </c>
      <c r="G132" s="277"/>
      <c r="H132" s="286">
        <v>0.23</v>
      </c>
      <c r="I132" s="286">
        <v>0.25</v>
      </c>
      <c r="J132" s="286">
        <f t="shared" si="59"/>
        <v>0.24</v>
      </c>
      <c r="K132" s="277"/>
      <c r="L132" s="284" t="str">
        <f t="shared" si="60"/>
        <v>Actual</v>
      </c>
      <c r="M132" s="287">
        <f>INDEX(MO_RIS_TaxRate_Current,0,MATCH(F132,MO_Common_ColumnHeader,0))+INDEX(MO_RIS_TaxRate_Deferred,0,MATCH(F132,MO_Common_ColumnHeader,0))</f>
        <v>0.23385714285714285</v>
      </c>
      <c r="N132" s="200"/>
      <c r="O132" s="296">
        <f t="shared" si="61"/>
        <v>-6.1428571428571443E-3</v>
      </c>
      <c r="P132" s="296">
        <f t="shared" si="62"/>
        <v>-2.5595238095238101E-2</v>
      </c>
      <c r="Q132" s="277"/>
      <c r="R132" s="288">
        <v>43396</v>
      </c>
      <c r="S132" s="422" t="s">
        <v>382</v>
      </c>
      <c r="T132" s="279"/>
    </row>
    <row r="133" spans="1:20" s="257" customFormat="1" x14ac:dyDescent="0.35">
      <c r="A133" s="267">
        <v>38</v>
      </c>
      <c r="B133" s="284" t="str">
        <f t="shared" si="58"/>
        <v>Historical</v>
      </c>
      <c r="C133" s="277"/>
      <c r="D133" s="295" t="str">
        <f t="shared" ref="D133:D138" ca="1" si="63">INDEX(INDIRECT(E133),0,COLUMN(MO_Common_Column_A))</f>
        <v>Net Income to Common Shareholders</v>
      </c>
      <c r="E133" s="285" t="s">
        <v>282</v>
      </c>
      <c r="F133" s="284" t="s">
        <v>287</v>
      </c>
      <c r="G133" s="277"/>
      <c r="H133" s="289">
        <v>5300</v>
      </c>
      <c r="I133" s="289">
        <v>5500</v>
      </c>
      <c r="J133" s="289">
        <f t="shared" si="59"/>
        <v>5400</v>
      </c>
      <c r="K133" s="277"/>
      <c r="L133" s="284" t="str">
        <f t="shared" si="60"/>
        <v>Actual</v>
      </c>
      <c r="M133" s="290">
        <f t="shared" ref="M133:M138" ca="1" si="64">IFERROR(INDEX(INDIRECT(E133),0,MATCH(F133,MO_Common_ColumnHeader,0)),"N/A")</f>
        <v>5349</v>
      </c>
      <c r="N133" s="278"/>
      <c r="O133" s="297">
        <f t="shared" ca="1" si="61"/>
        <v>-51</v>
      </c>
      <c r="P133" s="296">
        <f t="shared" ca="1" si="62"/>
        <v>-9.4444444444444445E-3</v>
      </c>
      <c r="Q133" s="277"/>
      <c r="R133" s="288">
        <v>43396</v>
      </c>
      <c r="S133" s="422" t="s">
        <v>382</v>
      </c>
      <c r="T133" s="279"/>
    </row>
    <row r="134" spans="1:20" s="257" customFormat="1" x14ac:dyDescent="0.35">
      <c r="A134" s="267">
        <v>37</v>
      </c>
      <c r="B134" s="284" t="str">
        <f t="shared" si="58"/>
        <v>Historical</v>
      </c>
      <c r="C134" s="277"/>
      <c r="D134" s="295" t="str">
        <f t="shared" ca="1" si="63"/>
        <v>Earnings Per Share - WAD</v>
      </c>
      <c r="E134" s="285" t="s">
        <v>279</v>
      </c>
      <c r="F134" s="284" t="s">
        <v>287</v>
      </c>
      <c r="G134" s="277"/>
      <c r="H134" s="291">
        <v>8.7799999999999994</v>
      </c>
      <c r="I134" s="291">
        <v>8.93</v>
      </c>
      <c r="J134" s="291">
        <f t="shared" si="59"/>
        <v>8.8550000000000004</v>
      </c>
      <c r="K134" s="277"/>
      <c r="L134" s="284" t="str">
        <f t="shared" si="60"/>
        <v>Actual</v>
      </c>
      <c r="M134" s="292">
        <f t="shared" ca="1" si="64"/>
        <v>8.8853820598006639</v>
      </c>
      <c r="N134" s="278"/>
      <c r="O134" s="298">
        <f t="shared" ca="1" si="61"/>
        <v>3.0382059800663441E-2</v>
      </c>
      <c r="P134" s="296">
        <f t="shared" ca="1" si="62"/>
        <v>3.4310626539427939E-3</v>
      </c>
      <c r="Q134" s="277"/>
      <c r="R134" s="288">
        <v>43396</v>
      </c>
      <c r="S134" s="422" t="s">
        <v>382</v>
      </c>
      <c r="T134" s="279"/>
    </row>
    <row r="135" spans="1:20" s="257" customFormat="1" x14ac:dyDescent="0.35">
      <c r="A135" s="267">
        <v>36</v>
      </c>
      <c r="B135" s="284" t="str">
        <f t="shared" si="58"/>
        <v>Historical</v>
      </c>
      <c r="C135" s="277"/>
      <c r="D135" s="295" t="str">
        <f t="shared" ca="1" si="63"/>
        <v>Adjusted Net Income</v>
      </c>
      <c r="E135" s="285" t="s">
        <v>283</v>
      </c>
      <c r="F135" s="284" t="s">
        <v>287</v>
      </c>
      <c r="G135" s="277"/>
      <c r="H135" s="289">
        <v>5900</v>
      </c>
      <c r="I135" s="289">
        <v>6100</v>
      </c>
      <c r="J135" s="289">
        <f t="shared" si="59"/>
        <v>6000</v>
      </c>
      <c r="K135" s="277"/>
      <c r="L135" s="284" t="str">
        <f t="shared" si="60"/>
        <v>Actual</v>
      </c>
      <c r="M135" s="290">
        <f t="shared" ca="1" si="64"/>
        <v>6295</v>
      </c>
      <c r="N135" s="278"/>
      <c r="O135" s="297">
        <f t="shared" ca="1" si="61"/>
        <v>295</v>
      </c>
      <c r="P135" s="296">
        <f t="shared" ca="1" si="62"/>
        <v>4.9166666666666664E-2</v>
      </c>
      <c r="Q135" s="277"/>
      <c r="R135" s="288">
        <v>43396</v>
      </c>
      <c r="S135" s="422" t="s">
        <v>382</v>
      </c>
      <c r="T135" s="279"/>
    </row>
    <row r="136" spans="1:20" s="257" customFormat="1" x14ac:dyDescent="0.35">
      <c r="A136" s="267">
        <v>35</v>
      </c>
      <c r="B136" s="284" t="str">
        <f t="shared" si="58"/>
        <v>Historical</v>
      </c>
      <c r="C136" s="277"/>
      <c r="D136" s="295" t="str">
        <f t="shared" ca="1" si="63"/>
        <v>Adjusted Earnings Per Share - WAD</v>
      </c>
      <c r="E136" s="285" t="s">
        <v>290</v>
      </c>
      <c r="F136" s="284" t="s">
        <v>287</v>
      </c>
      <c r="G136" s="277"/>
      <c r="H136" s="291">
        <v>9.9</v>
      </c>
      <c r="I136" s="291">
        <v>10</v>
      </c>
      <c r="J136" s="291">
        <f t="shared" si="59"/>
        <v>9.9499999999999993</v>
      </c>
      <c r="K136" s="277"/>
      <c r="L136" s="284" t="str">
        <f t="shared" si="60"/>
        <v>Actual</v>
      </c>
      <c r="M136" s="292">
        <f t="shared" ca="1" si="64"/>
        <v>10.456810631229235</v>
      </c>
      <c r="N136" s="278"/>
      <c r="O136" s="298">
        <f t="shared" ca="1" si="61"/>
        <v>0.50681063122923575</v>
      </c>
      <c r="P136" s="296">
        <f t="shared" ca="1" si="62"/>
        <v>5.0935741832083999E-2</v>
      </c>
      <c r="Q136" s="277"/>
      <c r="R136" s="288">
        <v>43396</v>
      </c>
      <c r="S136" s="422" t="s">
        <v>382</v>
      </c>
      <c r="T136" s="279"/>
    </row>
    <row r="137" spans="1:20" s="257" customFormat="1" x14ac:dyDescent="0.35">
      <c r="A137" s="267">
        <v>34</v>
      </c>
      <c r="B137" s="284" t="str">
        <f t="shared" si="58"/>
        <v>Historical</v>
      </c>
      <c r="C137" s="277"/>
      <c r="D137" s="295" t="str">
        <f t="shared" ca="1" si="63"/>
        <v>Net CFO</v>
      </c>
      <c r="E137" s="285" t="s">
        <v>284</v>
      </c>
      <c r="F137" s="284" t="s">
        <v>287</v>
      </c>
      <c r="G137" s="277"/>
      <c r="H137" s="289">
        <v>6400</v>
      </c>
      <c r="I137" s="289">
        <v>6800</v>
      </c>
      <c r="J137" s="289">
        <f t="shared" si="59"/>
        <v>6600</v>
      </c>
      <c r="K137" s="277"/>
      <c r="L137" s="284" t="str">
        <f t="shared" si="60"/>
        <v>Actual</v>
      </c>
      <c r="M137" s="290">
        <f t="shared" ca="1" si="64"/>
        <v>6439</v>
      </c>
      <c r="N137" s="278"/>
      <c r="O137" s="297">
        <f t="shared" ca="1" si="61"/>
        <v>-161</v>
      </c>
      <c r="P137" s="296">
        <f t="shared" ca="1" si="62"/>
        <v>-2.4393939393939395E-2</v>
      </c>
      <c r="Q137" s="277"/>
      <c r="R137" s="288">
        <v>43396</v>
      </c>
      <c r="S137" s="422" t="s">
        <v>382</v>
      </c>
      <c r="T137" s="279"/>
    </row>
    <row r="138" spans="1:20" s="257" customFormat="1" x14ac:dyDescent="0.35">
      <c r="A138" s="267">
        <v>33</v>
      </c>
      <c r="B138" s="284" t="str">
        <f t="shared" si="58"/>
        <v>Historical</v>
      </c>
      <c r="C138" s="277"/>
      <c r="D138" s="295" t="str">
        <f t="shared" ca="1" si="63"/>
        <v>Capex</v>
      </c>
      <c r="E138" s="285" t="s">
        <v>285</v>
      </c>
      <c r="F138" s="284" t="s">
        <v>287</v>
      </c>
      <c r="G138" s="277"/>
      <c r="H138" s="289">
        <v>-1600</v>
      </c>
      <c r="I138" s="289">
        <v>-1600</v>
      </c>
      <c r="J138" s="289">
        <f t="shared" si="59"/>
        <v>-1600</v>
      </c>
      <c r="K138" s="277"/>
      <c r="L138" s="284" t="str">
        <f t="shared" si="60"/>
        <v>Actual</v>
      </c>
      <c r="M138" s="290">
        <f t="shared" ca="1" si="64"/>
        <v>-1577</v>
      </c>
      <c r="N138" s="278"/>
      <c r="O138" s="297">
        <f t="shared" ca="1" si="61"/>
        <v>23</v>
      </c>
      <c r="P138" s="296">
        <f t="shared" ca="1" si="62"/>
        <v>1.4375000000000001E-2</v>
      </c>
      <c r="Q138" s="277"/>
      <c r="R138" s="288">
        <v>43396</v>
      </c>
      <c r="S138" s="422" t="s">
        <v>382</v>
      </c>
      <c r="T138" s="279"/>
    </row>
    <row r="139" spans="1:20" x14ac:dyDescent="0.35">
      <c r="A139" s="267">
        <v>32</v>
      </c>
      <c r="B139" s="284" t="str">
        <f t="shared" si="58"/>
        <v>Historical</v>
      </c>
      <c r="C139" s="277"/>
      <c r="D139" s="295" t="s">
        <v>286</v>
      </c>
      <c r="E139" s="285"/>
      <c r="F139" s="284" t="s">
        <v>287</v>
      </c>
      <c r="G139" s="277"/>
      <c r="H139" s="289">
        <v>4800</v>
      </c>
      <c r="I139" s="289">
        <v>5200</v>
      </c>
      <c r="J139" s="289">
        <f t="shared" si="59"/>
        <v>5000</v>
      </c>
      <c r="K139" s="277"/>
      <c r="L139" s="284" t="str">
        <f t="shared" si="60"/>
        <v>Actual</v>
      </c>
      <c r="M139" s="290">
        <f>INDEX(MO_CFS_CFO,0,MATCH(F139,MO_Common_ColumnHeader,0))+INDEX(MO_CFSum_Capex,0,MATCH(F139,MO_Common_ColumnHeader,0))</f>
        <v>4862</v>
      </c>
      <c r="N139" s="278"/>
      <c r="O139" s="297">
        <f t="shared" si="61"/>
        <v>-138</v>
      </c>
      <c r="P139" s="296">
        <f t="shared" si="62"/>
        <v>-2.76E-2</v>
      </c>
      <c r="Q139" s="277"/>
      <c r="R139" s="288">
        <v>43396</v>
      </c>
      <c r="S139" s="422" t="s">
        <v>382</v>
      </c>
      <c r="T139" s="277"/>
    </row>
    <row r="140" spans="1:20" s="257" customFormat="1" x14ac:dyDescent="0.35">
      <c r="A140" s="267">
        <v>31</v>
      </c>
      <c r="B140" s="284" t="str">
        <f t="shared" si="58"/>
        <v>Historical</v>
      </c>
      <c r="C140" s="277"/>
      <c r="D140" s="295" t="s">
        <v>280</v>
      </c>
      <c r="E140" s="285"/>
      <c r="F140" s="284" t="s">
        <v>287</v>
      </c>
      <c r="G140" s="277"/>
      <c r="H140" s="286">
        <v>0.9</v>
      </c>
      <c r="I140" s="286">
        <v>0.95</v>
      </c>
      <c r="J140" s="286">
        <f t="shared" si="59"/>
        <v>0.92500000000000004</v>
      </c>
      <c r="K140" s="277"/>
      <c r="L140" s="284" t="str">
        <f t="shared" si="60"/>
        <v>Actual</v>
      </c>
      <c r="M140" s="287">
        <f ca="1">M139/M133</f>
        <v>0.90895494484950456</v>
      </c>
      <c r="N140" s="278"/>
      <c r="O140" s="296">
        <f t="shared" ca="1" si="61"/>
        <v>-1.604505515049548E-2</v>
      </c>
      <c r="P140" s="296">
        <f t="shared" ca="1" si="62"/>
        <v>-1.7346005568103222E-2</v>
      </c>
      <c r="Q140" s="277"/>
      <c r="R140" s="288">
        <v>43396</v>
      </c>
      <c r="S140" s="422" t="s">
        <v>382</v>
      </c>
      <c r="T140" s="279"/>
    </row>
    <row r="141" spans="1:20" s="257" customFormat="1" x14ac:dyDescent="0.35">
      <c r="A141" s="267">
        <v>30</v>
      </c>
      <c r="B141" s="277"/>
      <c r="C141" s="277"/>
      <c r="D141" s="274"/>
      <c r="E141" s="275"/>
      <c r="F141" s="277"/>
      <c r="G141" s="277"/>
      <c r="H141" s="277"/>
      <c r="I141" s="277"/>
      <c r="J141" s="277"/>
      <c r="K141" s="277"/>
      <c r="L141" s="277"/>
      <c r="M141" s="277"/>
      <c r="N141" s="277"/>
      <c r="O141" s="274"/>
      <c r="P141" s="299"/>
      <c r="Q141" s="277"/>
      <c r="R141" s="276"/>
      <c r="S141" s="300"/>
      <c r="T141" s="279"/>
    </row>
    <row r="142" spans="1:20" s="257" customFormat="1" x14ac:dyDescent="0.35">
      <c r="A142" s="267">
        <v>29</v>
      </c>
      <c r="B142" s="284" t="str">
        <f t="shared" ref="B142:B155" si="65">IF(MATCH(F142,MO_Common_ColumnHeader,0)&gt;UL.MRQColNum,"Forward","Historical")</f>
        <v>Historical</v>
      </c>
      <c r="C142" s="277"/>
      <c r="D142" s="295" t="str">
        <f ca="1">INDEX(INDIRECT(E142),0,COLUMN(MO_Common_Column_A))</f>
        <v>Total Organic local-currency revenue growth, %</v>
      </c>
      <c r="E142" s="285" t="s">
        <v>276</v>
      </c>
      <c r="F142" s="284" t="s">
        <v>287</v>
      </c>
      <c r="G142" s="277"/>
      <c r="H142" s="286">
        <v>0.03</v>
      </c>
      <c r="I142" s="286">
        <v>0.04</v>
      </c>
      <c r="J142" s="286">
        <f t="shared" ref="J142:J155" si="66">AVERAGE(H142:I142)</f>
        <v>3.5000000000000003E-2</v>
      </c>
      <c r="K142" s="277"/>
      <c r="L142" s="284" t="str">
        <f t="shared" ref="L142:L155" si="67">IF(MATCH(F142,MO_Common_ColumnHeader,0)&gt;UL.MRQColNum,"Estimate","Actual")</f>
        <v>Actual</v>
      </c>
      <c r="M142" s="287">
        <f ca="1">IFERROR(INDEX(INDIRECT(E142),0,MATCH(F142,MO_Common_ColumnHeader,0)),"N/A")</f>
        <v>3.1540449189752663E-2</v>
      </c>
      <c r="N142" s="278"/>
      <c r="O142" s="296">
        <f t="shared" ref="O142:O155" ca="1" si="68">IF(ISNUMBER(M142),M142-J142,"N/A")</f>
        <v>-3.4595508102473402E-3</v>
      </c>
      <c r="P142" s="296">
        <f t="shared" ref="P142:P155" ca="1" si="69">IFERROR(IF(ISNUMBER(M142),(M142-J142)/ABS(J142),"N/A"),"N/A")</f>
        <v>-9.884430886420971E-2</v>
      </c>
      <c r="Q142" s="277"/>
      <c r="R142" s="288">
        <v>43305</v>
      </c>
      <c r="S142" s="422" t="s">
        <v>382</v>
      </c>
      <c r="T142" s="279"/>
    </row>
    <row r="143" spans="1:20" s="257" customFormat="1" x14ac:dyDescent="0.35">
      <c r="A143" s="267">
        <v>28</v>
      </c>
      <c r="B143" s="284" t="str">
        <f t="shared" si="65"/>
        <v>Historical</v>
      </c>
      <c r="C143" s="277"/>
      <c r="D143" s="295" t="str">
        <f ca="1">INDEX(INDIRECT(E143),0,COLUMN(MO_Common_Column_A))</f>
        <v>Total Acquisition impact on revenue, %</v>
      </c>
      <c r="E143" s="285" t="s">
        <v>600</v>
      </c>
      <c r="F143" s="284" t="s">
        <v>287</v>
      </c>
      <c r="G143" s="277"/>
      <c r="H143" s="286">
        <v>0.01</v>
      </c>
      <c r="I143" s="286">
        <v>0.01</v>
      </c>
      <c r="J143" s="286">
        <f t="shared" si="66"/>
        <v>0.01</v>
      </c>
      <c r="K143" s="277"/>
      <c r="L143" s="284" t="str">
        <f t="shared" si="67"/>
        <v>Actual</v>
      </c>
      <c r="M143" s="287">
        <f ca="1">IFERROR(INDEX(INDIRECT(E143),0,MATCH(F143,MO_Common_ColumnHeader,0)),"N/A")</f>
        <v>1.418166598224721E-2</v>
      </c>
      <c r="N143" s="278"/>
      <c r="O143" s="296">
        <f t="shared" ca="1" si="68"/>
        <v>4.18166598224721E-3</v>
      </c>
      <c r="P143" s="296">
        <f t="shared" ca="1" si="69"/>
        <v>0.41816659822472096</v>
      </c>
      <c r="Q143" s="277"/>
      <c r="R143" s="288">
        <v>43305</v>
      </c>
      <c r="S143" s="422" t="s">
        <v>382</v>
      </c>
      <c r="T143" s="279"/>
    </row>
    <row r="144" spans="1:20" s="257" customFormat="1" x14ac:dyDescent="0.35">
      <c r="A144" s="267">
        <v>27</v>
      </c>
      <c r="B144" s="284" t="str">
        <f t="shared" si="65"/>
        <v>Historical</v>
      </c>
      <c r="C144" s="277"/>
      <c r="D144" s="295" t="str">
        <f ca="1">INDEX(INDIRECT(E144),0,COLUMN(MO_Common_Column_A))</f>
        <v>Total Translation impact on revenue, %</v>
      </c>
      <c r="E144" s="285" t="s">
        <v>601</v>
      </c>
      <c r="F144" s="284" t="s">
        <v>287</v>
      </c>
      <c r="G144" s="277"/>
      <c r="H144" s="286">
        <v>0.01</v>
      </c>
      <c r="I144" s="286">
        <v>0.01</v>
      </c>
      <c r="J144" s="286">
        <f t="shared" si="66"/>
        <v>0.01</v>
      </c>
      <c r="K144" s="277"/>
      <c r="L144" s="284" t="str">
        <f t="shared" si="67"/>
        <v>Actual</v>
      </c>
      <c r="M144" s="287">
        <f ca="1">IFERROR(INDEX(INDIRECT(E144),0,MATCH(F144,MO_Common_ColumnHeader,0)),"N/A")</f>
        <v>2.4694696275705222E-3</v>
      </c>
      <c r="N144" s="278"/>
      <c r="O144" s="296">
        <f t="shared" ca="1" si="68"/>
        <v>-7.5305303724294784E-3</v>
      </c>
      <c r="P144" s="296">
        <f t="shared" ca="1" si="69"/>
        <v>-0.75305303724294781</v>
      </c>
      <c r="Q144" s="277"/>
      <c r="R144" s="288">
        <v>43305</v>
      </c>
      <c r="S144" s="422" t="s">
        <v>382</v>
      </c>
      <c r="T144" s="279"/>
    </row>
    <row r="145" spans="1:20" s="257" customFormat="1" x14ac:dyDescent="0.35">
      <c r="A145" s="267">
        <v>26</v>
      </c>
      <c r="B145" s="284" t="str">
        <f t="shared" si="65"/>
        <v>Historical</v>
      </c>
      <c r="C145" s="277"/>
      <c r="D145" s="295" t="str">
        <f ca="1">INDEX(INDIRECT(E145),0,COLUMN(MO_Common_Column_A))</f>
        <v>EBT</v>
      </c>
      <c r="E145" s="285" t="s">
        <v>288</v>
      </c>
      <c r="F145" s="284" t="s">
        <v>287</v>
      </c>
      <c r="G145" s="277"/>
      <c r="H145" s="289">
        <v>7300</v>
      </c>
      <c r="I145" s="289">
        <v>7400</v>
      </c>
      <c r="J145" s="289">
        <f t="shared" si="66"/>
        <v>7350</v>
      </c>
      <c r="K145" s="277"/>
      <c r="L145" s="284" t="str">
        <f t="shared" si="67"/>
        <v>Actual</v>
      </c>
      <c r="M145" s="290">
        <f ca="1">IFERROR(INDEX(INDIRECT(E145),0,MATCH(F145,MO_Common_ColumnHeader,0)),"N/A")</f>
        <v>7000</v>
      </c>
      <c r="N145" s="278"/>
      <c r="O145" s="297">
        <f t="shared" ca="1" si="68"/>
        <v>-350</v>
      </c>
      <c r="P145" s="296">
        <f t="shared" ca="1" si="69"/>
        <v>-4.7619047619047616E-2</v>
      </c>
      <c r="Q145" s="277"/>
      <c r="R145" s="288">
        <v>43305</v>
      </c>
      <c r="S145" s="422" t="s">
        <v>382</v>
      </c>
      <c r="T145" s="279"/>
    </row>
    <row r="146" spans="1:20" s="257" customFormat="1" x14ac:dyDescent="0.35">
      <c r="A146" s="267">
        <v>25</v>
      </c>
      <c r="B146" s="284" t="str">
        <f t="shared" si="65"/>
        <v>Historical</v>
      </c>
      <c r="C146" s="277"/>
      <c r="D146" s="295" t="s">
        <v>289</v>
      </c>
      <c r="E146" s="285"/>
      <c r="F146" s="284" t="s">
        <v>287</v>
      </c>
      <c r="G146" s="277"/>
      <c r="H146" s="289">
        <v>1700</v>
      </c>
      <c r="I146" s="289">
        <v>1800</v>
      </c>
      <c r="J146" s="289">
        <f t="shared" si="66"/>
        <v>1750</v>
      </c>
      <c r="K146" s="277"/>
      <c r="L146" s="284" t="str">
        <f t="shared" si="67"/>
        <v>Actual</v>
      </c>
      <c r="M146" s="290">
        <f>INDEX(MO_RIS_Tax_Current,0,MATCH(F146,MO_Common_ColumnHeader,0))+INDEX(MO_RIS_Tax_Deferred,0,MATCH(F146,MO_Common_ColumnHeader,0))</f>
        <v>1637</v>
      </c>
      <c r="N146" s="278"/>
      <c r="O146" s="297">
        <f t="shared" si="68"/>
        <v>-113</v>
      </c>
      <c r="P146" s="296">
        <f t="shared" si="69"/>
        <v>-6.4571428571428571E-2</v>
      </c>
      <c r="Q146" s="277"/>
      <c r="R146" s="288">
        <v>43305</v>
      </c>
      <c r="S146" s="422" t="s">
        <v>382</v>
      </c>
      <c r="T146" s="279"/>
    </row>
    <row r="147" spans="1:20" s="257" customFormat="1" x14ac:dyDescent="0.35">
      <c r="A147" s="267">
        <v>24</v>
      </c>
      <c r="B147" s="284" t="str">
        <f t="shared" si="65"/>
        <v>Historical</v>
      </c>
      <c r="C147" s="277"/>
      <c r="D147" s="295" t="s">
        <v>281</v>
      </c>
      <c r="E147" s="285"/>
      <c r="F147" s="284" t="s">
        <v>287</v>
      </c>
      <c r="G147" s="277"/>
      <c r="H147" s="286">
        <v>0.23</v>
      </c>
      <c r="I147" s="286">
        <v>0.25</v>
      </c>
      <c r="J147" s="286">
        <f t="shared" si="66"/>
        <v>0.24</v>
      </c>
      <c r="K147" s="277"/>
      <c r="L147" s="284" t="str">
        <f t="shared" si="67"/>
        <v>Actual</v>
      </c>
      <c r="M147" s="287">
        <f>INDEX(MO_RIS_TaxRate_Current,0,MATCH(F147,MO_Common_ColumnHeader,0))+INDEX(MO_RIS_TaxRate_Deferred,0,MATCH(F147,MO_Common_ColumnHeader,0))</f>
        <v>0.23385714285714285</v>
      </c>
      <c r="N147" s="200"/>
      <c r="O147" s="296">
        <f t="shared" si="68"/>
        <v>-6.1428571428571443E-3</v>
      </c>
      <c r="P147" s="296">
        <f t="shared" si="69"/>
        <v>-2.5595238095238101E-2</v>
      </c>
      <c r="Q147" s="277"/>
      <c r="R147" s="288">
        <v>43305</v>
      </c>
      <c r="S147" s="422" t="s">
        <v>382</v>
      </c>
      <c r="T147" s="279"/>
    </row>
    <row r="148" spans="1:20" s="257" customFormat="1" x14ac:dyDescent="0.35">
      <c r="A148" s="267">
        <v>23</v>
      </c>
      <c r="B148" s="284" t="str">
        <f t="shared" si="65"/>
        <v>Historical</v>
      </c>
      <c r="C148" s="277"/>
      <c r="D148" s="295" t="str">
        <f t="shared" ref="D148:D153" ca="1" si="70">INDEX(INDIRECT(E148),0,COLUMN(MO_Common_Column_A))</f>
        <v>Net Income to Common Shareholders</v>
      </c>
      <c r="E148" s="285" t="s">
        <v>282</v>
      </c>
      <c r="F148" s="284" t="s">
        <v>287</v>
      </c>
      <c r="G148" s="277"/>
      <c r="H148" s="289">
        <v>5500</v>
      </c>
      <c r="I148" s="289">
        <v>5700</v>
      </c>
      <c r="J148" s="289">
        <f t="shared" si="66"/>
        <v>5600</v>
      </c>
      <c r="K148" s="277"/>
      <c r="L148" s="284" t="str">
        <f t="shared" si="67"/>
        <v>Actual</v>
      </c>
      <c r="M148" s="290">
        <f t="shared" ref="M148:M153" ca="1" si="71">IFERROR(INDEX(INDIRECT(E148),0,MATCH(F148,MO_Common_ColumnHeader,0)),"N/A")</f>
        <v>5349</v>
      </c>
      <c r="N148" s="278"/>
      <c r="O148" s="297">
        <f t="shared" ca="1" si="68"/>
        <v>-251</v>
      </c>
      <c r="P148" s="296">
        <f t="shared" ca="1" si="69"/>
        <v>-4.4821428571428575E-2</v>
      </c>
      <c r="Q148" s="277"/>
      <c r="R148" s="288">
        <v>43305</v>
      </c>
      <c r="S148" s="422" t="s">
        <v>382</v>
      </c>
      <c r="T148" s="279"/>
    </row>
    <row r="149" spans="1:20" s="257" customFormat="1" x14ac:dyDescent="0.35">
      <c r="A149" s="267">
        <v>22</v>
      </c>
      <c r="B149" s="284" t="str">
        <f t="shared" si="65"/>
        <v>Historical</v>
      </c>
      <c r="C149" s="277"/>
      <c r="D149" s="295" t="str">
        <f t="shared" ca="1" si="70"/>
        <v>Earnings Per Share - WAD</v>
      </c>
      <c r="E149" s="285" t="s">
        <v>279</v>
      </c>
      <c r="F149" s="284" t="s">
        <v>287</v>
      </c>
      <c r="G149" s="277"/>
      <c r="H149" s="291">
        <v>9.08</v>
      </c>
      <c r="I149" s="291">
        <v>9.3800000000000008</v>
      </c>
      <c r="J149" s="291">
        <f t="shared" si="66"/>
        <v>9.23</v>
      </c>
      <c r="K149" s="277"/>
      <c r="L149" s="284" t="str">
        <f t="shared" si="67"/>
        <v>Actual</v>
      </c>
      <c r="M149" s="292">
        <f t="shared" ca="1" si="71"/>
        <v>8.8853820598006639</v>
      </c>
      <c r="N149" s="278"/>
      <c r="O149" s="298">
        <f t="shared" ca="1" si="68"/>
        <v>-0.34461794019933656</v>
      </c>
      <c r="P149" s="296">
        <f t="shared" ca="1" si="69"/>
        <v>-3.7336721581726601E-2</v>
      </c>
      <c r="Q149" s="277"/>
      <c r="R149" s="288">
        <v>43305</v>
      </c>
      <c r="S149" s="422" t="s">
        <v>382</v>
      </c>
      <c r="T149" s="279"/>
    </row>
    <row r="150" spans="1:20" s="257" customFormat="1" x14ac:dyDescent="0.35">
      <c r="A150" s="267">
        <v>21</v>
      </c>
      <c r="B150" s="284" t="str">
        <f t="shared" si="65"/>
        <v>Historical</v>
      </c>
      <c r="C150" s="277"/>
      <c r="D150" s="295" t="str">
        <f t="shared" ca="1" si="70"/>
        <v>Adjusted Net Income</v>
      </c>
      <c r="E150" s="285" t="s">
        <v>283</v>
      </c>
      <c r="F150" s="284" t="s">
        <v>287</v>
      </c>
      <c r="G150" s="277"/>
      <c r="H150" s="289">
        <v>6100</v>
      </c>
      <c r="I150" s="289">
        <v>6300</v>
      </c>
      <c r="J150" s="289">
        <f t="shared" si="66"/>
        <v>6200</v>
      </c>
      <c r="K150" s="277"/>
      <c r="L150" s="284" t="str">
        <f t="shared" si="67"/>
        <v>Actual</v>
      </c>
      <c r="M150" s="290">
        <f t="shared" ca="1" si="71"/>
        <v>6295</v>
      </c>
      <c r="N150" s="278"/>
      <c r="O150" s="297">
        <f t="shared" ca="1" si="68"/>
        <v>95</v>
      </c>
      <c r="P150" s="296">
        <f t="shared" ca="1" si="69"/>
        <v>1.532258064516129E-2</v>
      </c>
      <c r="Q150" s="277"/>
      <c r="R150" s="288">
        <v>43305</v>
      </c>
      <c r="S150" s="422" t="s">
        <v>382</v>
      </c>
      <c r="T150" s="279"/>
    </row>
    <row r="151" spans="1:20" s="257" customFormat="1" x14ac:dyDescent="0.35">
      <c r="A151" s="267">
        <v>20</v>
      </c>
      <c r="B151" s="284" t="str">
        <f t="shared" si="65"/>
        <v>Historical</v>
      </c>
      <c r="C151" s="277"/>
      <c r="D151" s="295" t="str">
        <f t="shared" ca="1" si="70"/>
        <v>Adjusted Earnings Per Share - WAD</v>
      </c>
      <c r="E151" s="285" t="s">
        <v>290</v>
      </c>
      <c r="F151" s="284" t="s">
        <v>287</v>
      </c>
      <c r="G151" s="277"/>
      <c r="H151" s="291">
        <v>10.199999999999999</v>
      </c>
      <c r="I151" s="291">
        <v>10.45</v>
      </c>
      <c r="J151" s="291">
        <f t="shared" si="66"/>
        <v>10.324999999999999</v>
      </c>
      <c r="K151" s="277"/>
      <c r="L151" s="284" t="str">
        <f t="shared" si="67"/>
        <v>Actual</v>
      </c>
      <c r="M151" s="292">
        <f t="shared" ca="1" si="71"/>
        <v>10.456810631229235</v>
      </c>
      <c r="N151" s="278"/>
      <c r="O151" s="298">
        <f t="shared" ca="1" si="68"/>
        <v>0.13181063122923575</v>
      </c>
      <c r="P151" s="296">
        <f t="shared" ca="1" si="69"/>
        <v>1.2766162830918719E-2</v>
      </c>
      <c r="Q151" s="277"/>
      <c r="R151" s="288">
        <v>43305</v>
      </c>
      <c r="S151" s="422" t="s">
        <v>382</v>
      </c>
      <c r="T151" s="279"/>
    </row>
    <row r="152" spans="1:20" s="257" customFormat="1" x14ac:dyDescent="0.35">
      <c r="A152" s="267">
        <v>19</v>
      </c>
      <c r="B152" s="284" t="str">
        <f t="shared" si="65"/>
        <v>Historical</v>
      </c>
      <c r="C152" s="277"/>
      <c r="D152" s="295" t="str">
        <f t="shared" ca="1" si="70"/>
        <v>Net CFO</v>
      </c>
      <c r="E152" s="285" t="s">
        <v>284</v>
      </c>
      <c r="F152" s="284" t="s">
        <v>287</v>
      </c>
      <c r="G152" s="277"/>
      <c r="H152" s="289">
        <v>6700</v>
      </c>
      <c r="I152" s="289">
        <v>7200</v>
      </c>
      <c r="J152" s="289">
        <f t="shared" si="66"/>
        <v>6950</v>
      </c>
      <c r="K152" s="277"/>
      <c r="L152" s="284" t="str">
        <f t="shared" si="67"/>
        <v>Actual</v>
      </c>
      <c r="M152" s="290">
        <f t="shared" ca="1" si="71"/>
        <v>6439</v>
      </c>
      <c r="N152" s="278"/>
      <c r="O152" s="297">
        <f t="shared" ca="1" si="68"/>
        <v>-511</v>
      </c>
      <c r="P152" s="296">
        <f t="shared" ca="1" si="69"/>
        <v>-7.3525179856115105E-2</v>
      </c>
      <c r="Q152" s="277"/>
      <c r="R152" s="288">
        <v>43305</v>
      </c>
      <c r="S152" s="422" t="s">
        <v>382</v>
      </c>
      <c r="T152" s="279"/>
    </row>
    <row r="153" spans="1:20" s="257" customFormat="1" x14ac:dyDescent="0.35">
      <c r="A153" s="267">
        <v>18</v>
      </c>
      <c r="B153" s="284" t="str">
        <f t="shared" si="65"/>
        <v>Historical</v>
      </c>
      <c r="C153" s="277"/>
      <c r="D153" s="295" t="str">
        <f t="shared" ca="1" si="70"/>
        <v>Capex</v>
      </c>
      <c r="E153" s="285" t="s">
        <v>285</v>
      </c>
      <c r="F153" s="284" t="s">
        <v>287</v>
      </c>
      <c r="G153" s="277"/>
      <c r="H153" s="289">
        <v>-1500</v>
      </c>
      <c r="I153" s="289">
        <v>-1800</v>
      </c>
      <c r="J153" s="289">
        <f t="shared" si="66"/>
        <v>-1650</v>
      </c>
      <c r="K153" s="277"/>
      <c r="L153" s="284" t="str">
        <f t="shared" si="67"/>
        <v>Actual</v>
      </c>
      <c r="M153" s="290">
        <f t="shared" ca="1" si="71"/>
        <v>-1577</v>
      </c>
      <c r="N153" s="278"/>
      <c r="O153" s="297">
        <f t="shared" ca="1" si="68"/>
        <v>73</v>
      </c>
      <c r="P153" s="296">
        <f t="shared" ca="1" si="69"/>
        <v>4.4242424242424243E-2</v>
      </c>
      <c r="Q153" s="277"/>
      <c r="R153" s="288">
        <v>43305</v>
      </c>
      <c r="S153" s="422" t="s">
        <v>382</v>
      </c>
      <c r="T153" s="279"/>
    </row>
    <row r="154" spans="1:20" x14ac:dyDescent="0.35">
      <c r="A154" s="267">
        <v>17</v>
      </c>
      <c r="B154" s="284" t="str">
        <f t="shared" si="65"/>
        <v>Historical</v>
      </c>
      <c r="C154" s="277"/>
      <c r="D154" s="295" t="s">
        <v>286</v>
      </c>
      <c r="E154" s="285"/>
      <c r="F154" s="284" t="s">
        <v>287</v>
      </c>
      <c r="G154" s="277"/>
      <c r="H154" s="289">
        <v>4900</v>
      </c>
      <c r="I154" s="289">
        <v>5700</v>
      </c>
      <c r="J154" s="289">
        <f t="shared" si="66"/>
        <v>5300</v>
      </c>
      <c r="K154" s="277"/>
      <c r="L154" s="284" t="str">
        <f t="shared" si="67"/>
        <v>Actual</v>
      </c>
      <c r="M154" s="290">
        <f>INDEX(MO_CFS_CFO,0,MATCH(F154,MO_Common_ColumnHeader,0))+INDEX(MO_CFSum_Capex,0,MATCH(F154,MO_Common_ColumnHeader,0))</f>
        <v>4862</v>
      </c>
      <c r="N154" s="278"/>
      <c r="O154" s="297">
        <f t="shared" si="68"/>
        <v>-438</v>
      </c>
      <c r="P154" s="296">
        <f t="shared" si="69"/>
        <v>-8.2641509433962271E-2</v>
      </c>
      <c r="Q154" s="277"/>
      <c r="R154" s="288">
        <v>43305</v>
      </c>
      <c r="S154" s="422" t="s">
        <v>382</v>
      </c>
      <c r="T154" s="277"/>
    </row>
    <row r="155" spans="1:20" x14ac:dyDescent="0.35">
      <c r="A155" s="267">
        <v>16</v>
      </c>
      <c r="B155" s="284" t="str">
        <f t="shared" si="65"/>
        <v>Historical</v>
      </c>
      <c r="C155" s="277"/>
      <c r="D155" s="295" t="s">
        <v>280</v>
      </c>
      <c r="E155" s="285"/>
      <c r="F155" s="284" t="s">
        <v>287</v>
      </c>
      <c r="G155" s="277"/>
      <c r="H155" s="286">
        <v>0.9</v>
      </c>
      <c r="I155" s="286">
        <v>1</v>
      </c>
      <c r="J155" s="286">
        <f t="shared" si="66"/>
        <v>0.95</v>
      </c>
      <c r="K155" s="277"/>
      <c r="L155" s="284" t="str">
        <f t="shared" si="67"/>
        <v>Actual</v>
      </c>
      <c r="M155" s="287">
        <f ca="1">M154/M148</f>
        <v>0.90895494484950456</v>
      </c>
      <c r="N155" s="278"/>
      <c r="O155" s="296">
        <f t="shared" ca="1" si="68"/>
        <v>-4.1045055150495391E-2</v>
      </c>
      <c r="P155" s="296">
        <f t="shared" ca="1" si="69"/>
        <v>-4.3205321211047781E-2</v>
      </c>
      <c r="Q155" s="277"/>
      <c r="R155" s="288">
        <v>43305</v>
      </c>
      <c r="S155" s="422" t="s">
        <v>382</v>
      </c>
      <c r="T155" s="277"/>
    </row>
    <row r="156" spans="1:20" x14ac:dyDescent="0.35">
      <c r="A156" s="267">
        <v>15</v>
      </c>
      <c r="B156" s="277"/>
      <c r="C156" s="277"/>
      <c r="D156" s="274"/>
      <c r="E156" s="275"/>
      <c r="F156" s="277"/>
      <c r="G156" s="277"/>
      <c r="H156" s="277"/>
      <c r="I156" s="277"/>
      <c r="J156" s="277"/>
      <c r="K156" s="277"/>
      <c r="L156" s="277"/>
      <c r="M156" s="277"/>
      <c r="N156" s="277"/>
      <c r="O156" s="274"/>
      <c r="P156" s="299"/>
      <c r="Q156" s="277"/>
      <c r="R156" s="276"/>
      <c r="S156" s="300"/>
      <c r="T156" s="277"/>
    </row>
    <row r="157" spans="1:20" x14ac:dyDescent="0.35">
      <c r="A157" s="267">
        <v>14</v>
      </c>
      <c r="B157" s="284" t="str">
        <f t="shared" ref="B157:B170" si="72">IF(MATCH(F157,MO_Common_ColumnHeader,0)&gt;UL.MRQColNum,"Forward","Historical")</f>
        <v>Historical</v>
      </c>
      <c r="C157" s="277"/>
      <c r="D157" s="295" t="str">
        <f ca="1">INDEX(INDIRECT(E157),0,COLUMN(MO_Common_Column_A))</f>
        <v>Total Organic local-currency revenue growth, %</v>
      </c>
      <c r="E157" s="285" t="s">
        <v>276</v>
      </c>
      <c r="F157" s="284" t="s">
        <v>287</v>
      </c>
      <c r="G157" s="277"/>
      <c r="H157" s="286">
        <v>0.03</v>
      </c>
      <c r="I157" s="286">
        <v>0.04</v>
      </c>
      <c r="J157" s="286">
        <f t="shared" ref="J157:J170" si="73">AVERAGE(H157:I157)</f>
        <v>3.5000000000000003E-2</v>
      </c>
      <c r="K157" s="277"/>
      <c r="L157" s="284" t="str">
        <f t="shared" ref="L157:L170" si="74">IF(MATCH(F157,MO_Common_ColumnHeader,0)&gt;UL.MRQColNum,"Estimate","Actual")</f>
        <v>Actual</v>
      </c>
      <c r="M157" s="287">
        <f ca="1">IFERROR(INDEX(INDIRECT(E157),0,MATCH(F157,MO_Common_ColumnHeader,0)),"N/A")</f>
        <v>3.1540449189752663E-2</v>
      </c>
      <c r="N157" s="278"/>
      <c r="O157" s="296">
        <f t="shared" ref="O157:O170" ca="1" si="75">IF(ISNUMBER(M157),M157-J157,"N/A")</f>
        <v>-3.4595508102473402E-3</v>
      </c>
      <c r="P157" s="296">
        <f t="shared" ref="P157:P170" ca="1" si="76">IFERROR(IF(ISNUMBER(M157),(M157-J157)/ABS(J157),"N/A"),"N/A")</f>
        <v>-9.884430886420971E-2</v>
      </c>
      <c r="Q157" s="277"/>
      <c r="R157" s="288">
        <v>43214</v>
      </c>
      <c r="S157" s="422" t="s">
        <v>382</v>
      </c>
      <c r="T157" s="277"/>
    </row>
    <row r="158" spans="1:20" x14ac:dyDescent="0.35">
      <c r="A158" s="267">
        <v>13</v>
      </c>
      <c r="B158" s="284" t="str">
        <f t="shared" si="72"/>
        <v>Historical</v>
      </c>
      <c r="C158" s="277"/>
      <c r="D158" s="295" t="str">
        <f ca="1">INDEX(INDIRECT(E158),0,COLUMN(MO_Common_Column_A))</f>
        <v>Total Acquisition impact on revenue, %</v>
      </c>
      <c r="E158" s="285" t="s">
        <v>600</v>
      </c>
      <c r="F158" s="284" t="s">
        <v>287</v>
      </c>
      <c r="G158" s="277"/>
      <c r="H158" s="286">
        <v>0.01</v>
      </c>
      <c r="I158" s="286">
        <v>0.01</v>
      </c>
      <c r="J158" s="286">
        <f t="shared" si="73"/>
        <v>0.01</v>
      </c>
      <c r="K158" s="277"/>
      <c r="L158" s="284" t="str">
        <f t="shared" si="74"/>
        <v>Actual</v>
      </c>
      <c r="M158" s="287">
        <f ca="1">IFERROR(INDEX(INDIRECT(E158),0,MATCH(F158,MO_Common_ColumnHeader,0)),"N/A")</f>
        <v>1.418166598224721E-2</v>
      </c>
      <c r="N158" s="278"/>
      <c r="O158" s="296">
        <f t="shared" ca="1" si="75"/>
        <v>4.18166598224721E-3</v>
      </c>
      <c r="P158" s="296">
        <f t="shared" ca="1" si="76"/>
        <v>0.41816659822472096</v>
      </c>
      <c r="Q158" s="277"/>
      <c r="R158" s="288">
        <v>43214</v>
      </c>
      <c r="S158" s="422" t="s">
        <v>382</v>
      </c>
      <c r="T158" s="277"/>
    </row>
    <row r="159" spans="1:20" x14ac:dyDescent="0.35">
      <c r="A159" s="267">
        <v>12</v>
      </c>
      <c r="B159" s="284" t="str">
        <f t="shared" si="72"/>
        <v>Historical</v>
      </c>
      <c r="C159" s="277"/>
      <c r="D159" s="295" t="str">
        <f ca="1">INDEX(INDIRECT(E159),0,COLUMN(MO_Common_Column_A))</f>
        <v>Total Translation impact on revenue, %</v>
      </c>
      <c r="E159" s="285" t="s">
        <v>601</v>
      </c>
      <c r="F159" s="284" t="s">
        <v>287</v>
      </c>
      <c r="G159" s="277"/>
      <c r="H159" s="286">
        <v>0.02</v>
      </c>
      <c r="I159" s="286">
        <v>0.02</v>
      </c>
      <c r="J159" s="286">
        <f t="shared" si="73"/>
        <v>0.02</v>
      </c>
      <c r="K159" s="277"/>
      <c r="L159" s="284" t="str">
        <f t="shared" si="74"/>
        <v>Actual</v>
      </c>
      <c r="M159" s="287">
        <f ca="1">IFERROR(INDEX(INDIRECT(E159),0,MATCH(F159,MO_Common_ColumnHeader,0)),"N/A")</f>
        <v>2.4694696275705222E-3</v>
      </c>
      <c r="N159" s="278"/>
      <c r="O159" s="296">
        <f t="shared" ca="1" si="75"/>
        <v>-1.7530530372429479E-2</v>
      </c>
      <c r="P159" s="296">
        <f t="shared" ca="1" si="76"/>
        <v>-0.8765265186214739</v>
      </c>
      <c r="Q159" s="277"/>
      <c r="R159" s="288">
        <v>43214</v>
      </c>
      <c r="S159" s="422" t="s">
        <v>382</v>
      </c>
      <c r="T159" s="277"/>
    </row>
    <row r="160" spans="1:20" x14ac:dyDescent="0.35">
      <c r="A160" s="267">
        <v>11</v>
      </c>
      <c r="B160" s="284" t="str">
        <f t="shared" si="72"/>
        <v>Historical</v>
      </c>
      <c r="C160" s="277"/>
      <c r="D160" s="295" t="str">
        <f ca="1">INDEX(INDIRECT(E160),0,COLUMN(MO_Common_Column_A))</f>
        <v>EBT</v>
      </c>
      <c r="E160" s="285" t="s">
        <v>288</v>
      </c>
      <c r="F160" s="284" t="s">
        <v>287</v>
      </c>
      <c r="G160" s="277"/>
      <c r="H160" s="289">
        <v>6800</v>
      </c>
      <c r="I160" s="289">
        <v>7300</v>
      </c>
      <c r="J160" s="289">
        <f t="shared" si="73"/>
        <v>7050</v>
      </c>
      <c r="K160" s="277"/>
      <c r="L160" s="284" t="str">
        <f t="shared" si="74"/>
        <v>Actual</v>
      </c>
      <c r="M160" s="290">
        <f ca="1">IFERROR(INDEX(INDIRECT(E160),0,MATCH(F160,MO_Common_ColumnHeader,0)),"N/A")</f>
        <v>7000</v>
      </c>
      <c r="N160" s="278"/>
      <c r="O160" s="297">
        <f t="shared" ca="1" si="75"/>
        <v>-50</v>
      </c>
      <c r="P160" s="296">
        <f t="shared" ca="1" si="76"/>
        <v>-7.0921985815602835E-3</v>
      </c>
      <c r="Q160" s="277"/>
      <c r="R160" s="288">
        <v>43214</v>
      </c>
      <c r="S160" s="422" t="s">
        <v>382</v>
      </c>
      <c r="T160" s="277"/>
    </row>
    <row r="161" spans="1:20" x14ac:dyDescent="0.35">
      <c r="A161" s="267">
        <v>10</v>
      </c>
      <c r="B161" s="284" t="str">
        <f t="shared" si="72"/>
        <v>Historical</v>
      </c>
      <c r="C161" s="277"/>
      <c r="D161" s="295" t="s">
        <v>289</v>
      </c>
      <c r="E161" s="285"/>
      <c r="F161" s="284" t="s">
        <v>287</v>
      </c>
      <c r="G161" s="277"/>
      <c r="H161" s="289">
        <v>1600</v>
      </c>
      <c r="I161" s="289">
        <v>1800</v>
      </c>
      <c r="J161" s="289">
        <f t="shared" si="73"/>
        <v>1700</v>
      </c>
      <c r="K161" s="277"/>
      <c r="L161" s="284" t="str">
        <f t="shared" si="74"/>
        <v>Actual</v>
      </c>
      <c r="M161" s="290">
        <f>INDEX(MO_RIS_Tax_Current,0,MATCH(F161,MO_Common_ColumnHeader,0))+INDEX(MO_RIS_Tax_Deferred,0,MATCH(F161,MO_Common_ColumnHeader,0))</f>
        <v>1637</v>
      </c>
      <c r="N161" s="278"/>
      <c r="O161" s="297">
        <f t="shared" si="75"/>
        <v>-63</v>
      </c>
      <c r="P161" s="296">
        <f t="shared" si="76"/>
        <v>-3.7058823529411762E-2</v>
      </c>
      <c r="Q161" s="277"/>
      <c r="R161" s="288">
        <v>43214</v>
      </c>
      <c r="S161" s="422" t="s">
        <v>382</v>
      </c>
      <c r="T161" s="277"/>
    </row>
    <row r="162" spans="1:20" x14ac:dyDescent="0.35">
      <c r="A162" s="267">
        <v>9</v>
      </c>
      <c r="B162" s="284" t="str">
        <f t="shared" si="72"/>
        <v>Historical</v>
      </c>
      <c r="C162" s="277"/>
      <c r="D162" s="295" t="s">
        <v>281</v>
      </c>
      <c r="E162" s="285"/>
      <c r="F162" s="284" t="s">
        <v>287</v>
      </c>
      <c r="G162" s="277"/>
      <c r="H162" s="286">
        <v>0.23</v>
      </c>
      <c r="I162" s="286">
        <v>0.25</v>
      </c>
      <c r="J162" s="286">
        <f t="shared" si="73"/>
        <v>0.24</v>
      </c>
      <c r="K162" s="277"/>
      <c r="L162" s="284" t="str">
        <f t="shared" si="74"/>
        <v>Actual</v>
      </c>
      <c r="M162" s="287">
        <f>INDEX(MO_RIS_TaxRate_Current,0,MATCH(F162,MO_Common_ColumnHeader,0))+INDEX(MO_RIS_TaxRate_Deferred,0,MATCH(F162,MO_Common_ColumnHeader,0))</f>
        <v>0.23385714285714285</v>
      </c>
      <c r="N162" s="200"/>
      <c r="O162" s="296">
        <f t="shared" si="75"/>
        <v>-6.1428571428571443E-3</v>
      </c>
      <c r="P162" s="296">
        <f t="shared" si="76"/>
        <v>-2.5595238095238101E-2</v>
      </c>
      <c r="Q162" s="277"/>
      <c r="R162" s="288">
        <v>43214</v>
      </c>
      <c r="S162" s="422" t="s">
        <v>382</v>
      </c>
      <c r="T162" s="277"/>
    </row>
    <row r="163" spans="1:20" x14ac:dyDescent="0.35">
      <c r="A163" s="267">
        <v>8</v>
      </c>
      <c r="B163" s="284" t="str">
        <f t="shared" si="72"/>
        <v>Historical</v>
      </c>
      <c r="C163" s="277"/>
      <c r="D163" s="295" t="str">
        <f t="shared" ref="D163:D168" ca="1" si="77">INDEX(INDIRECT(E163),0,COLUMN(MO_Common_Column_A))</f>
        <v>Net Income to Common Shareholders</v>
      </c>
      <c r="E163" s="285" t="s">
        <v>282</v>
      </c>
      <c r="F163" s="284" t="s">
        <v>287</v>
      </c>
      <c r="G163" s="277"/>
      <c r="H163" s="289">
        <v>5200</v>
      </c>
      <c r="I163" s="289">
        <v>5500</v>
      </c>
      <c r="J163" s="289">
        <f t="shared" si="73"/>
        <v>5350</v>
      </c>
      <c r="K163" s="277"/>
      <c r="L163" s="284" t="str">
        <f t="shared" si="74"/>
        <v>Actual</v>
      </c>
      <c r="M163" s="290">
        <f t="shared" ref="M163:M168" ca="1" si="78">IFERROR(INDEX(INDIRECT(E163),0,MATCH(F163,MO_Common_ColumnHeader,0)),"N/A")</f>
        <v>5349</v>
      </c>
      <c r="N163" s="278"/>
      <c r="O163" s="297">
        <f t="shared" ca="1" si="75"/>
        <v>-1</v>
      </c>
      <c r="P163" s="296">
        <f t="shared" ca="1" si="76"/>
        <v>-1.8691588785046728E-4</v>
      </c>
      <c r="Q163" s="277"/>
      <c r="R163" s="288">
        <v>43214</v>
      </c>
      <c r="S163" s="422" t="s">
        <v>382</v>
      </c>
      <c r="T163" s="277"/>
    </row>
    <row r="164" spans="1:20" x14ac:dyDescent="0.35">
      <c r="A164" s="267">
        <v>7</v>
      </c>
      <c r="B164" s="284" t="str">
        <f t="shared" si="72"/>
        <v>Historical</v>
      </c>
      <c r="C164" s="277"/>
      <c r="D164" s="295" t="str">
        <f t="shared" ca="1" si="77"/>
        <v>Earnings Per Share - WAD</v>
      </c>
      <c r="E164" s="285" t="s">
        <v>279</v>
      </c>
      <c r="F164" s="284" t="s">
        <v>287</v>
      </c>
      <c r="G164" s="277"/>
      <c r="H164" s="291">
        <v>8.68</v>
      </c>
      <c r="I164" s="291">
        <v>9.0299999999999994</v>
      </c>
      <c r="J164" s="291">
        <f t="shared" si="73"/>
        <v>8.8550000000000004</v>
      </c>
      <c r="K164" s="277"/>
      <c r="L164" s="284" t="str">
        <f t="shared" si="74"/>
        <v>Actual</v>
      </c>
      <c r="M164" s="292">
        <f t="shared" ca="1" si="78"/>
        <v>8.8853820598006639</v>
      </c>
      <c r="N164" s="278"/>
      <c r="O164" s="298">
        <f t="shared" ca="1" si="75"/>
        <v>3.0382059800663441E-2</v>
      </c>
      <c r="P164" s="296">
        <f t="shared" ca="1" si="76"/>
        <v>3.4310626539427939E-3</v>
      </c>
      <c r="Q164" s="277"/>
      <c r="R164" s="288">
        <v>43214</v>
      </c>
      <c r="S164" s="422" t="s">
        <v>382</v>
      </c>
      <c r="T164" s="277"/>
    </row>
    <row r="165" spans="1:20" x14ac:dyDescent="0.35">
      <c r="A165" s="267">
        <v>6</v>
      </c>
      <c r="B165" s="284" t="str">
        <f t="shared" si="72"/>
        <v>Historical</v>
      </c>
      <c r="C165" s="277"/>
      <c r="D165" s="295" t="str">
        <f t="shared" ca="1" si="77"/>
        <v>Adjusted Net Income</v>
      </c>
      <c r="E165" s="285" t="s">
        <v>283</v>
      </c>
      <c r="F165" s="284" t="s">
        <v>287</v>
      </c>
      <c r="G165" s="277"/>
      <c r="H165" s="289">
        <v>6200</v>
      </c>
      <c r="I165" s="289">
        <v>6400</v>
      </c>
      <c r="J165" s="289">
        <f t="shared" si="73"/>
        <v>6300</v>
      </c>
      <c r="K165" s="277"/>
      <c r="L165" s="284" t="str">
        <f t="shared" si="74"/>
        <v>Actual</v>
      </c>
      <c r="M165" s="290">
        <f t="shared" ca="1" si="78"/>
        <v>6295</v>
      </c>
      <c r="N165" s="278"/>
      <c r="O165" s="297">
        <f t="shared" ca="1" si="75"/>
        <v>-5</v>
      </c>
      <c r="P165" s="296">
        <f t="shared" ca="1" si="76"/>
        <v>-7.9365079365079365E-4</v>
      </c>
      <c r="Q165" s="277"/>
      <c r="R165" s="288">
        <v>43214</v>
      </c>
      <c r="S165" s="422" t="s">
        <v>382</v>
      </c>
      <c r="T165" s="277"/>
    </row>
    <row r="166" spans="1:20" x14ac:dyDescent="0.35">
      <c r="A166" s="267">
        <v>5</v>
      </c>
      <c r="B166" s="284" t="str">
        <f t="shared" si="72"/>
        <v>Historical</v>
      </c>
      <c r="C166" s="277"/>
      <c r="D166" s="295" t="str">
        <f t="shared" ca="1" si="77"/>
        <v>Adjusted Earnings Per Share - WAD</v>
      </c>
      <c r="E166" s="285" t="s">
        <v>290</v>
      </c>
      <c r="F166" s="284" t="s">
        <v>287</v>
      </c>
      <c r="G166" s="277"/>
      <c r="H166" s="291">
        <v>10.199999999999999</v>
      </c>
      <c r="I166" s="291">
        <v>10.55</v>
      </c>
      <c r="J166" s="291">
        <f t="shared" si="73"/>
        <v>10.375</v>
      </c>
      <c r="K166" s="277"/>
      <c r="L166" s="284" t="str">
        <f t="shared" si="74"/>
        <v>Actual</v>
      </c>
      <c r="M166" s="292">
        <f t="shared" ca="1" si="78"/>
        <v>10.456810631229235</v>
      </c>
      <c r="N166" s="278"/>
      <c r="O166" s="298">
        <f t="shared" ca="1" si="75"/>
        <v>8.1810631229235042E-2</v>
      </c>
      <c r="P166" s="296">
        <f t="shared" ca="1" si="76"/>
        <v>7.8853620461913302E-3</v>
      </c>
      <c r="Q166" s="277"/>
      <c r="R166" s="288">
        <v>43214</v>
      </c>
      <c r="S166" s="422" t="s">
        <v>382</v>
      </c>
      <c r="T166" s="277"/>
    </row>
    <row r="167" spans="1:20" x14ac:dyDescent="0.35">
      <c r="A167" s="267">
        <v>4</v>
      </c>
      <c r="B167" s="284" t="str">
        <f t="shared" si="72"/>
        <v>Historical</v>
      </c>
      <c r="C167" s="277"/>
      <c r="D167" s="295" t="str">
        <f t="shared" ca="1" si="77"/>
        <v>Net CFO</v>
      </c>
      <c r="E167" s="285" t="s">
        <v>284</v>
      </c>
      <c r="F167" s="284" t="s">
        <v>287</v>
      </c>
      <c r="G167" s="277"/>
      <c r="H167" s="289">
        <v>6500</v>
      </c>
      <c r="I167" s="289">
        <v>7000</v>
      </c>
      <c r="J167" s="289">
        <f t="shared" si="73"/>
        <v>6750</v>
      </c>
      <c r="K167" s="277"/>
      <c r="L167" s="284" t="str">
        <f t="shared" si="74"/>
        <v>Actual</v>
      </c>
      <c r="M167" s="290">
        <f t="shared" ca="1" si="78"/>
        <v>6439</v>
      </c>
      <c r="N167" s="278"/>
      <c r="O167" s="297">
        <f t="shared" ca="1" si="75"/>
        <v>-311</v>
      </c>
      <c r="P167" s="296">
        <f t="shared" ca="1" si="76"/>
        <v>-4.6074074074074073E-2</v>
      </c>
      <c r="Q167" s="277"/>
      <c r="R167" s="288">
        <v>43214</v>
      </c>
      <c r="S167" s="422" t="s">
        <v>382</v>
      </c>
      <c r="T167" s="277"/>
    </row>
    <row r="168" spans="1:20" x14ac:dyDescent="0.35">
      <c r="A168" s="267">
        <v>3</v>
      </c>
      <c r="B168" s="284" t="str">
        <f t="shared" si="72"/>
        <v>Historical</v>
      </c>
      <c r="C168" s="277"/>
      <c r="D168" s="295" t="str">
        <f t="shared" ca="1" si="77"/>
        <v>Capex</v>
      </c>
      <c r="E168" s="285" t="s">
        <v>285</v>
      </c>
      <c r="F168" s="284" t="s">
        <v>287</v>
      </c>
      <c r="G168" s="277"/>
      <c r="H168" s="289">
        <v>-1500</v>
      </c>
      <c r="I168" s="289">
        <v>-1800</v>
      </c>
      <c r="J168" s="289">
        <f t="shared" si="73"/>
        <v>-1650</v>
      </c>
      <c r="K168" s="277"/>
      <c r="L168" s="284" t="str">
        <f t="shared" si="74"/>
        <v>Actual</v>
      </c>
      <c r="M168" s="290">
        <f t="shared" ca="1" si="78"/>
        <v>-1577</v>
      </c>
      <c r="N168" s="278"/>
      <c r="O168" s="297">
        <f t="shared" ca="1" si="75"/>
        <v>73</v>
      </c>
      <c r="P168" s="296">
        <f t="shared" ca="1" si="76"/>
        <v>4.4242424242424243E-2</v>
      </c>
      <c r="Q168" s="277"/>
      <c r="R168" s="288">
        <v>43214</v>
      </c>
      <c r="S168" s="422" t="s">
        <v>382</v>
      </c>
      <c r="T168" s="277"/>
    </row>
    <row r="169" spans="1:20" x14ac:dyDescent="0.35">
      <c r="A169" s="267">
        <v>2</v>
      </c>
      <c r="B169" s="284" t="str">
        <f t="shared" si="72"/>
        <v>Historical</v>
      </c>
      <c r="C169" s="277"/>
      <c r="D169" s="295" t="s">
        <v>286</v>
      </c>
      <c r="E169" s="285"/>
      <c r="F169" s="284" t="s">
        <v>287</v>
      </c>
      <c r="G169" s="277"/>
      <c r="H169" s="289">
        <v>4700</v>
      </c>
      <c r="I169" s="289">
        <v>5500</v>
      </c>
      <c r="J169" s="289">
        <f t="shared" si="73"/>
        <v>5100</v>
      </c>
      <c r="K169" s="277"/>
      <c r="L169" s="284" t="str">
        <f t="shared" si="74"/>
        <v>Actual</v>
      </c>
      <c r="M169" s="290">
        <f>INDEX(MO_CFS_CFO,0,MATCH(F169,MO_Common_ColumnHeader,0))+INDEX(MO_CFSum_Capex,0,MATCH(F169,MO_Common_ColumnHeader,0))</f>
        <v>4862</v>
      </c>
      <c r="N169" s="278"/>
      <c r="O169" s="297">
        <f t="shared" si="75"/>
        <v>-238</v>
      </c>
      <c r="P169" s="296">
        <f t="shared" si="76"/>
        <v>-4.6666666666666669E-2</v>
      </c>
      <c r="Q169" s="277"/>
      <c r="R169" s="288">
        <v>43214</v>
      </c>
      <c r="S169" s="422" t="s">
        <v>382</v>
      </c>
      <c r="T169" s="277"/>
    </row>
    <row r="170" spans="1:20" x14ac:dyDescent="0.35">
      <c r="A170" s="267">
        <v>1</v>
      </c>
      <c r="B170" s="284" t="str">
        <f t="shared" si="72"/>
        <v>Historical</v>
      </c>
      <c r="C170" s="277"/>
      <c r="D170" s="295" t="s">
        <v>280</v>
      </c>
      <c r="E170" s="285"/>
      <c r="F170" s="284" t="s">
        <v>287</v>
      </c>
      <c r="G170" s="277"/>
      <c r="H170" s="286">
        <v>0.9</v>
      </c>
      <c r="I170" s="286">
        <v>1</v>
      </c>
      <c r="J170" s="286">
        <f t="shared" si="73"/>
        <v>0.95</v>
      </c>
      <c r="K170" s="277"/>
      <c r="L170" s="284" t="str">
        <f t="shared" si="74"/>
        <v>Actual</v>
      </c>
      <c r="M170" s="287">
        <f ca="1">M169/M163</f>
        <v>0.90895494484950456</v>
      </c>
      <c r="N170" s="278"/>
      <c r="O170" s="296">
        <f t="shared" ca="1" si="75"/>
        <v>-4.1045055150495391E-2</v>
      </c>
      <c r="P170" s="296">
        <f t="shared" ca="1" si="76"/>
        <v>-4.3205321211047781E-2</v>
      </c>
      <c r="Q170" s="277"/>
      <c r="R170" s="288">
        <v>43214</v>
      </c>
      <c r="S170" s="422" t="s">
        <v>382</v>
      </c>
      <c r="T170" s="277"/>
    </row>
    <row r="171" spans="1:20" x14ac:dyDescent="0.35">
      <c r="A171" s="267">
        <v>0</v>
      </c>
      <c r="B171" s="277"/>
      <c r="C171" s="277"/>
      <c r="D171" s="277"/>
      <c r="E171" s="275"/>
      <c r="F171" s="277"/>
      <c r="G171" s="277"/>
      <c r="H171" s="277"/>
      <c r="I171" s="277"/>
      <c r="J171" s="277"/>
      <c r="K171" s="277"/>
      <c r="L171" s="277"/>
      <c r="M171" s="277"/>
      <c r="N171" s="277"/>
      <c r="O171" s="277"/>
      <c r="P171" s="188"/>
      <c r="Q171" s="277"/>
      <c r="R171" s="276"/>
      <c r="S171" s="277"/>
      <c r="T171" s="277"/>
    </row>
    <row r="172" spans="1:20" x14ac:dyDescent="0.35">
      <c r="A172" s="267">
        <v>0</v>
      </c>
      <c r="B172" s="277"/>
      <c r="C172" s="277"/>
      <c r="D172" s="277"/>
      <c r="E172" s="275"/>
      <c r="F172" s="277"/>
      <c r="G172" s="277"/>
      <c r="H172" s="277"/>
      <c r="I172" s="277"/>
      <c r="J172" s="277"/>
      <c r="K172" s="277"/>
      <c r="L172" s="277"/>
      <c r="M172" s="277"/>
      <c r="N172" s="277"/>
      <c r="O172" s="277"/>
      <c r="P172" s="621"/>
      <c r="Q172" s="277"/>
      <c r="R172" s="276"/>
      <c r="S172" s="277"/>
    </row>
  </sheetData>
  <autoFilter ref="A5:T5" xr:uid="{00000000-0009-0000-0000-000003000000}"/>
  <sortState xmlns:xlrd2="http://schemas.microsoft.com/office/spreadsheetml/2017/richdata2" ref="A154:T154">
    <sortCondition descending="1" ref="A154"/>
  </sortState>
  <conditionalFormatting sqref="P1:P3 P57:P61 P84:P87 P113:P116 P121:P124 P118 P130:P133 P137:P140 P48:P54 P43:P46 P37:P40 P27 P5 P11:P14">
    <cfRule type="colorScale" priority="293">
      <colorScale>
        <cfvo type="num" val="-0.1"/>
        <cfvo type="num" val="0"/>
        <cfvo type="num" val="0.1"/>
        <color rgb="FFF8696B"/>
        <color rgb="FFFFEB84"/>
        <color rgb="FF63BE7B"/>
      </colorScale>
    </cfRule>
  </conditionalFormatting>
  <conditionalFormatting sqref="P84">
    <cfRule type="colorScale" priority="239">
      <colorScale>
        <cfvo type="num" val="-0.1"/>
        <cfvo type="num" val="0"/>
        <cfvo type="num" val="0.1"/>
        <color rgb="FFF8696B"/>
        <color rgb="FFFFEB84"/>
        <color rgb="FF63BE7B"/>
      </colorScale>
    </cfRule>
  </conditionalFormatting>
  <conditionalFormatting sqref="P85">
    <cfRule type="colorScale" priority="238">
      <colorScale>
        <cfvo type="num" val="-0.1"/>
        <cfvo type="num" val="0"/>
        <cfvo type="num" val="0.1"/>
        <color rgb="FFF8696B"/>
        <color rgb="FFFFEB84"/>
        <color rgb="FF63BE7B"/>
      </colorScale>
    </cfRule>
  </conditionalFormatting>
  <conditionalFormatting sqref="P71">
    <cfRule type="colorScale" priority="223">
      <colorScale>
        <cfvo type="num" val="-0.1"/>
        <cfvo type="num" val="0"/>
        <cfvo type="num" val="0.1"/>
        <color rgb="FFF8696B"/>
        <color rgb="FFFFEB84"/>
        <color rgb="FF63BE7B"/>
      </colorScale>
    </cfRule>
  </conditionalFormatting>
  <conditionalFormatting sqref="P87">
    <cfRule type="colorScale" priority="242">
      <colorScale>
        <cfvo type="num" val="-0.1"/>
        <cfvo type="num" val="0"/>
        <cfvo type="num" val="0.1"/>
        <color rgb="FFF8696B"/>
        <color rgb="FFFFEB84"/>
        <color rgb="FF63BE7B"/>
      </colorScale>
    </cfRule>
  </conditionalFormatting>
  <conditionalFormatting sqref="P86">
    <cfRule type="colorScale" priority="241">
      <colorScale>
        <cfvo type="num" val="-0.1"/>
        <cfvo type="num" val="0"/>
        <cfvo type="num" val="0.1"/>
        <color rgb="FFF8696B"/>
        <color rgb="FFFFEB84"/>
        <color rgb="FF63BE7B"/>
      </colorScale>
    </cfRule>
  </conditionalFormatting>
  <conditionalFormatting sqref="P57:P61">
    <cfRule type="colorScale" priority="206">
      <colorScale>
        <cfvo type="num" val="-0.1"/>
        <cfvo type="num" val="0"/>
        <cfvo type="num" val="0.1"/>
        <color rgb="FFF8696B"/>
        <color rgb="FFFFEB84"/>
        <color rgb="FF63BE7B"/>
      </colorScale>
    </cfRule>
  </conditionalFormatting>
  <conditionalFormatting sqref="P57:P61">
    <cfRule type="colorScale" priority="208">
      <colorScale>
        <cfvo type="num" val="-0.1"/>
        <cfvo type="num" val="0"/>
        <cfvo type="num" val="0.1"/>
        <color rgb="FFF8696B"/>
        <color rgb="FFFFEB84"/>
        <color rgb="FF63BE7B"/>
      </colorScale>
    </cfRule>
  </conditionalFormatting>
  <conditionalFormatting sqref="P57:P61">
    <cfRule type="colorScale" priority="207">
      <colorScale>
        <cfvo type="num" val="-0.1"/>
        <cfvo type="num" val="0"/>
        <cfvo type="num" val="0.1"/>
        <color rgb="FFF8696B"/>
        <color rgb="FFFFEB84"/>
        <color rgb="FF63BE7B"/>
      </colorScale>
    </cfRule>
  </conditionalFormatting>
  <conditionalFormatting sqref="P57:P61">
    <cfRule type="colorScale" priority="205">
      <colorScale>
        <cfvo type="num" val="-0.1"/>
        <cfvo type="num" val="0"/>
        <cfvo type="num" val="0.1"/>
        <color rgb="FFF8696B"/>
        <color rgb="FFFFEB84"/>
        <color rgb="FF63BE7B"/>
      </colorScale>
    </cfRule>
  </conditionalFormatting>
  <conditionalFormatting sqref="P61">
    <cfRule type="colorScale" priority="210">
      <colorScale>
        <cfvo type="num" val="-0.1"/>
        <cfvo type="num" val="0"/>
        <cfvo type="num" val="0.1"/>
        <color rgb="FFF8696B"/>
        <color rgb="FFFFEB84"/>
        <color rgb="FF63BE7B"/>
      </colorScale>
    </cfRule>
  </conditionalFormatting>
  <conditionalFormatting sqref="P51">
    <cfRule type="colorScale" priority="197">
      <colorScale>
        <cfvo type="num" val="-0.1"/>
        <cfvo type="num" val="0"/>
        <cfvo type="num" val="0.1"/>
        <color rgb="FFF8696B"/>
        <color rgb="FFFFEB84"/>
        <color rgb="FF63BE7B"/>
      </colorScale>
    </cfRule>
  </conditionalFormatting>
  <conditionalFormatting sqref="P59">
    <cfRule type="colorScale" priority="204">
      <colorScale>
        <cfvo type="num" val="-0.1"/>
        <cfvo type="num" val="0"/>
        <cfvo type="num" val="0.1"/>
        <color rgb="FFF8696B"/>
        <color rgb="FFFFEB84"/>
        <color rgb="FF63BE7B"/>
      </colorScale>
    </cfRule>
  </conditionalFormatting>
  <conditionalFormatting sqref="P66">
    <cfRule type="colorScale" priority="196">
      <colorScale>
        <cfvo type="num" val="-0.1"/>
        <cfvo type="num" val="0"/>
        <cfvo type="num" val="0.1"/>
        <color rgb="FFF8696B"/>
        <color rgb="FFFFEB84"/>
        <color rgb="FF63BE7B"/>
      </colorScale>
    </cfRule>
  </conditionalFormatting>
  <conditionalFormatting sqref="P66">
    <cfRule type="colorScale" priority="195">
      <colorScale>
        <cfvo type="num" val="-0.1"/>
        <cfvo type="num" val="0"/>
        <cfvo type="num" val="0.1"/>
        <color rgb="FFF8696B"/>
        <color rgb="FFFFEB84"/>
        <color rgb="FF63BE7B"/>
      </colorScale>
    </cfRule>
  </conditionalFormatting>
  <conditionalFormatting sqref="P63">
    <cfRule type="colorScale" priority="194">
      <colorScale>
        <cfvo type="num" val="-0.1"/>
        <cfvo type="num" val="0"/>
        <cfvo type="num" val="0.1"/>
        <color rgb="FFF8696B"/>
        <color rgb="FFFFEB84"/>
        <color rgb="FF63BE7B"/>
      </colorScale>
    </cfRule>
  </conditionalFormatting>
  <conditionalFormatting sqref="P78:P82">
    <cfRule type="colorScale" priority="178">
      <colorScale>
        <cfvo type="num" val="-0.1"/>
        <cfvo type="num" val="0"/>
        <cfvo type="num" val="0.1"/>
        <color rgb="FFF8696B"/>
        <color rgb="FFFFEB84"/>
        <color rgb="FF63BE7B"/>
      </colorScale>
    </cfRule>
  </conditionalFormatting>
  <conditionalFormatting sqref="P58">
    <cfRule type="colorScale" priority="192">
      <colorScale>
        <cfvo type="num" val="-0.1"/>
        <cfvo type="num" val="0"/>
        <cfvo type="num" val="0.1"/>
        <color rgb="FFF8696B"/>
        <color rgb="FFFFEB84"/>
        <color rgb="FF63BE7B"/>
      </colorScale>
    </cfRule>
  </conditionalFormatting>
  <conditionalFormatting sqref="P56">
    <cfRule type="colorScale" priority="191">
      <colorScale>
        <cfvo type="num" val="-0.1"/>
        <cfvo type="num" val="0"/>
        <cfvo type="num" val="0.1"/>
        <color rgb="FFF8696B"/>
        <color rgb="FFFFEB84"/>
        <color rgb="FF63BE7B"/>
      </colorScale>
    </cfRule>
  </conditionalFormatting>
  <conditionalFormatting sqref="P55:P56">
    <cfRule type="colorScale" priority="190">
      <colorScale>
        <cfvo type="num" val="-0.1"/>
        <cfvo type="num" val="0"/>
        <cfvo type="num" val="0.1"/>
        <color rgb="FFF8696B"/>
        <color rgb="FFFFEB84"/>
        <color rgb="FF63BE7B"/>
      </colorScale>
    </cfRule>
  </conditionalFormatting>
  <conditionalFormatting sqref="P55:P56">
    <cfRule type="colorScale" priority="189">
      <colorScale>
        <cfvo type="num" val="-0.1"/>
        <cfvo type="num" val="0"/>
        <cfvo type="num" val="0.1"/>
        <color rgb="FFF8696B"/>
        <color rgb="FFFFEB84"/>
        <color rgb="FF63BE7B"/>
      </colorScale>
    </cfRule>
  </conditionalFormatting>
  <conditionalFormatting sqref="P49">
    <cfRule type="colorScale" priority="188">
      <colorScale>
        <cfvo type="num" val="-0.1"/>
        <cfvo type="num" val="0"/>
        <cfvo type="num" val="0.1"/>
        <color rgb="FFF8696B"/>
        <color rgb="FFFFEB84"/>
        <color rgb="FF63BE7B"/>
      </colorScale>
    </cfRule>
  </conditionalFormatting>
  <conditionalFormatting sqref="P50">
    <cfRule type="colorScale" priority="187">
      <colorScale>
        <cfvo type="num" val="-0.1"/>
        <cfvo type="num" val="0"/>
        <cfvo type="num" val="0.1"/>
        <color rgb="FFF8696B"/>
        <color rgb="FFFFEB84"/>
        <color rgb="FF63BE7B"/>
      </colorScale>
    </cfRule>
  </conditionalFormatting>
  <conditionalFormatting sqref="P64">
    <cfRule type="colorScale" priority="186">
      <colorScale>
        <cfvo type="num" val="-0.1"/>
        <cfvo type="num" val="0"/>
        <cfvo type="num" val="0.1"/>
        <color rgb="FFF8696B"/>
        <color rgb="FFFFEB84"/>
        <color rgb="FF63BE7B"/>
      </colorScale>
    </cfRule>
  </conditionalFormatting>
  <conditionalFormatting sqref="P65">
    <cfRule type="colorScale" priority="185">
      <colorScale>
        <cfvo type="num" val="-0.1"/>
        <cfvo type="num" val="0"/>
        <cfvo type="num" val="0.1"/>
        <color rgb="FFF8696B"/>
        <color rgb="FFFFEB84"/>
        <color rgb="FF63BE7B"/>
      </colorScale>
    </cfRule>
  </conditionalFormatting>
  <conditionalFormatting sqref="P48">
    <cfRule type="colorScale" priority="184">
      <colorScale>
        <cfvo type="num" val="-0.1"/>
        <cfvo type="num" val="0"/>
        <cfvo type="num" val="0.1"/>
        <color rgb="FFF8696B"/>
        <color rgb="FFFFEB84"/>
        <color rgb="FF63BE7B"/>
      </colorScale>
    </cfRule>
  </conditionalFormatting>
  <conditionalFormatting sqref="P68:P75 P78:P82">
    <cfRule type="colorScale" priority="183">
      <colorScale>
        <cfvo type="num" val="-0.1"/>
        <cfvo type="num" val="0"/>
        <cfvo type="num" val="0.1"/>
        <color rgb="FFF8696B"/>
        <color rgb="FFFFEB84"/>
        <color rgb="FF63BE7B"/>
      </colorScale>
    </cfRule>
  </conditionalFormatting>
  <conditionalFormatting sqref="P78:P82">
    <cfRule type="colorScale" priority="180">
      <colorScale>
        <cfvo type="num" val="-0.1"/>
        <cfvo type="num" val="0"/>
        <cfvo type="num" val="0.1"/>
        <color rgb="FFF8696B"/>
        <color rgb="FFFFEB84"/>
        <color rgb="FF63BE7B"/>
      </colorScale>
    </cfRule>
  </conditionalFormatting>
  <conditionalFormatting sqref="P82">
    <cfRule type="colorScale" priority="182">
      <colorScale>
        <cfvo type="num" val="-0.1"/>
        <cfvo type="num" val="0"/>
        <cfvo type="num" val="0.1"/>
        <color rgb="FFF8696B"/>
        <color rgb="FFFFEB84"/>
        <color rgb="FF63BE7B"/>
      </colorScale>
    </cfRule>
  </conditionalFormatting>
  <conditionalFormatting sqref="P78:P82">
    <cfRule type="colorScale" priority="181">
      <colorScale>
        <cfvo type="num" val="-0.1"/>
        <cfvo type="num" val="0"/>
        <cfvo type="num" val="0.1"/>
        <color rgb="FFF8696B"/>
        <color rgb="FFFFEB84"/>
        <color rgb="FF63BE7B"/>
      </colorScale>
    </cfRule>
  </conditionalFormatting>
  <conditionalFormatting sqref="P98:P102">
    <cfRule type="colorScale" priority="162">
      <colorScale>
        <cfvo type="num" val="-0.1"/>
        <cfvo type="num" val="0"/>
        <cfvo type="num" val="0.1"/>
        <color rgb="FFF8696B"/>
        <color rgb="FFFFEB84"/>
        <color rgb="FF63BE7B"/>
      </colorScale>
    </cfRule>
  </conditionalFormatting>
  <conditionalFormatting sqref="P78:P82">
    <cfRule type="colorScale" priority="179">
      <colorScale>
        <cfvo type="num" val="-0.1"/>
        <cfvo type="num" val="0"/>
        <cfvo type="num" val="0.1"/>
        <color rgb="FFF8696B"/>
        <color rgb="FFFFEB84"/>
        <color rgb="FF63BE7B"/>
      </colorScale>
    </cfRule>
  </conditionalFormatting>
  <conditionalFormatting sqref="P80">
    <cfRule type="colorScale" priority="177">
      <colorScale>
        <cfvo type="num" val="-0.1"/>
        <cfvo type="num" val="0"/>
        <cfvo type="num" val="0.1"/>
        <color rgb="FFF8696B"/>
        <color rgb="FFFFEB84"/>
        <color rgb="FF63BE7B"/>
      </colorScale>
    </cfRule>
  </conditionalFormatting>
  <conditionalFormatting sqref="P72">
    <cfRule type="colorScale" priority="176">
      <colorScale>
        <cfvo type="num" val="-0.1"/>
        <cfvo type="num" val="0"/>
        <cfvo type="num" val="0.1"/>
        <color rgb="FFF8696B"/>
        <color rgb="FFFFEB84"/>
        <color rgb="FF63BE7B"/>
      </colorScale>
    </cfRule>
  </conditionalFormatting>
  <conditionalFormatting sqref="P79">
    <cfRule type="colorScale" priority="175">
      <colorScale>
        <cfvo type="num" val="-0.1"/>
        <cfvo type="num" val="0"/>
        <cfvo type="num" val="0.1"/>
        <color rgb="FFF8696B"/>
        <color rgb="FFFFEB84"/>
        <color rgb="FF63BE7B"/>
      </colorScale>
    </cfRule>
  </conditionalFormatting>
  <conditionalFormatting sqref="P77">
    <cfRule type="colorScale" priority="174">
      <colorScale>
        <cfvo type="num" val="-0.1"/>
        <cfvo type="num" val="0"/>
        <cfvo type="num" val="0.1"/>
        <color rgb="FFF8696B"/>
        <color rgb="FFFFEB84"/>
        <color rgb="FF63BE7B"/>
      </colorScale>
    </cfRule>
  </conditionalFormatting>
  <conditionalFormatting sqref="P76:P77">
    <cfRule type="colorScale" priority="173">
      <colorScale>
        <cfvo type="num" val="-0.1"/>
        <cfvo type="num" val="0"/>
        <cfvo type="num" val="0.1"/>
        <color rgb="FFF8696B"/>
        <color rgb="FFFFEB84"/>
        <color rgb="FF63BE7B"/>
      </colorScale>
    </cfRule>
  </conditionalFormatting>
  <conditionalFormatting sqref="P76:P77">
    <cfRule type="colorScale" priority="172">
      <colorScale>
        <cfvo type="num" val="-0.1"/>
        <cfvo type="num" val="0"/>
        <cfvo type="num" val="0.1"/>
        <color rgb="FFF8696B"/>
        <color rgb="FFFFEB84"/>
        <color rgb="FF63BE7B"/>
      </colorScale>
    </cfRule>
  </conditionalFormatting>
  <conditionalFormatting sqref="P69">
    <cfRule type="colorScale" priority="171">
      <colorScale>
        <cfvo type="num" val="-0.1"/>
        <cfvo type="num" val="0"/>
        <cfvo type="num" val="0.1"/>
        <color rgb="FFF8696B"/>
        <color rgb="FFFFEB84"/>
        <color rgb="FF63BE7B"/>
      </colorScale>
    </cfRule>
  </conditionalFormatting>
  <conditionalFormatting sqref="P70:P71">
    <cfRule type="colorScale" priority="170">
      <colorScale>
        <cfvo type="num" val="-0.1"/>
        <cfvo type="num" val="0"/>
        <cfvo type="num" val="0.1"/>
        <color rgb="FFF8696B"/>
        <color rgb="FFFFEB84"/>
        <color rgb="FF63BE7B"/>
      </colorScale>
    </cfRule>
  </conditionalFormatting>
  <conditionalFormatting sqref="P68">
    <cfRule type="colorScale" priority="169">
      <colorScale>
        <cfvo type="num" val="-0.1"/>
        <cfvo type="num" val="0"/>
        <cfvo type="num" val="0.1"/>
        <color rgb="FFF8696B"/>
        <color rgb="FFFFEB84"/>
        <color rgb="FF63BE7B"/>
      </colorScale>
    </cfRule>
  </conditionalFormatting>
  <conditionalFormatting sqref="P91">
    <cfRule type="colorScale" priority="168">
      <colorScale>
        <cfvo type="num" val="-0.1"/>
        <cfvo type="num" val="0"/>
        <cfvo type="num" val="0.1"/>
        <color rgb="FFF8696B"/>
        <color rgb="FFFFEB84"/>
        <color rgb="FF63BE7B"/>
      </colorScale>
    </cfRule>
  </conditionalFormatting>
  <conditionalFormatting sqref="P88:P95 P98:P102">
    <cfRule type="colorScale" priority="167">
      <colorScale>
        <cfvo type="num" val="-0.1"/>
        <cfvo type="num" val="0"/>
        <cfvo type="num" val="0.1"/>
        <color rgb="FFF8696B"/>
        <color rgb="FFFFEB84"/>
        <color rgb="FF63BE7B"/>
      </colorScale>
    </cfRule>
  </conditionalFormatting>
  <conditionalFormatting sqref="P98:P102">
    <cfRule type="colorScale" priority="164">
      <colorScale>
        <cfvo type="num" val="-0.1"/>
        <cfvo type="num" val="0"/>
        <cfvo type="num" val="0.1"/>
        <color rgb="FFF8696B"/>
        <color rgb="FFFFEB84"/>
        <color rgb="FF63BE7B"/>
      </colorScale>
    </cfRule>
  </conditionalFormatting>
  <conditionalFormatting sqref="P102">
    <cfRule type="colorScale" priority="166">
      <colorScale>
        <cfvo type="num" val="-0.1"/>
        <cfvo type="num" val="0"/>
        <cfvo type="num" val="0.1"/>
        <color rgb="FFF8696B"/>
        <color rgb="FFFFEB84"/>
        <color rgb="FF63BE7B"/>
      </colorScale>
    </cfRule>
  </conditionalFormatting>
  <conditionalFormatting sqref="P98:P102">
    <cfRule type="colorScale" priority="165">
      <colorScale>
        <cfvo type="num" val="-0.1"/>
        <cfvo type="num" val="0"/>
        <cfvo type="num" val="0.1"/>
        <color rgb="FFF8696B"/>
        <color rgb="FFFFEB84"/>
        <color rgb="FF63BE7B"/>
      </colorScale>
    </cfRule>
  </conditionalFormatting>
  <conditionalFormatting sqref="P98:P102">
    <cfRule type="colorScale" priority="163">
      <colorScale>
        <cfvo type="num" val="-0.1"/>
        <cfvo type="num" val="0"/>
        <cfvo type="num" val="0.1"/>
        <color rgb="FFF8696B"/>
        <color rgb="FFFFEB84"/>
        <color rgb="FF63BE7B"/>
      </colorScale>
    </cfRule>
  </conditionalFormatting>
  <conditionalFormatting sqref="P100">
    <cfRule type="colorScale" priority="161">
      <colorScale>
        <cfvo type="num" val="-0.1"/>
        <cfvo type="num" val="0"/>
        <cfvo type="num" val="0.1"/>
        <color rgb="FFF8696B"/>
        <color rgb="FFFFEB84"/>
        <color rgb="FF63BE7B"/>
      </colorScale>
    </cfRule>
  </conditionalFormatting>
  <conditionalFormatting sqref="P92">
    <cfRule type="colorScale" priority="160">
      <colorScale>
        <cfvo type="num" val="-0.1"/>
        <cfvo type="num" val="0"/>
        <cfvo type="num" val="0.1"/>
        <color rgb="FFF8696B"/>
        <color rgb="FFFFEB84"/>
        <color rgb="FF63BE7B"/>
      </colorScale>
    </cfRule>
  </conditionalFormatting>
  <conditionalFormatting sqref="P99">
    <cfRule type="colorScale" priority="159">
      <colorScale>
        <cfvo type="num" val="-0.1"/>
        <cfvo type="num" val="0"/>
        <cfvo type="num" val="0.1"/>
        <color rgb="FFF8696B"/>
        <color rgb="FFFFEB84"/>
        <color rgb="FF63BE7B"/>
      </colorScale>
    </cfRule>
  </conditionalFormatting>
  <conditionalFormatting sqref="P97">
    <cfRule type="colorScale" priority="158">
      <colorScale>
        <cfvo type="num" val="-0.1"/>
        <cfvo type="num" val="0"/>
        <cfvo type="num" val="0.1"/>
        <color rgb="FFF8696B"/>
        <color rgb="FFFFEB84"/>
        <color rgb="FF63BE7B"/>
      </colorScale>
    </cfRule>
  </conditionalFormatting>
  <conditionalFormatting sqref="P96:P97">
    <cfRule type="colorScale" priority="157">
      <colorScale>
        <cfvo type="num" val="-0.1"/>
        <cfvo type="num" val="0"/>
        <cfvo type="num" val="0.1"/>
        <color rgb="FFF8696B"/>
        <color rgb="FFFFEB84"/>
        <color rgb="FF63BE7B"/>
      </colorScale>
    </cfRule>
  </conditionalFormatting>
  <conditionalFormatting sqref="P96:P97">
    <cfRule type="colorScale" priority="156">
      <colorScale>
        <cfvo type="num" val="-0.1"/>
        <cfvo type="num" val="0"/>
        <cfvo type="num" val="0.1"/>
        <color rgb="FFF8696B"/>
        <color rgb="FFFFEB84"/>
        <color rgb="FF63BE7B"/>
      </colorScale>
    </cfRule>
  </conditionalFormatting>
  <conditionalFormatting sqref="P89">
    <cfRule type="colorScale" priority="155">
      <colorScale>
        <cfvo type="num" val="-0.1"/>
        <cfvo type="num" val="0"/>
        <cfvo type="num" val="0.1"/>
        <color rgb="FFF8696B"/>
        <color rgb="FFFFEB84"/>
        <color rgb="FF63BE7B"/>
      </colorScale>
    </cfRule>
  </conditionalFormatting>
  <conditionalFormatting sqref="P90:P91">
    <cfRule type="colorScale" priority="154">
      <colorScale>
        <cfvo type="num" val="-0.1"/>
        <cfvo type="num" val="0"/>
        <cfvo type="num" val="0.1"/>
        <color rgb="FFF8696B"/>
        <color rgb="FFFFEB84"/>
        <color rgb="FF63BE7B"/>
      </colorScale>
    </cfRule>
  </conditionalFormatting>
  <conditionalFormatting sqref="P88">
    <cfRule type="colorScale" priority="153">
      <colorScale>
        <cfvo type="num" val="-0.1"/>
        <cfvo type="num" val="0"/>
        <cfvo type="num" val="0.1"/>
        <color rgb="FFF8696B"/>
        <color rgb="FFFFEB84"/>
        <color rgb="FF63BE7B"/>
      </colorScale>
    </cfRule>
  </conditionalFormatting>
  <conditionalFormatting sqref="P106:P108 P104">
    <cfRule type="colorScale" priority="152">
      <colorScale>
        <cfvo type="num" val="-0.1"/>
        <cfvo type="num" val="0"/>
        <cfvo type="num" val="0.1"/>
        <color rgb="FFF8696B"/>
        <color rgb="FFFFEB84"/>
        <color rgb="FF63BE7B"/>
      </colorScale>
    </cfRule>
  </conditionalFormatting>
  <conditionalFormatting sqref="P108">
    <cfRule type="colorScale" priority="151">
      <colorScale>
        <cfvo type="num" val="-0.1"/>
        <cfvo type="num" val="0"/>
        <cfvo type="num" val="0.1"/>
        <color rgb="FFF8696B"/>
        <color rgb="FFFFEB84"/>
        <color rgb="FF63BE7B"/>
      </colorScale>
    </cfRule>
  </conditionalFormatting>
  <conditionalFormatting sqref="P107">
    <cfRule type="colorScale" priority="150">
      <colorScale>
        <cfvo type="num" val="-0.1"/>
        <cfvo type="num" val="0"/>
        <cfvo type="num" val="0.1"/>
        <color rgb="FFF8696B"/>
        <color rgb="FFFFEB84"/>
        <color rgb="FF63BE7B"/>
      </colorScale>
    </cfRule>
  </conditionalFormatting>
  <conditionalFormatting sqref="P104">
    <cfRule type="colorScale" priority="149">
      <colorScale>
        <cfvo type="num" val="-0.1"/>
        <cfvo type="num" val="0"/>
        <cfvo type="num" val="0.1"/>
        <color rgb="FFF8696B"/>
        <color rgb="FFFFEB84"/>
        <color rgb="FF63BE7B"/>
      </colorScale>
    </cfRule>
  </conditionalFormatting>
  <conditionalFormatting sqref="P106">
    <cfRule type="colorScale" priority="148">
      <colorScale>
        <cfvo type="num" val="-0.1"/>
        <cfvo type="num" val="0"/>
        <cfvo type="num" val="0.1"/>
        <color rgb="FFF8696B"/>
        <color rgb="FFFFEB84"/>
        <color rgb="FF63BE7B"/>
      </colorScale>
    </cfRule>
  </conditionalFormatting>
  <conditionalFormatting sqref="P116">
    <cfRule type="colorScale" priority="147">
      <colorScale>
        <cfvo type="num" val="-0.1"/>
        <cfvo type="num" val="0"/>
        <cfvo type="num" val="0.1"/>
        <color rgb="FFF8696B"/>
        <color rgb="FFFFEB84"/>
        <color rgb="FF63BE7B"/>
      </colorScale>
    </cfRule>
  </conditionalFormatting>
  <conditionalFormatting sqref="P124">
    <cfRule type="colorScale" priority="145">
      <colorScale>
        <cfvo type="num" val="-0.1"/>
        <cfvo type="num" val="0"/>
        <cfvo type="num" val="0.1"/>
        <color rgb="FFF8696B"/>
        <color rgb="FFFFEB84"/>
        <color rgb="FF63BE7B"/>
      </colorScale>
    </cfRule>
  </conditionalFormatting>
  <conditionalFormatting sqref="P122">
    <cfRule type="colorScale" priority="140">
      <colorScale>
        <cfvo type="num" val="-0.1"/>
        <cfvo type="num" val="0"/>
        <cfvo type="num" val="0.1"/>
        <color rgb="FFF8696B"/>
        <color rgb="FFFFEB84"/>
        <color rgb="FF63BE7B"/>
      </colorScale>
    </cfRule>
  </conditionalFormatting>
  <conditionalFormatting sqref="P121">
    <cfRule type="colorScale" priority="138">
      <colorScale>
        <cfvo type="num" val="-0.1"/>
        <cfvo type="num" val="0"/>
        <cfvo type="num" val="0.1"/>
        <color rgb="FFF8696B"/>
        <color rgb="FFFFEB84"/>
        <color rgb="FF63BE7B"/>
      </colorScale>
    </cfRule>
  </conditionalFormatting>
  <conditionalFormatting sqref="P120">
    <cfRule type="colorScale" priority="137">
      <colorScale>
        <cfvo type="num" val="-0.1"/>
        <cfvo type="num" val="0"/>
        <cfvo type="num" val="0.1"/>
        <color rgb="FFF8696B"/>
        <color rgb="FFFFEB84"/>
        <color rgb="FF63BE7B"/>
      </colorScale>
    </cfRule>
  </conditionalFormatting>
  <conditionalFormatting sqref="P119:P120">
    <cfRule type="colorScale" priority="136">
      <colorScale>
        <cfvo type="num" val="-0.1"/>
        <cfvo type="num" val="0"/>
        <cfvo type="num" val="0.1"/>
        <color rgb="FFF8696B"/>
        <color rgb="FFFFEB84"/>
        <color rgb="FF63BE7B"/>
      </colorScale>
    </cfRule>
  </conditionalFormatting>
  <conditionalFormatting sqref="P119:P120">
    <cfRule type="colorScale" priority="135">
      <colorScale>
        <cfvo type="num" val="-0.1"/>
        <cfvo type="num" val="0"/>
        <cfvo type="num" val="0.1"/>
        <color rgb="FFF8696B"/>
        <color rgb="FFFFEB84"/>
        <color rgb="FF63BE7B"/>
      </colorScale>
    </cfRule>
  </conditionalFormatting>
  <conditionalFormatting sqref="P114">
    <cfRule type="colorScale" priority="134">
      <colorScale>
        <cfvo type="num" val="-0.1"/>
        <cfvo type="num" val="0"/>
        <cfvo type="num" val="0.1"/>
        <color rgb="FFF8696B"/>
        <color rgb="FFFFEB84"/>
        <color rgb="FF63BE7B"/>
      </colorScale>
    </cfRule>
  </conditionalFormatting>
  <conditionalFormatting sqref="P115:P116">
    <cfRule type="colorScale" priority="133">
      <colorScale>
        <cfvo type="num" val="-0.1"/>
        <cfvo type="num" val="0"/>
        <cfvo type="num" val="0.1"/>
        <color rgb="FFF8696B"/>
        <color rgb="FFFFEB84"/>
        <color rgb="FF63BE7B"/>
      </colorScale>
    </cfRule>
  </conditionalFormatting>
  <conditionalFormatting sqref="P113">
    <cfRule type="colorScale" priority="132">
      <colorScale>
        <cfvo type="num" val="-0.1"/>
        <cfvo type="num" val="0"/>
        <cfvo type="num" val="0.1"/>
        <color rgb="FFF8696B"/>
        <color rgb="FFFFEB84"/>
        <color rgb="FF63BE7B"/>
      </colorScale>
    </cfRule>
  </conditionalFormatting>
  <conditionalFormatting sqref="P105">
    <cfRule type="colorScale" priority="131">
      <colorScale>
        <cfvo type="num" val="-0.1"/>
        <cfvo type="num" val="0"/>
        <cfvo type="num" val="0.1"/>
        <color rgb="FFF8696B"/>
        <color rgb="FFFFEB84"/>
        <color rgb="FF63BE7B"/>
      </colorScale>
    </cfRule>
  </conditionalFormatting>
  <conditionalFormatting sqref="P105">
    <cfRule type="colorScale" priority="130">
      <colorScale>
        <cfvo type="num" val="-0.1"/>
        <cfvo type="num" val="0"/>
        <cfvo type="num" val="0.1"/>
        <color rgb="FFF8696B"/>
        <color rgb="FFFFEB84"/>
        <color rgb="FF63BE7B"/>
      </colorScale>
    </cfRule>
  </conditionalFormatting>
  <conditionalFormatting sqref="P110:P112">
    <cfRule type="colorScale" priority="129">
      <colorScale>
        <cfvo type="num" val="-0.1"/>
        <cfvo type="num" val="0"/>
        <cfvo type="num" val="0.1"/>
        <color rgb="FFF8696B"/>
        <color rgb="FFFFEB84"/>
        <color rgb="FF63BE7B"/>
      </colorScale>
    </cfRule>
  </conditionalFormatting>
  <conditionalFormatting sqref="P112">
    <cfRule type="colorScale" priority="128">
      <colorScale>
        <cfvo type="num" val="-0.1"/>
        <cfvo type="num" val="0"/>
        <cfvo type="num" val="0.1"/>
        <color rgb="FFF8696B"/>
        <color rgb="FFFFEB84"/>
        <color rgb="FF63BE7B"/>
      </colorScale>
    </cfRule>
  </conditionalFormatting>
  <conditionalFormatting sqref="P111">
    <cfRule type="colorScale" priority="127">
      <colorScale>
        <cfvo type="num" val="-0.1"/>
        <cfvo type="num" val="0"/>
        <cfvo type="num" val="0.1"/>
        <color rgb="FFF8696B"/>
        <color rgb="FFFFEB84"/>
        <color rgb="FF63BE7B"/>
      </colorScale>
    </cfRule>
  </conditionalFormatting>
  <conditionalFormatting sqref="P110">
    <cfRule type="colorScale" priority="126">
      <colorScale>
        <cfvo type="num" val="-0.1"/>
        <cfvo type="num" val="0"/>
        <cfvo type="num" val="0.1"/>
        <color rgb="FFF8696B"/>
        <color rgb="FFFFEB84"/>
        <color rgb="FF63BE7B"/>
      </colorScale>
    </cfRule>
  </conditionalFormatting>
  <conditionalFormatting sqref="P109">
    <cfRule type="colorScale" priority="125">
      <colorScale>
        <cfvo type="num" val="-0.1"/>
        <cfvo type="num" val="0"/>
        <cfvo type="num" val="0.1"/>
        <color rgb="FFF8696B"/>
        <color rgb="FFFFEB84"/>
        <color rgb="FF63BE7B"/>
      </colorScale>
    </cfRule>
  </conditionalFormatting>
  <conditionalFormatting sqref="P109">
    <cfRule type="colorScale" priority="124">
      <colorScale>
        <cfvo type="num" val="-0.1"/>
        <cfvo type="num" val="0"/>
        <cfvo type="num" val="0.1"/>
        <color rgb="FFF8696B"/>
        <color rgb="FFFFEB84"/>
        <color rgb="FF63BE7B"/>
      </colorScale>
    </cfRule>
  </conditionalFormatting>
  <conditionalFormatting sqref="P117">
    <cfRule type="colorScale" priority="123">
      <colorScale>
        <cfvo type="num" val="-0.1"/>
        <cfvo type="num" val="0"/>
        <cfvo type="num" val="0.1"/>
        <color rgb="FFF8696B"/>
        <color rgb="FFFFEB84"/>
        <color rgb="FF63BE7B"/>
      </colorScale>
    </cfRule>
  </conditionalFormatting>
  <conditionalFormatting sqref="P125">
    <cfRule type="colorScale" priority="122">
      <colorScale>
        <cfvo type="num" val="-0.1"/>
        <cfvo type="num" val="0"/>
        <cfvo type="num" val="0.1"/>
        <color rgb="FFF8696B"/>
        <color rgb="FFFFEB84"/>
        <color rgb="FF63BE7B"/>
      </colorScale>
    </cfRule>
  </conditionalFormatting>
  <conditionalFormatting sqref="P125">
    <cfRule type="colorScale" priority="121">
      <colorScale>
        <cfvo type="num" val="-0.1"/>
        <cfvo type="num" val="0"/>
        <cfvo type="num" val="0.1"/>
        <color rgb="FFF8696B"/>
        <color rgb="FFFFEB84"/>
        <color rgb="FF63BE7B"/>
      </colorScale>
    </cfRule>
  </conditionalFormatting>
  <conditionalFormatting sqref="P127:P129">
    <cfRule type="colorScale" priority="120">
      <colorScale>
        <cfvo type="num" val="-0.1"/>
        <cfvo type="num" val="0"/>
        <cfvo type="num" val="0.1"/>
        <color rgb="FFF8696B"/>
        <color rgb="FFFFEB84"/>
        <color rgb="FF63BE7B"/>
      </colorScale>
    </cfRule>
  </conditionalFormatting>
  <conditionalFormatting sqref="P140">
    <cfRule type="colorScale" priority="118">
      <colorScale>
        <cfvo type="num" val="-0.1"/>
        <cfvo type="num" val="0"/>
        <cfvo type="num" val="0.1"/>
        <color rgb="FFF8696B"/>
        <color rgb="FFFFEB84"/>
        <color rgb="FF63BE7B"/>
      </colorScale>
    </cfRule>
  </conditionalFormatting>
  <conditionalFormatting sqref="P138">
    <cfRule type="colorScale" priority="117">
      <colorScale>
        <cfvo type="num" val="-0.1"/>
        <cfvo type="num" val="0"/>
        <cfvo type="num" val="0.1"/>
        <color rgb="FFF8696B"/>
        <color rgb="FFFFEB84"/>
        <color rgb="FF63BE7B"/>
      </colorScale>
    </cfRule>
  </conditionalFormatting>
  <conditionalFormatting sqref="P137">
    <cfRule type="colorScale" priority="116">
      <colorScale>
        <cfvo type="num" val="-0.1"/>
        <cfvo type="num" val="0"/>
        <cfvo type="num" val="0.1"/>
        <color rgb="FFF8696B"/>
        <color rgb="FFFFEB84"/>
        <color rgb="FF63BE7B"/>
      </colorScale>
    </cfRule>
  </conditionalFormatting>
  <conditionalFormatting sqref="P128">
    <cfRule type="colorScale" priority="112">
      <colorScale>
        <cfvo type="num" val="-0.1"/>
        <cfvo type="num" val="0"/>
        <cfvo type="num" val="0.1"/>
        <color rgb="FFF8696B"/>
        <color rgb="FFFFEB84"/>
        <color rgb="FF63BE7B"/>
      </colorScale>
    </cfRule>
  </conditionalFormatting>
  <conditionalFormatting sqref="P129">
    <cfRule type="colorScale" priority="111">
      <colorScale>
        <cfvo type="num" val="-0.1"/>
        <cfvo type="num" val="0"/>
        <cfvo type="num" val="0.1"/>
        <color rgb="FFF8696B"/>
        <color rgb="FFFFEB84"/>
        <color rgb="FF63BE7B"/>
      </colorScale>
    </cfRule>
  </conditionalFormatting>
  <conditionalFormatting sqref="P127">
    <cfRule type="colorScale" priority="110">
      <colorScale>
        <cfvo type="num" val="-0.1"/>
        <cfvo type="num" val="0"/>
        <cfvo type="num" val="0.1"/>
        <color rgb="FFF8696B"/>
        <color rgb="FFFFEB84"/>
        <color rgb="FF63BE7B"/>
      </colorScale>
    </cfRule>
  </conditionalFormatting>
  <conditionalFormatting sqref="P136">
    <cfRule type="colorScale" priority="101">
      <colorScale>
        <cfvo type="num" val="-0.1"/>
        <cfvo type="num" val="0"/>
        <cfvo type="num" val="0.1"/>
        <color rgb="FFF8696B"/>
        <color rgb="FFFFEB84"/>
        <color rgb="FF63BE7B"/>
      </colorScale>
    </cfRule>
  </conditionalFormatting>
  <conditionalFormatting sqref="P136">
    <cfRule type="colorScale" priority="105">
      <colorScale>
        <cfvo type="num" val="-0.1"/>
        <cfvo type="num" val="0"/>
        <cfvo type="num" val="0.1"/>
        <color rgb="FFF8696B"/>
        <color rgb="FFFFEB84"/>
        <color rgb="FF63BE7B"/>
      </colorScale>
    </cfRule>
  </conditionalFormatting>
  <conditionalFormatting sqref="P136">
    <cfRule type="colorScale" priority="103">
      <colorScale>
        <cfvo type="num" val="-0.1"/>
        <cfvo type="num" val="0"/>
        <cfvo type="num" val="0.1"/>
        <color rgb="FFF8696B"/>
        <color rgb="FFFFEB84"/>
        <color rgb="FF63BE7B"/>
      </colorScale>
    </cfRule>
  </conditionalFormatting>
  <conditionalFormatting sqref="P136">
    <cfRule type="colorScale" priority="104">
      <colorScale>
        <cfvo type="num" val="-0.1"/>
        <cfvo type="num" val="0"/>
        <cfvo type="num" val="0.1"/>
        <color rgb="FFF8696B"/>
        <color rgb="FFFFEB84"/>
        <color rgb="FF63BE7B"/>
      </colorScale>
    </cfRule>
  </conditionalFormatting>
  <conditionalFormatting sqref="P136">
    <cfRule type="colorScale" priority="102">
      <colorScale>
        <cfvo type="num" val="-0.1"/>
        <cfvo type="num" val="0"/>
        <cfvo type="num" val="0.1"/>
        <color rgb="FFF8696B"/>
        <color rgb="FFFFEB84"/>
        <color rgb="FF63BE7B"/>
      </colorScale>
    </cfRule>
  </conditionalFormatting>
  <conditionalFormatting sqref="P130">
    <cfRule type="colorScale" priority="100">
      <colorScale>
        <cfvo type="num" val="-0.1"/>
        <cfvo type="num" val="0"/>
        <cfvo type="num" val="0.1"/>
        <color rgb="FFF8696B"/>
        <color rgb="FFFFEB84"/>
        <color rgb="FF63BE7B"/>
      </colorScale>
    </cfRule>
  </conditionalFormatting>
  <conditionalFormatting sqref="P135">
    <cfRule type="colorScale" priority="99">
      <colorScale>
        <cfvo type="num" val="-0.1"/>
        <cfvo type="num" val="0"/>
        <cfvo type="num" val="0.1"/>
        <color rgb="FFF8696B"/>
        <color rgb="FFFFEB84"/>
        <color rgb="FF63BE7B"/>
      </colorScale>
    </cfRule>
  </conditionalFormatting>
  <conditionalFormatting sqref="P134:P135">
    <cfRule type="colorScale" priority="98">
      <colorScale>
        <cfvo type="num" val="-0.1"/>
        <cfvo type="num" val="0"/>
        <cfvo type="num" val="0.1"/>
        <color rgb="FFF8696B"/>
        <color rgb="FFFFEB84"/>
        <color rgb="FF63BE7B"/>
      </colorScale>
    </cfRule>
  </conditionalFormatting>
  <conditionalFormatting sqref="P134:P135">
    <cfRule type="colorScale" priority="97">
      <colorScale>
        <cfvo type="num" val="-0.1"/>
        <cfvo type="num" val="0"/>
        <cfvo type="num" val="0.1"/>
        <color rgb="FFF8696B"/>
        <color rgb="FFFFEB84"/>
        <color rgb="FF63BE7B"/>
      </colorScale>
    </cfRule>
  </conditionalFormatting>
  <conditionalFormatting sqref="P145:P148 P152:P155">
    <cfRule type="colorScale" priority="95">
      <colorScale>
        <cfvo type="num" val="-0.1"/>
        <cfvo type="num" val="0"/>
        <cfvo type="num" val="0.1"/>
        <color rgb="FFF8696B"/>
        <color rgb="FFFFEB84"/>
        <color rgb="FF63BE7B"/>
      </colorScale>
    </cfRule>
  </conditionalFormatting>
  <conditionalFormatting sqref="P142:P144">
    <cfRule type="colorScale" priority="94">
      <colorScale>
        <cfvo type="num" val="-0.1"/>
        <cfvo type="num" val="0"/>
        <cfvo type="num" val="0.1"/>
        <color rgb="FFF8696B"/>
        <color rgb="FFFFEB84"/>
        <color rgb="FF63BE7B"/>
      </colorScale>
    </cfRule>
  </conditionalFormatting>
  <conditionalFormatting sqref="P155">
    <cfRule type="colorScale" priority="93">
      <colorScale>
        <cfvo type="num" val="-0.1"/>
        <cfvo type="num" val="0"/>
        <cfvo type="num" val="0.1"/>
        <color rgb="FFF8696B"/>
        <color rgb="FFFFEB84"/>
        <color rgb="FF63BE7B"/>
      </colorScale>
    </cfRule>
  </conditionalFormatting>
  <conditionalFormatting sqref="P153">
    <cfRule type="colorScale" priority="92">
      <colorScale>
        <cfvo type="num" val="-0.1"/>
        <cfvo type="num" val="0"/>
        <cfvo type="num" val="0.1"/>
        <color rgb="FFF8696B"/>
        <color rgb="FFFFEB84"/>
        <color rgb="FF63BE7B"/>
      </colorScale>
    </cfRule>
  </conditionalFormatting>
  <conditionalFormatting sqref="P152">
    <cfRule type="colorScale" priority="91">
      <colorScale>
        <cfvo type="num" val="-0.1"/>
        <cfvo type="num" val="0"/>
        <cfvo type="num" val="0.1"/>
        <color rgb="FFF8696B"/>
        <color rgb="FFFFEB84"/>
        <color rgb="FF63BE7B"/>
      </colorScale>
    </cfRule>
  </conditionalFormatting>
  <conditionalFormatting sqref="P143">
    <cfRule type="colorScale" priority="90">
      <colorScale>
        <cfvo type="num" val="-0.1"/>
        <cfvo type="num" val="0"/>
        <cfvo type="num" val="0.1"/>
        <color rgb="FFF8696B"/>
        <color rgb="FFFFEB84"/>
        <color rgb="FF63BE7B"/>
      </colorScale>
    </cfRule>
  </conditionalFormatting>
  <conditionalFormatting sqref="P144">
    <cfRule type="colorScale" priority="89">
      <colorScale>
        <cfvo type="num" val="-0.1"/>
        <cfvo type="num" val="0"/>
        <cfvo type="num" val="0.1"/>
        <color rgb="FFF8696B"/>
        <color rgb="FFFFEB84"/>
        <color rgb="FF63BE7B"/>
      </colorScale>
    </cfRule>
  </conditionalFormatting>
  <conditionalFormatting sqref="P142">
    <cfRule type="colorScale" priority="88">
      <colorScale>
        <cfvo type="num" val="-0.1"/>
        <cfvo type="num" val="0"/>
        <cfvo type="num" val="0.1"/>
        <color rgb="FFF8696B"/>
        <color rgb="FFFFEB84"/>
        <color rgb="FF63BE7B"/>
      </colorScale>
    </cfRule>
  </conditionalFormatting>
  <conditionalFormatting sqref="P151">
    <cfRule type="colorScale" priority="83">
      <colorScale>
        <cfvo type="num" val="-0.1"/>
        <cfvo type="num" val="0"/>
        <cfvo type="num" val="0.1"/>
        <color rgb="FFF8696B"/>
        <color rgb="FFFFEB84"/>
        <color rgb="FF63BE7B"/>
      </colorScale>
    </cfRule>
  </conditionalFormatting>
  <conditionalFormatting sqref="P151">
    <cfRule type="colorScale" priority="87">
      <colorScale>
        <cfvo type="num" val="-0.1"/>
        <cfvo type="num" val="0"/>
        <cfvo type="num" val="0.1"/>
        <color rgb="FFF8696B"/>
        <color rgb="FFFFEB84"/>
        <color rgb="FF63BE7B"/>
      </colorScale>
    </cfRule>
  </conditionalFormatting>
  <conditionalFormatting sqref="P151">
    <cfRule type="colorScale" priority="85">
      <colorScale>
        <cfvo type="num" val="-0.1"/>
        <cfvo type="num" val="0"/>
        <cfvo type="num" val="0.1"/>
        <color rgb="FFF8696B"/>
        <color rgb="FFFFEB84"/>
        <color rgb="FF63BE7B"/>
      </colorScale>
    </cfRule>
  </conditionalFormatting>
  <conditionalFormatting sqref="P151">
    <cfRule type="colorScale" priority="86">
      <colorScale>
        <cfvo type="num" val="-0.1"/>
        <cfvo type="num" val="0"/>
        <cfvo type="num" val="0.1"/>
        <color rgb="FFF8696B"/>
        <color rgb="FFFFEB84"/>
        <color rgb="FF63BE7B"/>
      </colorScale>
    </cfRule>
  </conditionalFormatting>
  <conditionalFormatting sqref="P151">
    <cfRule type="colorScale" priority="84">
      <colorScale>
        <cfvo type="num" val="-0.1"/>
        <cfvo type="num" val="0"/>
        <cfvo type="num" val="0.1"/>
        <color rgb="FFF8696B"/>
        <color rgb="FFFFEB84"/>
        <color rgb="FF63BE7B"/>
      </colorScale>
    </cfRule>
  </conditionalFormatting>
  <conditionalFormatting sqref="P145">
    <cfRule type="colorScale" priority="82">
      <colorScale>
        <cfvo type="num" val="-0.1"/>
        <cfvo type="num" val="0"/>
        <cfvo type="num" val="0.1"/>
        <color rgb="FFF8696B"/>
        <color rgb="FFFFEB84"/>
        <color rgb="FF63BE7B"/>
      </colorScale>
    </cfRule>
  </conditionalFormatting>
  <conditionalFormatting sqref="P150">
    <cfRule type="colorScale" priority="81">
      <colorScale>
        <cfvo type="num" val="-0.1"/>
        <cfvo type="num" val="0"/>
        <cfvo type="num" val="0.1"/>
        <color rgb="FFF8696B"/>
        <color rgb="FFFFEB84"/>
        <color rgb="FF63BE7B"/>
      </colorScale>
    </cfRule>
  </conditionalFormatting>
  <conditionalFormatting sqref="P149:P150">
    <cfRule type="colorScale" priority="80">
      <colorScale>
        <cfvo type="num" val="-0.1"/>
        <cfvo type="num" val="0"/>
        <cfvo type="num" val="0.1"/>
        <color rgb="FFF8696B"/>
        <color rgb="FFFFEB84"/>
        <color rgb="FF63BE7B"/>
      </colorScale>
    </cfRule>
  </conditionalFormatting>
  <conditionalFormatting sqref="P149:P150">
    <cfRule type="colorScale" priority="79">
      <colorScale>
        <cfvo type="num" val="-0.1"/>
        <cfvo type="num" val="0"/>
        <cfvo type="num" val="0.1"/>
        <color rgb="FFF8696B"/>
        <color rgb="FFFFEB84"/>
        <color rgb="FF63BE7B"/>
      </colorScale>
    </cfRule>
  </conditionalFormatting>
  <conditionalFormatting sqref="P160:P163 P167:P170">
    <cfRule type="colorScale" priority="78">
      <colorScale>
        <cfvo type="num" val="-0.1"/>
        <cfvo type="num" val="0"/>
        <cfvo type="num" val="0.1"/>
        <color rgb="FFF8696B"/>
        <color rgb="FFFFEB84"/>
        <color rgb="FF63BE7B"/>
      </colorScale>
    </cfRule>
  </conditionalFormatting>
  <conditionalFormatting sqref="P157:P159">
    <cfRule type="colorScale" priority="77">
      <colorScale>
        <cfvo type="num" val="-0.1"/>
        <cfvo type="num" val="0"/>
        <cfvo type="num" val="0.1"/>
        <color rgb="FFF8696B"/>
        <color rgb="FFFFEB84"/>
        <color rgb="FF63BE7B"/>
      </colorScale>
    </cfRule>
  </conditionalFormatting>
  <conditionalFormatting sqref="P170">
    <cfRule type="colorScale" priority="76">
      <colorScale>
        <cfvo type="num" val="-0.1"/>
        <cfvo type="num" val="0"/>
        <cfvo type="num" val="0.1"/>
        <color rgb="FFF8696B"/>
        <color rgb="FFFFEB84"/>
        <color rgb="FF63BE7B"/>
      </colorScale>
    </cfRule>
  </conditionalFormatting>
  <conditionalFormatting sqref="P168">
    <cfRule type="colorScale" priority="75">
      <colorScale>
        <cfvo type="num" val="-0.1"/>
        <cfvo type="num" val="0"/>
        <cfvo type="num" val="0.1"/>
        <color rgb="FFF8696B"/>
        <color rgb="FFFFEB84"/>
        <color rgb="FF63BE7B"/>
      </colorScale>
    </cfRule>
  </conditionalFormatting>
  <conditionalFormatting sqref="P167">
    <cfRule type="colorScale" priority="74">
      <colorScale>
        <cfvo type="num" val="-0.1"/>
        <cfvo type="num" val="0"/>
        <cfvo type="num" val="0.1"/>
        <color rgb="FFF8696B"/>
        <color rgb="FFFFEB84"/>
        <color rgb="FF63BE7B"/>
      </colorScale>
    </cfRule>
  </conditionalFormatting>
  <conditionalFormatting sqref="P158">
    <cfRule type="colorScale" priority="73">
      <colorScale>
        <cfvo type="num" val="-0.1"/>
        <cfvo type="num" val="0"/>
        <cfvo type="num" val="0.1"/>
        <color rgb="FFF8696B"/>
        <color rgb="FFFFEB84"/>
        <color rgb="FF63BE7B"/>
      </colorScale>
    </cfRule>
  </conditionalFormatting>
  <conditionalFormatting sqref="P159">
    <cfRule type="colorScale" priority="72">
      <colorScale>
        <cfvo type="num" val="-0.1"/>
        <cfvo type="num" val="0"/>
        <cfvo type="num" val="0.1"/>
        <color rgb="FFF8696B"/>
        <color rgb="FFFFEB84"/>
        <color rgb="FF63BE7B"/>
      </colorScale>
    </cfRule>
  </conditionalFormatting>
  <conditionalFormatting sqref="P157">
    <cfRule type="colorScale" priority="71">
      <colorScale>
        <cfvo type="num" val="-0.1"/>
        <cfvo type="num" val="0"/>
        <cfvo type="num" val="0.1"/>
        <color rgb="FFF8696B"/>
        <color rgb="FFFFEB84"/>
        <color rgb="FF63BE7B"/>
      </colorScale>
    </cfRule>
  </conditionalFormatting>
  <conditionalFormatting sqref="P166">
    <cfRule type="colorScale" priority="66">
      <colorScale>
        <cfvo type="num" val="-0.1"/>
        <cfvo type="num" val="0"/>
        <cfvo type="num" val="0.1"/>
        <color rgb="FFF8696B"/>
        <color rgb="FFFFEB84"/>
        <color rgb="FF63BE7B"/>
      </colorScale>
    </cfRule>
  </conditionalFormatting>
  <conditionalFormatting sqref="P166">
    <cfRule type="colorScale" priority="70">
      <colorScale>
        <cfvo type="num" val="-0.1"/>
        <cfvo type="num" val="0"/>
        <cfvo type="num" val="0.1"/>
        <color rgb="FFF8696B"/>
        <color rgb="FFFFEB84"/>
        <color rgb="FF63BE7B"/>
      </colorScale>
    </cfRule>
  </conditionalFormatting>
  <conditionalFormatting sqref="P166">
    <cfRule type="colorScale" priority="68">
      <colorScale>
        <cfvo type="num" val="-0.1"/>
        <cfvo type="num" val="0"/>
        <cfvo type="num" val="0.1"/>
        <color rgb="FFF8696B"/>
        <color rgb="FFFFEB84"/>
        <color rgb="FF63BE7B"/>
      </colorScale>
    </cfRule>
  </conditionalFormatting>
  <conditionalFormatting sqref="P166">
    <cfRule type="colorScale" priority="69">
      <colorScale>
        <cfvo type="num" val="-0.1"/>
        <cfvo type="num" val="0"/>
        <cfvo type="num" val="0.1"/>
        <color rgb="FFF8696B"/>
        <color rgb="FFFFEB84"/>
        <color rgb="FF63BE7B"/>
      </colorScale>
    </cfRule>
  </conditionalFormatting>
  <conditionalFormatting sqref="P166">
    <cfRule type="colorScale" priority="67">
      <colorScale>
        <cfvo type="num" val="-0.1"/>
        <cfvo type="num" val="0"/>
        <cfvo type="num" val="0.1"/>
        <color rgb="FFF8696B"/>
        <color rgb="FFFFEB84"/>
        <color rgb="FF63BE7B"/>
      </colorScale>
    </cfRule>
  </conditionalFormatting>
  <conditionalFormatting sqref="P160">
    <cfRule type="colorScale" priority="65">
      <colorScale>
        <cfvo type="num" val="-0.1"/>
        <cfvo type="num" val="0"/>
        <cfvo type="num" val="0.1"/>
        <color rgb="FFF8696B"/>
        <color rgb="FFFFEB84"/>
        <color rgb="FF63BE7B"/>
      </colorScale>
    </cfRule>
  </conditionalFormatting>
  <conditionalFormatting sqref="P165">
    <cfRule type="colorScale" priority="64">
      <colorScale>
        <cfvo type="num" val="-0.1"/>
        <cfvo type="num" val="0"/>
        <cfvo type="num" val="0.1"/>
        <color rgb="FFF8696B"/>
        <color rgb="FFFFEB84"/>
        <color rgb="FF63BE7B"/>
      </colorScale>
    </cfRule>
  </conditionalFormatting>
  <conditionalFormatting sqref="P164:P165">
    <cfRule type="colorScale" priority="63">
      <colorScale>
        <cfvo type="num" val="-0.1"/>
        <cfvo type="num" val="0"/>
        <cfvo type="num" val="0.1"/>
        <color rgb="FFF8696B"/>
        <color rgb="FFFFEB84"/>
        <color rgb="FF63BE7B"/>
      </colorScale>
    </cfRule>
  </conditionalFormatting>
  <conditionalFormatting sqref="P164:P165">
    <cfRule type="colorScale" priority="62">
      <colorScale>
        <cfvo type="num" val="-0.1"/>
        <cfvo type="num" val="0"/>
        <cfvo type="num" val="0.1"/>
        <color rgb="FFF8696B"/>
        <color rgb="FFFFEB84"/>
        <color rgb="FF63BE7B"/>
      </colorScale>
    </cfRule>
  </conditionalFormatting>
  <conditionalFormatting sqref="P46">
    <cfRule type="colorScale" priority="60">
      <colorScale>
        <cfvo type="num" val="-0.1"/>
        <cfvo type="num" val="0"/>
        <cfvo type="num" val="0.1"/>
        <color rgb="FFF8696B"/>
        <color rgb="FFFFEB84"/>
        <color rgb="FF63BE7B"/>
      </colorScale>
    </cfRule>
  </conditionalFormatting>
  <conditionalFormatting sqref="P44">
    <cfRule type="colorScale" priority="55">
      <colorScale>
        <cfvo type="num" val="-0.1"/>
        <cfvo type="num" val="0"/>
        <cfvo type="num" val="0.1"/>
        <color rgb="FFF8696B"/>
        <color rgb="FFFFEB84"/>
        <color rgb="FF63BE7B"/>
      </colorScale>
    </cfRule>
  </conditionalFormatting>
  <conditionalFormatting sqref="P43">
    <cfRule type="colorScale" priority="53">
      <colorScale>
        <cfvo type="num" val="-0.1"/>
        <cfvo type="num" val="0"/>
        <cfvo type="num" val="0.1"/>
        <color rgb="FFF8696B"/>
        <color rgb="FFFFEB84"/>
        <color rgb="FF63BE7B"/>
      </colorScale>
    </cfRule>
  </conditionalFormatting>
  <conditionalFormatting sqref="P42">
    <cfRule type="colorScale" priority="52">
      <colorScale>
        <cfvo type="num" val="-0.1"/>
        <cfvo type="num" val="0"/>
        <cfvo type="num" val="0.1"/>
        <color rgb="FFF8696B"/>
        <color rgb="FFFFEB84"/>
        <color rgb="FF63BE7B"/>
      </colorScale>
    </cfRule>
  </conditionalFormatting>
  <conditionalFormatting sqref="P41:P42">
    <cfRule type="colorScale" priority="51">
      <colorScale>
        <cfvo type="num" val="-0.1"/>
        <cfvo type="num" val="0"/>
        <cfvo type="num" val="0.1"/>
        <color rgb="FFF8696B"/>
        <color rgb="FFFFEB84"/>
        <color rgb="FF63BE7B"/>
      </colorScale>
    </cfRule>
  </conditionalFormatting>
  <conditionalFormatting sqref="P41:P42">
    <cfRule type="colorScale" priority="50">
      <colorScale>
        <cfvo type="num" val="-0.1"/>
        <cfvo type="num" val="0"/>
        <cfvo type="num" val="0.1"/>
        <color rgb="FFF8696B"/>
        <color rgb="FFFFEB84"/>
        <color rgb="FF63BE7B"/>
      </colorScale>
    </cfRule>
  </conditionalFormatting>
  <conditionalFormatting sqref="P38">
    <cfRule type="colorScale" priority="49">
      <colorScale>
        <cfvo type="num" val="-0.1"/>
        <cfvo type="num" val="0"/>
        <cfvo type="num" val="0.1"/>
        <color rgb="FFF8696B"/>
        <color rgb="FFFFEB84"/>
        <color rgb="FF63BE7B"/>
      </colorScale>
    </cfRule>
  </conditionalFormatting>
  <conditionalFormatting sqref="P39">
    <cfRule type="colorScale" priority="48">
      <colorScale>
        <cfvo type="num" val="-0.1"/>
        <cfvo type="num" val="0"/>
        <cfvo type="num" val="0.1"/>
        <color rgb="FFF8696B"/>
        <color rgb="FFFFEB84"/>
        <color rgb="FF63BE7B"/>
      </colorScale>
    </cfRule>
  </conditionalFormatting>
  <conditionalFormatting sqref="P37">
    <cfRule type="colorScale" priority="47">
      <colorScale>
        <cfvo type="num" val="-0.1"/>
        <cfvo type="num" val="0"/>
        <cfvo type="num" val="0.1"/>
        <color rgb="FFF8696B"/>
        <color rgb="FFFFEB84"/>
        <color rgb="FF63BE7B"/>
      </colorScale>
    </cfRule>
  </conditionalFormatting>
  <conditionalFormatting sqref="P30:P33">
    <cfRule type="colorScale" priority="46">
      <colorScale>
        <cfvo type="num" val="-0.1"/>
        <cfvo type="num" val="0"/>
        <cfvo type="num" val="0.1"/>
        <color rgb="FFF8696B"/>
        <color rgb="FFFFEB84"/>
        <color rgb="FF63BE7B"/>
      </colorScale>
    </cfRule>
  </conditionalFormatting>
  <conditionalFormatting sqref="P30">
    <cfRule type="colorScale" priority="43">
      <colorScale>
        <cfvo type="num" val="-0.1"/>
        <cfvo type="num" val="0"/>
        <cfvo type="num" val="0.1"/>
        <color rgb="FFF8696B"/>
        <color rgb="FFFFEB84"/>
        <color rgb="FF63BE7B"/>
      </colorScale>
    </cfRule>
  </conditionalFormatting>
  <conditionalFormatting sqref="P31">
    <cfRule type="colorScale" priority="42">
      <colorScale>
        <cfvo type="num" val="-0.1"/>
        <cfvo type="num" val="0"/>
        <cfvo type="num" val="0.1"/>
        <color rgb="FFF8696B"/>
        <color rgb="FFFFEB84"/>
        <color rgb="FF63BE7B"/>
      </colorScale>
    </cfRule>
  </conditionalFormatting>
  <conditionalFormatting sqref="P33">
    <cfRule type="colorScale" priority="45">
      <colorScale>
        <cfvo type="num" val="-0.1"/>
        <cfvo type="num" val="0"/>
        <cfvo type="num" val="0.1"/>
        <color rgb="FFF8696B"/>
        <color rgb="FFFFEB84"/>
        <color rgb="FF63BE7B"/>
      </colorScale>
    </cfRule>
  </conditionalFormatting>
  <conditionalFormatting sqref="P32">
    <cfRule type="colorScale" priority="44">
      <colorScale>
        <cfvo type="num" val="-0.1"/>
        <cfvo type="num" val="0"/>
        <cfvo type="num" val="0.1"/>
        <color rgb="FFF8696B"/>
        <color rgb="FFFFEB84"/>
        <color rgb="FF63BE7B"/>
      </colorScale>
    </cfRule>
  </conditionalFormatting>
  <conditionalFormatting sqref="P35:P36">
    <cfRule type="colorScale" priority="41">
      <colorScale>
        <cfvo type="num" val="-0.1"/>
        <cfvo type="num" val="0"/>
        <cfvo type="num" val="0.1"/>
        <color rgb="FFF8696B"/>
        <color rgb="FFFFEB84"/>
        <color rgb="FF63BE7B"/>
      </colorScale>
    </cfRule>
  </conditionalFormatting>
  <conditionalFormatting sqref="P36">
    <cfRule type="colorScale" priority="40">
      <colorScale>
        <cfvo type="num" val="-0.1"/>
        <cfvo type="num" val="0"/>
        <cfvo type="num" val="0.1"/>
        <color rgb="FFF8696B"/>
        <color rgb="FFFFEB84"/>
        <color rgb="FF63BE7B"/>
      </colorScale>
    </cfRule>
  </conditionalFormatting>
  <conditionalFormatting sqref="P35">
    <cfRule type="colorScale" priority="39">
      <colorScale>
        <cfvo type="num" val="-0.1"/>
        <cfvo type="num" val="0"/>
        <cfvo type="num" val="0.1"/>
        <color rgb="FFF8696B"/>
        <color rgb="FFFFEB84"/>
        <color rgb="FF63BE7B"/>
      </colorScale>
    </cfRule>
  </conditionalFormatting>
  <conditionalFormatting sqref="P34">
    <cfRule type="colorScale" priority="38">
      <colorScale>
        <cfvo type="num" val="-0.1"/>
        <cfvo type="num" val="0"/>
        <cfvo type="num" val="0.1"/>
        <color rgb="FFF8696B"/>
        <color rgb="FFFFEB84"/>
        <color rgb="FF63BE7B"/>
      </colorScale>
    </cfRule>
  </conditionalFormatting>
  <conditionalFormatting sqref="P34">
    <cfRule type="colorScale" priority="37">
      <colorScale>
        <cfvo type="num" val="-0.1"/>
        <cfvo type="num" val="0"/>
        <cfvo type="num" val="0.1"/>
        <color rgb="FFF8696B"/>
        <color rgb="FFFFEB84"/>
        <color rgb="FF63BE7B"/>
      </colorScale>
    </cfRule>
  </conditionalFormatting>
  <conditionalFormatting sqref="P27">
    <cfRule type="colorScale" priority="36">
      <colorScale>
        <cfvo type="num" val="-0.1"/>
        <cfvo type="num" val="0"/>
        <cfvo type="num" val="0.1"/>
        <color rgb="FFF8696B"/>
        <color rgb="FFFFEB84"/>
        <color rgb="FF63BE7B"/>
      </colorScale>
    </cfRule>
  </conditionalFormatting>
  <conditionalFormatting sqref="P27">
    <cfRule type="colorScale" priority="35">
      <colorScale>
        <cfvo type="num" val="-0.1"/>
        <cfvo type="num" val="0"/>
        <cfvo type="num" val="0.1"/>
        <color rgb="FFF8696B"/>
        <color rgb="FFFFEB84"/>
        <color rgb="FF63BE7B"/>
      </colorScale>
    </cfRule>
  </conditionalFormatting>
  <conditionalFormatting sqref="P28">
    <cfRule type="colorScale" priority="34">
      <colorScale>
        <cfvo type="num" val="-0.1"/>
        <cfvo type="num" val="0"/>
        <cfvo type="num" val="0.1"/>
        <color rgb="FFF8696B"/>
        <color rgb="FFFFEB84"/>
        <color rgb="FF63BE7B"/>
      </colorScale>
    </cfRule>
  </conditionalFormatting>
  <conditionalFormatting sqref="P28">
    <cfRule type="colorScale" priority="33">
      <colorScale>
        <cfvo type="num" val="-0.1"/>
        <cfvo type="num" val="0"/>
        <cfvo type="num" val="0.1"/>
        <color rgb="FFF8696B"/>
        <color rgb="FFFFEB84"/>
        <color rgb="FF63BE7B"/>
      </colorScale>
    </cfRule>
  </conditionalFormatting>
  <conditionalFormatting sqref="P25">
    <cfRule type="colorScale" priority="32">
      <colorScale>
        <cfvo type="num" val="-0.1"/>
        <cfvo type="num" val="0"/>
        <cfvo type="num" val="0.1"/>
        <color rgb="FFF8696B"/>
        <color rgb="FFFFEB84"/>
        <color rgb="FF63BE7B"/>
      </colorScale>
    </cfRule>
  </conditionalFormatting>
  <conditionalFormatting sqref="P25">
    <cfRule type="colorScale" priority="31">
      <colorScale>
        <cfvo type="num" val="-0.1"/>
        <cfvo type="num" val="0"/>
        <cfvo type="num" val="0.1"/>
        <color rgb="FFF8696B"/>
        <color rgb="FFFFEB84"/>
        <color rgb="FF63BE7B"/>
      </colorScale>
    </cfRule>
  </conditionalFormatting>
  <conditionalFormatting sqref="P20:P23 P15:P17">
    <cfRule type="colorScale" priority="30">
      <colorScale>
        <cfvo type="num" val="-0.1"/>
        <cfvo type="num" val="0"/>
        <cfvo type="num" val="0.1"/>
        <color rgb="FFF8696B"/>
        <color rgb="FFFFEB84"/>
        <color rgb="FF63BE7B"/>
      </colorScale>
    </cfRule>
  </conditionalFormatting>
  <conditionalFormatting sqref="P23">
    <cfRule type="colorScale" priority="29">
      <colorScale>
        <cfvo type="num" val="-0.1"/>
        <cfvo type="num" val="0"/>
        <cfvo type="num" val="0.1"/>
        <color rgb="FFF8696B"/>
        <color rgb="FFFFEB84"/>
        <color rgb="FF63BE7B"/>
      </colorScale>
    </cfRule>
  </conditionalFormatting>
  <conditionalFormatting sqref="P21">
    <cfRule type="colorScale" priority="28">
      <colorScale>
        <cfvo type="num" val="-0.1"/>
        <cfvo type="num" val="0"/>
        <cfvo type="num" val="0.1"/>
        <color rgb="FFF8696B"/>
        <color rgb="FFFFEB84"/>
        <color rgb="FF63BE7B"/>
      </colorScale>
    </cfRule>
  </conditionalFormatting>
  <conditionalFormatting sqref="P20">
    <cfRule type="colorScale" priority="27">
      <colorScale>
        <cfvo type="num" val="-0.1"/>
        <cfvo type="num" val="0"/>
        <cfvo type="num" val="0.1"/>
        <color rgb="FFF8696B"/>
        <color rgb="FFFFEB84"/>
        <color rgb="FF63BE7B"/>
      </colorScale>
    </cfRule>
  </conditionalFormatting>
  <conditionalFormatting sqref="P19">
    <cfRule type="colorScale" priority="25">
      <colorScale>
        <cfvo type="num" val="-0.1"/>
        <cfvo type="num" val="0"/>
        <cfvo type="num" val="0.1"/>
        <color rgb="FFF8696B"/>
        <color rgb="FFFFEB84"/>
        <color rgb="FF63BE7B"/>
      </colorScale>
    </cfRule>
  </conditionalFormatting>
  <conditionalFormatting sqref="P19">
    <cfRule type="colorScale" priority="24">
      <colorScale>
        <cfvo type="num" val="-0.1"/>
        <cfvo type="num" val="0"/>
        <cfvo type="num" val="0.1"/>
        <color rgb="FFF8696B"/>
        <color rgb="FFFFEB84"/>
        <color rgb="FF63BE7B"/>
      </colorScale>
    </cfRule>
  </conditionalFormatting>
  <conditionalFormatting sqref="P16">
    <cfRule type="colorScale" priority="23">
      <colorScale>
        <cfvo type="num" val="-0.1"/>
        <cfvo type="num" val="0"/>
        <cfvo type="num" val="0.1"/>
        <color rgb="FFF8696B"/>
        <color rgb="FFFFEB84"/>
        <color rgb="FF63BE7B"/>
      </colorScale>
    </cfRule>
  </conditionalFormatting>
  <conditionalFormatting sqref="P17">
    <cfRule type="colorScale" priority="22">
      <colorScale>
        <cfvo type="num" val="-0.1"/>
        <cfvo type="num" val="0"/>
        <cfvo type="num" val="0.1"/>
        <color rgb="FFF8696B"/>
        <color rgb="FFFFEB84"/>
        <color rgb="FF63BE7B"/>
      </colorScale>
    </cfRule>
  </conditionalFormatting>
  <conditionalFormatting sqref="P15">
    <cfRule type="colorScale" priority="21">
      <colorScale>
        <cfvo type="num" val="-0.1"/>
        <cfvo type="num" val="0"/>
        <cfvo type="num" val="0.1"/>
        <color rgb="FFF8696B"/>
        <color rgb="FFFFEB84"/>
        <color rgb="FF63BE7B"/>
      </colorScale>
    </cfRule>
  </conditionalFormatting>
  <conditionalFormatting sqref="P13">
    <cfRule type="colorScale" priority="17">
      <colorScale>
        <cfvo type="num" val="-0.1"/>
        <cfvo type="num" val="0"/>
        <cfvo type="num" val="0.1"/>
        <color rgb="FFF8696B"/>
        <color rgb="FFFFEB84"/>
        <color rgb="FF63BE7B"/>
      </colorScale>
    </cfRule>
  </conditionalFormatting>
  <conditionalFormatting sqref="P11:P12">
    <cfRule type="colorScale" priority="16">
      <colorScale>
        <cfvo type="num" val="-0.1"/>
        <cfvo type="num" val="0"/>
        <cfvo type="num" val="0.1"/>
        <color rgb="FFF8696B"/>
        <color rgb="FFFFEB84"/>
        <color rgb="FF63BE7B"/>
      </colorScale>
    </cfRule>
  </conditionalFormatting>
  <conditionalFormatting sqref="P14">
    <cfRule type="colorScale" priority="19">
      <colorScale>
        <cfvo type="num" val="-0.1"/>
        <cfvo type="num" val="0"/>
        <cfvo type="num" val="0.1"/>
        <color rgb="FFF8696B"/>
        <color rgb="FFFFEB84"/>
        <color rgb="FF63BE7B"/>
      </colorScale>
    </cfRule>
  </conditionalFormatting>
  <conditionalFormatting sqref="P12">
    <cfRule type="colorScale" priority="18">
      <colorScale>
        <cfvo type="num" val="-0.1"/>
        <cfvo type="num" val="0"/>
        <cfvo type="num" val="0.1"/>
        <color rgb="FFF8696B"/>
        <color rgb="FFFFEB84"/>
        <color rgb="FF63BE7B"/>
      </colorScale>
    </cfRule>
  </conditionalFormatting>
  <conditionalFormatting sqref="P18">
    <cfRule type="colorScale" priority="10">
      <colorScale>
        <cfvo type="num" val="-0.1"/>
        <cfvo type="num" val="0"/>
        <cfvo type="num" val="0.1"/>
        <color rgb="FFF8696B"/>
        <color rgb="FFFFEB84"/>
        <color rgb="FF63BE7B"/>
      </colorScale>
    </cfRule>
  </conditionalFormatting>
  <conditionalFormatting sqref="P18">
    <cfRule type="colorScale" priority="9">
      <colorScale>
        <cfvo type="num" val="-0.1"/>
        <cfvo type="num" val="0"/>
        <cfvo type="num" val="0.1"/>
        <color rgb="FFF8696B"/>
        <color rgb="FFFFEB84"/>
        <color rgb="FF63BE7B"/>
      </colorScale>
    </cfRule>
  </conditionalFormatting>
  <conditionalFormatting sqref="P6">
    <cfRule type="colorScale" priority="8">
      <colorScale>
        <cfvo type="num" val="-0.1"/>
        <cfvo type="num" val="0"/>
        <cfvo type="num" val="0.1"/>
        <color rgb="FFF8696B"/>
        <color rgb="FFFFEB84"/>
        <color rgb="FF63BE7B"/>
      </colorScale>
    </cfRule>
  </conditionalFormatting>
  <conditionalFormatting sqref="P6">
    <cfRule type="colorScale" priority="7">
      <colorScale>
        <cfvo type="num" val="-0.1"/>
        <cfvo type="num" val="0"/>
        <cfvo type="num" val="0.1"/>
        <color rgb="FFF8696B"/>
        <color rgb="FFFFEB84"/>
        <color rgb="FF63BE7B"/>
      </colorScale>
    </cfRule>
  </conditionalFormatting>
  <conditionalFormatting sqref="P8">
    <cfRule type="colorScale" priority="6">
      <colorScale>
        <cfvo type="num" val="-0.1"/>
        <cfvo type="num" val="0"/>
        <cfvo type="num" val="0.1"/>
        <color rgb="FFF8696B"/>
        <color rgb="FFFFEB84"/>
        <color rgb="FF63BE7B"/>
      </colorScale>
    </cfRule>
  </conditionalFormatting>
  <conditionalFormatting sqref="P8">
    <cfRule type="colorScale" priority="5">
      <colorScale>
        <cfvo type="num" val="-0.1"/>
        <cfvo type="num" val="0"/>
        <cfvo type="num" val="0.1"/>
        <color rgb="FFF8696B"/>
        <color rgb="FFFFEB84"/>
        <color rgb="FF63BE7B"/>
      </colorScale>
    </cfRule>
  </conditionalFormatting>
  <conditionalFormatting sqref="P9">
    <cfRule type="colorScale" priority="4">
      <colorScale>
        <cfvo type="num" val="-0.1"/>
        <cfvo type="num" val="0"/>
        <cfvo type="num" val="0.1"/>
        <color rgb="FFF8696B"/>
        <color rgb="FFFFEB84"/>
        <color rgb="FF63BE7B"/>
      </colorScale>
    </cfRule>
  </conditionalFormatting>
  <conditionalFormatting sqref="P9">
    <cfRule type="colorScale" priority="3">
      <colorScale>
        <cfvo type="num" val="-0.1"/>
        <cfvo type="num" val="0"/>
        <cfvo type="num" val="0.1"/>
        <color rgb="FFF8696B"/>
        <color rgb="FFFFEB84"/>
        <color rgb="FF63BE7B"/>
      </colorScale>
    </cfRule>
  </conditionalFormatting>
  <conditionalFormatting sqref="P7">
    <cfRule type="colorScale" priority="2">
      <colorScale>
        <cfvo type="num" val="-0.1"/>
        <cfvo type="num" val="0"/>
        <cfvo type="num" val="0.1"/>
        <color rgb="FFF8696B"/>
        <color rgb="FFFFEB84"/>
        <color rgb="FF63BE7B"/>
      </colorScale>
    </cfRule>
  </conditionalFormatting>
  <conditionalFormatting sqref="P7">
    <cfRule type="colorScale" priority="1">
      <colorScale>
        <cfvo type="num" val="-0.1"/>
        <cfvo type="num" val="0"/>
        <cfvo type="num" val="0.1"/>
        <color rgb="FFF8696B"/>
        <color rgb="FFFFEB84"/>
        <color rgb="FF63BE7B"/>
      </colorScale>
    </cfRule>
  </conditionalFormatting>
  <hyperlinks>
    <hyperlink ref="S84" r:id="rId1" xr:uid="{00000000-0004-0000-0300-000000000000}"/>
    <hyperlink ref="S85" r:id="rId2" xr:uid="{00000000-0004-0000-0300-000001000000}"/>
    <hyperlink ref="S86" r:id="rId3" xr:uid="{00000000-0004-0000-0300-000002000000}"/>
    <hyperlink ref="S87" r:id="rId4" xr:uid="{00000000-0004-0000-0300-000003000000}"/>
    <hyperlink ref="S48" r:id="rId5" xr:uid="{00000000-0004-0000-0300-000004000000}"/>
    <hyperlink ref="S49" r:id="rId6" xr:uid="{00000000-0004-0000-0300-000005000000}"/>
    <hyperlink ref="S50" r:id="rId7" xr:uid="{00000000-0004-0000-0300-000006000000}"/>
    <hyperlink ref="S63" r:id="rId8" xr:uid="{00000000-0004-0000-0300-000007000000}"/>
    <hyperlink ref="S64" r:id="rId9" xr:uid="{00000000-0004-0000-0300-000008000000}"/>
    <hyperlink ref="S65" r:id="rId10" xr:uid="{00000000-0004-0000-0300-000009000000}"/>
    <hyperlink ref="S51" r:id="rId11" xr:uid="{00000000-0004-0000-0300-00000A000000}"/>
    <hyperlink ref="S52" r:id="rId12" xr:uid="{00000000-0004-0000-0300-00000B000000}"/>
    <hyperlink ref="S53" r:id="rId13" xr:uid="{00000000-0004-0000-0300-00000C000000}"/>
    <hyperlink ref="S54" r:id="rId14" xr:uid="{00000000-0004-0000-0300-00000D000000}"/>
    <hyperlink ref="S55" r:id="rId15" xr:uid="{00000000-0004-0000-0300-00000E000000}"/>
    <hyperlink ref="S56" r:id="rId16" xr:uid="{00000000-0004-0000-0300-00000F000000}"/>
    <hyperlink ref="S57" r:id="rId17" xr:uid="{00000000-0004-0000-0300-000010000000}"/>
    <hyperlink ref="S58" r:id="rId18" xr:uid="{00000000-0004-0000-0300-000011000000}"/>
    <hyperlink ref="S59" r:id="rId19" xr:uid="{00000000-0004-0000-0300-000012000000}"/>
    <hyperlink ref="S60" r:id="rId20" xr:uid="{00000000-0004-0000-0300-000013000000}"/>
    <hyperlink ref="S61" r:id="rId21" xr:uid="{00000000-0004-0000-0300-000014000000}"/>
    <hyperlink ref="S66" r:id="rId22" xr:uid="{00000000-0004-0000-0300-000015000000}"/>
    <hyperlink ref="S82" r:id="rId23" xr:uid="{00000000-0004-0000-0300-000016000000}"/>
    <hyperlink ref="S81" r:id="rId24" xr:uid="{00000000-0004-0000-0300-000017000000}"/>
    <hyperlink ref="S80" r:id="rId25" xr:uid="{00000000-0004-0000-0300-000018000000}"/>
    <hyperlink ref="S79" r:id="rId26" xr:uid="{00000000-0004-0000-0300-000019000000}"/>
    <hyperlink ref="S78" r:id="rId27" xr:uid="{00000000-0004-0000-0300-00001A000000}"/>
    <hyperlink ref="S77" r:id="rId28" xr:uid="{00000000-0004-0000-0300-00001B000000}"/>
    <hyperlink ref="S76" r:id="rId29" xr:uid="{00000000-0004-0000-0300-00001C000000}"/>
    <hyperlink ref="S75" r:id="rId30" xr:uid="{00000000-0004-0000-0300-00001D000000}"/>
    <hyperlink ref="S74" r:id="rId31" xr:uid="{00000000-0004-0000-0300-00001E000000}"/>
    <hyperlink ref="S73" r:id="rId32" xr:uid="{00000000-0004-0000-0300-00001F000000}"/>
    <hyperlink ref="S72" r:id="rId33" xr:uid="{00000000-0004-0000-0300-000020000000}"/>
    <hyperlink ref="S70" r:id="rId34" xr:uid="{00000000-0004-0000-0300-000021000000}"/>
    <hyperlink ref="S69" r:id="rId35" xr:uid="{00000000-0004-0000-0300-000022000000}"/>
    <hyperlink ref="S68" r:id="rId36" xr:uid="{00000000-0004-0000-0300-000023000000}"/>
    <hyperlink ref="S71" r:id="rId37" xr:uid="{00000000-0004-0000-0300-000024000000}"/>
    <hyperlink ref="S101" r:id="rId38" xr:uid="{00000000-0004-0000-0300-000025000000}"/>
    <hyperlink ref="S100" r:id="rId39" xr:uid="{00000000-0004-0000-0300-000026000000}"/>
    <hyperlink ref="S99" r:id="rId40" xr:uid="{00000000-0004-0000-0300-000027000000}"/>
    <hyperlink ref="S98" r:id="rId41" xr:uid="{00000000-0004-0000-0300-000028000000}"/>
    <hyperlink ref="S97" r:id="rId42" xr:uid="{00000000-0004-0000-0300-000029000000}"/>
    <hyperlink ref="S96" r:id="rId43" xr:uid="{00000000-0004-0000-0300-00002A000000}"/>
    <hyperlink ref="S95" r:id="rId44" xr:uid="{00000000-0004-0000-0300-00002B000000}"/>
    <hyperlink ref="S94" r:id="rId45" xr:uid="{00000000-0004-0000-0300-00002C000000}"/>
    <hyperlink ref="S93" r:id="rId46" xr:uid="{00000000-0004-0000-0300-00002D000000}"/>
    <hyperlink ref="S92" r:id="rId47" xr:uid="{00000000-0004-0000-0300-00002E000000}"/>
    <hyperlink ref="S91" r:id="rId48" xr:uid="{00000000-0004-0000-0300-00002F000000}"/>
    <hyperlink ref="S90" r:id="rId49" xr:uid="{00000000-0004-0000-0300-000030000000}"/>
    <hyperlink ref="S89" r:id="rId50" xr:uid="{00000000-0004-0000-0300-000031000000}"/>
    <hyperlink ref="S88" r:id="rId51" xr:uid="{00000000-0004-0000-0300-000032000000}"/>
    <hyperlink ref="S124" r:id="rId52" xr:uid="{00000000-0004-0000-0300-000033000000}"/>
    <hyperlink ref="S123" r:id="rId53" xr:uid="{00000000-0004-0000-0300-000034000000}"/>
    <hyperlink ref="S122" r:id="rId54" xr:uid="{00000000-0004-0000-0300-000035000000}"/>
    <hyperlink ref="S121" r:id="rId55" xr:uid="{00000000-0004-0000-0300-000036000000}"/>
    <hyperlink ref="S120" r:id="rId56" xr:uid="{00000000-0004-0000-0300-000037000000}"/>
    <hyperlink ref="S119" r:id="rId57" xr:uid="{00000000-0004-0000-0300-000038000000}"/>
    <hyperlink ref="S118" r:id="rId58" xr:uid="{00000000-0004-0000-0300-000039000000}"/>
    <hyperlink ref="S117" r:id="rId59" xr:uid="{00000000-0004-0000-0300-00003A000000}"/>
    <hyperlink ref="S116" r:id="rId60" xr:uid="{00000000-0004-0000-0300-00003B000000}"/>
    <hyperlink ref="S115" r:id="rId61" xr:uid="{00000000-0004-0000-0300-00003C000000}"/>
    <hyperlink ref="S114" r:id="rId62" xr:uid="{00000000-0004-0000-0300-00003D000000}"/>
    <hyperlink ref="S113" r:id="rId63" xr:uid="{00000000-0004-0000-0300-00003E000000}"/>
    <hyperlink ref="S112" r:id="rId64" xr:uid="{00000000-0004-0000-0300-00003F000000}"/>
    <hyperlink ref="S111" r:id="rId65" xr:uid="{00000000-0004-0000-0300-000040000000}"/>
    <hyperlink ref="S110" r:id="rId66" xr:uid="{00000000-0004-0000-0300-000041000000}"/>
    <hyperlink ref="S109" r:id="rId67" xr:uid="{00000000-0004-0000-0300-000042000000}"/>
    <hyperlink ref="S108" r:id="rId68" xr:uid="{00000000-0004-0000-0300-000043000000}"/>
    <hyperlink ref="S107" r:id="rId69" xr:uid="{00000000-0004-0000-0300-000044000000}"/>
    <hyperlink ref="S106" r:id="rId70" xr:uid="{00000000-0004-0000-0300-000045000000}"/>
    <hyperlink ref="S104" r:id="rId71" xr:uid="{00000000-0004-0000-0300-000046000000}"/>
    <hyperlink ref="S102" r:id="rId72" xr:uid="{00000000-0004-0000-0300-000047000000}"/>
    <hyperlink ref="S105" r:id="rId73" xr:uid="{00000000-0004-0000-0300-000048000000}"/>
    <hyperlink ref="S125" r:id="rId74" xr:uid="{00000000-0004-0000-0300-000049000000}"/>
    <hyperlink ref="S127" r:id="rId75" xr:uid="{00000000-0004-0000-0300-00004A000000}"/>
    <hyperlink ref="S128" r:id="rId76" xr:uid="{00000000-0004-0000-0300-00004B000000}"/>
    <hyperlink ref="S129" r:id="rId77" xr:uid="{00000000-0004-0000-0300-00004C000000}"/>
    <hyperlink ref="S137" r:id="rId78" xr:uid="{00000000-0004-0000-0300-00004D000000}"/>
    <hyperlink ref="S138" r:id="rId79" xr:uid="{00000000-0004-0000-0300-00004E000000}"/>
    <hyperlink ref="S139" r:id="rId80" xr:uid="{00000000-0004-0000-0300-00004F000000}"/>
    <hyperlink ref="S140" r:id="rId81" xr:uid="{00000000-0004-0000-0300-000050000000}"/>
    <hyperlink ref="S130" r:id="rId82" xr:uid="{00000000-0004-0000-0300-000051000000}"/>
    <hyperlink ref="S131" r:id="rId83" xr:uid="{00000000-0004-0000-0300-000052000000}"/>
    <hyperlink ref="S132" r:id="rId84" xr:uid="{00000000-0004-0000-0300-000053000000}"/>
    <hyperlink ref="S133" r:id="rId85" xr:uid="{00000000-0004-0000-0300-000054000000}"/>
    <hyperlink ref="S135" r:id="rId86" xr:uid="{00000000-0004-0000-0300-000055000000}"/>
    <hyperlink ref="S134" r:id="rId87" xr:uid="{00000000-0004-0000-0300-000056000000}"/>
    <hyperlink ref="S136" r:id="rId88" xr:uid="{00000000-0004-0000-0300-000057000000}"/>
    <hyperlink ref="S142" r:id="rId89" xr:uid="{00000000-0004-0000-0300-000058000000}"/>
    <hyperlink ref="S143" r:id="rId90" xr:uid="{00000000-0004-0000-0300-000059000000}"/>
    <hyperlink ref="S144" r:id="rId91" xr:uid="{00000000-0004-0000-0300-00005A000000}"/>
    <hyperlink ref="S145" r:id="rId92" xr:uid="{00000000-0004-0000-0300-00005B000000}"/>
    <hyperlink ref="S146" r:id="rId93" xr:uid="{00000000-0004-0000-0300-00005C000000}"/>
    <hyperlink ref="S147" r:id="rId94" xr:uid="{00000000-0004-0000-0300-00005D000000}"/>
    <hyperlink ref="S148" r:id="rId95" xr:uid="{00000000-0004-0000-0300-00005E000000}"/>
    <hyperlink ref="S149" r:id="rId96" xr:uid="{00000000-0004-0000-0300-00005F000000}"/>
    <hyperlink ref="S150" r:id="rId97" xr:uid="{00000000-0004-0000-0300-000060000000}"/>
    <hyperlink ref="S151" r:id="rId98" xr:uid="{00000000-0004-0000-0300-000061000000}"/>
    <hyperlink ref="S152" r:id="rId99" xr:uid="{00000000-0004-0000-0300-000062000000}"/>
    <hyperlink ref="S153" r:id="rId100" xr:uid="{00000000-0004-0000-0300-000063000000}"/>
    <hyperlink ref="S154" r:id="rId101" xr:uid="{00000000-0004-0000-0300-000064000000}"/>
    <hyperlink ref="S155" r:id="rId102" xr:uid="{00000000-0004-0000-0300-000065000000}"/>
    <hyperlink ref="S157" r:id="rId103" xr:uid="{00000000-0004-0000-0300-000066000000}"/>
    <hyperlink ref="S158" r:id="rId104" xr:uid="{00000000-0004-0000-0300-000067000000}"/>
    <hyperlink ref="S159" r:id="rId105" xr:uid="{00000000-0004-0000-0300-000068000000}"/>
    <hyperlink ref="S160" r:id="rId106" xr:uid="{00000000-0004-0000-0300-000069000000}"/>
    <hyperlink ref="S161" r:id="rId107" xr:uid="{00000000-0004-0000-0300-00006A000000}"/>
    <hyperlink ref="S162" r:id="rId108" xr:uid="{00000000-0004-0000-0300-00006B000000}"/>
    <hyperlink ref="S163" r:id="rId109" xr:uid="{00000000-0004-0000-0300-00006C000000}"/>
    <hyperlink ref="S164" r:id="rId110" xr:uid="{00000000-0004-0000-0300-00006D000000}"/>
    <hyperlink ref="S165" r:id="rId111" xr:uid="{00000000-0004-0000-0300-00006E000000}"/>
    <hyperlink ref="S166" r:id="rId112" xr:uid="{00000000-0004-0000-0300-00006F000000}"/>
    <hyperlink ref="S167" r:id="rId113" xr:uid="{00000000-0004-0000-0300-000070000000}"/>
    <hyperlink ref="S168" r:id="rId114" xr:uid="{00000000-0004-0000-0300-000071000000}"/>
    <hyperlink ref="S169" r:id="rId115" xr:uid="{00000000-0004-0000-0300-000072000000}"/>
    <hyperlink ref="S170" r:id="rId116" xr:uid="{00000000-0004-0000-0300-000073000000}"/>
    <hyperlink ref="S37" r:id="rId117" xr:uid="{00000000-0004-0000-0300-000074000000}"/>
    <hyperlink ref="S38" r:id="rId118" xr:uid="{00000000-0004-0000-0300-000075000000}"/>
    <hyperlink ref="S39" r:id="rId119" xr:uid="{00000000-0004-0000-0300-000076000000}"/>
    <hyperlink ref="S40" r:id="rId120" xr:uid="{00000000-0004-0000-0300-000077000000}"/>
    <hyperlink ref="S41" r:id="rId121" xr:uid="{00000000-0004-0000-0300-000078000000}"/>
    <hyperlink ref="S42" r:id="rId122" xr:uid="{00000000-0004-0000-0300-000079000000}"/>
    <hyperlink ref="S43" r:id="rId123" xr:uid="{00000000-0004-0000-0300-00007A000000}"/>
    <hyperlink ref="S44" r:id="rId124" xr:uid="{00000000-0004-0000-0300-00007B000000}"/>
    <hyperlink ref="S45" r:id="rId125" xr:uid="{00000000-0004-0000-0300-00007C000000}"/>
    <hyperlink ref="S46" r:id="rId126" xr:uid="{00000000-0004-0000-0300-00007D000000}"/>
    <hyperlink ref="S33" r:id="rId127" xr:uid="{00000000-0004-0000-0300-00007E000000}"/>
    <hyperlink ref="S32" r:id="rId128" xr:uid="{00000000-0004-0000-0300-00007F000000}"/>
    <hyperlink ref="S31" r:id="rId129" xr:uid="{00000000-0004-0000-0300-000080000000}"/>
    <hyperlink ref="S30" r:id="rId130" xr:uid="{00000000-0004-0000-0300-000081000000}"/>
    <hyperlink ref="S36" r:id="rId131" xr:uid="{00000000-0004-0000-0300-000082000000}"/>
    <hyperlink ref="S35" r:id="rId132" xr:uid="{00000000-0004-0000-0300-000083000000}"/>
    <hyperlink ref="S34" r:id="rId133" xr:uid="{00000000-0004-0000-0300-000084000000}"/>
    <hyperlink ref="S28" r:id="rId134" xr:uid="{00000000-0004-0000-0300-000085000000}"/>
    <hyperlink ref="S27" r:id="rId135" xr:uid="{00000000-0004-0000-0300-000086000000}"/>
    <hyperlink ref="S25" r:id="rId136" xr:uid="{00000000-0004-0000-0300-000087000000}"/>
    <hyperlink ref="S15" r:id="rId137" xr:uid="{00000000-0004-0000-0300-000088000000}"/>
    <hyperlink ref="S16" r:id="rId138" xr:uid="{00000000-0004-0000-0300-000089000000}"/>
    <hyperlink ref="S17" r:id="rId139" xr:uid="{00000000-0004-0000-0300-00008A000000}"/>
    <hyperlink ref="S19" r:id="rId140" xr:uid="{00000000-0004-0000-0300-00008B000000}"/>
    <hyperlink ref="S20" r:id="rId141" xr:uid="{00000000-0004-0000-0300-00008C000000}"/>
    <hyperlink ref="S21" r:id="rId142" xr:uid="{00000000-0004-0000-0300-00008D000000}"/>
    <hyperlink ref="S22" r:id="rId143" xr:uid="{00000000-0004-0000-0300-00008E000000}"/>
    <hyperlink ref="S23" r:id="rId144" xr:uid="{00000000-0004-0000-0300-00008F000000}"/>
    <hyperlink ref="S14" r:id="rId145" xr:uid="{00000000-0004-0000-0300-000090000000}"/>
    <hyperlink ref="S12" r:id="rId146" xr:uid="{00000000-0004-0000-0300-000091000000}"/>
    <hyperlink ref="S11" r:id="rId147" xr:uid="{00000000-0004-0000-0300-000092000000}"/>
    <hyperlink ref="S13" r:id="rId148" xr:uid="{00000000-0004-0000-0300-000093000000}"/>
    <hyperlink ref="S18" r:id="rId149" xr:uid="{00000000-0004-0000-0300-000094000000}"/>
    <hyperlink ref="S11:S23" r:id="rId150" display="Business Review" xr:uid="{00000000-0004-0000-0300-000095000000}"/>
    <hyperlink ref="S6" r:id="rId151" xr:uid="{00000000-0004-0000-0300-000096000000}"/>
    <hyperlink ref="S7" r:id="rId152" xr:uid="{00000000-0004-0000-0300-000097000000}"/>
    <hyperlink ref="S8" r:id="rId153" xr:uid="{00000000-0004-0000-0300-000098000000}"/>
    <hyperlink ref="S9" r:id="rId154" xr:uid="{00000000-0004-0000-0300-000099000000}"/>
  </hyperlinks>
  <pageMargins left="0.7" right="0.7" top="0.75" bottom="0.75" header="0.3" footer="0.3"/>
  <pageSetup orientation="portrait"/>
  <legacyDrawing r:id="rId155"/>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BH159"/>
  <sheetViews>
    <sheetView workbookViewId="0">
      <pane xSplit="2" ySplit="2" topLeftCell="C3" activePane="bottomRight" state="frozen"/>
      <selection pane="topRight" activeCell="C1" sqref="C1"/>
      <selection pane="bottomLeft" activeCell="A3" sqref="A3"/>
      <selection pane="bottomRight"/>
    </sheetView>
  </sheetViews>
  <sheetFormatPr defaultColWidth="9.1796875" defaultRowHeight="14.5" outlineLevelRow="1" outlineLevelCol="1" x14ac:dyDescent="0.35"/>
  <cols>
    <col min="1" max="1" width="41.26953125" style="143" customWidth="1"/>
    <col min="2" max="6" width="9.7265625" style="143" customWidth="1"/>
    <col min="7" max="10" width="9.7265625" style="143" hidden="1" customWidth="1" outlineLevel="1"/>
    <col min="11" max="11" width="9.7265625" style="143" customWidth="1" collapsed="1"/>
    <col min="12" max="15" width="9.7265625" style="143" hidden="1" customWidth="1" outlineLevel="1"/>
    <col min="16" max="16" width="9.7265625" style="143" customWidth="1" collapsed="1"/>
    <col min="17" max="20" width="9.7265625" style="143" hidden="1" customWidth="1" outlineLevel="1"/>
    <col min="21" max="21" width="9.7265625" style="143" customWidth="1" collapsed="1"/>
    <col min="22" max="25" width="9.7265625" style="143" hidden="1" customWidth="1" outlineLevel="1"/>
    <col min="26" max="26" width="9.7265625" style="143" customWidth="1" collapsed="1"/>
    <col min="27" max="30" width="9.7265625" style="143" hidden="1" customWidth="1" outlineLevel="1"/>
    <col min="31" max="31" width="9.7265625" style="143" customWidth="1" collapsed="1"/>
    <col min="32" max="35" width="9.7265625" style="143" hidden="1" customWidth="1" outlineLevel="1"/>
    <col min="36" max="36" width="9.7265625" style="143" customWidth="1" collapsed="1"/>
    <col min="37" max="40" width="9.7265625" style="143" hidden="1" customWidth="1" outlineLevel="1"/>
    <col min="41" max="41" width="9.7265625" style="143" customWidth="1" collapsed="1"/>
    <col min="42" max="45" width="9.7265625" style="143" hidden="1" customWidth="1" outlineLevel="1"/>
    <col min="46" max="46" width="9.7265625" style="143" customWidth="1" collapsed="1"/>
    <col min="47" max="50" width="9.7265625" style="143" customWidth="1" outlineLevel="1"/>
    <col min="51" max="51" width="11.26953125" style="143" bestFit="1" customWidth="1"/>
    <col min="52" max="55" width="9.7265625" style="143" hidden="1" customWidth="1" outlineLevel="1" collapsed="1"/>
    <col min="56" max="56" width="9.7265625" style="143" customWidth="1" collapsed="1"/>
    <col min="57" max="59" width="9.7265625" style="143" customWidth="1"/>
    <col min="60" max="60" width="8.81640625" style="143" customWidth="1"/>
    <col min="61" max="63" width="9.1796875" style="14" customWidth="1"/>
    <col min="64" max="16384" width="9.1796875" style="14"/>
  </cols>
  <sheetData>
    <row r="1" spans="1:60" ht="28.5" x14ac:dyDescent="0.65">
      <c r="A1" s="273" t="str">
        <f>MO.CompanyName</f>
        <v>3M Company</v>
      </c>
      <c r="B1" s="846"/>
      <c r="C1" s="840">
        <f t="shared" ref="C1:AH1" si="0">INDEX(MO_Common_QEndDate,0,COLUMN())</f>
        <v>40178</v>
      </c>
      <c r="D1" s="842">
        <f t="shared" si="0"/>
        <v>40543</v>
      </c>
      <c r="E1" s="842">
        <f t="shared" si="0"/>
        <v>40908</v>
      </c>
      <c r="F1" s="842">
        <f t="shared" si="0"/>
        <v>41274</v>
      </c>
      <c r="G1" s="265">
        <f t="shared" si="0"/>
        <v>41364</v>
      </c>
      <c r="H1" s="265">
        <f t="shared" si="0"/>
        <v>41455</v>
      </c>
      <c r="I1" s="265">
        <f t="shared" si="0"/>
        <v>41547</v>
      </c>
      <c r="J1" s="265">
        <f t="shared" si="0"/>
        <v>41639</v>
      </c>
      <c r="K1" s="842">
        <f t="shared" si="0"/>
        <v>41639</v>
      </c>
      <c r="L1" s="265">
        <f t="shared" si="0"/>
        <v>41729</v>
      </c>
      <c r="M1" s="265">
        <f t="shared" si="0"/>
        <v>41820</v>
      </c>
      <c r="N1" s="265">
        <f t="shared" si="0"/>
        <v>41912</v>
      </c>
      <c r="O1" s="265">
        <f t="shared" si="0"/>
        <v>42004</v>
      </c>
      <c r="P1" s="842">
        <f t="shared" si="0"/>
        <v>42004</v>
      </c>
      <c r="Q1" s="265">
        <f t="shared" si="0"/>
        <v>42094</v>
      </c>
      <c r="R1" s="265">
        <f t="shared" si="0"/>
        <v>42185</v>
      </c>
      <c r="S1" s="265">
        <f t="shared" si="0"/>
        <v>42277</v>
      </c>
      <c r="T1" s="265">
        <f t="shared" si="0"/>
        <v>42369</v>
      </c>
      <c r="U1" s="842">
        <f t="shared" si="0"/>
        <v>42369</v>
      </c>
      <c r="V1" s="265">
        <f t="shared" si="0"/>
        <v>42460</v>
      </c>
      <c r="W1" s="265">
        <f t="shared" si="0"/>
        <v>42551</v>
      </c>
      <c r="X1" s="265">
        <f t="shared" si="0"/>
        <v>42643</v>
      </c>
      <c r="Y1" s="265">
        <f t="shared" si="0"/>
        <v>42735</v>
      </c>
      <c r="Z1" s="842">
        <f t="shared" si="0"/>
        <v>42735</v>
      </c>
      <c r="AA1" s="265">
        <f t="shared" si="0"/>
        <v>42825</v>
      </c>
      <c r="AB1" s="265">
        <f t="shared" si="0"/>
        <v>42916</v>
      </c>
      <c r="AC1" s="265">
        <f t="shared" si="0"/>
        <v>43008</v>
      </c>
      <c r="AD1" s="265">
        <f t="shared" si="0"/>
        <v>43100</v>
      </c>
      <c r="AE1" s="842">
        <f t="shared" si="0"/>
        <v>43100</v>
      </c>
      <c r="AF1" s="265">
        <f t="shared" si="0"/>
        <v>43190</v>
      </c>
      <c r="AG1" s="265">
        <f t="shared" si="0"/>
        <v>43281</v>
      </c>
      <c r="AH1" s="265">
        <f t="shared" si="0"/>
        <v>43373</v>
      </c>
      <c r="AI1" s="265">
        <f t="shared" ref="AI1:AY1" si="1">INDEX(MO_Common_QEndDate,0,COLUMN())</f>
        <v>43465</v>
      </c>
      <c r="AJ1" s="842">
        <f t="shared" si="1"/>
        <v>43465</v>
      </c>
      <c r="AK1" s="265">
        <f t="shared" si="1"/>
        <v>43555</v>
      </c>
      <c r="AL1" s="265">
        <f t="shared" si="1"/>
        <v>43646</v>
      </c>
      <c r="AM1" s="265">
        <f t="shared" si="1"/>
        <v>43738</v>
      </c>
      <c r="AN1" s="265">
        <f t="shared" si="1"/>
        <v>43830</v>
      </c>
      <c r="AO1" s="842">
        <f t="shared" si="1"/>
        <v>43830</v>
      </c>
      <c r="AP1" s="265">
        <f t="shared" si="1"/>
        <v>43921</v>
      </c>
      <c r="AQ1" s="265">
        <f t="shared" si="1"/>
        <v>44012</v>
      </c>
      <c r="AR1" s="265">
        <f>INDEX(MO_Common_QEndDate,0,COLUMN())</f>
        <v>44104</v>
      </c>
      <c r="AS1" s="265">
        <f>INDEX(MO_Common_QEndDate,0,COLUMN())</f>
        <v>44196</v>
      </c>
      <c r="AT1" s="842">
        <f>INDEX(MO_Common_QEndDate,0,COLUMN())</f>
        <v>44196</v>
      </c>
      <c r="AU1" s="847">
        <f t="shared" si="1"/>
        <v>44286</v>
      </c>
      <c r="AV1" s="265">
        <f t="shared" si="1"/>
        <v>44377</v>
      </c>
      <c r="AW1" s="265">
        <f t="shared" si="1"/>
        <v>44469</v>
      </c>
      <c r="AX1" s="265">
        <f t="shared" si="1"/>
        <v>44561</v>
      </c>
      <c r="AY1" s="842">
        <f t="shared" si="1"/>
        <v>44561</v>
      </c>
      <c r="AZ1" s="265">
        <f t="shared" ref="AZ1:BG1" si="2">INDEX(MO_Common_QEndDate,0,COLUMN())</f>
        <v>44651</v>
      </c>
      <c r="BA1" s="265">
        <f t="shared" si="2"/>
        <v>44742</v>
      </c>
      <c r="BB1" s="265">
        <f t="shared" si="2"/>
        <v>44834</v>
      </c>
      <c r="BC1" s="265">
        <f t="shared" si="2"/>
        <v>44926</v>
      </c>
      <c r="BD1" s="842">
        <f t="shared" si="2"/>
        <v>44926</v>
      </c>
      <c r="BE1" s="842">
        <f t="shared" si="2"/>
        <v>45291</v>
      </c>
      <c r="BF1" s="842">
        <f t="shared" si="2"/>
        <v>45657</v>
      </c>
      <c r="BG1" s="842">
        <f t="shared" si="2"/>
        <v>46022</v>
      </c>
      <c r="BH1" s="846"/>
    </row>
    <row r="2" spans="1:60" s="142" customFormat="1" x14ac:dyDescent="0.35">
      <c r="A2" s="301" t="s">
        <v>291</v>
      </c>
      <c r="B2" s="302" t="str">
        <f>MO.ReportFX</f>
        <v>USD</v>
      </c>
      <c r="C2" s="841" t="str">
        <f t="shared" ref="C2:AH2" si="3">INDEX(MO_Common_ColumnHeader,0,COLUMN())</f>
        <v>FY2009</v>
      </c>
      <c r="D2" s="843" t="str">
        <f t="shared" si="3"/>
        <v>FY2010</v>
      </c>
      <c r="E2" s="843" t="str">
        <f t="shared" si="3"/>
        <v>FY2011</v>
      </c>
      <c r="F2" s="843" t="str">
        <f t="shared" si="3"/>
        <v>FY2012</v>
      </c>
      <c r="G2" s="194" t="str">
        <f t="shared" si="3"/>
        <v>Q1-2013</v>
      </c>
      <c r="H2" s="194" t="str">
        <f t="shared" si="3"/>
        <v>Q2-2013</v>
      </c>
      <c r="I2" s="194" t="str">
        <f t="shared" si="3"/>
        <v>Q3-2013</v>
      </c>
      <c r="J2" s="194" t="str">
        <f t="shared" si="3"/>
        <v>Q4-2013</v>
      </c>
      <c r="K2" s="843" t="str">
        <f t="shared" si="3"/>
        <v>FY2013</v>
      </c>
      <c r="L2" s="194" t="str">
        <f t="shared" si="3"/>
        <v>Q1-2014</v>
      </c>
      <c r="M2" s="194" t="str">
        <f t="shared" si="3"/>
        <v>Q2-2014</v>
      </c>
      <c r="N2" s="194" t="str">
        <f t="shared" si="3"/>
        <v>Q3-2014</v>
      </c>
      <c r="O2" s="194" t="str">
        <f t="shared" si="3"/>
        <v>Q4-2014</v>
      </c>
      <c r="P2" s="843" t="str">
        <f t="shared" si="3"/>
        <v>FY2014</v>
      </c>
      <c r="Q2" s="194" t="str">
        <f t="shared" si="3"/>
        <v>Q1-2015</v>
      </c>
      <c r="R2" s="194" t="str">
        <f t="shared" si="3"/>
        <v>Q2-2015</v>
      </c>
      <c r="S2" s="194" t="str">
        <f t="shared" si="3"/>
        <v>Q3-2015</v>
      </c>
      <c r="T2" s="194" t="str">
        <f t="shared" si="3"/>
        <v>Q4-2015</v>
      </c>
      <c r="U2" s="843" t="str">
        <f t="shared" si="3"/>
        <v>FY2015</v>
      </c>
      <c r="V2" s="194" t="str">
        <f t="shared" si="3"/>
        <v>Q1-2016</v>
      </c>
      <c r="W2" s="194" t="str">
        <f t="shared" si="3"/>
        <v>Q2-2016</v>
      </c>
      <c r="X2" s="194" t="str">
        <f t="shared" si="3"/>
        <v>Q3-2016</v>
      </c>
      <c r="Y2" s="194" t="str">
        <f t="shared" si="3"/>
        <v>Q4-2016</v>
      </c>
      <c r="Z2" s="843" t="str">
        <f t="shared" si="3"/>
        <v>FY2016</v>
      </c>
      <c r="AA2" s="194" t="str">
        <f t="shared" si="3"/>
        <v>Q1-2017</v>
      </c>
      <c r="AB2" s="194" t="str">
        <f t="shared" si="3"/>
        <v>Q2-2017</v>
      </c>
      <c r="AC2" s="194" t="str">
        <f t="shared" si="3"/>
        <v>Q3-2017</v>
      </c>
      <c r="AD2" s="194" t="str">
        <f t="shared" si="3"/>
        <v>Q4-2017</v>
      </c>
      <c r="AE2" s="843" t="str">
        <f t="shared" si="3"/>
        <v>FY2017</v>
      </c>
      <c r="AF2" s="194" t="str">
        <f t="shared" si="3"/>
        <v>Q1-2018</v>
      </c>
      <c r="AG2" s="194" t="str">
        <f t="shared" si="3"/>
        <v>Q2-2018</v>
      </c>
      <c r="AH2" s="194" t="str">
        <f t="shared" si="3"/>
        <v>Q3-2018</v>
      </c>
      <c r="AI2" s="194" t="str">
        <f t="shared" ref="AI2:AY2" si="4">INDEX(MO_Common_ColumnHeader,0,COLUMN())</f>
        <v>Q4-2018</v>
      </c>
      <c r="AJ2" s="843" t="str">
        <f t="shared" si="4"/>
        <v>FY2018</v>
      </c>
      <c r="AK2" s="194" t="str">
        <f t="shared" si="4"/>
        <v>Q1-2019</v>
      </c>
      <c r="AL2" s="194" t="str">
        <f t="shared" si="4"/>
        <v>Q2-2019</v>
      </c>
      <c r="AM2" s="194" t="str">
        <f t="shared" si="4"/>
        <v>Q3-2019</v>
      </c>
      <c r="AN2" s="194" t="str">
        <f t="shared" si="4"/>
        <v>Q4-2019</v>
      </c>
      <c r="AO2" s="843" t="str">
        <f t="shared" si="4"/>
        <v>FY2019</v>
      </c>
      <c r="AP2" s="194" t="str">
        <f t="shared" si="4"/>
        <v>Q1-2020</v>
      </c>
      <c r="AQ2" s="194" t="str">
        <f t="shared" si="4"/>
        <v>Q2-2020</v>
      </c>
      <c r="AR2" s="194" t="str">
        <f>INDEX(MO_Common_ColumnHeader,0,COLUMN())</f>
        <v>Q3-2020</v>
      </c>
      <c r="AS2" s="194" t="str">
        <f>INDEX(MO_Common_ColumnHeader,0,COLUMN())</f>
        <v>Q4-2020</v>
      </c>
      <c r="AT2" s="843" t="str">
        <f>INDEX(MO_Common_ColumnHeader,0,COLUMN())</f>
        <v>FY2020</v>
      </c>
      <c r="AU2" s="848" t="str">
        <f t="shared" si="4"/>
        <v>Q1-2021</v>
      </c>
      <c r="AV2" s="194" t="str">
        <f t="shared" si="4"/>
        <v>Q2-2021</v>
      </c>
      <c r="AW2" s="194" t="str">
        <f t="shared" si="4"/>
        <v>Q3-2021</v>
      </c>
      <c r="AX2" s="194" t="str">
        <f t="shared" si="4"/>
        <v>Q4-2021</v>
      </c>
      <c r="AY2" s="843" t="str">
        <f t="shared" si="4"/>
        <v>FY2021</v>
      </c>
      <c r="AZ2" s="194" t="str">
        <f t="shared" ref="AZ2:BG2" si="5">INDEX(MO_Common_ColumnHeader,0,COLUMN())</f>
        <v>Q1-2022</v>
      </c>
      <c r="BA2" s="194" t="str">
        <f t="shared" si="5"/>
        <v>Q2-2022</v>
      </c>
      <c r="BB2" s="194" t="str">
        <f t="shared" si="5"/>
        <v>Q3-2022</v>
      </c>
      <c r="BC2" s="194" t="str">
        <f t="shared" si="5"/>
        <v>Q4-2022</v>
      </c>
      <c r="BD2" s="843" t="str">
        <f t="shared" si="5"/>
        <v>FY2022</v>
      </c>
      <c r="BE2" s="843" t="str">
        <f t="shared" si="5"/>
        <v>FY2023</v>
      </c>
      <c r="BF2" s="843" t="str">
        <f t="shared" si="5"/>
        <v>FY2024</v>
      </c>
      <c r="BG2" s="843" t="str">
        <f t="shared" si="5"/>
        <v>FY2025</v>
      </c>
      <c r="BH2" s="846"/>
    </row>
    <row r="3" spans="1:60" s="143" customFormat="1" x14ac:dyDescent="0.35">
      <c r="A3" s="190" t="s">
        <v>292</v>
      </c>
      <c r="B3" s="190"/>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90"/>
      <c r="AM3" s="190"/>
      <c r="AN3" s="190"/>
      <c r="AO3" s="190"/>
      <c r="AP3" s="190"/>
      <c r="AQ3" s="190"/>
      <c r="AR3" s="190"/>
      <c r="AS3" s="190"/>
      <c r="AT3" s="190"/>
      <c r="AU3" s="849"/>
      <c r="AV3" s="190"/>
      <c r="AW3" s="190"/>
      <c r="AX3" s="190"/>
      <c r="AY3" s="190"/>
      <c r="AZ3" s="190"/>
      <c r="BA3" s="190"/>
      <c r="BB3" s="190"/>
      <c r="BC3" s="190"/>
      <c r="BD3" s="190"/>
      <c r="BE3" s="190"/>
      <c r="BF3" s="190"/>
      <c r="BG3" s="190"/>
      <c r="BH3" s="325"/>
    </row>
    <row r="4" spans="1:60" s="144" customFormat="1" x14ac:dyDescent="0.35">
      <c r="A4" s="575" t="str">
        <f>"Stock Price - "&amp;SP.ValuationToggle</f>
        <v>Stock Price - Avg</v>
      </c>
      <c r="B4" s="576" t="s">
        <v>109</v>
      </c>
      <c r="C4" s="577">
        <f t="shared" ref="C4:AH4" ca="1" si="6">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62.576250000000002</v>
      </c>
      <c r="D4" s="577">
        <f t="shared" ca="1" si="6"/>
        <v>82.603750000000005</v>
      </c>
      <c r="E4" s="577">
        <f t="shared" ca="1" si="6"/>
        <v>86.194999999999993</v>
      </c>
      <c r="F4" s="577">
        <f t="shared" ca="1" si="6"/>
        <v>88.31</v>
      </c>
      <c r="G4" s="578">
        <f t="shared" ca="1" si="6"/>
        <v>100.42</v>
      </c>
      <c r="H4" s="578">
        <f t="shared" ca="1" si="6"/>
        <v>108.07</v>
      </c>
      <c r="I4" s="578">
        <f t="shared" ca="1" si="6"/>
        <v>115.24</v>
      </c>
      <c r="J4" s="578">
        <f t="shared" ca="1" si="6"/>
        <v>128.54</v>
      </c>
      <c r="K4" s="577">
        <f t="shared" ca="1" si="6"/>
        <v>113.0675</v>
      </c>
      <c r="L4" s="578">
        <f t="shared" ca="1" si="6"/>
        <v>131.44999999999999</v>
      </c>
      <c r="M4" s="578">
        <f t="shared" ca="1" si="6"/>
        <v>138.77500000000001</v>
      </c>
      <c r="N4" s="578">
        <f t="shared" ca="1" si="6"/>
        <v>143.15</v>
      </c>
      <c r="O4" s="578">
        <f t="shared" ca="1" si="6"/>
        <v>149.38</v>
      </c>
      <c r="P4" s="577">
        <f t="shared" ca="1" si="6"/>
        <v>140.68875</v>
      </c>
      <c r="Q4" s="578">
        <f t="shared" ca="1" si="6"/>
        <v>164.12</v>
      </c>
      <c r="R4" s="578">
        <f t="shared" ca="1" si="6"/>
        <v>160.81</v>
      </c>
      <c r="S4" s="578">
        <f t="shared" ca="1" si="6"/>
        <v>145.97</v>
      </c>
      <c r="T4" s="578">
        <f t="shared" ca="1" si="6"/>
        <v>149.33000000000001</v>
      </c>
      <c r="U4" s="577">
        <f t="shared" ca="1" si="6"/>
        <v>155.0575</v>
      </c>
      <c r="V4" s="578">
        <f t="shared" ca="1" si="6"/>
        <v>151.07</v>
      </c>
      <c r="W4" s="578">
        <f t="shared" ca="1" si="6"/>
        <v>169.155</v>
      </c>
      <c r="X4" s="578">
        <f t="shared" ca="1" si="6"/>
        <v>177.89</v>
      </c>
      <c r="Y4" s="578">
        <f t="shared" ca="1" si="6"/>
        <v>171.95500000000001</v>
      </c>
      <c r="Z4" s="579">
        <f t="shared" ca="1" si="6"/>
        <v>167.51750000000001</v>
      </c>
      <c r="AA4" s="578">
        <f t="shared" ca="1" si="6"/>
        <v>183.52500000000001</v>
      </c>
      <c r="AB4" s="578">
        <f t="shared" ca="1" si="6"/>
        <v>201.595</v>
      </c>
      <c r="AC4" s="578">
        <f t="shared" ca="1" si="6"/>
        <v>205.91</v>
      </c>
      <c r="AD4" s="578">
        <f t="shared" ca="1" si="6"/>
        <v>227.13</v>
      </c>
      <c r="AE4" s="579">
        <f t="shared" ca="1" si="6"/>
        <v>204.54</v>
      </c>
      <c r="AF4" s="578">
        <f t="shared" ca="1" si="6"/>
        <v>231.51747540983601</v>
      </c>
      <c r="AG4" s="578">
        <f t="shared" ca="1" si="6"/>
        <v>200.653146875</v>
      </c>
      <c r="AH4" s="578">
        <f t="shared" ca="1" si="6"/>
        <v>203.823425396825</v>
      </c>
      <c r="AI4" s="578">
        <f t="shared" ref="AI4:AY4" ca="1" si="7">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197.73132539682501</v>
      </c>
      <c r="AJ4" s="579">
        <f t="shared" ca="1" si="7"/>
        <v>208.21640119521899</v>
      </c>
      <c r="AK4" s="578">
        <f t="shared" ca="1" si="7"/>
        <v>201.351803278689</v>
      </c>
      <c r="AL4" s="578">
        <f t="shared" ca="1" si="7"/>
        <v>184.10777777777801</v>
      </c>
      <c r="AM4" s="578">
        <f t="shared" ca="1" si="7"/>
        <v>167.20515624999999</v>
      </c>
      <c r="AN4" s="578">
        <f t="shared" ca="1" si="7"/>
        <v>167.51249999999999</v>
      </c>
      <c r="AO4" s="579">
        <f t="shared" ca="1" si="7"/>
        <v>179.774523809524</v>
      </c>
      <c r="AP4" s="578">
        <f t="shared" ca="1" si="7"/>
        <v>157.336935483871</v>
      </c>
      <c r="AQ4" s="578">
        <f t="shared" ca="1" si="7"/>
        <v>150.70222222222199</v>
      </c>
      <c r="AR4" s="578">
        <f ca="1">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160.8853125</v>
      </c>
      <c r="AS4" s="578">
        <f ca="1">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169.76921874999999</v>
      </c>
      <c r="AT4" s="579">
        <f ca="1">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159.72735177865599</v>
      </c>
      <c r="AU4" s="850">
        <f t="shared" ca="1" si="7"/>
        <v>179.029672131148</v>
      </c>
      <c r="AV4" s="578">
        <f t="shared" ca="1" si="7"/>
        <v>195.93</v>
      </c>
      <c r="AW4" s="578">
        <f t="shared" ca="1" si="7"/>
        <v>195.93</v>
      </c>
      <c r="AX4" s="578">
        <f t="shared" ca="1" si="7"/>
        <v>195.93</v>
      </c>
      <c r="AY4" s="579">
        <f t="shared" ca="1" si="7"/>
        <v>195.93</v>
      </c>
      <c r="AZ4" s="578">
        <f t="shared" ref="AZ4:BG4" ca="1" si="8">IF(INDEX(MO_SNA_IsHistoricalPeriod,1,COLUMN())=FALSE,MO.LastPrice/HP.MRFX,CHOOSE(VLOOKUP(SP.ValuationToggle,tb_ValuationToggle,COLUMNS(tb_ValuationToggle),FALSE),INDEX(MO_SPT_StockHigh,1,COLUMN()),INDEX(MO_SPT_StockLow,1,COLUMN()),INDEX(MO_SPT_StockAverage,1,COLUMN()))/IF(INDEX(MO_SPT_FXAverage,1,COLUMN())=0,1,INDEX(MO_SPT_FXAverage,1,COLUMN())))</f>
        <v>195.93</v>
      </c>
      <c r="BA4" s="578">
        <f t="shared" ca="1" si="8"/>
        <v>195.93</v>
      </c>
      <c r="BB4" s="578">
        <f t="shared" ca="1" si="8"/>
        <v>195.93</v>
      </c>
      <c r="BC4" s="578">
        <f t="shared" ca="1" si="8"/>
        <v>195.93</v>
      </c>
      <c r="BD4" s="579">
        <f t="shared" ca="1" si="8"/>
        <v>195.93</v>
      </c>
      <c r="BE4" s="579">
        <f t="shared" ca="1" si="8"/>
        <v>195.93</v>
      </c>
      <c r="BF4" s="579">
        <f t="shared" ca="1" si="8"/>
        <v>195.93</v>
      </c>
      <c r="BG4" s="579">
        <f t="shared" ca="1" si="8"/>
        <v>195.93</v>
      </c>
      <c r="BH4" s="204"/>
    </row>
    <row r="5" spans="1:60" s="145" customFormat="1" x14ac:dyDescent="0.35">
      <c r="A5" s="496" t="str">
        <f>INDEX(MO_RIS_ShareCount_WAD_Adj,0,COLUMN())</f>
        <v>Adjusted Shares Outstanding - WAD</v>
      </c>
      <c r="B5" s="497"/>
      <c r="C5" s="901">
        <f t="shared" ref="C5:AH5" si="9">INDEX(MO_RIS_ShareCount_WAD_Adj,0,COLUMN())</f>
        <v>706.7</v>
      </c>
      <c r="D5" s="901">
        <f t="shared" si="9"/>
        <v>725.5</v>
      </c>
      <c r="E5" s="901">
        <f t="shared" si="9"/>
        <v>719</v>
      </c>
      <c r="F5" s="901">
        <f t="shared" si="9"/>
        <v>703.3</v>
      </c>
      <c r="G5" s="902">
        <f t="shared" si="9"/>
        <v>702.1</v>
      </c>
      <c r="H5" s="902">
        <f t="shared" si="9"/>
        <v>699.1</v>
      </c>
      <c r="I5" s="902">
        <f t="shared" si="9"/>
        <v>691.8</v>
      </c>
      <c r="J5" s="902">
        <f t="shared" si="9"/>
        <v>681.3</v>
      </c>
      <c r="K5" s="901">
        <f t="shared" si="9"/>
        <v>693.6</v>
      </c>
      <c r="L5" s="902">
        <f t="shared" si="9"/>
        <v>674.5</v>
      </c>
      <c r="M5" s="902">
        <f t="shared" si="9"/>
        <v>664.6</v>
      </c>
      <c r="N5" s="902">
        <f t="shared" si="9"/>
        <v>657.9</v>
      </c>
      <c r="O5" s="902">
        <f t="shared" si="9"/>
        <v>650.9</v>
      </c>
      <c r="P5" s="901">
        <f t="shared" si="9"/>
        <v>662</v>
      </c>
      <c r="Q5" s="902">
        <f t="shared" si="9"/>
        <v>649.20000000000005</v>
      </c>
      <c r="R5" s="902">
        <f t="shared" si="9"/>
        <v>643</v>
      </c>
      <c r="S5" s="902">
        <f t="shared" si="9"/>
        <v>631.20000000000005</v>
      </c>
      <c r="T5" s="902">
        <f t="shared" si="9"/>
        <v>625.4</v>
      </c>
      <c r="U5" s="901">
        <f t="shared" si="9"/>
        <v>637.20000000000005</v>
      </c>
      <c r="V5" s="902">
        <f t="shared" si="9"/>
        <v>621.29999999999995</v>
      </c>
      <c r="W5" s="902">
        <f t="shared" si="9"/>
        <v>620.9</v>
      </c>
      <c r="X5" s="902">
        <f t="shared" si="9"/>
        <v>618.79999999999995</v>
      </c>
      <c r="Y5" s="902">
        <f t="shared" si="9"/>
        <v>613.79999999999995</v>
      </c>
      <c r="Z5" s="901">
        <f t="shared" si="9"/>
        <v>618.70000000000005</v>
      </c>
      <c r="AA5" s="902">
        <f t="shared" si="9"/>
        <v>612</v>
      </c>
      <c r="AB5" s="902">
        <f t="shared" si="9"/>
        <v>612.79999999999995</v>
      </c>
      <c r="AC5" s="902">
        <f t="shared" si="9"/>
        <v>612.70000000000005</v>
      </c>
      <c r="AD5" s="902">
        <f t="shared" si="9"/>
        <v>613.4</v>
      </c>
      <c r="AE5" s="901">
        <f t="shared" si="9"/>
        <v>612.70000000000005</v>
      </c>
      <c r="AF5" s="902">
        <f t="shared" si="9"/>
        <v>612.70000000000005</v>
      </c>
      <c r="AG5" s="902">
        <f t="shared" si="9"/>
        <v>604.20000000000005</v>
      </c>
      <c r="AH5" s="902">
        <f t="shared" si="9"/>
        <v>598.4</v>
      </c>
      <c r="AI5" s="902">
        <f t="shared" ref="AI5:AY5" si="10">INDEX(MO_RIS_ShareCount_WAD_Adj,0,COLUMN())</f>
        <v>592.6</v>
      </c>
      <c r="AJ5" s="901">
        <f t="shared" si="10"/>
        <v>602</v>
      </c>
      <c r="AK5" s="902">
        <f t="shared" si="10"/>
        <v>588.5</v>
      </c>
      <c r="AL5" s="902">
        <f t="shared" si="10"/>
        <v>586.1</v>
      </c>
      <c r="AM5" s="902">
        <f t="shared" si="10"/>
        <v>583</v>
      </c>
      <c r="AN5" s="902">
        <f t="shared" si="10"/>
        <v>582.70000000000005</v>
      </c>
      <c r="AO5" s="901">
        <f t="shared" si="10"/>
        <v>585.1</v>
      </c>
      <c r="AP5" s="902">
        <f t="shared" si="10"/>
        <v>581.5</v>
      </c>
      <c r="AQ5" s="902">
        <f t="shared" si="10"/>
        <v>580.79999999999995</v>
      </c>
      <c r="AR5" s="902">
        <f>INDEX(MO_RIS_ShareCount_WAD_Adj,0,COLUMN())</f>
        <v>582.4</v>
      </c>
      <c r="AS5" s="902">
        <f>INDEX(MO_RIS_ShareCount_WAD_Adj,0,COLUMN())</f>
        <v>584</v>
      </c>
      <c r="AT5" s="901">
        <f>INDEX(MO_RIS_ShareCount_WAD_Adj,0,COLUMN())</f>
        <v>582.20000000000005</v>
      </c>
      <c r="AU5" s="903">
        <f t="shared" si="10"/>
        <v>586.29999999999995</v>
      </c>
      <c r="AV5" s="902">
        <f t="shared" ca="1" si="10"/>
        <v>583.72268041237112</v>
      </c>
      <c r="AW5" s="902">
        <f t="shared" ca="1" si="10"/>
        <v>581.14536082474228</v>
      </c>
      <c r="AX5" s="902">
        <f t="shared" ca="1" si="10"/>
        <v>578.56804123711345</v>
      </c>
      <c r="AY5" s="901">
        <f t="shared" ca="1" si="10"/>
        <v>582.4340206185567</v>
      </c>
      <c r="AZ5" s="902">
        <f t="shared" ref="AZ5:BG5" ca="1" si="11">INDEX(MO_RIS_ShareCount_WAD_Adj,0,COLUMN())</f>
        <v>576.22062339673789</v>
      </c>
      <c r="BA5" s="902">
        <f t="shared" ca="1" si="11"/>
        <v>573.87320555636234</v>
      </c>
      <c r="BB5" s="902">
        <f t="shared" ca="1" si="11"/>
        <v>571.52578771598678</v>
      </c>
      <c r="BC5" s="902">
        <f t="shared" ca="1" si="11"/>
        <v>569.17836987561122</v>
      </c>
      <c r="BD5" s="901">
        <f t="shared" ca="1" si="11"/>
        <v>572.69949663617456</v>
      </c>
      <c r="BE5" s="901">
        <f t="shared" ca="1" si="11"/>
        <v>560.63136132860268</v>
      </c>
      <c r="BF5" s="901">
        <f t="shared" ca="1" si="11"/>
        <v>552.84926016128748</v>
      </c>
      <c r="BG5" s="901">
        <f t="shared" ca="1" si="11"/>
        <v>545.78212235210015</v>
      </c>
      <c r="BH5" s="846"/>
    </row>
    <row r="6" spans="1:60" s="156" customFormat="1" x14ac:dyDescent="0.35">
      <c r="A6" s="306" t="str">
        <f>"Market Cap - "&amp;SP.ValuationToggle</f>
        <v>Market Cap - Avg</v>
      </c>
      <c r="B6" s="307"/>
      <c r="C6" s="196">
        <f t="shared" ref="C6:AH6" ca="1" si="12">INDEX(SP_CS_StockPrice,0,COLUMN())*INDEX(SP_CS_ShareCount,0,COLUMN())</f>
        <v>44222.635875000007</v>
      </c>
      <c r="D6" s="196">
        <f t="shared" ca="1" si="12"/>
        <v>59929.020625000005</v>
      </c>
      <c r="E6" s="196">
        <f t="shared" ca="1" si="12"/>
        <v>61974.204999999994</v>
      </c>
      <c r="F6" s="196">
        <f t="shared" ca="1" si="12"/>
        <v>62108.422999999995</v>
      </c>
      <c r="G6" s="197">
        <f t="shared" ca="1" si="12"/>
        <v>70504.881999999998</v>
      </c>
      <c r="H6" s="197">
        <f t="shared" ca="1" si="12"/>
        <v>75551.736999999994</v>
      </c>
      <c r="I6" s="197">
        <f t="shared" ca="1" si="12"/>
        <v>79723.031999999992</v>
      </c>
      <c r="J6" s="197">
        <f t="shared" ca="1" si="12"/>
        <v>87574.301999999981</v>
      </c>
      <c r="K6" s="196">
        <f t="shared" ca="1" si="12"/>
        <v>78423.618000000002</v>
      </c>
      <c r="L6" s="197">
        <f t="shared" ca="1" si="12"/>
        <v>88663.024999999994</v>
      </c>
      <c r="M6" s="197">
        <f t="shared" ca="1" si="12"/>
        <v>92229.865000000005</v>
      </c>
      <c r="N6" s="197">
        <f t="shared" ca="1" si="12"/>
        <v>94178.384999999995</v>
      </c>
      <c r="O6" s="197">
        <f t="shared" ca="1" si="12"/>
        <v>97231.441999999995</v>
      </c>
      <c r="P6" s="196">
        <f t="shared" ca="1" si="12"/>
        <v>93135.952499999999</v>
      </c>
      <c r="Q6" s="197">
        <f t="shared" ca="1" si="12"/>
        <v>106546.70400000001</v>
      </c>
      <c r="R6" s="197">
        <f t="shared" ca="1" si="12"/>
        <v>103400.83</v>
      </c>
      <c r="S6" s="197">
        <f t="shared" ca="1" si="12"/>
        <v>92136.26400000001</v>
      </c>
      <c r="T6" s="197">
        <f t="shared" ca="1" si="12"/>
        <v>93390.982000000004</v>
      </c>
      <c r="U6" s="196">
        <f t="shared" ca="1" si="12"/>
        <v>98802.63900000001</v>
      </c>
      <c r="V6" s="197">
        <f t="shared" ca="1" si="12"/>
        <v>93859.790999999983</v>
      </c>
      <c r="W6" s="197">
        <f t="shared" ca="1" si="12"/>
        <v>105028.3395</v>
      </c>
      <c r="X6" s="197">
        <f t="shared" ca="1" si="12"/>
        <v>110078.33199999998</v>
      </c>
      <c r="Y6" s="197">
        <f t="shared" ca="1" si="12"/>
        <v>105545.97900000001</v>
      </c>
      <c r="Z6" s="196">
        <f t="shared" ca="1" si="12"/>
        <v>103643.07725000002</v>
      </c>
      <c r="AA6" s="197">
        <f t="shared" ca="1" si="12"/>
        <v>112317.3</v>
      </c>
      <c r="AB6" s="197">
        <f t="shared" ca="1" si="12"/>
        <v>123537.41599999998</v>
      </c>
      <c r="AC6" s="197">
        <f t="shared" ca="1" si="12"/>
        <v>126161.057</v>
      </c>
      <c r="AD6" s="197">
        <f t="shared" ca="1" si="12"/>
        <v>139321.54199999999</v>
      </c>
      <c r="AE6" s="196">
        <f t="shared" ca="1" si="12"/>
        <v>125321.65800000001</v>
      </c>
      <c r="AF6" s="197">
        <f t="shared" ca="1" si="12"/>
        <v>141850.75718360653</v>
      </c>
      <c r="AG6" s="197">
        <f t="shared" ca="1" si="12"/>
        <v>121234.63134187501</v>
      </c>
      <c r="AH6" s="197">
        <f t="shared" ca="1" si="12"/>
        <v>121967.93775746008</v>
      </c>
      <c r="AI6" s="197">
        <f t="shared" ref="AI6:AY6" ca="1" si="13">INDEX(SP_CS_StockPrice,0,COLUMN())*INDEX(SP_CS_ShareCount,0,COLUMN())</f>
        <v>117175.58343015851</v>
      </c>
      <c r="AJ6" s="196">
        <f t="shared" ca="1" si="13"/>
        <v>125346.27351952183</v>
      </c>
      <c r="AK6" s="197">
        <f t="shared" ca="1" si="13"/>
        <v>118495.53622950848</v>
      </c>
      <c r="AL6" s="197">
        <f t="shared" ca="1" si="13"/>
        <v>107905.5685555557</v>
      </c>
      <c r="AM6" s="197">
        <f t="shared" ca="1" si="13"/>
        <v>97480.606093749986</v>
      </c>
      <c r="AN6" s="197">
        <f t="shared" ca="1" si="13"/>
        <v>97609.533750000002</v>
      </c>
      <c r="AO6" s="196">
        <f t="shared" ca="1" si="13"/>
        <v>105186.07388095249</v>
      </c>
      <c r="AP6" s="197">
        <f t="shared" ca="1" si="13"/>
        <v>91491.427983870992</v>
      </c>
      <c r="AQ6" s="197">
        <f t="shared" ca="1" si="13"/>
        <v>87527.85066666652</v>
      </c>
      <c r="AR6" s="197">
        <f ca="1">INDEX(SP_CS_StockPrice,0,COLUMN())*INDEX(SP_CS_ShareCount,0,COLUMN())</f>
        <v>93699.606</v>
      </c>
      <c r="AS6" s="197">
        <f ca="1">INDEX(SP_CS_StockPrice,0,COLUMN())*INDEX(SP_CS_ShareCount,0,COLUMN())</f>
        <v>99145.22374999999</v>
      </c>
      <c r="AT6" s="196">
        <f ca="1">INDEX(SP_CS_StockPrice,0,COLUMN())*INDEX(SP_CS_ShareCount,0,COLUMN())</f>
        <v>92993.264205533516</v>
      </c>
      <c r="AU6" s="851">
        <f t="shared" ca="1" si="13"/>
        <v>104965.09677049206</v>
      </c>
      <c r="AV6" s="197">
        <f t="shared" ca="1" si="13"/>
        <v>114368.78477319588</v>
      </c>
      <c r="AW6" s="197">
        <f t="shared" ca="1" si="13"/>
        <v>113863.81054639176</v>
      </c>
      <c r="AX6" s="197">
        <f t="shared" ca="1" si="13"/>
        <v>113358.83631958764</v>
      </c>
      <c r="AY6" s="196">
        <f t="shared" ca="1" si="13"/>
        <v>114116.29765979383</v>
      </c>
      <c r="AZ6" s="197">
        <f t="shared" ref="AZ6:BG6" ca="1" si="14">INDEX(SP_CS_StockPrice,0,COLUMN())*INDEX(SP_CS_ShareCount,0,COLUMN())</f>
        <v>112898.90674212285</v>
      </c>
      <c r="BA6" s="197">
        <f t="shared" ca="1" si="14"/>
        <v>112438.97716465808</v>
      </c>
      <c r="BB6" s="197">
        <f t="shared" ca="1" si="14"/>
        <v>111979.04758719329</v>
      </c>
      <c r="BC6" s="197">
        <f t="shared" ca="1" si="14"/>
        <v>111519.11800972851</v>
      </c>
      <c r="BD6" s="196">
        <f t="shared" ca="1" si="14"/>
        <v>112209.01237592568</v>
      </c>
      <c r="BE6" s="196">
        <f t="shared" ca="1" si="14"/>
        <v>109844.50262511312</v>
      </c>
      <c r="BF6" s="196">
        <f t="shared" ca="1" si="14"/>
        <v>108319.75554340106</v>
      </c>
      <c r="BG6" s="196">
        <f t="shared" ca="1" si="14"/>
        <v>106935.09123244698</v>
      </c>
      <c r="BH6" s="251"/>
    </row>
    <row r="7" spans="1:60" s="157" customFormat="1" x14ac:dyDescent="0.35">
      <c r="A7" s="308" t="str">
        <f>INDEX(MO_BSS_Cash,0,COLUMN())</f>
        <v>Cash</v>
      </c>
      <c r="B7" s="309"/>
      <c r="C7" s="198">
        <f t="shared" ref="C7:AH7" si="15">INDEX(MO_BSS_Cash,0,COLUMN())</f>
        <v>4609</v>
      </c>
      <c r="D7" s="198">
        <f t="shared" si="15"/>
        <v>5018</v>
      </c>
      <c r="E7" s="198">
        <f t="shared" si="15"/>
        <v>4576</v>
      </c>
      <c r="F7" s="198">
        <f t="shared" si="15"/>
        <v>5693</v>
      </c>
      <c r="G7" s="199">
        <f t="shared" si="15"/>
        <v>5828</v>
      </c>
      <c r="H7" s="199">
        <f t="shared" si="15"/>
        <v>5794</v>
      </c>
      <c r="I7" s="199">
        <f t="shared" si="15"/>
        <v>4858</v>
      </c>
      <c r="J7" s="199">
        <f t="shared" si="15"/>
        <v>4790</v>
      </c>
      <c r="K7" s="198">
        <f t="shared" si="15"/>
        <v>4790</v>
      </c>
      <c r="L7" s="199">
        <f t="shared" si="15"/>
        <v>4174</v>
      </c>
      <c r="M7" s="199">
        <f t="shared" si="15"/>
        <v>4213</v>
      </c>
      <c r="N7" s="199">
        <f t="shared" si="15"/>
        <v>3801</v>
      </c>
      <c r="O7" s="199">
        <f t="shared" si="15"/>
        <v>3351</v>
      </c>
      <c r="P7" s="198">
        <f t="shared" si="15"/>
        <v>3351</v>
      </c>
      <c r="Q7" s="199">
        <f t="shared" si="15"/>
        <v>2822</v>
      </c>
      <c r="R7" s="199">
        <f t="shared" si="15"/>
        <v>3498</v>
      </c>
      <c r="S7" s="199">
        <f t="shared" si="15"/>
        <v>1771</v>
      </c>
      <c r="T7" s="199">
        <f t="shared" si="15"/>
        <v>1925</v>
      </c>
      <c r="U7" s="198">
        <f t="shared" si="15"/>
        <v>1925</v>
      </c>
      <c r="V7" s="199">
        <f t="shared" si="15"/>
        <v>1528</v>
      </c>
      <c r="W7" s="199">
        <f t="shared" si="15"/>
        <v>1879</v>
      </c>
      <c r="X7" s="199">
        <f t="shared" si="15"/>
        <v>2680</v>
      </c>
      <c r="Y7" s="199">
        <f t="shared" si="15"/>
        <v>2695</v>
      </c>
      <c r="Z7" s="198">
        <f t="shared" si="15"/>
        <v>2695</v>
      </c>
      <c r="AA7" s="199">
        <f t="shared" si="15"/>
        <v>2331</v>
      </c>
      <c r="AB7" s="199">
        <f t="shared" si="15"/>
        <v>2811</v>
      </c>
      <c r="AC7" s="199">
        <f t="shared" si="15"/>
        <v>3434</v>
      </c>
      <c r="AD7" s="199">
        <f t="shared" si="15"/>
        <v>4129</v>
      </c>
      <c r="AE7" s="198">
        <f t="shared" si="15"/>
        <v>4129</v>
      </c>
      <c r="AF7" s="199">
        <f t="shared" si="15"/>
        <v>4095</v>
      </c>
      <c r="AG7" s="199">
        <f t="shared" si="15"/>
        <v>3186</v>
      </c>
      <c r="AH7" s="199">
        <f t="shared" si="15"/>
        <v>3523</v>
      </c>
      <c r="AI7" s="199">
        <f t="shared" ref="AI7:AY7" si="16">INDEX(MO_BSS_Cash,0,COLUMN())</f>
        <v>3233</v>
      </c>
      <c r="AJ7" s="198">
        <f t="shared" si="16"/>
        <v>3233</v>
      </c>
      <c r="AK7" s="199">
        <f t="shared" si="16"/>
        <v>3477</v>
      </c>
      <c r="AL7" s="199">
        <f t="shared" si="16"/>
        <v>2988</v>
      </c>
      <c r="AM7" s="199">
        <f t="shared" si="16"/>
        <v>7761</v>
      </c>
      <c r="AN7" s="199">
        <f t="shared" si="16"/>
        <v>2451</v>
      </c>
      <c r="AO7" s="198">
        <f t="shared" si="16"/>
        <v>2451</v>
      </c>
      <c r="AP7" s="199">
        <f t="shared" si="16"/>
        <v>4477</v>
      </c>
      <c r="AQ7" s="199">
        <f t="shared" si="16"/>
        <v>4466</v>
      </c>
      <c r="AR7" s="199">
        <f>INDEX(MO_BSS_Cash,0,COLUMN())</f>
        <v>4561</v>
      </c>
      <c r="AS7" s="199">
        <f>INDEX(MO_BSS_Cash,0,COLUMN())</f>
        <v>5038</v>
      </c>
      <c r="AT7" s="198">
        <f>INDEX(MO_BSS_Cash,0,COLUMN())</f>
        <v>5038</v>
      </c>
      <c r="AU7" s="852">
        <f t="shared" si="16"/>
        <v>5137</v>
      </c>
      <c r="AV7" s="199">
        <f t="shared" si="16"/>
        <v>4492.7841643512947</v>
      </c>
      <c r="AW7" s="199">
        <f t="shared" si="16"/>
        <v>5011.2465038109558</v>
      </c>
      <c r="AX7" s="199">
        <f t="shared" si="16"/>
        <v>5336.9694701172075</v>
      </c>
      <c r="AY7" s="198">
        <f t="shared" si="16"/>
        <v>5336.9694701172075</v>
      </c>
      <c r="AZ7" s="199">
        <f t="shared" ref="AZ7:BG7" ca="1" si="17">INDEX(MO_BSS_Cash,0,COLUMN())</f>
        <v>5591.6088184094424</v>
      </c>
      <c r="BA7" s="199">
        <f t="shared" ca="1" si="17"/>
        <v>5163.3816536209424</v>
      </c>
      <c r="BB7" s="199">
        <f t="shared" ca="1" si="17"/>
        <v>5748.1035654897278</v>
      </c>
      <c r="BC7" s="199">
        <f t="shared" ca="1" si="17"/>
        <v>6220.5870887616948</v>
      </c>
      <c r="BD7" s="198">
        <f t="shared" ca="1" si="17"/>
        <v>6220.5870887616948</v>
      </c>
      <c r="BE7" s="198">
        <f t="shared" ca="1" si="17"/>
        <v>7811.3924869533312</v>
      </c>
      <c r="BF7" s="198">
        <f t="shared" ca="1" si="17"/>
        <v>10128.535039056802</v>
      </c>
      <c r="BG7" s="198">
        <f t="shared" ca="1" si="17"/>
        <v>13228.783412970231</v>
      </c>
      <c r="BH7" s="199"/>
    </row>
    <row r="8" spans="1:60" s="157" customFormat="1" x14ac:dyDescent="0.35">
      <c r="A8" s="308" t="str">
        <f>INDEX(MO_BSS_Debt,0,COLUMN())</f>
        <v>Debt</v>
      </c>
      <c r="B8" s="309"/>
      <c r="C8" s="198">
        <f t="shared" ref="C8:AH8" si="18">INDEX(MO_BSS_Debt,0,COLUMN())</f>
        <v>5710</v>
      </c>
      <c r="D8" s="198">
        <f t="shared" si="18"/>
        <v>5452</v>
      </c>
      <c r="E8" s="198">
        <f t="shared" si="18"/>
        <v>5166</v>
      </c>
      <c r="F8" s="198">
        <f t="shared" si="18"/>
        <v>6001</v>
      </c>
      <c r="G8" s="199">
        <f t="shared" si="18"/>
        <v>5936</v>
      </c>
      <c r="H8" s="199">
        <f t="shared" si="18"/>
        <v>5946</v>
      </c>
      <c r="I8" s="199">
        <f t="shared" si="18"/>
        <v>5777</v>
      </c>
      <c r="J8" s="199">
        <f t="shared" si="18"/>
        <v>6009</v>
      </c>
      <c r="K8" s="198">
        <f t="shared" si="18"/>
        <v>6009</v>
      </c>
      <c r="L8" s="199">
        <f t="shared" si="18"/>
        <v>6577</v>
      </c>
      <c r="M8" s="199">
        <f t="shared" si="18"/>
        <v>6973</v>
      </c>
      <c r="N8" s="199">
        <f t="shared" si="18"/>
        <v>7344</v>
      </c>
      <c r="O8" s="199">
        <f t="shared" si="18"/>
        <v>6811</v>
      </c>
      <c r="P8" s="198">
        <f t="shared" si="18"/>
        <v>6811</v>
      </c>
      <c r="Q8" s="199">
        <f t="shared" si="18"/>
        <v>6591</v>
      </c>
      <c r="R8" s="199">
        <f t="shared" si="18"/>
        <v>8517</v>
      </c>
      <c r="S8" s="199">
        <f t="shared" si="18"/>
        <v>11253</v>
      </c>
      <c r="T8" s="199">
        <f t="shared" si="18"/>
        <v>10797</v>
      </c>
      <c r="U8" s="198">
        <f t="shared" si="18"/>
        <v>10797</v>
      </c>
      <c r="V8" s="199">
        <f t="shared" si="18"/>
        <v>11139</v>
      </c>
      <c r="W8" s="199">
        <f t="shared" si="18"/>
        <v>11749</v>
      </c>
      <c r="X8" s="199">
        <f t="shared" si="18"/>
        <v>12361</v>
      </c>
      <c r="Y8" s="199">
        <f t="shared" si="18"/>
        <v>11650</v>
      </c>
      <c r="Z8" s="198">
        <f t="shared" si="18"/>
        <v>11650</v>
      </c>
      <c r="AA8" s="199">
        <f t="shared" si="18"/>
        <v>11711</v>
      </c>
      <c r="AB8" s="199">
        <f t="shared" si="18"/>
        <v>11301</v>
      </c>
      <c r="AC8" s="199">
        <f t="shared" si="18"/>
        <v>11663</v>
      </c>
      <c r="AD8" s="199">
        <f t="shared" si="18"/>
        <v>13949</v>
      </c>
      <c r="AE8" s="198">
        <f t="shared" si="18"/>
        <v>13949</v>
      </c>
      <c r="AF8" s="199">
        <f t="shared" si="18"/>
        <v>15660</v>
      </c>
      <c r="AG8" s="199">
        <f t="shared" si="18"/>
        <v>14519</v>
      </c>
      <c r="AH8" s="199">
        <f t="shared" si="18"/>
        <v>14846</v>
      </c>
      <c r="AI8" s="199">
        <f t="shared" ref="AI8:AY8" si="19">INDEX(MO_BSS_Debt,0,COLUMN())</f>
        <v>14622</v>
      </c>
      <c r="AJ8" s="198">
        <f t="shared" si="19"/>
        <v>14622</v>
      </c>
      <c r="AK8" s="199">
        <f t="shared" si="19"/>
        <v>16370</v>
      </c>
      <c r="AL8" s="199">
        <f t="shared" si="19"/>
        <v>15806</v>
      </c>
      <c r="AM8" s="199">
        <f t="shared" si="19"/>
        <v>19439</v>
      </c>
      <c r="AN8" s="199">
        <f t="shared" si="19"/>
        <v>20313</v>
      </c>
      <c r="AO8" s="198">
        <f t="shared" si="19"/>
        <v>20313</v>
      </c>
      <c r="AP8" s="199">
        <f t="shared" si="19"/>
        <v>22495</v>
      </c>
      <c r="AQ8" s="199">
        <f t="shared" si="19"/>
        <v>20762</v>
      </c>
      <c r="AR8" s="199">
        <f>INDEX(MO_BSS_Debt,0,COLUMN())</f>
        <v>19598</v>
      </c>
      <c r="AS8" s="199">
        <f>INDEX(MO_BSS_Debt,0,COLUMN())</f>
        <v>18795</v>
      </c>
      <c r="AT8" s="198">
        <f>INDEX(MO_BSS_Debt,0,COLUMN())</f>
        <v>18795</v>
      </c>
      <c r="AU8" s="852">
        <f t="shared" si="19"/>
        <v>18187</v>
      </c>
      <c r="AV8" s="199">
        <f t="shared" si="19"/>
        <v>18187</v>
      </c>
      <c r="AW8" s="199">
        <f t="shared" si="19"/>
        <v>18187</v>
      </c>
      <c r="AX8" s="199">
        <f t="shared" si="19"/>
        <v>18187</v>
      </c>
      <c r="AY8" s="198">
        <f t="shared" si="19"/>
        <v>18187</v>
      </c>
      <c r="AZ8" s="199">
        <f t="shared" ref="AZ8:BG8" si="20">INDEX(MO_BSS_Debt,0,COLUMN())</f>
        <v>18187</v>
      </c>
      <c r="BA8" s="199">
        <f t="shared" si="20"/>
        <v>18187</v>
      </c>
      <c r="BB8" s="199">
        <f t="shared" si="20"/>
        <v>18187</v>
      </c>
      <c r="BC8" s="199">
        <f t="shared" si="20"/>
        <v>18187</v>
      </c>
      <c r="BD8" s="198">
        <f t="shared" si="20"/>
        <v>18187</v>
      </c>
      <c r="BE8" s="198">
        <f t="shared" si="20"/>
        <v>18187</v>
      </c>
      <c r="BF8" s="198">
        <f t="shared" si="20"/>
        <v>18187</v>
      </c>
      <c r="BG8" s="198">
        <f t="shared" si="20"/>
        <v>18187</v>
      </c>
      <c r="BH8" s="199"/>
    </row>
    <row r="9" spans="1:60" s="252" customFormat="1" x14ac:dyDescent="0.35">
      <c r="A9" s="308" t="s">
        <v>566</v>
      </c>
      <c r="B9" s="309"/>
      <c r="C9" s="198">
        <f t="shared" ref="C9:AH9" si="21">INDEX(MO_BSS_OL,0,COLUMN())</f>
        <v>0</v>
      </c>
      <c r="D9" s="198">
        <f t="shared" si="21"/>
        <v>0</v>
      </c>
      <c r="E9" s="198">
        <f t="shared" si="21"/>
        <v>0</v>
      </c>
      <c r="F9" s="198">
        <f t="shared" si="21"/>
        <v>0</v>
      </c>
      <c r="G9" s="199">
        <f t="shared" si="21"/>
        <v>0</v>
      </c>
      <c r="H9" s="199">
        <f t="shared" si="21"/>
        <v>0</v>
      </c>
      <c r="I9" s="199">
        <f t="shared" si="21"/>
        <v>0</v>
      </c>
      <c r="J9" s="199">
        <f t="shared" si="21"/>
        <v>0</v>
      </c>
      <c r="K9" s="198">
        <f t="shared" si="21"/>
        <v>0</v>
      </c>
      <c r="L9" s="199">
        <f t="shared" si="21"/>
        <v>0</v>
      </c>
      <c r="M9" s="199">
        <f t="shared" si="21"/>
        <v>0</v>
      </c>
      <c r="N9" s="199">
        <f t="shared" si="21"/>
        <v>0</v>
      </c>
      <c r="O9" s="199">
        <f t="shared" si="21"/>
        <v>0</v>
      </c>
      <c r="P9" s="198">
        <f t="shared" si="21"/>
        <v>0</v>
      </c>
      <c r="Q9" s="199">
        <f t="shared" si="21"/>
        <v>0</v>
      </c>
      <c r="R9" s="199">
        <f t="shared" si="21"/>
        <v>0</v>
      </c>
      <c r="S9" s="199">
        <f t="shared" si="21"/>
        <v>0</v>
      </c>
      <c r="T9" s="199">
        <f t="shared" si="21"/>
        <v>0</v>
      </c>
      <c r="U9" s="198">
        <f t="shared" si="21"/>
        <v>0</v>
      </c>
      <c r="V9" s="199">
        <f t="shared" si="21"/>
        <v>0</v>
      </c>
      <c r="W9" s="199">
        <f t="shared" si="21"/>
        <v>0</v>
      </c>
      <c r="X9" s="199">
        <f t="shared" si="21"/>
        <v>0</v>
      </c>
      <c r="Y9" s="199">
        <f t="shared" si="21"/>
        <v>0</v>
      </c>
      <c r="Z9" s="198">
        <f t="shared" si="21"/>
        <v>0</v>
      </c>
      <c r="AA9" s="199">
        <f t="shared" si="21"/>
        <v>0</v>
      </c>
      <c r="AB9" s="199">
        <f t="shared" si="21"/>
        <v>0</v>
      </c>
      <c r="AC9" s="199">
        <f t="shared" si="21"/>
        <v>0</v>
      </c>
      <c r="AD9" s="199">
        <f t="shared" si="21"/>
        <v>0</v>
      </c>
      <c r="AE9" s="198">
        <f t="shared" si="21"/>
        <v>0</v>
      </c>
      <c r="AF9" s="199">
        <f t="shared" si="21"/>
        <v>0</v>
      </c>
      <c r="AG9" s="199">
        <f t="shared" si="21"/>
        <v>0</v>
      </c>
      <c r="AH9" s="199">
        <f t="shared" si="21"/>
        <v>0</v>
      </c>
      <c r="AI9" s="199">
        <f t="shared" ref="AI9:AY9" si="22">INDEX(MO_BSS_OL,0,COLUMN())</f>
        <v>0</v>
      </c>
      <c r="AJ9" s="198">
        <f t="shared" si="22"/>
        <v>0</v>
      </c>
      <c r="AK9" s="199">
        <f t="shared" si="22"/>
        <v>786</v>
      </c>
      <c r="AL9" s="199">
        <f t="shared" si="22"/>
        <v>866</v>
      </c>
      <c r="AM9" s="199">
        <f t="shared" si="22"/>
        <v>825</v>
      </c>
      <c r="AN9" s="199">
        <f t="shared" si="22"/>
        <v>854</v>
      </c>
      <c r="AO9" s="198">
        <f t="shared" si="22"/>
        <v>854</v>
      </c>
      <c r="AP9" s="199">
        <f t="shared" si="22"/>
        <v>847</v>
      </c>
      <c r="AQ9" s="199">
        <f t="shared" si="22"/>
        <v>855</v>
      </c>
      <c r="AR9" s="199">
        <f>INDEX(MO_BSS_OL,0,COLUMN())</f>
        <v>857</v>
      </c>
      <c r="AS9" s="199">
        <f>INDEX(MO_BSS_OL,0,COLUMN())</f>
        <v>865</v>
      </c>
      <c r="AT9" s="198">
        <f>INDEX(MO_BSS_OL,0,COLUMN())</f>
        <v>865</v>
      </c>
      <c r="AU9" s="852">
        <f t="shared" si="22"/>
        <v>876</v>
      </c>
      <c r="AV9" s="199">
        <f t="shared" si="22"/>
        <v>876</v>
      </c>
      <c r="AW9" s="199">
        <f t="shared" si="22"/>
        <v>876</v>
      </c>
      <c r="AX9" s="199">
        <f t="shared" si="22"/>
        <v>876</v>
      </c>
      <c r="AY9" s="198">
        <f t="shared" si="22"/>
        <v>876</v>
      </c>
      <c r="AZ9" s="199">
        <f t="shared" ref="AZ9:BG9" si="23">INDEX(MO_BSS_OL,0,COLUMN())</f>
        <v>876</v>
      </c>
      <c r="BA9" s="199">
        <f t="shared" si="23"/>
        <v>876</v>
      </c>
      <c r="BB9" s="199">
        <f t="shared" si="23"/>
        <v>876</v>
      </c>
      <c r="BC9" s="199">
        <f t="shared" si="23"/>
        <v>876</v>
      </c>
      <c r="BD9" s="198">
        <f t="shared" si="23"/>
        <v>876</v>
      </c>
      <c r="BE9" s="198">
        <f t="shared" si="23"/>
        <v>876</v>
      </c>
      <c r="BF9" s="198">
        <f t="shared" si="23"/>
        <v>876</v>
      </c>
      <c r="BG9" s="198">
        <f t="shared" si="23"/>
        <v>876</v>
      </c>
      <c r="BH9" s="199"/>
    </row>
    <row r="10" spans="1:60" s="157" customFormat="1" x14ac:dyDescent="0.35">
      <c r="A10" s="498" t="s">
        <v>113</v>
      </c>
      <c r="B10" s="499"/>
      <c r="C10" s="500">
        <f t="shared" ref="C10:AH10" si="24">INDEX(MO_VA_EVCalc_NCI,0,COLUMN())+INDEX(MO_VA_EVCalc_Prefs,0,COLUMN())+INDEX(MO_VA_EVCalc_Other,0,COLUMN())</f>
        <v>2765</v>
      </c>
      <c r="D10" s="500">
        <f t="shared" si="24"/>
        <v>2367</v>
      </c>
      <c r="E10" s="500">
        <f t="shared" si="24"/>
        <v>4414</v>
      </c>
      <c r="F10" s="500">
        <f t="shared" si="24"/>
        <v>3551</v>
      </c>
      <c r="G10" s="462">
        <f t="shared" si="24"/>
        <v>3460</v>
      </c>
      <c r="H10" s="462">
        <f t="shared" si="24"/>
        <v>3352</v>
      </c>
      <c r="I10" s="462">
        <f t="shared" si="24"/>
        <v>3150</v>
      </c>
      <c r="J10" s="462">
        <f t="shared" si="24"/>
        <v>2240</v>
      </c>
      <c r="K10" s="500">
        <f t="shared" si="24"/>
        <v>2240</v>
      </c>
      <c r="L10" s="462">
        <f t="shared" si="24"/>
        <v>2285</v>
      </c>
      <c r="M10" s="462">
        <f t="shared" si="24"/>
        <v>2321</v>
      </c>
      <c r="N10" s="462">
        <f t="shared" si="24"/>
        <v>1882</v>
      </c>
      <c r="O10" s="462">
        <f t="shared" si="24"/>
        <v>3876</v>
      </c>
      <c r="P10" s="500">
        <f t="shared" si="24"/>
        <v>3876</v>
      </c>
      <c r="Q10" s="462">
        <f t="shared" si="24"/>
        <v>3799</v>
      </c>
      <c r="R10" s="462">
        <f t="shared" si="24"/>
        <v>3720</v>
      </c>
      <c r="S10" s="462">
        <f t="shared" si="24"/>
        <v>3500</v>
      </c>
      <c r="T10" s="462">
        <f t="shared" si="24"/>
        <v>3559</v>
      </c>
      <c r="U10" s="500">
        <f t="shared" si="24"/>
        <v>3559</v>
      </c>
      <c r="V10" s="462">
        <f t="shared" si="24"/>
        <v>3495</v>
      </c>
      <c r="W10" s="462">
        <f t="shared" si="24"/>
        <v>3461</v>
      </c>
      <c r="X10" s="462">
        <f t="shared" si="24"/>
        <v>3225</v>
      </c>
      <c r="Y10" s="462">
        <f t="shared" si="24"/>
        <v>4063</v>
      </c>
      <c r="Z10" s="500">
        <f t="shared" si="24"/>
        <v>4063</v>
      </c>
      <c r="AA10" s="462">
        <f t="shared" si="24"/>
        <v>3815</v>
      </c>
      <c r="AB10" s="462">
        <f t="shared" si="24"/>
        <v>3814</v>
      </c>
      <c r="AC10" s="462">
        <f t="shared" si="24"/>
        <v>3804</v>
      </c>
      <c r="AD10" s="462">
        <f t="shared" si="24"/>
        <v>3679</v>
      </c>
      <c r="AE10" s="500">
        <f t="shared" si="24"/>
        <v>3679</v>
      </c>
      <c r="AF10" s="462">
        <f t="shared" si="24"/>
        <v>3443</v>
      </c>
      <c r="AG10" s="462">
        <f t="shared" si="24"/>
        <v>3317</v>
      </c>
      <c r="AH10" s="462">
        <f t="shared" si="24"/>
        <v>3246</v>
      </c>
      <c r="AI10" s="462">
        <f t="shared" ref="AI10:AY10" si="25">INDEX(MO_VA_EVCalc_NCI,0,COLUMN())+INDEX(MO_VA_EVCalc_Prefs,0,COLUMN())+INDEX(MO_VA_EVCalc_Other,0,COLUMN())</f>
        <v>3039</v>
      </c>
      <c r="AJ10" s="500">
        <f t="shared" si="25"/>
        <v>3039</v>
      </c>
      <c r="AK10" s="462">
        <f t="shared" si="25"/>
        <v>2973</v>
      </c>
      <c r="AL10" s="462">
        <f t="shared" si="25"/>
        <v>2820</v>
      </c>
      <c r="AM10" s="462">
        <f t="shared" si="25"/>
        <v>2729</v>
      </c>
      <c r="AN10" s="462">
        <f t="shared" si="25"/>
        <v>3974</v>
      </c>
      <c r="AO10" s="500">
        <f t="shared" si="25"/>
        <v>3974</v>
      </c>
      <c r="AP10" s="462">
        <f t="shared" si="25"/>
        <v>3856</v>
      </c>
      <c r="AQ10" s="462">
        <f t="shared" si="25"/>
        <v>3782</v>
      </c>
      <c r="AR10" s="462">
        <f>INDEX(MO_VA_EVCalc_NCI,0,COLUMN())+INDEX(MO_VA_EVCalc_Prefs,0,COLUMN())+INDEX(MO_VA_EVCalc_Other,0,COLUMN())</f>
        <v>3742</v>
      </c>
      <c r="AS10" s="462">
        <f>INDEX(MO_VA_EVCalc_NCI,0,COLUMN())+INDEX(MO_VA_EVCalc_Prefs,0,COLUMN())+INDEX(MO_VA_EVCalc_Other,0,COLUMN())</f>
        <v>4468</v>
      </c>
      <c r="AT10" s="500">
        <f>INDEX(MO_VA_EVCalc_NCI,0,COLUMN())+INDEX(MO_VA_EVCalc_Prefs,0,COLUMN())+INDEX(MO_VA_EVCalc_Other,0,COLUMN())</f>
        <v>4469</v>
      </c>
      <c r="AU10" s="853">
        <f t="shared" si="25"/>
        <v>4299</v>
      </c>
      <c r="AV10" s="462">
        <f t="shared" si="25"/>
        <v>4299</v>
      </c>
      <c r="AW10" s="462">
        <f t="shared" si="25"/>
        <v>4299</v>
      </c>
      <c r="AX10" s="462">
        <f t="shared" si="25"/>
        <v>4299</v>
      </c>
      <c r="AY10" s="500">
        <f t="shared" si="25"/>
        <v>4299</v>
      </c>
      <c r="AZ10" s="462">
        <f t="shared" ref="AZ10:BG10" si="26">INDEX(MO_VA_EVCalc_NCI,0,COLUMN())+INDEX(MO_VA_EVCalc_Prefs,0,COLUMN())+INDEX(MO_VA_EVCalc_Other,0,COLUMN())</f>
        <v>4299</v>
      </c>
      <c r="BA10" s="462">
        <f t="shared" si="26"/>
        <v>4299</v>
      </c>
      <c r="BB10" s="462">
        <f t="shared" si="26"/>
        <v>4299</v>
      </c>
      <c r="BC10" s="462">
        <f t="shared" si="26"/>
        <v>4299</v>
      </c>
      <c r="BD10" s="500">
        <f t="shared" si="26"/>
        <v>4299</v>
      </c>
      <c r="BE10" s="500">
        <f t="shared" si="26"/>
        <v>4299</v>
      </c>
      <c r="BF10" s="500">
        <f t="shared" si="26"/>
        <v>4299</v>
      </c>
      <c r="BG10" s="500">
        <f t="shared" si="26"/>
        <v>4299</v>
      </c>
      <c r="BH10" s="199"/>
    </row>
    <row r="11" spans="1:60" s="156" customFormat="1" x14ac:dyDescent="0.35">
      <c r="A11" s="306" t="str">
        <f>"Enterprise Value - "&amp;SP.ValuationToggle</f>
        <v>Enterprise Value - Avg</v>
      </c>
      <c r="B11" s="307"/>
      <c r="C11" s="196">
        <f t="shared" ref="C11:AH11" ca="1" si="27">INDEX(SP_CS_MarketCap,0,COLUMN())-INDEX(SP_CS_Cash,0,COLUMN())+INDEX(SP_CS_Debt,0,COLUMN())+INDEX(SP_CS_OL,0,COLUMN())+INDEX(SP_CS_EVCalc_Other,0,COLUMN())</f>
        <v>48088.635875000007</v>
      </c>
      <c r="D11" s="196">
        <f t="shared" ca="1" si="27"/>
        <v>62730.020625000005</v>
      </c>
      <c r="E11" s="196">
        <f t="shared" ca="1" si="27"/>
        <v>66978.204999999987</v>
      </c>
      <c r="F11" s="196">
        <f t="shared" ca="1" si="27"/>
        <v>65967.422999999995</v>
      </c>
      <c r="G11" s="197">
        <f t="shared" ca="1" si="27"/>
        <v>74072.881999999998</v>
      </c>
      <c r="H11" s="197">
        <f t="shared" ca="1" si="27"/>
        <v>79055.736999999994</v>
      </c>
      <c r="I11" s="197">
        <f t="shared" ca="1" si="27"/>
        <v>83792.031999999992</v>
      </c>
      <c r="J11" s="197">
        <f t="shared" ca="1" si="27"/>
        <v>91033.301999999981</v>
      </c>
      <c r="K11" s="196">
        <f t="shared" ca="1" si="27"/>
        <v>81882.618000000002</v>
      </c>
      <c r="L11" s="197">
        <f t="shared" ca="1" si="27"/>
        <v>93351.024999999994</v>
      </c>
      <c r="M11" s="197">
        <f t="shared" ca="1" si="27"/>
        <v>97310.865000000005</v>
      </c>
      <c r="N11" s="197">
        <f t="shared" ca="1" si="27"/>
        <v>99603.384999999995</v>
      </c>
      <c r="O11" s="197">
        <f t="shared" ca="1" si="27"/>
        <v>104567.442</v>
      </c>
      <c r="P11" s="196">
        <f t="shared" ca="1" si="27"/>
        <v>100471.9525</v>
      </c>
      <c r="Q11" s="197">
        <f t="shared" ca="1" si="27"/>
        <v>114114.70400000001</v>
      </c>
      <c r="R11" s="197">
        <f t="shared" ca="1" si="27"/>
        <v>112139.83</v>
      </c>
      <c r="S11" s="197">
        <f t="shared" ca="1" si="27"/>
        <v>105118.26400000001</v>
      </c>
      <c r="T11" s="197">
        <f t="shared" ca="1" si="27"/>
        <v>105821.982</v>
      </c>
      <c r="U11" s="196">
        <f t="shared" ca="1" si="27"/>
        <v>111233.63900000001</v>
      </c>
      <c r="V11" s="197">
        <f t="shared" ca="1" si="27"/>
        <v>106965.79099999998</v>
      </c>
      <c r="W11" s="197">
        <f t="shared" ca="1" si="27"/>
        <v>118359.3395</v>
      </c>
      <c r="X11" s="197">
        <f t="shared" ca="1" si="27"/>
        <v>122984.33199999998</v>
      </c>
      <c r="Y11" s="197">
        <f t="shared" ca="1" si="27"/>
        <v>118563.97900000001</v>
      </c>
      <c r="Z11" s="196">
        <f t="shared" ca="1" si="27"/>
        <v>116661.07725000002</v>
      </c>
      <c r="AA11" s="197">
        <f t="shared" ca="1" si="27"/>
        <v>125512.3</v>
      </c>
      <c r="AB11" s="197">
        <f t="shared" ca="1" si="27"/>
        <v>135841.41599999997</v>
      </c>
      <c r="AC11" s="197">
        <f t="shared" ca="1" si="27"/>
        <v>138194.057</v>
      </c>
      <c r="AD11" s="197">
        <f t="shared" ca="1" si="27"/>
        <v>152820.54199999999</v>
      </c>
      <c r="AE11" s="196">
        <f t="shared" ca="1" si="27"/>
        <v>138820.658</v>
      </c>
      <c r="AF11" s="197">
        <f t="shared" ca="1" si="27"/>
        <v>156858.75718360653</v>
      </c>
      <c r="AG11" s="197">
        <f t="shared" ca="1" si="27"/>
        <v>135884.63134187501</v>
      </c>
      <c r="AH11" s="197">
        <f t="shared" ca="1" si="27"/>
        <v>136536.93775746008</v>
      </c>
      <c r="AI11" s="197">
        <f t="shared" ref="AI11:AY11" ca="1" si="28">INDEX(SP_CS_MarketCap,0,COLUMN())-INDEX(SP_CS_Cash,0,COLUMN())+INDEX(SP_CS_Debt,0,COLUMN())+INDEX(SP_CS_OL,0,COLUMN())+INDEX(SP_CS_EVCalc_Other,0,COLUMN())</f>
        <v>131603.5834301585</v>
      </c>
      <c r="AJ11" s="196">
        <f t="shared" ca="1" si="28"/>
        <v>139774.27351952181</v>
      </c>
      <c r="AK11" s="197">
        <f t="shared" ca="1" si="28"/>
        <v>135147.53622950846</v>
      </c>
      <c r="AL11" s="197">
        <f t="shared" ca="1" si="28"/>
        <v>124409.5685555557</v>
      </c>
      <c r="AM11" s="197">
        <f t="shared" ca="1" si="28"/>
        <v>112712.60609374999</v>
      </c>
      <c r="AN11" s="197">
        <f t="shared" ca="1" si="28"/>
        <v>120299.53375</v>
      </c>
      <c r="AO11" s="196">
        <f t="shared" ca="1" si="28"/>
        <v>127876.07388095249</v>
      </c>
      <c r="AP11" s="197">
        <f t="shared" ca="1" si="28"/>
        <v>114212.42798387099</v>
      </c>
      <c r="AQ11" s="197">
        <f t="shared" ca="1" si="28"/>
        <v>108460.85066666652</v>
      </c>
      <c r="AR11" s="197">
        <f ca="1">INDEX(SP_CS_MarketCap,0,COLUMN())-INDEX(SP_CS_Cash,0,COLUMN())+INDEX(SP_CS_Debt,0,COLUMN())+INDEX(SP_CS_OL,0,COLUMN())+INDEX(SP_CS_EVCalc_Other,0,COLUMN())</f>
        <v>113335.606</v>
      </c>
      <c r="AS11" s="197">
        <f ca="1">INDEX(SP_CS_MarketCap,0,COLUMN())-INDEX(SP_CS_Cash,0,COLUMN())+INDEX(SP_CS_Debt,0,COLUMN())+INDEX(SP_CS_OL,0,COLUMN())+INDEX(SP_CS_EVCalc_Other,0,COLUMN())</f>
        <v>118235.22374999999</v>
      </c>
      <c r="AT11" s="196">
        <f ca="1">INDEX(SP_CS_MarketCap,0,COLUMN())-INDEX(SP_CS_Cash,0,COLUMN())+INDEX(SP_CS_Debt,0,COLUMN())+INDEX(SP_CS_OL,0,COLUMN())+INDEX(SP_CS_EVCalc_Other,0,COLUMN())</f>
        <v>112084.26420553352</v>
      </c>
      <c r="AU11" s="851">
        <f t="shared" ca="1" si="28"/>
        <v>123190.09677049206</v>
      </c>
      <c r="AV11" s="197">
        <f t="shared" ca="1" si="28"/>
        <v>133238.00060884457</v>
      </c>
      <c r="AW11" s="197">
        <f t="shared" ca="1" si="28"/>
        <v>132214.56404258081</v>
      </c>
      <c r="AX11" s="197">
        <f t="shared" ca="1" si="28"/>
        <v>131383.86684947042</v>
      </c>
      <c r="AY11" s="196">
        <f t="shared" ca="1" si="28"/>
        <v>132141.32818967663</v>
      </c>
      <c r="AZ11" s="197">
        <f t="shared" ref="AZ11:BG11" ca="1" si="29">INDEX(SP_CS_MarketCap,0,COLUMN())-INDEX(SP_CS_Cash,0,COLUMN())+INDEX(SP_CS_Debt,0,COLUMN())+INDEX(SP_CS_OL,0,COLUMN())+INDEX(SP_CS_EVCalc_Other,0,COLUMN())</f>
        <v>130669.29792371341</v>
      </c>
      <c r="BA11" s="197">
        <f t="shared" ca="1" si="29"/>
        <v>130637.59551103713</v>
      </c>
      <c r="BB11" s="197">
        <f t="shared" ca="1" si="29"/>
        <v>129592.94402170356</v>
      </c>
      <c r="BC11" s="197">
        <f t="shared" ca="1" si="29"/>
        <v>128660.53092096682</v>
      </c>
      <c r="BD11" s="196">
        <f t="shared" ca="1" si="29"/>
        <v>129350.42528716399</v>
      </c>
      <c r="BE11" s="196">
        <f t="shared" ca="1" si="29"/>
        <v>125395.11013815978</v>
      </c>
      <c r="BF11" s="196">
        <f t="shared" ca="1" si="29"/>
        <v>121553.22050434425</v>
      </c>
      <c r="BG11" s="196">
        <f t="shared" ca="1" si="29"/>
        <v>117068.30781947676</v>
      </c>
      <c r="BH11" s="251"/>
    </row>
    <row r="12" spans="1:60" s="146" customFormat="1" x14ac:dyDescent="0.35">
      <c r="A12" s="303"/>
      <c r="B12" s="310"/>
      <c r="C12" s="904"/>
      <c r="D12" s="904"/>
      <c r="E12" s="904"/>
      <c r="F12" s="904"/>
      <c r="G12" s="905"/>
      <c r="H12" s="905"/>
      <c r="I12" s="905"/>
      <c r="J12" s="905"/>
      <c r="K12" s="904"/>
      <c r="L12" s="905"/>
      <c r="M12" s="905"/>
      <c r="N12" s="905"/>
      <c r="O12" s="905"/>
      <c r="P12" s="904"/>
      <c r="Q12" s="905"/>
      <c r="R12" s="905"/>
      <c r="S12" s="905"/>
      <c r="T12" s="905"/>
      <c r="U12" s="904"/>
      <c r="V12" s="905"/>
      <c r="W12" s="905"/>
      <c r="X12" s="905"/>
      <c r="Y12" s="905"/>
      <c r="Z12" s="904"/>
      <c r="AA12" s="905"/>
      <c r="AB12" s="905"/>
      <c r="AC12" s="905"/>
      <c r="AD12" s="905"/>
      <c r="AE12" s="904"/>
      <c r="AF12" s="905"/>
      <c r="AG12" s="905"/>
      <c r="AH12" s="905"/>
      <c r="AI12" s="905"/>
      <c r="AJ12" s="904"/>
      <c r="AK12" s="905"/>
      <c r="AL12" s="905"/>
      <c r="AM12" s="905"/>
      <c r="AN12" s="905"/>
      <c r="AO12" s="904"/>
      <c r="AP12" s="905"/>
      <c r="AQ12" s="905"/>
      <c r="AR12" s="905"/>
      <c r="AS12" s="905"/>
      <c r="AT12" s="904"/>
      <c r="AU12" s="906"/>
      <c r="AV12" s="905"/>
      <c r="AW12" s="905"/>
      <c r="AX12" s="905"/>
      <c r="AY12" s="904"/>
      <c r="AZ12" s="905"/>
      <c r="BA12" s="905"/>
      <c r="BB12" s="905"/>
      <c r="BC12" s="905"/>
      <c r="BD12" s="904"/>
      <c r="BE12" s="904"/>
      <c r="BF12" s="904"/>
      <c r="BG12" s="904"/>
      <c r="BH12" s="844"/>
    </row>
    <row r="13" spans="1:60" x14ac:dyDescent="0.35">
      <c r="A13" s="190" t="s">
        <v>293</v>
      </c>
      <c r="B13" s="845"/>
      <c r="C13" s="907"/>
      <c r="D13" s="907"/>
      <c r="E13" s="907"/>
      <c r="F13" s="907"/>
      <c r="G13" s="907"/>
      <c r="H13" s="907"/>
      <c r="I13" s="907"/>
      <c r="J13" s="907"/>
      <c r="K13" s="907"/>
      <c r="L13" s="907"/>
      <c r="M13" s="907"/>
      <c r="N13" s="907"/>
      <c r="O13" s="907"/>
      <c r="P13" s="907"/>
      <c r="Q13" s="907"/>
      <c r="R13" s="907"/>
      <c r="S13" s="907"/>
      <c r="T13" s="907"/>
      <c r="U13" s="907"/>
      <c r="V13" s="907"/>
      <c r="W13" s="907"/>
      <c r="X13" s="907"/>
      <c r="Y13" s="907"/>
      <c r="Z13" s="907"/>
      <c r="AA13" s="907"/>
      <c r="AB13" s="907"/>
      <c r="AC13" s="907"/>
      <c r="AD13" s="907"/>
      <c r="AE13" s="907"/>
      <c r="AF13" s="907"/>
      <c r="AG13" s="907"/>
      <c r="AH13" s="907"/>
      <c r="AI13" s="907"/>
      <c r="AJ13" s="907"/>
      <c r="AK13" s="907"/>
      <c r="AL13" s="907"/>
      <c r="AM13" s="907"/>
      <c r="AN13" s="907"/>
      <c r="AO13" s="907"/>
      <c r="AP13" s="907"/>
      <c r="AQ13" s="907"/>
      <c r="AR13" s="907"/>
      <c r="AS13" s="907"/>
      <c r="AT13" s="907"/>
      <c r="AU13" s="908"/>
      <c r="AV13" s="907"/>
      <c r="AW13" s="907"/>
      <c r="AX13" s="907"/>
      <c r="AY13" s="907"/>
      <c r="AZ13" s="907"/>
      <c r="BA13" s="907"/>
      <c r="BB13" s="907"/>
      <c r="BC13" s="907"/>
      <c r="BD13" s="907"/>
      <c r="BE13" s="907"/>
      <c r="BF13" s="907"/>
      <c r="BG13" s="907"/>
      <c r="BH13" s="846"/>
    </row>
    <row r="14" spans="1:60" s="87" customFormat="1" x14ac:dyDescent="0.35">
      <c r="A14" s="311" t="str">
        <f>Model!A124</f>
        <v>Safety and Industrial Revenue Growth, %</v>
      </c>
      <c r="B14" s="312"/>
      <c r="C14" s="105"/>
      <c r="D14" s="105"/>
      <c r="E14" s="105"/>
      <c r="F14" s="105"/>
      <c r="G14" s="200"/>
      <c r="H14" s="200"/>
      <c r="I14" s="200"/>
      <c r="J14" s="200"/>
      <c r="K14" s="105"/>
      <c r="L14" s="200"/>
      <c r="M14" s="200"/>
      <c r="N14" s="200"/>
      <c r="O14" s="200"/>
      <c r="P14" s="105"/>
      <c r="Q14" s="200"/>
      <c r="R14" s="200"/>
      <c r="S14" s="200"/>
      <c r="T14" s="200"/>
      <c r="U14" s="105"/>
      <c r="V14" s="200"/>
      <c r="W14" s="200"/>
      <c r="X14" s="200"/>
      <c r="Y14" s="200"/>
      <c r="Z14" s="105"/>
      <c r="AA14" s="200">
        <f>Model!AA124</f>
        <v>3.0088495575221197E-2</v>
      </c>
      <c r="AB14" s="200">
        <f>Model!AB124</f>
        <v>1.3508832698302831E-2</v>
      </c>
      <c r="AC14" s="200">
        <f>Model!AC124</f>
        <v>6.6666666666666652E-2</v>
      </c>
      <c r="AD14" s="200">
        <f>Model!AD124</f>
        <v>0.15623829149494184</v>
      </c>
      <c r="AE14" s="105">
        <f>Model!AE124</f>
        <v>6.5085592011412174E-2</v>
      </c>
      <c r="AF14" s="200">
        <f>Model!AF124</f>
        <v>0.12302405498281788</v>
      </c>
      <c r="AG14" s="200">
        <f>Model!AG124</f>
        <v>0.11175666438824328</v>
      </c>
      <c r="AH14" s="200">
        <f>Model!AH124</f>
        <v>-9.9206349206348854E-4</v>
      </c>
      <c r="AI14" s="200">
        <f>Model!AI124</f>
        <v>-4.3421905379131598E-2</v>
      </c>
      <c r="AJ14" s="105">
        <f>Model!AJ124</f>
        <v>4.5873095596852487E-2</v>
      </c>
      <c r="AK14" s="200">
        <f>Model!AK124</f>
        <v>-9.3329253365973086E-2</v>
      </c>
      <c r="AL14" s="200">
        <f>Model!AL124</f>
        <v>-9.7141100522594503E-2</v>
      </c>
      <c r="AM14" s="200">
        <f>Model!AM124</f>
        <v>-6.3555114200595786E-2</v>
      </c>
      <c r="AN14" s="200">
        <f>Model!AN124</f>
        <v>-5.657181571815717E-2</v>
      </c>
      <c r="AO14" s="105">
        <f>Model!AO124</f>
        <v>-7.8437650072034626E-2</v>
      </c>
      <c r="AP14" s="200">
        <f>Model!AP124</f>
        <v>-9.4498818764765513E-3</v>
      </c>
      <c r="AQ14" s="200">
        <f>Model!AQ124</f>
        <v>-9.1590057882192766E-2</v>
      </c>
      <c r="AR14" s="200">
        <f>Model!AR124</f>
        <v>6.892895015906686E-2</v>
      </c>
      <c r="AS14" s="200">
        <f>Model!AS124</f>
        <v>0.12746858168761221</v>
      </c>
      <c r="AT14" s="105">
        <f>Model!AT124</f>
        <v>2.197324995657457E-2</v>
      </c>
      <c r="AU14" s="761">
        <f>Model!AU124</f>
        <v>0.1366586949094637</v>
      </c>
      <c r="AV14" s="200">
        <f>Model!AV124</f>
        <v>0</v>
      </c>
      <c r="AW14" s="200">
        <f>Model!AW124</f>
        <v>0</v>
      </c>
      <c r="AX14" s="200">
        <f>Model!AX124</f>
        <v>0</v>
      </c>
      <c r="AY14" s="105">
        <f>Model!AY124</f>
        <v>0</v>
      </c>
      <c r="AZ14" s="200">
        <f>Model!AZ124</f>
        <v>7.0000000000000062E-2</v>
      </c>
      <c r="BA14" s="200">
        <f>Model!BA124</f>
        <v>7.0000000000000062E-2</v>
      </c>
      <c r="BB14" s="200">
        <f>Model!BB124</f>
        <v>7.0000000000000062E-2</v>
      </c>
      <c r="BC14" s="200">
        <f>Model!BC124</f>
        <v>6.999999999999984E-2</v>
      </c>
      <c r="BD14" s="105">
        <f>Model!BD124</f>
        <v>7.0000000000000062E-2</v>
      </c>
      <c r="BE14" s="105">
        <f>Model!BE124</f>
        <v>7.0000000000000062E-2</v>
      </c>
      <c r="BF14" s="105">
        <f>Model!BF124</f>
        <v>7.0000000000000062E-2</v>
      </c>
      <c r="BG14" s="105">
        <f>Model!BG124</f>
        <v>7.0000000000000062E-2</v>
      </c>
      <c r="BH14" s="188"/>
    </row>
    <row r="15" spans="1:60" s="87" customFormat="1" x14ac:dyDescent="0.35">
      <c r="A15" s="311" t="str">
        <f>Model!A204</f>
        <v>Transportation and Electronics Revenue Growth, %</v>
      </c>
      <c r="B15" s="312"/>
      <c r="C15" s="105"/>
      <c r="D15" s="105"/>
      <c r="E15" s="105"/>
      <c r="F15" s="105"/>
      <c r="G15" s="200"/>
      <c r="H15" s="200"/>
      <c r="I15" s="200"/>
      <c r="J15" s="200"/>
      <c r="K15" s="105"/>
      <c r="L15" s="200"/>
      <c r="M15" s="200"/>
      <c r="N15" s="200"/>
      <c r="O15" s="200"/>
      <c r="P15" s="105"/>
      <c r="Q15" s="200"/>
      <c r="R15" s="200"/>
      <c r="S15" s="200"/>
      <c r="T15" s="200"/>
      <c r="U15" s="105"/>
      <c r="V15" s="200"/>
      <c r="W15" s="200"/>
      <c r="X15" s="200"/>
      <c r="Y15" s="200"/>
      <c r="Z15" s="105"/>
      <c r="AA15" s="200">
        <f>Model!AA204</f>
        <v>8.3333333333333259E-2</v>
      </c>
      <c r="AB15" s="200">
        <f>Model!AB204</f>
        <v>5.0390964378800973E-2</v>
      </c>
      <c r="AC15" s="200">
        <f>Model!AC204</f>
        <v>7.3875361122575312E-2</v>
      </c>
      <c r="AD15" s="200">
        <f>Model!AD204</f>
        <v>4.8738033072236675E-2</v>
      </c>
      <c r="AE15" s="105">
        <f>Model!AE204</f>
        <v>6.4098413726124903E-2</v>
      </c>
      <c r="AF15" s="200">
        <f>Model!AF204</f>
        <v>3.6199095022624528E-2</v>
      </c>
      <c r="AG15" s="200">
        <f>Model!AG204</f>
        <v>4.5078577336641779E-2</v>
      </c>
      <c r="AH15" s="200">
        <f>Model!AH204</f>
        <v>6.5334358186011077E-3</v>
      </c>
      <c r="AI15" s="200">
        <f>Model!AI204</f>
        <v>1.2863070539419041E-2</v>
      </c>
      <c r="AJ15" s="105">
        <f>Model!AJ204</f>
        <v>2.4845350370145125E-2</v>
      </c>
      <c r="AK15" s="200">
        <f>Model!AK204</f>
        <v>-6.5105200476379466E-2</v>
      </c>
      <c r="AL15" s="200">
        <f>Model!AL204</f>
        <v>-3.0470914127423865E-2</v>
      </c>
      <c r="AM15" s="200">
        <f>Model!AM204</f>
        <v>-4.5437189767086661E-2</v>
      </c>
      <c r="AN15" s="200">
        <f>Model!AN204</f>
        <v>-6.3498566161409253E-2</v>
      </c>
      <c r="AO15" s="105">
        <f>Model!AO204</f>
        <v>-5.0959825846032092E-2</v>
      </c>
      <c r="AP15" s="200">
        <f>Model!AP204</f>
        <v>-4.9681528662420371E-2</v>
      </c>
      <c r="AQ15" s="200">
        <f>Model!AQ204</f>
        <v>-0.20938775510204077</v>
      </c>
      <c r="AR15" s="200">
        <f>Model!AR204</f>
        <v>-7.4400000000000022E-2</v>
      </c>
      <c r="AS15" s="200">
        <f>Model!AS204</f>
        <v>2.2747156605424257E-2</v>
      </c>
      <c r="AT15" s="105">
        <f>Model!AT204</f>
        <v>-7.9658012720258631E-2</v>
      </c>
      <c r="AU15" s="761">
        <f>Model!AU204</f>
        <v>0.13041536400178644</v>
      </c>
      <c r="AV15" s="200">
        <f>Model!AV204</f>
        <v>0</v>
      </c>
      <c r="AW15" s="200">
        <f>Model!AW204</f>
        <v>0</v>
      </c>
      <c r="AX15" s="200">
        <f>Model!AX204</f>
        <v>0</v>
      </c>
      <c r="AY15" s="105">
        <f>Model!AY204</f>
        <v>0</v>
      </c>
      <c r="AZ15" s="200">
        <f>Model!AZ204</f>
        <v>8.0000000000000071E-2</v>
      </c>
      <c r="BA15" s="200">
        <f>Model!BA204</f>
        <v>8.0000000000000071E-2</v>
      </c>
      <c r="BB15" s="200">
        <f>Model!BB204</f>
        <v>8.0000000000000071E-2</v>
      </c>
      <c r="BC15" s="200">
        <f>Model!BC204</f>
        <v>8.0000000000000071E-2</v>
      </c>
      <c r="BD15" s="105">
        <f>Model!BD204</f>
        <v>8.0000000000000071E-2</v>
      </c>
      <c r="BE15" s="105">
        <f>Model!BE204</f>
        <v>7.9999999999999849E-2</v>
      </c>
      <c r="BF15" s="105">
        <f>Model!BF204</f>
        <v>8.0000000000000071E-2</v>
      </c>
      <c r="BG15" s="105">
        <f>Model!BG204</f>
        <v>7.9999999999999849E-2</v>
      </c>
      <c r="BH15" s="188"/>
    </row>
    <row r="16" spans="1:60" s="87" customFormat="1" x14ac:dyDescent="0.35">
      <c r="A16" s="311" t="str">
        <f>Model!A281</f>
        <v>Health Care Revenue Growth, %</v>
      </c>
      <c r="B16" s="312"/>
      <c r="C16" s="105"/>
      <c r="D16" s="105"/>
      <c r="E16" s="105"/>
      <c r="F16" s="105"/>
      <c r="G16" s="200"/>
      <c r="H16" s="200"/>
      <c r="I16" s="200"/>
      <c r="J16" s="200"/>
      <c r="K16" s="105"/>
      <c r="L16" s="200"/>
      <c r="M16" s="200"/>
      <c r="N16" s="200"/>
      <c r="O16" s="200"/>
      <c r="P16" s="105"/>
      <c r="Q16" s="200"/>
      <c r="R16" s="200"/>
      <c r="S16" s="200"/>
      <c r="T16" s="200"/>
      <c r="U16" s="105"/>
      <c r="V16" s="200"/>
      <c r="W16" s="200"/>
      <c r="X16" s="200"/>
      <c r="Y16" s="200"/>
      <c r="Z16" s="105"/>
      <c r="AA16" s="200">
        <f>Model!AA281</f>
        <v>2.0663744520976746E-2</v>
      </c>
      <c r="AB16" s="200">
        <f>Model!AB281</f>
        <v>1.1083743842364546E-2</v>
      </c>
      <c r="AC16" s="200">
        <f>Model!AC281</f>
        <v>7.3155216284987334E-2</v>
      </c>
      <c r="AD16" s="200">
        <f>Model!AD281</f>
        <v>5.8080808080808177E-2</v>
      </c>
      <c r="AE16" s="105">
        <f>Model!AE281</f>
        <v>4.0457895562176605E-2</v>
      </c>
      <c r="AF16" s="200">
        <f>Model!AF281</f>
        <v>7.055214723926384E-2</v>
      </c>
      <c r="AG16" s="200">
        <f>Model!AG281</f>
        <v>5.3593179049939099E-2</v>
      </c>
      <c r="AH16" s="200">
        <f>Model!AH281</f>
        <v>-2.6081802015411992E-2</v>
      </c>
      <c r="AI16" s="200">
        <f>Model!AI281</f>
        <v>1.9093078758949833E-2</v>
      </c>
      <c r="AJ16" s="105">
        <f>Model!AJ281</f>
        <v>2.8786737000753515E-2</v>
      </c>
      <c r="AK16" s="200">
        <f>Model!AK281</f>
        <v>-4.0114613180515235E-3</v>
      </c>
      <c r="AL16" s="200">
        <f>Model!AL281</f>
        <v>5.838150289017352E-2</v>
      </c>
      <c r="AM16" s="200">
        <f>Model!AM281</f>
        <v>4.7474132684114378E-2</v>
      </c>
      <c r="AN16" s="200">
        <f>Model!AN281</f>
        <v>0.25351288056206078</v>
      </c>
      <c r="AO16" s="105">
        <f>Model!AO281</f>
        <v>8.8631702314679206E-2</v>
      </c>
      <c r="AP16" s="200">
        <f>Model!AP281</f>
        <v>0.21001150747986186</v>
      </c>
      <c r="AQ16" s="200">
        <f>Model!AQ281</f>
        <v>-3.2768978700163931E-3</v>
      </c>
      <c r="AR16" s="200">
        <f>Model!AR281</f>
        <v>0.25508425334108087</v>
      </c>
      <c r="AS16" s="200">
        <f>Model!AS281</f>
        <v>5.4180289584306429E-2</v>
      </c>
      <c r="AT16" s="105">
        <f>Model!AT281</f>
        <v>0.12299825057192848</v>
      </c>
      <c r="AU16" s="761">
        <f>Model!AU281</f>
        <v>6.8441064638783189E-2</v>
      </c>
      <c r="AV16" s="200">
        <f>Model!AV281</f>
        <v>0</v>
      </c>
      <c r="AW16" s="200">
        <f>Model!AW281</f>
        <v>0</v>
      </c>
      <c r="AX16" s="200">
        <f>Model!AX281</f>
        <v>0</v>
      </c>
      <c r="AY16" s="105">
        <f>Model!AY281</f>
        <v>0</v>
      </c>
      <c r="AZ16" s="200">
        <f>Model!AZ281</f>
        <v>4.9999999999999822E-2</v>
      </c>
      <c r="BA16" s="200">
        <f>Model!BA281</f>
        <v>5.0000000000000044E-2</v>
      </c>
      <c r="BB16" s="200">
        <f>Model!BB281</f>
        <v>5.0000000000000044E-2</v>
      </c>
      <c r="BC16" s="200">
        <f>Model!BC281</f>
        <v>5.0000000000000044E-2</v>
      </c>
      <c r="BD16" s="105">
        <f>Model!BD281</f>
        <v>5.0000000000000044E-2</v>
      </c>
      <c r="BE16" s="105">
        <f>Model!BE281</f>
        <v>5.0000000000000044E-2</v>
      </c>
      <c r="BF16" s="105">
        <f>Model!BF281</f>
        <v>5.0000000000000044E-2</v>
      </c>
      <c r="BG16" s="105">
        <f>Model!BG281</f>
        <v>4.9999999999999822E-2</v>
      </c>
      <c r="BH16" s="188"/>
    </row>
    <row r="17" spans="1:60" s="87" customFormat="1" x14ac:dyDescent="0.35">
      <c r="A17" s="459" t="str">
        <f>Model!A359</f>
        <v>Consumer Revenue Growth, %</v>
      </c>
      <c r="B17" s="465"/>
      <c r="C17" s="479"/>
      <c r="D17" s="479"/>
      <c r="E17" s="479"/>
      <c r="F17" s="479"/>
      <c r="G17" s="457"/>
      <c r="H17" s="457"/>
      <c r="I17" s="457"/>
      <c r="J17" s="457"/>
      <c r="K17" s="479"/>
      <c r="L17" s="457"/>
      <c r="M17" s="457"/>
      <c r="N17" s="457"/>
      <c r="O17" s="457"/>
      <c r="P17" s="479"/>
      <c r="Q17" s="457"/>
      <c r="R17" s="457"/>
      <c r="S17" s="457"/>
      <c r="T17" s="457"/>
      <c r="U17" s="479"/>
      <c r="V17" s="457"/>
      <c r="W17" s="457"/>
      <c r="X17" s="457"/>
      <c r="Y17" s="457"/>
      <c r="Z17" s="479"/>
      <c r="AA17" s="457">
        <f>Model!AA359</f>
        <v>5.2539404553415547E-3</v>
      </c>
      <c r="AB17" s="457">
        <f>Model!AB359</f>
        <v>9.7323600973235891E-3</v>
      </c>
      <c r="AC17" s="457">
        <f>Model!AC359</f>
        <v>3.935185185185186E-2</v>
      </c>
      <c r="AD17" s="457">
        <f>Model!AD359</f>
        <v>8.3904109589041154E-2</v>
      </c>
      <c r="AE17" s="479">
        <f>Model!AE359</f>
        <v>3.4511262657573871E-2</v>
      </c>
      <c r="AF17" s="457">
        <f>Model!AF359</f>
        <v>5.2264808362369353E-2</v>
      </c>
      <c r="AG17" s="457">
        <f>Model!AG359</f>
        <v>5.1405622489959946E-2</v>
      </c>
      <c r="AH17" s="457">
        <f>Model!AH359</f>
        <v>-3.3407572383073458E-2</v>
      </c>
      <c r="AI17" s="457">
        <f>Model!AI359</f>
        <v>7.898894154818592E-4</v>
      </c>
      <c r="AJ17" s="479">
        <f>Model!AJ359</f>
        <v>1.5980823012385237E-2</v>
      </c>
      <c r="AK17" s="457">
        <f>Model!AK359</f>
        <v>-6.6225165562914245E-3</v>
      </c>
      <c r="AL17" s="457">
        <f>Model!AL359</f>
        <v>8.4033613445377853E-3</v>
      </c>
      <c r="AM17" s="457">
        <f>Model!AM359</f>
        <v>3.0721966205837115E-2</v>
      </c>
      <c r="AN17" s="457">
        <f>Model!AN359</f>
        <v>1.7363851617995252E-2</v>
      </c>
      <c r="AO17" s="479">
        <f>Model!AO359</f>
        <v>1.2780180888714021E-2</v>
      </c>
      <c r="AP17" s="457">
        <f>Model!AP359</f>
        <v>4.6666666666666634E-2</v>
      </c>
      <c r="AQ17" s="457">
        <f>Model!AQ359</f>
        <v>-6.2121212121212133E-2</v>
      </c>
      <c r="AR17" s="457">
        <f>Model!AR359</f>
        <v>5.5886736214605159E-2</v>
      </c>
      <c r="AS17" s="457">
        <f>Model!AS359</f>
        <v>0.10550814584949575</v>
      </c>
      <c r="AT17" s="479">
        <f>Model!AT359</f>
        <v>3.5915356241506435E-2</v>
      </c>
      <c r="AU17" s="779">
        <f>Model!AU359</f>
        <v>9.8400000000000043E-2</v>
      </c>
      <c r="AV17" s="457">
        <f>Model!AV359</f>
        <v>0</v>
      </c>
      <c r="AW17" s="457">
        <f>Model!AW359</f>
        <v>0</v>
      </c>
      <c r="AX17" s="457">
        <f>Model!AX359</f>
        <v>0</v>
      </c>
      <c r="AY17" s="479">
        <f>Model!AY359</f>
        <v>0</v>
      </c>
      <c r="AZ17" s="457">
        <f>Model!AZ359</f>
        <v>4.5000000000000151E-2</v>
      </c>
      <c r="BA17" s="457">
        <f>Model!BA359</f>
        <v>4.4999999999999929E-2</v>
      </c>
      <c r="BB17" s="457">
        <f>Model!BB359</f>
        <v>4.4999999999999929E-2</v>
      </c>
      <c r="BC17" s="457">
        <f>Model!BC359</f>
        <v>4.4999999999999929E-2</v>
      </c>
      <c r="BD17" s="479">
        <f>Model!BD359</f>
        <v>4.4999999999999929E-2</v>
      </c>
      <c r="BE17" s="479">
        <f>Model!BE359</f>
        <v>4.4999999999999929E-2</v>
      </c>
      <c r="BF17" s="479">
        <f>Model!BF359</f>
        <v>4.4999999999999929E-2</v>
      </c>
      <c r="BG17" s="479">
        <f>Model!BG359</f>
        <v>4.5000000000000151E-2</v>
      </c>
      <c r="BH17" s="188"/>
    </row>
    <row r="18" spans="1:60" s="52" customFormat="1" x14ac:dyDescent="0.35">
      <c r="A18" s="313" t="str">
        <f>Model!A20</f>
        <v>Total Revenue Growth, %</v>
      </c>
      <c r="B18" s="180"/>
      <c r="C18" s="107"/>
      <c r="D18" s="107">
        <f>Model!D20</f>
        <v>0.15305107468754064</v>
      </c>
      <c r="E18" s="107">
        <f>Model!E20</f>
        <v>0.11060685619983501</v>
      </c>
      <c r="F18" s="107">
        <f>Model!F20</f>
        <v>9.8949714633076447E-3</v>
      </c>
      <c r="G18" s="106"/>
      <c r="H18" s="106"/>
      <c r="I18" s="106"/>
      <c r="J18" s="106"/>
      <c r="K18" s="107">
        <f>Model!K20</f>
        <v>3.233681112894593E-2</v>
      </c>
      <c r="L18" s="106">
        <f>Model!L20</f>
        <v>2.5805606497249167E-2</v>
      </c>
      <c r="M18" s="106">
        <f>Model!M20</f>
        <v>4.9277605779153744E-2</v>
      </c>
      <c r="N18" s="106">
        <f>Model!N20</f>
        <v>2.7918140474987307E-2</v>
      </c>
      <c r="O18" s="106">
        <f>Model!O20</f>
        <v>1.9817677368212383E-2</v>
      </c>
      <c r="P18" s="107">
        <f>Model!P20</f>
        <v>3.0773217582844792E-2</v>
      </c>
      <c r="Q18" s="106">
        <f>Model!Q20</f>
        <v>-3.2307495849827617E-2</v>
      </c>
      <c r="R18" s="106">
        <f>Model!R20</f>
        <v>-5.5077452667814164E-2</v>
      </c>
      <c r="S18" s="106">
        <f>Model!S20</f>
        <v>-5.2230551800417802E-2</v>
      </c>
      <c r="T18" s="106">
        <f>Model!T20</f>
        <v>-5.4540743619639898E-2</v>
      </c>
      <c r="U18" s="107">
        <f>Model!U20</f>
        <v>-4.8615694038528057E-2</v>
      </c>
      <c r="V18" s="106">
        <f>Model!V20</f>
        <v>-2.2301398785959381E-2</v>
      </c>
      <c r="W18" s="106">
        <f>Model!W20</f>
        <v>-3.1225604996096834E-3</v>
      </c>
      <c r="X18" s="106">
        <f>Model!X20</f>
        <v>-3.8900414937759198E-4</v>
      </c>
      <c r="Y18" s="106">
        <f>Model!Y20</f>
        <v>4.2477391066044756E-3</v>
      </c>
      <c r="Z18" s="107">
        <f>Model!Z20</f>
        <v>-5.4502213120168896E-3</v>
      </c>
      <c r="AA18" s="106">
        <f>Model!AA20</f>
        <v>3.725199082197328E-2</v>
      </c>
      <c r="AB18" s="106">
        <f>Model!AB20</f>
        <v>1.931610545549467E-2</v>
      </c>
      <c r="AC18" s="106">
        <f>Model!AC20</f>
        <v>6.0059670514982511E-2</v>
      </c>
      <c r="AD18" s="106">
        <f>Model!AD20</f>
        <v>9.0189657524901046E-2</v>
      </c>
      <c r="AE18" s="107">
        <f>Model!AE20</f>
        <v>5.1413198711348862E-2</v>
      </c>
      <c r="AF18" s="106">
        <f>Model!AF20</f>
        <v>7.7163305139882787E-2</v>
      </c>
      <c r="AG18" s="106">
        <f>Model!AG20</f>
        <v>7.4263764404609578E-2</v>
      </c>
      <c r="AH18" s="106">
        <f>Model!AH20</f>
        <v>-2.4473813020068347E-3</v>
      </c>
      <c r="AI18" s="106">
        <f>Model!AI20</f>
        <v>-5.63204005006257E-3</v>
      </c>
      <c r="AJ18" s="107">
        <f>Model!AJ20</f>
        <v>3.5000157942951082E-2</v>
      </c>
      <c r="AK18" s="106">
        <f>Model!AK20</f>
        <v>-5.0132882338729146E-2</v>
      </c>
      <c r="AL18" s="106">
        <f>Model!AL20</f>
        <v>-2.6102502979737818E-2</v>
      </c>
      <c r="AM18" s="106">
        <f>Model!AM20</f>
        <v>-1.9749754661432806E-2</v>
      </c>
      <c r="AN18" s="106">
        <f>Model!AN20</f>
        <v>2.0893643801132677E-2</v>
      </c>
      <c r="AO18" s="107">
        <f>Model!AO20</f>
        <v>-1.9197314207233362E-2</v>
      </c>
      <c r="AP18" s="106">
        <f>Model!AP20</f>
        <v>2.6961719445504295E-2</v>
      </c>
      <c r="AQ18" s="106">
        <f>Model!AQ20</f>
        <v>-0.12177212091543266</v>
      </c>
      <c r="AR18" s="106">
        <f>Model!AR20</f>
        <v>4.4925541233888033E-2</v>
      </c>
      <c r="AS18" s="106">
        <f>Model!AS20</f>
        <v>5.8192577980520355E-2</v>
      </c>
      <c r="AT18" s="107">
        <f>Model!AT20</f>
        <v>1.4936519790889058E-3</v>
      </c>
      <c r="AU18" s="760">
        <f>Model!AU20</f>
        <v>9.6099071207430331E-2</v>
      </c>
      <c r="AV18" s="106">
        <f>Model!AV20</f>
        <v>0</v>
      </c>
      <c r="AW18" s="106">
        <f>Model!AW20</f>
        <v>0</v>
      </c>
      <c r="AX18" s="106">
        <f>Model!AX20</f>
        <v>0</v>
      </c>
      <c r="AY18" s="107">
        <f>Model!AY20</f>
        <v>0</v>
      </c>
      <c r="AZ18" s="106">
        <f>Model!AZ20</f>
        <v>7.1537871426957444E-2</v>
      </c>
      <c r="BA18" s="106">
        <f>Model!BA20</f>
        <v>6.3893098282845173E-2</v>
      </c>
      <c r="BB18" s="106">
        <f>Model!BB20</f>
        <v>6.4309980868032302E-2</v>
      </c>
      <c r="BC18" s="106">
        <f>Model!BC20</f>
        <v>6.4273924750593459E-2</v>
      </c>
      <c r="BD18" s="107">
        <f>Model!BD20</f>
        <v>6.6075192328907795E-2</v>
      </c>
      <c r="BE18" s="107">
        <f>Model!BE20</f>
        <v>6.437370102813178E-2</v>
      </c>
      <c r="BF18" s="107">
        <f>Model!BF20</f>
        <v>6.4542268019727178E-2</v>
      </c>
      <c r="BG18" s="107">
        <f>Model!BG20</f>
        <v>6.4710183000712629E-2</v>
      </c>
      <c r="BH18" s="299"/>
    </row>
    <row r="19" spans="1:60" s="147" customFormat="1" x14ac:dyDescent="0.35">
      <c r="A19" s="314"/>
      <c r="B19" s="315"/>
      <c r="C19" s="201"/>
      <c r="D19" s="201"/>
      <c r="E19" s="201"/>
      <c r="F19" s="201"/>
      <c r="G19" s="202"/>
      <c r="H19" s="202"/>
      <c r="I19" s="202"/>
      <c r="J19" s="202"/>
      <c r="K19" s="201"/>
      <c r="L19" s="202"/>
      <c r="M19" s="202"/>
      <c r="N19" s="202"/>
      <c r="O19" s="202"/>
      <c r="P19" s="201"/>
      <c r="Q19" s="202"/>
      <c r="R19" s="202"/>
      <c r="S19" s="202"/>
      <c r="T19" s="202"/>
      <c r="U19" s="201"/>
      <c r="V19" s="202"/>
      <c r="W19" s="202"/>
      <c r="X19" s="202"/>
      <c r="Y19" s="202"/>
      <c r="Z19" s="201"/>
      <c r="AA19" s="202"/>
      <c r="AB19" s="202"/>
      <c r="AC19" s="202"/>
      <c r="AD19" s="202"/>
      <c r="AE19" s="201"/>
      <c r="AF19" s="202"/>
      <c r="AG19" s="202"/>
      <c r="AH19" s="202"/>
      <c r="AI19" s="202"/>
      <c r="AJ19" s="201"/>
      <c r="AK19" s="202"/>
      <c r="AL19" s="202"/>
      <c r="AM19" s="202"/>
      <c r="AN19" s="202"/>
      <c r="AO19" s="201"/>
      <c r="AP19" s="202"/>
      <c r="AQ19" s="202"/>
      <c r="AR19" s="202"/>
      <c r="AS19" s="202"/>
      <c r="AT19" s="201"/>
      <c r="AU19" s="854"/>
      <c r="AV19" s="202"/>
      <c r="AW19" s="202"/>
      <c r="AX19" s="202"/>
      <c r="AY19" s="201"/>
      <c r="AZ19" s="202"/>
      <c r="BA19" s="202"/>
      <c r="BB19" s="202"/>
      <c r="BC19" s="202"/>
      <c r="BD19" s="201"/>
      <c r="BE19" s="201"/>
      <c r="BF19" s="201"/>
      <c r="BG19" s="201"/>
      <c r="BH19" s="325"/>
    </row>
    <row r="20" spans="1:60" s="60" customFormat="1" x14ac:dyDescent="0.35">
      <c r="A20" s="316" t="str">
        <f>+Model!A36</f>
        <v>Safety and Industrial Revenue, mm</v>
      </c>
      <c r="B20" s="444"/>
      <c r="C20" s="445"/>
      <c r="D20" s="445"/>
      <c r="E20" s="445"/>
      <c r="F20" s="445"/>
      <c r="G20" s="446"/>
      <c r="H20" s="446"/>
      <c r="I20" s="446"/>
      <c r="J20" s="446"/>
      <c r="K20" s="445"/>
      <c r="L20" s="446"/>
      <c r="M20" s="446"/>
      <c r="N20" s="446"/>
      <c r="O20" s="446"/>
      <c r="P20" s="445"/>
      <c r="Q20" s="446"/>
      <c r="R20" s="446"/>
      <c r="S20" s="446"/>
      <c r="T20" s="446"/>
      <c r="U20" s="445"/>
      <c r="V20" s="446">
        <f>+Model!V36</f>
        <v>2825</v>
      </c>
      <c r="W20" s="446">
        <f>+Model!W36</f>
        <v>2887</v>
      </c>
      <c r="X20" s="446">
        <f>+Model!X36</f>
        <v>2835</v>
      </c>
      <c r="Y20" s="446">
        <f>+Model!Y36</f>
        <v>2669</v>
      </c>
      <c r="Z20" s="445">
        <f>+Model!Z36</f>
        <v>11216</v>
      </c>
      <c r="AA20" s="446">
        <f>+Model!AA36</f>
        <v>2910</v>
      </c>
      <c r="AB20" s="446">
        <f>+Model!AB36</f>
        <v>2926</v>
      </c>
      <c r="AC20" s="446">
        <f>+Model!AC36</f>
        <v>3024</v>
      </c>
      <c r="AD20" s="446">
        <f>+Model!AD36</f>
        <v>3086</v>
      </c>
      <c r="AE20" s="445">
        <f>+Model!AE36</f>
        <v>11946</v>
      </c>
      <c r="AF20" s="446">
        <f>+Model!AF36</f>
        <v>3268</v>
      </c>
      <c r="AG20" s="446">
        <f>+Model!AG36</f>
        <v>3253</v>
      </c>
      <c r="AH20" s="446">
        <f>+Model!AH36</f>
        <v>3021</v>
      </c>
      <c r="AI20" s="446">
        <f>+Model!AI36</f>
        <v>2952</v>
      </c>
      <c r="AJ20" s="445">
        <f>+Model!AJ36</f>
        <v>12494</v>
      </c>
      <c r="AK20" s="446">
        <f>+Model!AK36</f>
        <v>2986</v>
      </c>
      <c r="AL20" s="446">
        <f>+Model!AL36</f>
        <v>2961</v>
      </c>
      <c r="AM20" s="446">
        <f>+Model!AM36</f>
        <v>2849</v>
      </c>
      <c r="AN20" s="446">
        <f>+Model!AN36</f>
        <v>2811</v>
      </c>
      <c r="AO20" s="445">
        <f>+Model!AO36</f>
        <v>11607</v>
      </c>
      <c r="AP20" s="446">
        <f>+Model!AP36</f>
        <v>2935</v>
      </c>
      <c r="AQ20" s="446">
        <f>+Model!AQ36</f>
        <v>2668</v>
      </c>
      <c r="AR20" s="446">
        <f>+Model!AR36</f>
        <v>3024</v>
      </c>
      <c r="AS20" s="446">
        <f>+Model!AS36</f>
        <v>3140</v>
      </c>
      <c r="AT20" s="445">
        <f>+Model!AT36</f>
        <v>11767</v>
      </c>
      <c r="AU20" s="767">
        <f>+Model!AU36</f>
        <v>3327</v>
      </c>
      <c r="AV20" s="446">
        <f>+Model!AV36</f>
        <v>2854.76</v>
      </c>
      <c r="AW20" s="446">
        <f>+Model!AW36</f>
        <v>3235.68</v>
      </c>
      <c r="AX20" s="446">
        <f>+Model!AX36</f>
        <v>3359.8</v>
      </c>
      <c r="AY20" s="445">
        <f>+Model!AY36</f>
        <v>12777.240000000002</v>
      </c>
      <c r="AZ20" s="446">
        <f>+Model!AZ36</f>
        <v>3559.89</v>
      </c>
      <c r="BA20" s="446">
        <f>+Model!BA36</f>
        <v>3054.5932000000003</v>
      </c>
      <c r="BB20" s="446">
        <f>+Model!BB36</f>
        <v>3462.1776</v>
      </c>
      <c r="BC20" s="446">
        <f>+Model!BC36</f>
        <v>3594.9859999999999</v>
      </c>
      <c r="BD20" s="445">
        <f>+Model!BD36</f>
        <v>13671.646800000002</v>
      </c>
      <c r="BE20" s="445">
        <f>+Model!BE36</f>
        <v>14628.662076000002</v>
      </c>
      <c r="BF20" s="445">
        <f>+Model!BF36</f>
        <v>15652.668421320002</v>
      </c>
      <c r="BG20" s="445">
        <f>+Model!BG36</f>
        <v>16748.355210812402</v>
      </c>
      <c r="BH20" s="203"/>
    </row>
    <row r="21" spans="1:60" s="60" customFormat="1" x14ac:dyDescent="0.35">
      <c r="A21" s="316" t="str">
        <f>+Model!A37</f>
        <v>Transportation and Electronics Revenue, mm</v>
      </c>
      <c r="B21" s="444"/>
      <c r="C21" s="445"/>
      <c r="D21" s="445"/>
      <c r="E21" s="445"/>
      <c r="F21" s="445"/>
      <c r="G21" s="446"/>
      <c r="H21" s="446"/>
      <c r="I21" s="446"/>
      <c r="J21" s="446"/>
      <c r="K21" s="445"/>
      <c r="L21" s="446"/>
      <c r="M21" s="446"/>
      <c r="N21" s="446"/>
      <c r="O21" s="446"/>
      <c r="P21" s="445"/>
      <c r="Q21" s="446"/>
      <c r="R21" s="446"/>
      <c r="S21" s="446"/>
      <c r="T21" s="446"/>
      <c r="U21" s="445"/>
      <c r="V21" s="446">
        <f>+Model!V37</f>
        <v>2244</v>
      </c>
      <c r="W21" s="446">
        <f>+Model!W37</f>
        <v>2302</v>
      </c>
      <c r="X21" s="446">
        <f>+Model!X37</f>
        <v>2423</v>
      </c>
      <c r="Y21" s="446">
        <f>+Model!Y37</f>
        <v>2298</v>
      </c>
      <c r="Z21" s="445">
        <f>+Model!Z37</f>
        <v>9267</v>
      </c>
      <c r="AA21" s="446">
        <f>+Model!AA37</f>
        <v>2431</v>
      </c>
      <c r="AB21" s="446">
        <f>+Model!AB37</f>
        <v>2418</v>
      </c>
      <c r="AC21" s="446">
        <f>+Model!AC37</f>
        <v>2602</v>
      </c>
      <c r="AD21" s="446">
        <f>+Model!AD37</f>
        <v>2410</v>
      </c>
      <c r="AE21" s="445">
        <f>+Model!AE37</f>
        <v>9861</v>
      </c>
      <c r="AF21" s="446">
        <f>+Model!AF37</f>
        <v>2519</v>
      </c>
      <c r="AG21" s="446">
        <f>+Model!AG37</f>
        <v>2527</v>
      </c>
      <c r="AH21" s="446">
        <f>+Model!AH37</f>
        <v>2619</v>
      </c>
      <c r="AI21" s="446">
        <f>+Model!AI37</f>
        <v>2441</v>
      </c>
      <c r="AJ21" s="445">
        <f>+Model!AJ37</f>
        <v>10106</v>
      </c>
      <c r="AK21" s="446">
        <f>+Model!AK37</f>
        <v>2357</v>
      </c>
      <c r="AL21" s="446">
        <f>+Model!AL37</f>
        <v>2452</v>
      </c>
      <c r="AM21" s="446">
        <f>+Model!AM37</f>
        <v>2503</v>
      </c>
      <c r="AN21" s="446">
        <f>+Model!AN37</f>
        <v>2290</v>
      </c>
      <c r="AO21" s="445">
        <f>+Model!AO37</f>
        <v>9602</v>
      </c>
      <c r="AP21" s="446">
        <f>+Model!AP37</f>
        <v>2238</v>
      </c>
      <c r="AQ21" s="446">
        <f>+Model!AQ37</f>
        <v>1937</v>
      </c>
      <c r="AR21" s="446">
        <f>+Model!AR37</f>
        <v>2314</v>
      </c>
      <c r="AS21" s="446">
        <f>+Model!AS37</f>
        <v>2338</v>
      </c>
      <c r="AT21" s="445">
        <f>+Model!AT37</f>
        <v>8827</v>
      </c>
      <c r="AU21" s="767">
        <f>+Model!AU37</f>
        <v>2531</v>
      </c>
      <c r="AV21" s="446">
        <f>+Model!AV37</f>
        <v>2091.96</v>
      </c>
      <c r="AW21" s="446">
        <f>+Model!AW37</f>
        <v>2499.12</v>
      </c>
      <c r="AX21" s="446">
        <f>+Model!AX37</f>
        <v>2525.04</v>
      </c>
      <c r="AY21" s="445">
        <f>+Model!AY37</f>
        <v>9647.119999999999</v>
      </c>
      <c r="AZ21" s="446">
        <f>+Model!AZ37</f>
        <v>2733.48</v>
      </c>
      <c r="BA21" s="446">
        <f>+Model!BA37</f>
        <v>2259.3168000000001</v>
      </c>
      <c r="BB21" s="446">
        <f>+Model!BB37</f>
        <v>2699.0495999999998</v>
      </c>
      <c r="BC21" s="446">
        <f>+Model!BC37</f>
        <v>2727.0432000000001</v>
      </c>
      <c r="BD21" s="445">
        <f>+Model!BD37</f>
        <v>10418.8896</v>
      </c>
      <c r="BE21" s="445">
        <f>+Model!BE37</f>
        <v>11252.400767999998</v>
      </c>
      <c r="BF21" s="445">
        <f>+Model!BF37</f>
        <v>12152.592829439998</v>
      </c>
      <c r="BG21" s="445">
        <f>+Model!BG37</f>
        <v>13124.800255795197</v>
      </c>
      <c r="BH21" s="203"/>
    </row>
    <row r="22" spans="1:60" s="60" customFormat="1" x14ac:dyDescent="0.35">
      <c r="A22" s="316" t="str">
        <f>+Model!A38</f>
        <v>Health Care Revenue, mm</v>
      </c>
      <c r="B22" s="444"/>
      <c r="C22" s="445"/>
      <c r="D22" s="445"/>
      <c r="E22" s="445"/>
      <c r="F22" s="445"/>
      <c r="G22" s="446"/>
      <c r="H22" s="446"/>
      <c r="I22" s="446"/>
      <c r="J22" s="446"/>
      <c r="K22" s="445"/>
      <c r="L22" s="446"/>
      <c r="M22" s="446"/>
      <c r="N22" s="446"/>
      <c r="O22" s="446"/>
      <c r="P22" s="445"/>
      <c r="Q22" s="446"/>
      <c r="R22" s="446"/>
      <c r="S22" s="446"/>
      <c r="T22" s="446"/>
      <c r="U22" s="445"/>
      <c r="V22" s="446">
        <f>+Model!V38</f>
        <v>1597</v>
      </c>
      <c r="W22" s="446">
        <f>+Model!W38</f>
        <v>1624</v>
      </c>
      <c r="X22" s="446">
        <f>+Model!X38</f>
        <v>1572</v>
      </c>
      <c r="Y22" s="446">
        <f>+Model!Y38</f>
        <v>1584</v>
      </c>
      <c r="Z22" s="445">
        <f>+Model!Z38</f>
        <v>6377</v>
      </c>
      <c r="AA22" s="446">
        <f>+Model!AA38</f>
        <v>1630</v>
      </c>
      <c r="AB22" s="446">
        <f>+Model!AB38</f>
        <v>1642</v>
      </c>
      <c r="AC22" s="446">
        <f>+Model!AC38</f>
        <v>1687</v>
      </c>
      <c r="AD22" s="446">
        <f>+Model!AD38</f>
        <v>1676</v>
      </c>
      <c r="AE22" s="445">
        <f>+Model!AE38</f>
        <v>6635</v>
      </c>
      <c r="AF22" s="446">
        <f>+Model!AF38</f>
        <v>1745</v>
      </c>
      <c r="AG22" s="446">
        <f>+Model!AG38</f>
        <v>1730</v>
      </c>
      <c r="AH22" s="446">
        <f>+Model!AH38</f>
        <v>1643</v>
      </c>
      <c r="AI22" s="446">
        <f>+Model!AI38</f>
        <v>1708</v>
      </c>
      <c r="AJ22" s="445">
        <f>+Model!AJ38</f>
        <v>6826</v>
      </c>
      <c r="AK22" s="446">
        <f>+Model!AK38</f>
        <v>1738</v>
      </c>
      <c r="AL22" s="446">
        <f>+Model!AL38</f>
        <v>1831</v>
      </c>
      <c r="AM22" s="446">
        <f>+Model!AM38</f>
        <v>1721</v>
      </c>
      <c r="AN22" s="446">
        <f>+Model!AN38</f>
        <v>2141</v>
      </c>
      <c r="AO22" s="445">
        <f>+Model!AO38</f>
        <v>7431</v>
      </c>
      <c r="AP22" s="446">
        <f>+Model!AP38</f>
        <v>2103</v>
      </c>
      <c r="AQ22" s="446">
        <f>+Model!AQ38</f>
        <v>1825</v>
      </c>
      <c r="AR22" s="446">
        <f>+Model!AR38</f>
        <v>2160</v>
      </c>
      <c r="AS22" s="446">
        <f>+Model!AS38</f>
        <v>2257</v>
      </c>
      <c r="AT22" s="445">
        <f>+Model!AT38</f>
        <v>8345</v>
      </c>
      <c r="AU22" s="767">
        <f>+Model!AU38</f>
        <v>2248</v>
      </c>
      <c r="AV22" s="446">
        <f>+Model!AV38</f>
        <v>1916.25</v>
      </c>
      <c r="AW22" s="446">
        <f>+Model!AW38</f>
        <v>2268</v>
      </c>
      <c r="AX22" s="446">
        <f>+Model!AX38</f>
        <v>2369.85</v>
      </c>
      <c r="AY22" s="445">
        <f>+Model!AY38</f>
        <v>8802.1</v>
      </c>
      <c r="AZ22" s="446">
        <f>+Model!AZ38</f>
        <v>2360.3999999999996</v>
      </c>
      <c r="BA22" s="446">
        <f>+Model!BA38</f>
        <v>2012.0625</v>
      </c>
      <c r="BB22" s="446">
        <f>+Model!BB38</f>
        <v>2381.4</v>
      </c>
      <c r="BC22" s="446">
        <f>+Model!BC38</f>
        <v>2488.3425000000002</v>
      </c>
      <c r="BD22" s="445">
        <f>+Model!BD38</f>
        <v>9242.2049999999999</v>
      </c>
      <c r="BE22" s="445">
        <f>+Model!BE38</f>
        <v>9704.3152499999997</v>
      </c>
      <c r="BF22" s="445">
        <f>+Model!BF38</f>
        <v>10189.5310125</v>
      </c>
      <c r="BG22" s="445">
        <f>+Model!BG38</f>
        <v>10699.007563124998</v>
      </c>
      <c r="BH22" s="203"/>
    </row>
    <row r="23" spans="1:60" s="60" customFormat="1" x14ac:dyDescent="0.35">
      <c r="A23" s="316" t="str">
        <f>+Model!A39</f>
        <v>Consumer Revenue, mm</v>
      </c>
      <c r="B23" s="444"/>
      <c r="C23" s="445"/>
      <c r="D23" s="445"/>
      <c r="E23" s="445"/>
      <c r="F23" s="445"/>
      <c r="G23" s="446"/>
      <c r="H23" s="446"/>
      <c r="I23" s="446"/>
      <c r="J23" s="446"/>
      <c r="K23" s="445"/>
      <c r="L23" s="446"/>
      <c r="M23" s="446"/>
      <c r="N23" s="446"/>
      <c r="O23" s="446"/>
      <c r="P23" s="445"/>
      <c r="Q23" s="446"/>
      <c r="R23" s="446"/>
      <c r="S23" s="446"/>
      <c r="T23" s="446"/>
      <c r="U23" s="445"/>
      <c r="V23" s="446">
        <f>+Model!V39</f>
        <v>1142</v>
      </c>
      <c r="W23" s="446">
        <f>+Model!W39</f>
        <v>1233</v>
      </c>
      <c r="X23" s="446">
        <f>+Model!X39</f>
        <v>1296</v>
      </c>
      <c r="Y23" s="446">
        <f>+Model!Y39</f>
        <v>1168</v>
      </c>
      <c r="Z23" s="445">
        <f>+Model!Z39</f>
        <v>4839</v>
      </c>
      <c r="AA23" s="446">
        <f>+Model!AA39</f>
        <v>1148</v>
      </c>
      <c r="AB23" s="446">
        <f>+Model!AB39</f>
        <v>1245</v>
      </c>
      <c r="AC23" s="446">
        <f>+Model!AC39</f>
        <v>1347</v>
      </c>
      <c r="AD23" s="446">
        <f>+Model!AD39</f>
        <v>1266</v>
      </c>
      <c r="AE23" s="445">
        <f>+Model!AE39</f>
        <v>5006</v>
      </c>
      <c r="AF23" s="446">
        <f>+Model!AF39</f>
        <v>1208</v>
      </c>
      <c r="AG23" s="446">
        <f>+Model!AG39</f>
        <v>1309</v>
      </c>
      <c r="AH23" s="446">
        <f>+Model!AH39</f>
        <v>1302</v>
      </c>
      <c r="AI23" s="446">
        <f>+Model!AI39</f>
        <v>1267</v>
      </c>
      <c r="AJ23" s="445">
        <f>+Model!AJ39</f>
        <v>5086</v>
      </c>
      <c r="AK23" s="446">
        <f>+Model!AK39</f>
        <v>1194</v>
      </c>
      <c r="AL23" s="446">
        <f>+Model!AL39</f>
        <v>1303</v>
      </c>
      <c r="AM23" s="446">
        <f>+Model!AM39</f>
        <v>1324</v>
      </c>
      <c r="AN23" s="446">
        <f>+Model!AN39</f>
        <v>1268</v>
      </c>
      <c r="AO23" s="445">
        <f>+Model!AO39</f>
        <v>5089</v>
      </c>
      <c r="AP23" s="446">
        <f>+Model!AP39</f>
        <v>1256</v>
      </c>
      <c r="AQ23" s="446">
        <f>+Model!AQ39</f>
        <v>1238</v>
      </c>
      <c r="AR23" s="446">
        <f>+Model!AR39</f>
        <v>1417</v>
      </c>
      <c r="AS23" s="446">
        <f>+Model!AS39</f>
        <v>1425</v>
      </c>
      <c r="AT23" s="445">
        <f>+Model!AT39</f>
        <v>5336</v>
      </c>
      <c r="AU23" s="767">
        <f>+Model!AU39</f>
        <v>1373</v>
      </c>
      <c r="AV23" s="446">
        <f>+Model!AV39</f>
        <v>1293.71</v>
      </c>
      <c r="AW23" s="446">
        <f>+Model!AW39</f>
        <v>1300</v>
      </c>
      <c r="AX23" s="446">
        <f>+Model!AX39</f>
        <v>1300</v>
      </c>
      <c r="AY23" s="445">
        <f>+Model!AY39</f>
        <v>5266.71</v>
      </c>
      <c r="AZ23" s="446">
        <f>+Model!AZ39</f>
        <v>1434.7850000000001</v>
      </c>
      <c r="BA23" s="446">
        <f>+Model!BA39</f>
        <v>1351.92695</v>
      </c>
      <c r="BB23" s="446">
        <f>+Model!BB39</f>
        <v>1358.5</v>
      </c>
      <c r="BC23" s="446">
        <f>+Model!BC39</f>
        <v>1358.5</v>
      </c>
      <c r="BD23" s="445">
        <f>+Model!BD39</f>
        <v>5503.7119499999999</v>
      </c>
      <c r="BE23" s="445">
        <f>+Model!BE39</f>
        <v>5751.3789877499994</v>
      </c>
      <c r="BF23" s="445">
        <f>+Model!BF39</f>
        <v>6010.1910421987495</v>
      </c>
      <c r="BG23" s="445">
        <f>+Model!BG39</f>
        <v>6280.6496390976936</v>
      </c>
      <c r="BH23" s="203"/>
    </row>
    <row r="24" spans="1:60" s="60" customFormat="1" x14ac:dyDescent="0.35">
      <c r="A24" s="316" t="str">
        <f>+Model!A41</f>
        <v>Corporate and Unallocated Revenue, mm</v>
      </c>
      <c r="B24" s="444"/>
      <c r="C24" s="445"/>
      <c r="D24" s="445"/>
      <c r="E24" s="445"/>
      <c r="F24" s="445"/>
      <c r="G24" s="446"/>
      <c r="H24" s="446"/>
      <c r="I24" s="446"/>
      <c r="J24" s="446"/>
      <c r="K24" s="445"/>
      <c r="L24" s="446"/>
      <c r="M24" s="446"/>
      <c r="N24" s="446"/>
      <c r="O24" s="446"/>
      <c r="P24" s="445"/>
      <c r="Q24" s="446"/>
      <c r="R24" s="446"/>
      <c r="S24" s="446"/>
      <c r="T24" s="446"/>
      <c r="U24" s="445"/>
      <c r="V24" s="446">
        <f>+Model!V41</f>
        <v>0</v>
      </c>
      <c r="W24" s="446">
        <f>+Model!W41</f>
        <v>4</v>
      </c>
      <c r="X24" s="446">
        <f>+Model!X41</f>
        <v>0</v>
      </c>
      <c r="Y24" s="446">
        <f>+Model!Y41</f>
        <v>2</v>
      </c>
      <c r="Z24" s="445">
        <f>+Model!Z41</f>
        <v>6</v>
      </c>
      <c r="AA24" s="446">
        <f>+Model!AA41</f>
        <v>2</v>
      </c>
      <c r="AB24" s="446">
        <f>+Model!AB41</f>
        <v>3</v>
      </c>
      <c r="AC24" s="446">
        <f>+Model!AC41</f>
        <v>0</v>
      </c>
      <c r="AD24" s="446">
        <f>+Model!AD41</f>
        <v>-3</v>
      </c>
      <c r="AE24" s="445">
        <f>+Model!AE41</f>
        <v>2</v>
      </c>
      <c r="AF24" s="446">
        <f>+Model!AF41</f>
        <v>0</v>
      </c>
      <c r="AG24" s="446">
        <f>+Model!AG41</f>
        <v>12</v>
      </c>
      <c r="AH24" s="446">
        <f>+Model!AH41</f>
        <v>35</v>
      </c>
      <c r="AI24" s="446">
        <f>+Model!AI41</f>
        <v>3</v>
      </c>
      <c r="AJ24" s="445">
        <f>+Model!AJ41</f>
        <v>50</v>
      </c>
      <c r="AK24" s="446">
        <f>+Model!AK41</f>
        <v>22</v>
      </c>
      <c r="AL24" s="446">
        <f>+Model!AL41</f>
        <v>48</v>
      </c>
      <c r="AM24" s="446">
        <f>+Model!AM41</f>
        <v>28</v>
      </c>
      <c r="AN24" s="446">
        <f>+Model!AN41</f>
        <v>12</v>
      </c>
      <c r="AO24" s="445">
        <f>+Model!AO41</f>
        <v>110</v>
      </c>
      <c r="AP24" s="446">
        <f>+Model!AP41</f>
        <v>1</v>
      </c>
      <c r="AQ24" s="446">
        <f>+Model!AQ41</f>
        <v>-2</v>
      </c>
      <c r="AR24" s="446">
        <f>+Model!AR41</f>
        <v>0</v>
      </c>
      <c r="AS24" s="446">
        <f>+Model!AS41</f>
        <v>0</v>
      </c>
      <c r="AT24" s="445">
        <f>+Model!AT41</f>
        <v>-1</v>
      </c>
      <c r="AU24" s="767">
        <f>+Model!AU41</f>
        <v>-2</v>
      </c>
      <c r="AV24" s="446">
        <f>+Model!AV41</f>
        <v>1</v>
      </c>
      <c r="AW24" s="446">
        <f>+Model!AW41</f>
        <v>1</v>
      </c>
      <c r="AX24" s="446">
        <f>+Model!AX41</f>
        <v>1</v>
      </c>
      <c r="AY24" s="445">
        <f>+Model!AY41</f>
        <v>1</v>
      </c>
      <c r="AZ24" s="446">
        <f>+Model!AZ41</f>
        <v>1</v>
      </c>
      <c r="BA24" s="446">
        <f>+Model!BA41</f>
        <v>1</v>
      </c>
      <c r="BB24" s="446">
        <f>+Model!BB41</f>
        <v>1</v>
      </c>
      <c r="BC24" s="446">
        <f>+Model!BC41</f>
        <v>1</v>
      </c>
      <c r="BD24" s="445">
        <f>+Model!BD41</f>
        <v>4</v>
      </c>
      <c r="BE24" s="445">
        <f>+Model!BE41</f>
        <v>4</v>
      </c>
      <c r="BF24" s="445">
        <f>+Model!BF41</f>
        <v>4</v>
      </c>
      <c r="BG24" s="445">
        <f>+Model!BG41</f>
        <v>4</v>
      </c>
      <c r="BH24" s="203"/>
    </row>
    <row r="25" spans="1:60" s="60" customFormat="1" x14ac:dyDescent="0.35">
      <c r="A25" s="466" t="str">
        <f>+Model!A40</f>
        <v>Elimination of Dual Credit Revenue, mm</v>
      </c>
      <c r="B25" s="501"/>
      <c r="C25" s="502"/>
      <c r="D25" s="502"/>
      <c r="E25" s="502"/>
      <c r="F25" s="502"/>
      <c r="G25" s="463"/>
      <c r="H25" s="463"/>
      <c r="I25" s="463"/>
      <c r="J25" s="463"/>
      <c r="K25" s="502"/>
      <c r="L25" s="463"/>
      <c r="M25" s="463"/>
      <c r="N25" s="463"/>
      <c r="O25" s="463"/>
      <c r="P25" s="502"/>
      <c r="Q25" s="463"/>
      <c r="R25" s="463"/>
      <c r="S25" s="463"/>
      <c r="T25" s="463"/>
      <c r="U25" s="502"/>
      <c r="V25" s="463">
        <f>+Model!V40</f>
        <v>-399</v>
      </c>
      <c r="W25" s="463">
        <f>+Model!W40</f>
        <v>-388</v>
      </c>
      <c r="X25" s="463">
        <f>+Model!X40</f>
        <v>-417</v>
      </c>
      <c r="Y25" s="463">
        <f>+Model!Y40</f>
        <v>-392</v>
      </c>
      <c r="Z25" s="502">
        <f>+Model!Z40</f>
        <v>-1596</v>
      </c>
      <c r="AA25" s="463">
        <f>+Model!AA40</f>
        <v>-436</v>
      </c>
      <c r="AB25" s="463">
        <f>+Model!AB40</f>
        <v>-424</v>
      </c>
      <c r="AC25" s="463">
        <f>+Model!AC40</f>
        <v>-488</v>
      </c>
      <c r="AD25" s="463">
        <f>+Model!AD40</f>
        <v>-445</v>
      </c>
      <c r="AE25" s="502">
        <f>+Model!AE40</f>
        <v>-1793</v>
      </c>
      <c r="AF25" s="463">
        <f>+Model!AF40</f>
        <v>-462</v>
      </c>
      <c r="AG25" s="463">
        <f>+Model!AG40</f>
        <v>-441</v>
      </c>
      <c r="AH25" s="463">
        <f>+Model!AH40</f>
        <v>-468</v>
      </c>
      <c r="AI25" s="463">
        <f>+Model!AI40</f>
        <v>-426</v>
      </c>
      <c r="AJ25" s="502">
        <f>+Model!AJ40</f>
        <v>-1797</v>
      </c>
      <c r="AK25" s="463">
        <f>+Model!AK40</f>
        <v>-434</v>
      </c>
      <c r="AL25" s="463">
        <f>+Model!AL40</f>
        <v>-424</v>
      </c>
      <c r="AM25" s="463">
        <f>+Model!AM40</f>
        <v>-434</v>
      </c>
      <c r="AN25" s="463">
        <f>+Model!AN40</f>
        <v>-411</v>
      </c>
      <c r="AO25" s="502">
        <f>+Model!AO40</f>
        <v>-1703</v>
      </c>
      <c r="AP25" s="463">
        <f>+Model!AP40</f>
        <v>-458</v>
      </c>
      <c r="AQ25" s="463">
        <f>+Model!AQ40</f>
        <v>-490</v>
      </c>
      <c r="AR25" s="463">
        <f>+Model!AR40</f>
        <v>-565</v>
      </c>
      <c r="AS25" s="463">
        <f>+Model!AS40</f>
        <v>-577</v>
      </c>
      <c r="AT25" s="502">
        <f>+Model!AT40</f>
        <v>-2090</v>
      </c>
      <c r="AU25" s="768">
        <f>+Model!AU40</f>
        <v>-626</v>
      </c>
      <c r="AV25" s="463">
        <f>+Model!AV40</f>
        <v>-489.46080000000001</v>
      </c>
      <c r="AW25" s="463">
        <f>+Model!AW40</f>
        <v>-558.22799999999995</v>
      </c>
      <c r="AX25" s="463">
        <f>+Model!AX40</f>
        <v>-573.34140000000002</v>
      </c>
      <c r="AY25" s="502">
        <f>+Model!AY40</f>
        <v>-2247.0302000000001</v>
      </c>
      <c r="AZ25" s="463">
        <f>+Model!AZ40</f>
        <v>-605.37329999999997</v>
      </c>
      <c r="BA25" s="463">
        <f>+Model!BA40</f>
        <v>-520.73396700000001</v>
      </c>
      <c r="BB25" s="463">
        <f>+Model!BB40</f>
        <v>-594.12763199999995</v>
      </c>
      <c r="BC25" s="463">
        <f>+Model!BC40</f>
        <v>-610.19230199999993</v>
      </c>
      <c r="BD25" s="502">
        <f>+Model!BD40</f>
        <v>-2330.4272009999995</v>
      </c>
      <c r="BE25" s="502">
        <f>+Model!BE40</f>
        <v>-2480.4454249050004</v>
      </c>
      <c r="BF25" s="502">
        <f>+Model!BF40</f>
        <v>-2640.538998327525</v>
      </c>
      <c r="BG25" s="502">
        <f>+Model!BG40</f>
        <v>-2811.4087601298179</v>
      </c>
      <c r="BH25" s="203"/>
    </row>
    <row r="26" spans="1:60" s="69" customFormat="1" x14ac:dyDescent="0.35">
      <c r="A26" s="318" t="str">
        <f>+Model!A42</f>
        <v>Total Revenue, mm</v>
      </c>
      <c r="B26" s="452"/>
      <c r="C26" s="453"/>
      <c r="D26" s="453"/>
      <c r="E26" s="453"/>
      <c r="F26" s="453"/>
      <c r="G26" s="454"/>
      <c r="H26" s="454"/>
      <c r="I26" s="454"/>
      <c r="J26" s="454"/>
      <c r="K26" s="453"/>
      <c r="L26" s="454"/>
      <c r="M26" s="454"/>
      <c r="N26" s="454"/>
      <c r="O26" s="454"/>
      <c r="P26" s="453"/>
      <c r="Q26" s="454"/>
      <c r="R26" s="454"/>
      <c r="S26" s="454"/>
      <c r="T26" s="454"/>
      <c r="U26" s="453"/>
      <c r="V26" s="454">
        <f>+Model!V42</f>
        <v>7409</v>
      </c>
      <c r="W26" s="454">
        <f>+Model!W42</f>
        <v>7662</v>
      </c>
      <c r="X26" s="454">
        <f>+Model!X42</f>
        <v>7709</v>
      </c>
      <c r="Y26" s="454">
        <f>+Model!Y42</f>
        <v>7329</v>
      </c>
      <c r="Z26" s="453">
        <f>+Model!Z42</f>
        <v>30109</v>
      </c>
      <c r="AA26" s="454">
        <f>+Model!AA42</f>
        <v>7685</v>
      </c>
      <c r="AB26" s="454">
        <f>+Model!AB42</f>
        <v>7810</v>
      </c>
      <c r="AC26" s="454">
        <f>+Model!AC42</f>
        <v>8172</v>
      </c>
      <c r="AD26" s="454">
        <f>+Model!AD42</f>
        <v>7990</v>
      </c>
      <c r="AE26" s="453">
        <f>+Model!AE42</f>
        <v>31657</v>
      </c>
      <c r="AF26" s="454">
        <f>+Model!AF42</f>
        <v>8278</v>
      </c>
      <c r="AG26" s="454">
        <f>+Model!AG42</f>
        <v>8390</v>
      </c>
      <c r="AH26" s="454">
        <f>+Model!AH42</f>
        <v>8152</v>
      </c>
      <c r="AI26" s="454">
        <f>+Model!AI42</f>
        <v>7945</v>
      </c>
      <c r="AJ26" s="453">
        <f>+Model!AJ42</f>
        <v>32765</v>
      </c>
      <c r="AK26" s="454">
        <f>+Model!AK42</f>
        <v>7863</v>
      </c>
      <c r="AL26" s="454">
        <f>+Model!AL42</f>
        <v>8171</v>
      </c>
      <c r="AM26" s="454">
        <f>+Model!AM42</f>
        <v>7991</v>
      </c>
      <c r="AN26" s="454">
        <f>+Model!AN42</f>
        <v>8111</v>
      </c>
      <c r="AO26" s="453">
        <f>+Model!AO42</f>
        <v>32136</v>
      </c>
      <c r="AP26" s="454">
        <f>+Model!AP42</f>
        <v>8075</v>
      </c>
      <c r="AQ26" s="454">
        <f>+Model!AQ42</f>
        <v>7176</v>
      </c>
      <c r="AR26" s="454">
        <f>+Model!AR42</f>
        <v>8350</v>
      </c>
      <c r="AS26" s="454">
        <f>+Model!AS42</f>
        <v>8583</v>
      </c>
      <c r="AT26" s="453">
        <f>+Model!AT42</f>
        <v>32184</v>
      </c>
      <c r="AU26" s="783">
        <f>+Model!AU42</f>
        <v>8851</v>
      </c>
      <c r="AV26" s="454">
        <f>+Model!AV42</f>
        <v>7668.2192000000005</v>
      </c>
      <c r="AW26" s="454">
        <f>+Model!AW42</f>
        <v>8745.5720000000001</v>
      </c>
      <c r="AX26" s="454">
        <f>+Model!AX42</f>
        <v>8982.3486000000012</v>
      </c>
      <c r="AY26" s="453">
        <f>+Model!AY42</f>
        <v>34247.139799999997</v>
      </c>
      <c r="AZ26" s="454">
        <f>+Model!AZ42</f>
        <v>9484.181700000001</v>
      </c>
      <c r="BA26" s="454">
        <f>+Model!BA42</f>
        <v>8158.1654830000007</v>
      </c>
      <c r="BB26" s="454">
        <f>+Model!BB42</f>
        <v>9307.9995679999993</v>
      </c>
      <c r="BC26" s="454">
        <f>+Model!BC42</f>
        <v>9559.6793980000002</v>
      </c>
      <c r="BD26" s="453">
        <f>+Model!BD42</f>
        <v>36510.026149000005</v>
      </c>
      <c r="BE26" s="453">
        <f>+Model!BE42</f>
        <v>38860.311656844999</v>
      </c>
      <c r="BF26" s="453">
        <f>+Model!BF42</f>
        <v>41368.44430713122</v>
      </c>
      <c r="BG26" s="453">
        <f>+Model!BG42</f>
        <v>44045.403908700471</v>
      </c>
      <c r="BH26" s="111"/>
    </row>
    <row r="27" spans="1:60" s="145" customFormat="1" x14ac:dyDescent="0.35">
      <c r="A27" s="304"/>
      <c r="B27" s="320"/>
      <c r="C27" s="909"/>
      <c r="D27" s="909"/>
      <c r="E27" s="909"/>
      <c r="F27" s="909"/>
      <c r="G27" s="910"/>
      <c r="H27" s="910"/>
      <c r="I27" s="910"/>
      <c r="J27" s="910"/>
      <c r="K27" s="909"/>
      <c r="L27" s="910"/>
      <c r="M27" s="910"/>
      <c r="N27" s="910"/>
      <c r="O27" s="910"/>
      <c r="P27" s="909"/>
      <c r="Q27" s="910"/>
      <c r="R27" s="910"/>
      <c r="S27" s="910"/>
      <c r="T27" s="910"/>
      <c r="U27" s="909"/>
      <c r="V27" s="910"/>
      <c r="W27" s="910"/>
      <c r="X27" s="910"/>
      <c r="Y27" s="910"/>
      <c r="Z27" s="909"/>
      <c r="AA27" s="910"/>
      <c r="AB27" s="910"/>
      <c r="AC27" s="910"/>
      <c r="AD27" s="910"/>
      <c r="AE27" s="909"/>
      <c r="AF27" s="910"/>
      <c r="AG27" s="910"/>
      <c r="AH27" s="910"/>
      <c r="AI27" s="910"/>
      <c r="AJ27" s="909"/>
      <c r="AK27" s="910"/>
      <c r="AL27" s="910"/>
      <c r="AM27" s="910"/>
      <c r="AN27" s="910"/>
      <c r="AO27" s="909"/>
      <c r="AP27" s="910"/>
      <c r="AQ27" s="910"/>
      <c r="AR27" s="910"/>
      <c r="AS27" s="910"/>
      <c r="AT27" s="909"/>
      <c r="AU27" s="911"/>
      <c r="AV27" s="910"/>
      <c r="AW27" s="910"/>
      <c r="AX27" s="910"/>
      <c r="AY27" s="909"/>
      <c r="AZ27" s="910"/>
      <c r="BA27" s="910"/>
      <c r="BB27" s="910"/>
      <c r="BC27" s="910"/>
      <c r="BD27" s="909"/>
      <c r="BE27" s="909"/>
      <c r="BF27" s="909"/>
      <c r="BG27" s="909"/>
      <c r="BH27" s="846"/>
    </row>
    <row r="28" spans="1:60" s="145" customFormat="1" x14ac:dyDescent="0.35">
      <c r="A28" s="308" t="str">
        <f>Model!A57</f>
        <v>Safety and Industrial operating income, mm</v>
      </c>
      <c r="B28" s="648"/>
      <c r="C28" s="198"/>
      <c r="D28" s="198"/>
      <c r="E28" s="198"/>
      <c r="F28" s="198"/>
      <c r="G28" s="199"/>
      <c r="H28" s="199"/>
      <c r="I28" s="199"/>
      <c r="J28" s="199"/>
      <c r="K28" s="198"/>
      <c r="L28" s="199"/>
      <c r="M28" s="199"/>
      <c r="N28" s="199"/>
      <c r="O28" s="199"/>
      <c r="P28" s="198"/>
      <c r="Q28" s="199"/>
      <c r="R28" s="199"/>
      <c r="S28" s="199"/>
      <c r="T28" s="199"/>
      <c r="U28" s="198"/>
      <c r="V28" s="199">
        <f>Model!V57</f>
        <v>643</v>
      </c>
      <c r="W28" s="199">
        <f>Model!W57</f>
        <v>717</v>
      </c>
      <c r="X28" s="199">
        <f>Model!X57</f>
        <v>653</v>
      </c>
      <c r="Y28" s="199">
        <f>Model!Y57</f>
        <v>578</v>
      </c>
      <c r="Z28" s="198">
        <f>Model!Z57</f>
        <v>2591</v>
      </c>
      <c r="AA28" s="199">
        <f>Model!AA57</f>
        <v>664</v>
      </c>
      <c r="AB28" s="199">
        <f>Model!AB57</f>
        <v>619</v>
      </c>
      <c r="AC28" s="199">
        <f>Model!AC57</f>
        <v>728</v>
      </c>
      <c r="AD28" s="199">
        <f>Model!AD57</f>
        <v>592</v>
      </c>
      <c r="AE28" s="198">
        <f>Model!AE57</f>
        <v>2603</v>
      </c>
      <c r="AF28" s="199">
        <f>Model!AF57</f>
        <v>771</v>
      </c>
      <c r="AG28" s="199">
        <f>Model!AG57</f>
        <v>1285</v>
      </c>
      <c r="AH28" s="199">
        <f>Model!AH57</f>
        <v>697</v>
      </c>
      <c r="AI28" s="199">
        <f>Model!AI57</f>
        <v>670</v>
      </c>
      <c r="AJ28" s="198">
        <f>Model!AJ57</f>
        <v>3423</v>
      </c>
      <c r="AK28" s="199">
        <f>Model!AK57</f>
        <v>637</v>
      </c>
      <c r="AL28" s="199">
        <f>Model!AL57</f>
        <v>647</v>
      </c>
      <c r="AM28" s="199">
        <f>Model!AM57</f>
        <v>647</v>
      </c>
      <c r="AN28" s="199">
        <f>Model!AN57</f>
        <v>579</v>
      </c>
      <c r="AO28" s="198">
        <f>Model!AO57</f>
        <v>2510</v>
      </c>
      <c r="AP28" s="199">
        <f>Model!AP57</f>
        <v>726</v>
      </c>
      <c r="AQ28" s="199">
        <f>Model!AQ57</f>
        <v>636</v>
      </c>
      <c r="AR28" s="199">
        <f>Model!AR57</f>
        <v>823</v>
      </c>
      <c r="AS28" s="199">
        <f>Model!AS57</f>
        <v>869</v>
      </c>
      <c r="AT28" s="198">
        <f>Model!AT57</f>
        <v>3054</v>
      </c>
      <c r="AU28" s="852">
        <f>Model!AU57</f>
        <v>811</v>
      </c>
      <c r="AV28" s="199">
        <f>Model!AV57</f>
        <v>737.61519999999996</v>
      </c>
      <c r="AW28" s="199">
        <f>Model!AW57</f>
        <v>832.07479999999987</v>
      </c>
      <c r="AX28" s="199">
        <f>Model!AX57</f>
        <v>963.42800000000011</v>
      </c>
      <c r="AY28" s="198">
        <f>Model!AY57</f>
        <v>3344.1179999999995</v>
      </c>
      <c r="AZ28" s="199">
        <f>Model!AZ57</f>
        <v>903.36890000000005</v>
      </c>
      <c r="BA28" s="199">
        <f>Model!BA57</f>
        <v>850.34012800000005</v>
      </c>
      <c r="BB28" s="199">
        <f>Model!BB57</f>
        <v>838.38737199999991</v>
      </c>
      <c r="BC28" s="199">
        <f>Model!BC57</f>
        <v>1066.81782</v>
      </c>
      <c r="BD28" s="198">
        <f>Model!BD57</f>
        <v>3658.9142200000006</v>
      </c>
      <c r="BE28" s="198">
        <f>Model!BE57</f>
        <v>3988.1815257800004</v>
      </c>
      <c r="BF28" s="198">
        <f>Model!BF57</f>
        <v>4345.6175746912004</v>
      </c>
      <c r="BG28" s="198">
        <f>Model!BG57</f>
        <v>4733.5525809736464</v>
      </c>
      <c r="BH28" s="846"/>
    </row>
    <row r="29" spans="1:60" s="145" customFormat="1" x14ac:dyDescent="0.35">
      <c r="A29" s="308" t="str">
        <f>Model!A58</f>
        <v>Transportation and Electronics operating income, mm</v>
      </c>
      <c r="B29" s="648"/>
      <c r="C29" s="198"/>
      <c r="D29" s="198"/>
      <c r="E29" s="198"/>
      <c r="F29" s="198"/>
      <c r="G29" s="199"/>
      <c r="H29" s="199"/>
      <c r="I29" s="199"/>
      <c r="J29" s="199"/>
      <c r="K29" s="198"/>
      <c r="L29" s="199"/>
      <c r="M29" s="199"/>
      <c r="N29" s="199"/>
      <c r="O29" s="199"/>
      <c r="P29" s="198"/>
      <c r="Q29" s="199"/>
      <c r="R29" s="199"/>
      <c r="S29" s="199"/>
      <c r="T29" s="199"/>
      <c r="U29" s="198"/>
      <c r="V29" s="199">
        <f>Model!V58</f>
        <v>503</v>
      </c>
      <c r="W29" s="199">
        <f>Model!W58</f>
        <v>515</v>
      </c>
      <c r="X29" s="199">
        <f>Model!X58</f>
        <v>598</v>
      </c>
      <c r="Y29" s="199">
        <f>Model!Y58</f>
        <v>552</v>
      </c>
      <c r="Z29" s="198">
        <f>Model!Z58</f>
        <v>2168</v>
      </c>
      <c r="AA29" s="199">
        <f>Model!AA58</f>
        <v>569</v>
      </c>
      <c r="AB29" s="199">
        <f>Model!AB58</f>
        <v>1040</v>
      </c>
      <c r="AC29" s="199">
        <f>Model!AC58</f>
        <v>695</v>
      </c>
      <c r="AD29" s="199">
        <f>Model!AD58</f>
        <v>682</v>
      </c>
      <c r="AE29" s="198">
        <f>Model!AE58</f>
        <v>2986</v>
      </c>
      <c r="AF29" s="199">
        <f>Model!AF58</f>
        <v>656</v>
      </c>
      <c r="AG29" s="199">
        <f>Model!AG58</f>
        <v>669</v>
      </c>
      <c r="AH29" s="199">
        <f>Model!AH58</f>
        <v>726</v>
      </c>
      <c r="AI29" s="199">
        <f>Model!AI58</f>
        <v>598</v>
      </c>
      <c r="AJ29" s="198">
        <f>Model!AJ58</f>
        <v>2649</v>
      </c>
      <c r="AK29" s="199">
        <f>Model!AK58</f>
        <v>522</v>
      </c>
      <c r="AL29" s="199">
        <f>Model!AL58</f>
        <v>591</v>
      </c>
      <c r="AM29" s="199">
        <f>Model!AM58</f>
        <v>637</v>
      </c>
      <c r="AN29" s="199">
        <f>Model!AN58</f>
        <v>474</v>
      </c>
      <c r="AO29" s="198">
        <f>Model!AO58</f>
        <v>2221</v>
      </c>
      <c r="AP29" s="199">
        <f>Model!AP58</f>
        <v>484</v>
      </c>
      <c r="AQ29" s="199">
        <f>Model!AQ58</f>
        <v>382</v>
      </c>
      <c r="AR29" s="199">
        <f>Model!AR58</f>
        <v>552</v>
      </c>
      <c r="AS29" s="199">
        <f>Model!AS58</f>
        <v>511</v>
      </c>
      <c r="AT29" s="198">
        <f>Model!AT58</f>
        <v>1927</v>
      </c>
      <c r="AU29" s="852">
        <f>Model!AU58</f>
        <v>591</v>
      </c>
      <c r="AV29" s="199">
        <f>Model!AV58</f>
        <v>433.47960000000006</v>
      </c>
      <c r="AW29" s="199">
        <f>Model!AW58</f>
        <v>621.15120000000002</v>
      </c>
      <c r="AX29" s="199">
        <f>Model!AX58</f>
        <v>577.13040000000001</v>
      </c>
      <c r="AY29" s="198">
        <f>Model!AY58</f>
        <v>2222.7611999999999</v>
      </c>
      <c r="AZ29" s="199">
        <f>Model!AZ58</f>
        <v>665.61480000000006</v>
      </c>
      <c r="BA29" s="199">
        <f>Model!BA58</f>
        <v>490.75113600000009</v>
      </c>
      <c r="BB29" s="199">
        <f>Model!BB58</f>
        <v>697.83379200000002</v>
      </c>
      <c r="BC29" s="199">
        <f>Model!BC58</f>
        <v>650.57126400000004</v>
      </c>
      <c r="BD29" s="198">
        <f>Model!BD58</f>
        <v>2504.7709920000002</v>
      </c>
      <c r="BE29" s="198">
        <f>Model!BE58</f>
        <v>2761.4146751999997</v>
      </c>
      <c r="BF29" s="198">
        <f>Model!BF58</f>
        <v>3043.0908133631992</v>
      </c>
      <c r="BG29" s="198">
        <f>Model!BG58</f>
        <v>3352.1620797112309</v>
      </c>
      <c r="BH29" s="846"/>
    </row>
    <row r="30" spans="1:60" s="145" customFormat="1" x14ac:dyDescent="0.35">
      <c r="A30" s="308" t="str">
        <f>Model!A59</f>
        <v>Health Care operating income, mm</v>
      </c>
      <c r="B30" s="648"/>
      <c r="C30" s="198"/>
      <c r="D30" s="198"/>
      <c r="E30" s="198"/>
      <c r="F30" s="198"/>
      <c r="G30" s="199"/>
      <c r="H30" s="199"/>
      <c r="I30" s="199"/>
      <c r="J30" s="199"/>
      <c r="K30" s="198"/>
      <c r="L30" s="199"/>
      <c r="M30" s="199"/>
      <c r="N30" s="199"/>
      <c r="O30" s="199"/>
      <c r="P30" s="198"/>
      <c r="Q30" s="199"/>
      <c r="R30" s="199"/>
      <c r="S30" s="199"/>
      <c r="T30" s="199"/>
      <c r="U30" s="198"/>
      <c r="V30" s="199">
        <f>Model!V59</f>
        <v>485</v>
      </c>
      <c r="W30" s="199">
        <f>Model!W59</f>
        <v>489</v>
      </c>
      <c r="X30" s="199">
        <f>Model!X59</f>
        <v>451</v>
      </c>
      <c r="Y30" s="199">
        <f>Model!Y59</f>
        <v>427</v>
      </c>
      <c r="Z30" s="198">
        <f>Model!Z59</f>
        <v>1852</v>
      </c>
      <c r="AA30" s="199">
        <f>Model!AA59</f>
        <v>463</v>
      </c>
      <c r="AB30" s="199">
        <f>Model!AB59</f>
        <v>433</v>
      </c>
      <c r="AC30" s="199">
        <f>Model!AC59</f>
        <v>500</v>
      </c>
      <c r="AD30" s="199">
        <f>Model!AD59</f>
        <v>481</v>
      </c>
      <c r="AE30" s="198">
        <f>Model!AE59</f>
        <v>1877</v>
      </c>
      <c r="AF30" s="199">
        <f>Model!AF59</f>
        <v>498</v>
      </c>
      <c r="AG30" s="199">
        <f>Model!AG59</f>
        <v>470</v>
      </c>
      <c r="AH30" s="199">
        <f>Model!AH59</f>
        <v>475</v>
      </c>
      <c r="AI30" s="199">
        <f>Model!AI59</f>
        <v>478</v>
      </c>
      <c r="AJ30" s="198">
        <f>Model!AJ59</f>
        <v>1921</v>
      </c>
      <c r="AK30" s="199">
        <f>Model!AK59</f>
        <v>464</v>
      </c>
      <c r="AL30" s="199">
        <f>Model!AL59</f>
        <v>483</v>
      </c>
      <c r="AM30" s="199">
        <f>Model!AM59</f>
        <v>459</v>
      </c>
      <c r="AN30" s="199">
        <f>Model!AN59</f>
        <v>457</v>
      </c>
      <c r="AO30" s="198">
        <f>Model!AO59</f>
        <v>1858</v>
      </c>
      <c r="AP30" s="199">
        <f>Model!AP59</f>
        <v>456</v>
      </c>
      <c r="AQ30" s="199">
        <f>Model!AQ59</f>
        <v>306</v>
      </c>
      <c r="AR30" s="199">
        <f>Model!AR59</f>
        <v>508</v>
      </c>
      <c r="AS30" s="199">
        <f>Model!AS59</f>
        <v>558</v>
      </c>
      <c r="AT30" s="198">
        <f>Model!AT59</f>
        <v>1828</v>
      </c>
      <c r="AU30" s="852">
        <f>Model!AU59</f>
        <v>509</v>
      </c>
      <c r="AV30" s="199">
        <f>Model!AV59</f>
        <v>421.57499999999999</v>
      </c>
      <c r="AW30" s="199">
        <f>Model!AW59</f>
        <v>503.49599999999998</v>
      </c>
      <c r="AX30" s="199">
        <f>Model!AX59</f>
        <v>523.73685</v>
      </c>
      <c r="AY30" s="198">
        <f>Model!AY59</f>
        <v>1957.8078499999999</v>
      </c>
      <c r="AZ30" s="199">
        <f>Model!AZ59</f>
        <v>581.6579999999999</v>
      </c>
      <c r="BA30" s="199">
        <f>Model!BA59</f>
        <v>543.25687500000004</v>
      </c>
      <c r="BB30" s="199">
        <f>Model!BB59</f>
        <v>540.57780000000002</v>
      </c>
      <c r="BC30" s="199">
        <f>Model!BC59</f>
        <v>574.80711750000012</v>
      </c>
      <c r="BD30" s="198">
        <f>Model!BD59</f>
        <v>2240.2997925</v>
      </c>
      <c r="BE30" s="198">
        <f>Model!BE59</f>
        <v>2449.3579346249999</v>
      </c>
      <c r="BF30" s="198">
        <f>Model!BF59</f>
        <v>2673.72114148125</v>
      </c>
      <c r="BG30" s="198">
        <f>Model!BG59</f>
        <v>2914.3972741865618</v>
      </c>
      <c r="BH30" s="846"/>
    </row>
    <row r="31" spans="1:60" s="145" customFormat="1" x14ac:dyDescent="0.35">
      <c r="A31" s="308" t="str">
        <f>Model!A60</f>
        <v>Consumer operating income, mm</v>
      </c>
      <c r="B31" s="648"/>
      <c r="C31" s="198"/>
      <c r="D31" s="198"/>
      <c r="E31" s="198"/>
      <c r="F31" s="198"/>
      <c r="G31" s="199"/>
      <c r="H31" s="199"/>
      <c r="I31" s="199"/>
      <c r="J31" s="199"/>
      <c r="K31" s="198"/>
      <c r="L31" s="199"/>
      <c r="M31" s="199"/>
      <c r="N31" s="199"/>
      <c r="O31" s="199"/>
      <c r="P31" s="198"/>
      <c r="Q31" s="199"/>
      <c r="R31" s="199"/>
      <c r="S31" s="199"/>
      <c r="T31" s="199"/>
      <c r="U31" s="198"/>
      <c r="V31" s="199">
        <f>Model!V60</f>
        <v>249</v>
      </c>
      <c r="W31" s="199">
        <f>Model!W60</f>
        <v>293</v>
      </c>
      <c r="X31" s="199">
        <f>Model!X60</f>
        <v>325</v>
      </c>
      <c r="Y31" s="199">
        <f>Model!Y60</f>
        <v>229</v>
      </c>
      <c r="Z31" s="198">
        <f>Model!Z60</f>
        <v>1096</v>
      </c>
      <c r="AA31" s="199">
        <f>Model!AA60</f>
        <v>237</v>
      </c>
      <c r="AB31" s="199">
        <f>Model!AB60</f>
        <v>214</v>
      </c>
      <c r="AC31" s="199">
        <f>Model!AC60</f>
        <v>323</v>
      </c>
      <c r="AD31" s="199">
        <f>Model!AD60</f>
        <v>277</v>
      </c>
      <c r="AE31" s="198">
        <f>Model!AE60</f>
        <v>1051</v>
      </c>
      <c r="AF31" s="199">
        <f>Model!AF60</f>
        <v>232</v>
      </c>
      <c r="AG31" s="199">
        <f>Model!AG60</f>
        <v>279</v>
      </c>
      <c r="AH31" s="199">
        <f>Model!AH60</f>
        <v>300</v>
      </c>
      <c r="AI31" s="199">
        <f>Model!AI60</f>
        <v>260</v>
      </c>
      <c r="AJ31" s="198">
        <f>Model!AJ60</f>
        <v>1071</v>
      </c>
      <c r="AK31" s="199">
        <f>Model!AK60</f>
        <v>235</v>
      </c>
      <c r="AL31" s="199">
        <f>Model!AL60</f>
        <v>273</v>
      </c>
      <c r="AM31" s="199">
        <f>Model!AM60</f>
        <v>313</v>
      </c>
      <c r="AN31" s="199">
        <f>Model!AN60</f>
        <v>303</v>
      </c>
      <c r="AO31" s="198">
        <f>Model!AO60</f>
        <v>1124</v>
      </c>
      <c r="AP31" s="199">
        <f>Model!AP60</f>
        <v>269</v>
      </c>
      <c r="AQ31" s="199">
        <f>Model!AQ60</f>
        <v>287</v>
      </c>
      <c r="AR31" s="199">
        <f>Model!AR60</f>
        <v>358</v>
      </c>
      <c r="AS31" s="199">
        <f>Model!AS60</f>
        <v>335</v>
      </c>
      <c r="AT31" s="198">
        <f>Model!AT60</f>
        <v>1249</v>
      </c>
      <c r="AU31" s="852">
        <f>Model!AU60</f>
        <v>289</v>
      </c>
      <c r="AV31" s="199">
        <f>Model!AV60</f>
        <v>271.67910000000001</v>
      </c>
      <c r="AW31" s="199">
        <f>Model!AW60</f>
        <v>273</v>
      </c>
      <c r="AX31" s="199">
        <f>Model!AX60</f>
        <v>273</v>
      </c>
      <c r="AY31" s="198">
        <f>Model!AY60</f>
        <v>1106.6791000000001</v>
      </c>
      <c r="AZ31" s="199">
        <f>Model!AZ60</f>
        <v>316.35284999999999</v>
      </c>
      <c r="BA31" s="199">
        <f>Model!BA60</f>
        <v>270.38538999999997</v>
      </c>
      <c r="BB31" s="199">
        <f>Model!BB60</f>
        <v>244.53</v>
      </c>
      <c r="BC31" s="199">
        <f>Model!BC60</f>
        <v>258.11500000000001</v>
      </c>
      <c r="BD31" s="198">
        <f>Model!BD60</f>
        <v>1089.3832399999999</v>
      </c>
      <c r="BE31" s="198">
        <f>Model!BE60</f>
        <v>1149.9082437754998</v>
      </c>
      <c r="BF31" s="198">
        <f>Model!BF60</f>
        <v>1213.6744968297949</v>
      </c>
      <c r="BG31" s="198">
        <f>Model!BG60</f>
        <v>1280.8511484653311</v>
      </c>
      <c r="BH31" s="846"/>
    </row>
    <row r="32" spans="1:60" s="145" customFormat="1" x14ac:dyDescent="0.35">
      <c r="A32" s="308" t="str">
        <f>Model!A61</f>
        <v>Elimination of Dual Credit operating income, mm</v>
      </c>
      <c r="B32" s="648"/>
      <c r="C32" s="198"/>
      <c r="D32" s="198"/>
      <c r="E32" s="198"/>
      <c r="F32" s="198"/>
      <c r="G32" s="199"/>
      <c r="H32" s="199"/>
      <c r="I32" s="199"/>
      <c r="J32" s="199"/>
      <c r="K32" s="198"/>
      <c r="L32" s="199"/>
      <c r="M32" s="199"/>
      <c r="N32" s="199"/>
      <c r="O32" s="199"/>
      <c r="P32" s="198"/>
      <c r="Q32" s="199"/>
      <c r="R32" s="199"/>
      <c r="S32" s="199"/>
      <c r="T32" s="199"/>
      <c r="U32" s="198"/>
      <c r="V32" s="199">
        <f>Model!V61</f>
        <v>-98</v>
      </c>
      <c r="W32" s="199">
        <f>Model!W61</f>
        <v>-93</v>
      </c>
      <c r="X32" s="199">
        <f>Model!X61</f>
        <v>-106</v>
      </c>
      <c r="Y32" s="199">
        <f>Model!Y61</f>
        <v>-98</v>
      </c>
      <c r="Z32" s="198">
        <f>Model!Z61</f>
        <v>-395</v>
      </c>
      <c r="AA32" s="199">
        <f>Model!AA61</f>
        <v>-107</v>
      </c>
      <c r="AB32" s="199">
        <f>Model!AB61</f>
        <v>-106</v>
      </c>
      <c r="AC32" s="199">
        <f>Model!AC61</f>
        <v>-130</v>
      </c>
      <c r="AD32" s="199">
        <f>Model!AD61</f>
        <v>-115</v>
      </c>
      <c r="AE32" s="198">
        <f>Model!AE61</f>
        <v>-458</v>
      </c>
      <c r="AF32" s="199">
        <f>Model!AF61</f>
        <v>-114</v>
      </c>
      <c r="AG32" s="199">
        <f>Model!AG61</f>
        <v>-102</v>
      </c>
      <c r="AH32" s="199">
        <f>Model!AH61</f>
        <v>-125</v>
      </c>
      <c r="AI32" s="199">
        <f>Model!AI61</f>
        <v>-107</v>
      </c>
      <c r="AJ32" s="198">
        <f>Model!AJ61</f>
        <v>-448</v>
      </c>
      <c r="AK32" s="199">
        <f>Model!AK61</f>
        <v>-97</v>
      </c>
      <c r="AL32" s="199">
        <f>Model!AL61</f>
        <v>-100</v>
      </c>
      <c r="AM32" s="199">
        <f>Model!AM61</f>
        <v>-111</v>
      </c>
      <c r="AN32" s="199">
        <f>Model!AN61</f>
        <v>-101</v>
      </c>
      <c r="AO32" s="198">
        <f>Model!AO61</f>
        <v>-409</v>
      </c>
      <c r="AP32" s="199">
        <f>Model!AP61</f>
        <v>-116</v>
      </c>
      <c r="AQ32" s="199">
        <f>Model!AQ61</f>
        <v>-123</v>
      </c>
      <c r="AR32" s="199">
        <f>Model!AR61</f>
        <v>-145</v>
      </c>
      <c r="AS32" s="199">
        <f>Model!AS61</f>
        <v>-150</v>
      </c>
      <c r="AT32" s="198">
        <f>Model!AT61</f>
        <v>-534</v>
      </c>
      <c r="AU32" s="852">
        <f>Model!AU61</f>
        <v>-159</v>
      </c>
      <c r="AV32" s="199">
        <f>Model!AV61</f>
        <v>-122.3652</v>
      </c>
      <c r="AW32" s="199">
        <f>Model!AW61</f>
        <v>-139.55699999999999</v>
      </c>
      <c r="AX32" s="199">
        <f>Model!AX61</f>
        <v>-143.33535000000001</v>
      </c>
      <c r="AY32" s="198">
        <f>Model!AY61</f>
        <v>-564.25755000000004</v>
      </c>
      <c r="AZ32" s="199">
        <f>Model!AZ61</f>
        <v>-151.34332499999999</v>
      </c>
      <c r="BA32" s="199">
        <f>Model!BA61</f>
        <v>-130.18349175</v>
      </c>
      <c r="BB32" s="199">
        <f>Model!BB61</f>
        <v>-148.53190799999999</v>
      </c>
      <c r="BC32" s="199">
        <f>Model!BC61</f>
        <v>-152.54807549999998</v>
      </c>
      <c r="BD32" s="198">
        <f>Model!BD61</f>
        <v>-582.60680024999988</v>
      </c>
      <c r="BE32" s="198">
        <f>Model!BE61</f>
        <v>-620.11135622625011</v>
      </c>
      <c r="BF32" s="198">
        <f>Model!BF61</f>
        <v>-660.13474958188124</v>
      </c>
      <c r="BG32" s="198">
        <f>Model!BG61</f>
        <v>-702.85219003245447</v>
      </c>
      <c r="BH32" s="846"/>
    </row>
    <row r="33" spans="1:60" s="145" customFormat="1" x14ac:dyDescent="0.35">
      <c r="A33" s="498" t="str">
        <f>Model!A63</f>
        <v>Corporate and Unallocated operating income, mm</v>
      </c>
      <c r="B33" s="649"/>
      <c r="C33" s="500"/>
      <c r="D33" s="500"/>
      <c r="E33" s="500"/>
      <c r="F33" s="500"/>
      <c r="G33" s="462"/>
      <c r="H33" s="462"/>
      <c r="I33" s="462"/>
      <c r="J33" s="462"/>
      <c r="K33" s="500"/>
      <c r="L33" s="462"/>
      <c r="M33" s="462"/>
      <c r="N33" s="462"/>
      <c r="O33" s="462"/>
      <c r="P33" s="500"/>
      <c r="Q33" s="462"/>
      <c r="R33" s="462"/>
      <c r="S33" s="462"/>
      <c r="T33" s="462"/>
      <c r="U33" s="500"/>
      <c r="V33" s="462">
        <f>Model!V63</f>
        <v>-43</v>
      </c>
      <c r="W33" s="462">
        <f>Model!W63</f>
        <v>-104</v>
      </c>
      <c r="X33" s="462">
        <f>Model!X63</f>
        <v>-66</v>
      </c>
      <c r="Y33" s="462">
        <f>Model!Y63</f>
        <v>-72</v>
      </c>
      <c r="Z33" s="500">
        <f>Model!Z63</f>
        <v>-285</v>
      </c>
      <c r="AA33" s="462">
        <f>Model!AA63</f>
        <v>-84</v>
      </c>
      <c r="AB33" s="462">
        <f>Model!AB63</f>
        <v>-47</v>
      </c>
      <c r="AC33" s="462">
        <f>Model!AC63</f>
        <v>-108</v>
      </c>
      <c r="AD33" s="462">
        <f>Model!AD63</f>
        <v>-128</v>
      </c>
      <c r="AE33" s="500">
        <f>Model!AE63</f>
        <v>-367</v>
      </c>
      <c r="AF33" s="462">
        <f>Model!AF63</f>
        <v>-1036</v>
      </c>
      <c r="AG33" s="462">
        <f>Model!AG63</f>
        <v>-200</v>
      </c>
      <c r="AH33" s="462">
        <f>Model!AH63</f>
        <v>-57</v>
      </c>
      <c r="AI33" s="462">
        <f>Model!AI63</f>
        <v>-116</v>
      </c>
      <c r="AJ33" s="500">
        <f>Model!AJ63</f>
        <v>-1409</v>
      </c>
      <c r="AK33" s="462">
        <f>Model!AK63</f>
        <v>-625</v>
      </c>
      <c r="AL33" s="462">
        <f>Model!AL63</f>
        <v>-192</v>
      </c>
      <c r="AM33" s="462">
        <f>Model!AM63</f>
        <v>66</v>
      </c>
      <c r="AN33" s="462">
        <f>Model!AN63</f>
        <v>-387</v>
      </c>
      <c r="AO33" s="500">
        <f>Model!AO63</f>
        <v>-1130</v>
      </c>
      <c r="AP33" s="462">
        <f>Model!AP63</f>
        <v>-156</v>
      </c>
      <c r="AQ33" s="462">
        <f>Model!AQ63</f>
        <v>252</v>
      </c>
      <c r="AR33" s="462">
        <f>Model!AR63</f>
        <v>-187</v>
      </c>
      <c r="AS33" s="462">
        <f>Model!AS63</f>
        <v>-274</v>
      </c>
      <c r="AT33" s="500">
        <f>Model!AT63</f>
        <v>-363</v>
      </c>
      <c r="AU33" s="853">
        <f>Model!AU63</f>
        <v>-47</v>
      </c>
      <c r="AV33" s="462">
        <f>Model!AV63</f>
        <v>-46.009315200000003</v>
      </c>
      <c r="AW33" s="462">
        <f>Model!AW63</f>
        <v>-52.473432000000003</v>
      </c>
      <c r="AX33" s="462">
        <f>Model!AX63</f>
        <v>-53.89409160000001</v>
      </c>
      <c r="AY33" s="500">
        <f>Model!AY63</f>
        <v>-199.37683880000003</v>
      </c>
      <c r="AZ33" s="462">
        <f>Model!AZ63</f>
        <v>-56.905090200000011</v>
      </c>
      <c r="BA33" s="462">
        <f>Model!BA63</f>
        <v>-48.948992898000007</v>
      </c>
      <c r="BB33" s="462">
        <f>Model!BB63</f>
        <v>-55.847997407999998</v>
      </c>
      <c r="BC33" s="462">
        <f>Model!BC63</f>
        <v>-57.358076388000001</v>
      </c>
      <c r="BD33" s="500">
        <f>Model!BD63</f>
        <v>-219.06015689400002</v>
      </c>
      <c r="BE33" s="500">
        <f>Model!BE63</f>
        <v>-233.16186994106994</v>
      </c>
      <c r="BF33" s="500">
        <f>Model!BF63</f>
        <v>-248.21066584278725</v>
      </c>
      <c r="BG33" s="500">
        <f>Model!BG63</f>
        <v>-264.27242345220276</v>
      </c>
      <c r="BH33" s="846"/>
    </row>
    <row r="34" spans="1:60" s="146" customFormat="1" x14ac:dyDescent="0.35">
      <c r="A34" s="321" t="str">
        <f>Model!A64</f>
        <v>Total operating income, mm</v>
      </c>
      <c r="B34" s="650"/>
      <c r="C34" s="250"/>
      <c r="D34" s="250"/>
      <c r="E34" s="250"/>
      <c r="F34" s="250"/>
      <c r="G34" s="251"/>
      <c r="H34" s="251"/>
      <c r="I34" s="251"/>
      <c r="J34" s="251"/>
      <c r="K34" s="250"/>
      <c r="L34" s="251"/>
      <c r="M34" s="251"/>
      <c r="N34" s="251"/>
      <c r="O34" s="251"/>
      <c r="P34" s="250"/>
      <c r="Q34" s="251"/>
      <c r="R34" s="251"/>
      <c r="S34" s="251"/>
      <c r="T34" s="251"/>
      <c r="U34" s="250"/>
      <c r="V34" s="251">
        <f>Model!V64</f>
        <v>1739</v>
      </c>
      <c r="W34" s="251">
        <f>Model!W64</f>
        <v>1817</v>
      </c>
      <c r="X34" s="251">
        <f>Model!X64</f>
        <v>1855</v>
      </c>
      <c r="Y34" s="251">
        <f>Model!Y64</f>
        <v>1616</v>
      </c>
      <c r="Z34" s="250">
        <f>Model!Z64</f>
        <v>7027</v>
      </c>
      <c r="AA34" s="251">
        <f>Model!AA64</f>
        <v>1742</v>
      </c>
      <c r="AB34" s="251">
        <f>Model!AB64</f>
        <v>2153</v>
      </c>
      <c r="AC34" s="251">
        <f>Model!AC64</f>
        <v>2008</v>
      </c>
      <c r="AD34" s="251">
        <f>Model!AD64</f>
        <v>1789</v>
      </c>
      <c r="AE34" s="250">
        <f>Model!AE64</f>
        <v>7692</v>
      </c>
      <c r="AF34" s="251">
        <f>Model!AF64</f>
        <v>1007</v>
      </c>
      <c r="AG34" s="251">
        <f>Model!AG64</f>
        <v>2401</v>
      </c>
      <c r="AH34" s="251">
        <f>Model!AH64</f>
        <v>2016</v>
      </c>
      <c r="AI34" s="251">
        <f>Model!AI64</f>
        <v>1783</v>
      </c>
      <c r="AJ34" s="250">
        <f>Model!AJ64</f>
        <v>7207</v>
      </c>
      <c r="AK34" s="251">
        <f>Model!AK64</f>
        <v>1136</v>
      </c>
      <c r="AL34" s="251">
        <f>Model!AL64</f>
        <v>1702</v>
      </c>
      <c r="AM34" s="251">
        <f>Model!AM64</f>
        <v>2011</v>
      </c>
      <c r="AN34" s="251">
        <f>Model!AN64</f>
        <v>1325</v>
      </c>
      <c r="AO34" s="250">
        <f>Model!AO64</f>
        <v>6174</v>
      </c>
      <c r="AP34" s="251">
        <f>Model!AP64</f>
        <v>1663</v>
      </c>
      <c r="AQ34" s="251">
        <f>Model!AQ64</f>
        <v>1740</v>
      </c>
      <c r="AR34" s="251">
        <f>Model!AR64</f>
        <v>1909</v>
      </c>
      <c r="AS34" s="251">
        <f>Model!AS64</f>
        <v>1849</v>
      </c>
      <c r="AT34" s="250">
        <f>Model!AT64</f>
        <v>7161</v>
      </c>
      <c r="AU34" s="855">
        <f>Model!AU64</f>
        <v>1994</v>
      </c>
      <c r="AV34" s="251">
        <f>Model!AV64</f>
        <v>1695.9743848000003</v>
      </c>
      <c r="AW34" s="251">
        <f>Model!AW64</f>
        <v>2037.691568</v>
      </c>
      <c r="AX34" s="251">
        <f>Model!AX64</f>
        <v>2140.0658084000002</v>
      </c>
      <c r="AY34" s="250">
        <f>Model!AY64</f>
        <v>7867.7317611999997</v>
      </c>
      <c r="AZ34" s="251">
        <f>Model!AZ64</f>
        <v>2258.7461348000006</v>
      </c>
      <c r="BA34" s="251">
        <f>Model!BA64</f>
        <v>1975.6010443520001</v>
      </c>
      <c r="BB34" s="251">
        <f>Model!BB64</f>
        <v>2116.9490585920003</v>
      </c>
      <c r="BC34" s="251">
        <f>Model!BC64</f>
        <v>2340.4050496119999</v>
      </c>
      <c r="BD34" s="250">
        <f>Model!BD64</f>
        <v>8691.7012873559997</v>
      </c>
      <c r="BE34" s="250">
        <f>Model!BE64</f>
        <v>9495.5891532131791</v>
      </c>
      <c r="BF34" s="250">
        <f>Model!BF64</f>
        <v>10367.758610940777</v>
      </c>
      <c r="BG34" s="250">
        <f>Model!BG64</f>
        <v>11313.838469852113</v>
      </c>
      <c r="BH34" s="844"/>
    </row>
    <row r="35" spans="1:60" s="146" customFormat="1" x14ac:dyDescent="0.35">
      <c r="A35" s="321" t="str">
        <f>Model!A66</f>
        <v>Total adjusted operating income, mm</v>
      </c>
      <c r="B35" s="650"/>
      <c r="C35" s="250"/>
      <c r="D35" s="250"/>
      <c r="E35" s="250"/>
      <c r="F35" s="250"/>
      <c r="G35" s="251"/>
      <c r="H35" s="251"/>
      <c r="I35" s="251"/>
      <c r="J35" s="251"/>
      <c r="K35" s="250"/>
      <c r="L35" s="251"/>
      <c r="M35" s="251"/>
      <c r="N35" s="251"/>
      <c r="O35" s="251"/>
      <c r="P35" s="250"/>
      <c r="Q35" s="251"/>
      <c r="R35" s="251"/>
      <c r="S35" s="251"/>
      <c r="T35" s="251"/>
      <c r="U35" s="250"/>
      <c r="V35" s="251">
        <f>Model!V66</f>
        <v>1739</v>
      </c>
      <c r="W35" s="251">
        <f>Model!W66</f>
        <v>1817</v>
      </c>
      <c r="X35" s="251">
        <f>Model!X66</f>
        <v>1855</v>
      </c>
      <c r="Y35" s="251">
        <f>Model!Y66</f>
        <v>1616</v>
      </c>
      <c r="Z35" s="250">
        <f>Model!Z66</f>
        <v>7027</v>
      </c>
      <c r="AA35" s="251">
        <f>Model!AA66</f>
        <v>1742</v>
      </c>
      <c r="AB35" s="251">
        <f>Model!AB66</f>
        <v>2153</v>
      </c>
      <c r="AC35" s="251">
        <f>Model!AC66</f>
        <v>2008</v>
      </c>
      <c r="AD35" s="251">
        <f>Model!AD66</f>
        <v>1789</v>
      </c>
      <c r="AE35" s="250">
        <f>Model!AE66</f>
        <v>7692</v>
      </c>
      <c r="AF35" s="251">
        <f>Model!AF66</f>
        <v>1904</v>
      </c>
      <c r="AG35" s="251">
        <f>Model!AG66</f>
        <v>2401</v>
      </c>
      <c r="AH35" s="251">
        <f>Model!AH66</f>
        <v>2016</v>
      </c>
      <c r="AI35" s="251">
        <f>Model!AI66</f>
        <v>1783</v>
      </c>
      <c r="AJ35" s="250">
        <f>Model!AJ66</f>
        <v>8104</v>
      </c>
      <c r="AK35" s="251">
        <f>Model!AK66</f>
        <v>1676</v>
      </c>
      <c r="AL35" s="251">
        <f>Model!AL66</f>
        <v>1702</v>
      </c>
      <c r="AM35" s="251">
        <f>Model!AM66</f>
        <v>1905</v>
      </c>
      <c r="AN35" s="251">
        <f>Model!AN66</f>
        <v>1539</v>
      </c>
      <c r="AO35" s="250">
        <f>Model!AO66</f>
        <v>6822</v>
      </c>
      <c r="AP35" s="251">
        <f>Model!AP66</f>
        <v>1678</v>
      </c>
      <c r="AQ35" s="251">
        <f>Model!AQ66</f>
        <v>1408</v>
      </c>
      <c r="AR35" s="251">
        <f>Model!AR66</f>
        <v>1909</v>
      </c>
      <c r="AS35" s="251">
        <f>Model!AS66</f>
        <v>1849</v>
      </c>
      <c r="AT35" s="250">
        <f>Model!AT66</f>
        <v>6844</v>
      </c>
      <c r="AU35" s="855">
        <f>Model!AU66</f>
        <v>1994</v>
      </c>
      <c r="AV35" s="251">
        <f>Model!AV66</f>
        <v>1695.9743848000003</v>
      </c>
      <c r="AW35" s="251">
        <f>Model!AW66</f>
        <v>2037.691568</v>
      </c>
      <c r="AX35" s="251">
        <f>Model!AX66</f>
        <v>2140.0658084000002</v>
      </c>
      <c r="AY35" s="250">
        <f>Model!AY66</f>
        <v>7867.7317611999997</v>
      </c>
      <c r="AZ35" s="251">
        <f>Model!AZ66</f>
        <v>2258.7461348000006</v>
      </c>
      <c r="BA35" s="251">
        <f>Model!BA66</f>
        <v>1975.6010443520001</v>
      </c>
      <c r="BB35" s="251">
        <f>Model!BB66</f>
        <v>2116.9490585920003</v>
      </c>
      <c r="BC35" s="251">
        <f>Model!BC66</f>
        <v>2340.4050496119999</v>
      </c>
      <c r="BD35" s="250">
        <f>Model!BD66</f>
        <v>8691.7012873559997</v>
      </c>
      <c r="BE35" s="250">
        <f>Model!BE66</f>
        <v>9495.5891532131791</v>
      </c>
      <c r="BF35" s="250">
        <f>Model!BF66</f>
        <v>10367.758610940777</v>
      </c>
      <c r="BG35" s="250">
        <f>Model!BG66</f>
        <v>11313.838469852113</v>
      </c>
      <c r="BH35" s="844"/>
    </row>
    <row r="36" spans="1:60" s="145" customFormat="1" x14ac:dyDescent="0.35">
      <c r="A36" s="304"/>
      <c r="B36" s="320"/>
      <c r="C36" s="909"/>
      <c r="D36" s="909"/>
      <c r="E36" s="909"/>
      <c r="F36" s="909"/>
      <c r="G36" s="910"/>
      <c r="H36" s="910"/>
      <c r="I36" s="910"/>
      <c r="J36" s="910"/>
      <c r="K36" s="909"/>
      <c r="L36" s="910"/>
      <c r="M36" s="910"/>
      <c r="N36" s="910"/>
      <c r="O36" s="910"/>
      <c r="P36" s="909"/>
      <c r="Q36" s="910"/>
      <c r="R36" s="910"/>
      <c r="S36" s="910"/>
      <c r="T36" s="910"/>
      <c r="U36" s="909"/>
      <c r="V36" s="910"/>
      <c r="W36" s="910"/>
      <c r="X36" s="910"/>
      <c r="Y36" s="910"/>
      <c r="Z36" s="909"/>
      <c r="AA36" s="910"/>
      <c r="AB36" s="910"/>
      <c r="AC36" s="910"/>
      <c r="AD36" s="910"/>
      <c r="AE36" s="909"/>
      <c r="AF36" s="910"/>
      <c r="AG36" s="910"/>
      <c r="AH36" s="910"/>
      <c r="AI36" s="910"/>
      <c r="AJ36" s="909"/>
      <c r="AK36" s="910"/>
      <c r="AL36" s="910"/>
      <c r="AM36" s="910"/>
      <c r="AN36" s="910"/>
      <c r="AO36" s="909"/>
      <c r="AP36" s="910"/>
      <c r="AQ36" s="910"/>
      <c r="AR36" s="910"/>
      <c r="AS36" s="910"/>
      <c r="AT36" s="909"/>
      <c r="AU36" s="911"/>
      <c r="AV36" s="910"/>
      <c r="AW36" s="910"/>
      <c r="AX36" s="910"/>
      <c r="AY36" s="909"/>
      <c r="AZ36" s="910"/>
      <c r="BA36" s="910"/>
      <c r="BB36" s="910"/>
      <c r="BC36" s="910"/>
      <c r="BD36" s="909"/>
      <c r="BE36" s="909"/>
      <c r="BF36" s="909"/>
      <c r="BG36" s="909"/>
      <c r="BH36" s="846"/>
    </row>
    <row r="37" spans="1:60" s="146" customFormat="1" x14ac:dyDescent="0.35">
      <c r="A37" s="329" t="str">
        <f>Model!A78</f>
        <v>Total operating income margin, %</v>
      </c>
      <c r="B37" s="617"/>
      <c r="C37" s="618"/>
      <c r="D37" s="618"/>
      <c r="E37" s="618"/>
      <c r="F37" s="618"/>
      <c r="G37" s="368"/>
      <c r="H37" s="368"/>
      <c r="I37" s="368"/>
      <c r="J37" s="368"/>
      <c r="K37" s="618"/>
      <c r="L37" s="368"/>
      <c r="M37" s="368"/>
      <c r="N37" s="368"/>
      <c r="O37" s="368"/>
      <c r="P37" s="618"/>
      <c r="Q37" s="368"/>
      <c r="R37" s="368"/>
      <c r="S37" s="368"/>
      <c r="T37" s="368"/>
      <c r="U37" s="618"/>
      <c r="V37" s="368">
        <f>Model!V78</f>
        <v>0.23471453637467946</v>
      </c>
      <c r="W37" s="368">
        <f>Model!W78</f>
        <v>0.23714434873401199</v>
      </c>
      <c r="X37" s="368">
        <f>Model!X78</f>
        <v>0.24062783759242443</v>
      </c>
      <c r="Y37" s="368">
        <f>Model!Y78</f>
        <v>0.22049392823031791</v>
      </c>
      <c r="Z37" s="618">
        <f>Model!Z78</f>
        <v>0.23338536650171046</v>
      </c>
      <c r="AA37" s="368">
        <f>Model!AA78</f>
        <v>0.22667534157449576</v>
      </c>
      <c r="AB37" s="368">
        <f>Model!AB78</f>
        <v>0.27567221510883483</v>
      </c>
      <c r="AC37" s="368">
        <f>Model!AC78</f>
        <v>0.24571708272148801</v>
      </c>
      <c r="AD37" s="368">
        <f>Model!AD78</f>
        <v>0.22390488110137671</v>
      </c>
      <c r="AE37" s="618">
        <f>Model!AE78</f>
        <v>0.24297943582777901</v>
      </c>
      <c r="AF37" s="368">
        <f>Model!AF78</f>
        <v>0.1216477410002416</v>
      </c>
      <c r="AG37" s="368">
        <f>Model!AG78</f>
        <v>0.28617401668653158</v>
      </c>
      <c r="AH37" s="368">
        <f>Model!AH78</f>
        <v>0.24730127576054955</v>
      </c>
      <c r="AI37" s="368">
        <f>Model!AI78</f>
        <v>0.22441787287602266</v>
      </c>
      <c r="AJ37" s="618">
        <f>Model!AJ78</f>
        <v>0.21996032351594688</v>
      </c>
      <c r="AK37" s="368">
        <f>Model!AK78</f>
        <v>0.14447411929289075</v>
      </c>
      <c r="AL37" s="368">
        <f>Model!AL78</f>
        <v>0.20829763798800635</v>
      </c>
      <c r="AM37" s="368">
        <f>Model!AM78</f>
        <v>0.25165811537980226</v>
      </c>
      <c r="AN37" s="368">
        <f>Model!AN78</f>
        <v>0.16335840216989272</v>
      </c>
      <c r="AO37" s="618">
        <f>Model!AO78</f>
        <v>0.19212098581030621</v>
      </c>
      <c r="AP37" s="368">
        <f>Model!AP78</f>
        <v>0.20594427244582042</v>
      </c>
      <c r="AQ37" s="368">
        <f>Model!AQ78</f>
        <v>0.24247491638795987</v>
      </c>
      <c r="AR37" s="368">
        <f>Model!AR78</f>
        <v>0.22862275449101796</v>
      </c>
      <c r="AS37" s="368">
        <f>Model!AS78</f>
        <v>0.21542584178026331</v>
      </c>
      <c r="AT37" s="618">
        <f>Model!AT78</f>
        <v>0.22250186428038776</v>
      </c>
      <c r="AU37" s="856">
        <f>Model!AU78</f>
        <v>0.22528527849960456</v>
      </c>
      <c r="AV37" s="368">
        <f>Model!AV78</f>
        <v>0.22116926245405194</v>
      </c>
      <c r="AW37" s="368">
        <f>Model!AW78</f>
        <v>0.23299694611170085</v>
      </c>
      <c r="AX37" s="368">
        <f>Model!AX78</f>
        <v>0.23825236624639573</v>
      </c>
      <c r="AY37" s="618">
        <f>Model!AY78</f>
        <v>0.22973398091480912</v>
      </c>
      <c r="AZ37" s="368">
        <f>Model!AZ78</f>
        <v>0.23815930633214255</v>
      </c>
      <c r="BA37" s="368">
        <f>Model!BA78</f>
        <v>0.24216241365399624</v>
      </c>
      <c r="BB37" s="368">
        <f>Model!BB78</f>
        <v>0.22743330004761345</v>
      </c>
      <c r="BC37" s="368">
        <f>Model!BC78</f>
        <v>0.24482045392669138</v>
      </c>
      <c r="BD37" s="618">
        <f>Model!BD78</f>
        <v>0.23806340899030176</v>
      </c>
      <c r="BE37" s="618">
        <f>Model!BE78</f>
        <v>0.24435185278655866</v>
      </c>
      <c r="BF37" s="618">
        <f>Model!BF78</f>
        <v>0.25061997821256116</v>
      </c>
      <c r="BG37" s="618">
        <f>Model!BG78</f>
        <v>0.25686762898812343</v>
      </c>
      <c r="BH37" s="844"/>
    </row>
    <row r="38" spans="1:60" s="620" customFormat="1" x14ac:dyDescent="0.35">
      <c r="A38" s="644" t="str">
        <f>Model!A79</f>
        <v>Total Y/Y operating income margin change, bps</v>
      </c>
      <c r="B38" s="645"/>
      <c r="C38" s="646"/>
      <c r="D38" s="646"/>
      <c r="E38" s="646"/>
      <c r="F38" s="646"/>
      <c r="G38" s="647"/>
      <c r="H38" s="647"/>
      <c r="I38" s="647"/>
      <c r="J38" s="647"/>
      <c r="K38" s="646"/>
      <c r="L38" s="647"/>
      <c r="M38" s="647"/>
      <c r="N38" s="647"/>
      <c r="O38" s="647"/>
      <c r="P38" s="646"/>
      <c r="Q38" s="647"/>
      <c r="R38" s="647"/>
      <c r="S38" s="647"/>
      <c r="T38" s="647"/>
      <c r="U38" s="646"/>
      <c r="V38" s="647"/>
      <c r="W38" s="647"/>
      <c r="X38" s="647"/>
      <c r="Y38" s="647"/>
      <c r="Z38" s="646"/>
      <c r="AA38" s="647">
        <f>Model!AA79</f>
        <v>-80.391948001836965</v>
      </c>
      <c r="AB38" s="647">
        <f>Model!AB79</f>
        <v>385.27866374822833</v>
      </c>
      <c r="AC38" s="647">
        <f>Model!AC79</f>
        <v>50.892451290635854</v>
      </c>
      <c r="AD38" s="647">
        <f>Model!AD79</f>
        <v>34.10952871058803</v>
      </c>
      <c r="AE38" s="646">
        <f>Model!AE79</f>
        <v>95.940693260685435</v>
      </c>
      <c r="AF38" s="647">
        <f>Model!AF79</f>
        <v>-1050.2760057425417</v>
      </c>
      <c r="AG38" s="647">
        <f>Model!AG79</f>
        <v>105.01801577696756</v>
      </c>
      <c r="AH38" s="647">
        <f>Model!AH79</f>
        <v>15.841930390615433</v>
      </c>
      <c r="AI38" s="647">
        <f>Model!AI79</f>
        <v>5.1299177464594887</v>
      </c>
      <c r="AJ38" s="646">
        <f>Model!AJ79</f>
        <v>-230.19112311832123</v>
      </c>
      <c r="AK38" s="647">
        <f>Model!AK79</f>
        <v>228.2637829264915</v>
      </c>
      <c r="AL38" s="647">
        <f>Model!AL79</f>
        <v>-778.7637869852523</v>
      </c>
      <c r="AM38" s="647">
        <f>Model!AM79</f>
        <v>43.568396192527061</v>
      </c>
      <c r="AN38" s="647">
        <f>Model!AN79</f>
        <v>-610.59470706129935</v>
      </c>
      <c r="AO38" s="646">
        <f>Model!AO79</f>
        <v>-278.39337705640679</v>
      </c>
      <c r="AP38" s="647">
        <f>Model!AP79</f>
        <v>614.70153152929663</v>
      </c>
      <c r="AQ38" s="647">
        <f>Model!AQ79</f>
        <v>341.77278399953519</v>
      </c>
      <c r="AR38" s="647">
        <f>Model!AR79</f>
        <v>-230.353608887843</v>
      </c>
      <c r="AS38" s="647">
        <f>Model!AS79</f>
        <v>520.67439610370582</v>
      </c>
      <c r="AT38" s="646">
        <f>Model!AT79</f>
        <v>303.80878470081558</v>
      </c>
      <c r="AU38" s="857">
        <f>Model!AU79</f>
        <v>193.41006053784139</v>
      </c>
      <c r="AV38" s="647">
        <f>Model!AV79</f>
        <v>-213.05653933907931</v>
      </c>
      <c r="AW38" s="647">
        <f>Model!AW79</f>
        <v>43.741916206828932</v>
      </c>
      <c r="AX38" s="647">
        <f>Model!AX79</f>
        <v>228.26524466132426</v>
      </c>
      <c r="AY38" s="646">
        <f>Model!AY79</f>
        <v>72.321166344213594</v>
      </c>
      <c r="AZ38" s="647">
        <f>Model!AZ79</f>
        <v>128.74027832537993</v>
      </c>
      <c r="BA38" s="647">
        <f>Model!BA79</f>
        <v>209.93151199944299</v>
      </c>
      <c r="BB38" s="647">
        <f>Model!BB79</f>
        <v>-55.636460640874077</v>
      </c>
      <c r="BC38" s="647">
        <f>Model!BC79</f>
        <v>65.680876802956533</v>
      </c>
      <c r="BD38" s="646">
        <f>Model!BD79</f>
        <v>83.294280754926405</v>
      </c>
      <c r="BE38" s="646">
        <f>Model!BE79</f>
        <v>62.884437962568981</v>
      </c>
      <c r="BF38" s="646">
        <f>Model!BF79</f>
        <v>62.681254260024964</v>
      </c>
      <c r="BG38" s="646">
        <f>Model!BG79</f>
        <v>62.476507755622748</v>
      </c>
      <c r="BH38" s="619"/>
    </row>
    <row r="39" spans="1:60" s="145" customFormat="1" x14ac:dyDescent="0.35">
      <c r="A39" s="640" t="str">
        <f>Model!A80</f>
        <v>Total operating income incremental margin, %</v>
      </c>
      <c r="B39" s="641"/>
      <c r="C39" s="642"/>
      <c r="D39" s="642"/>
      <c r="E39" s="642"/>
      <c r="F39" s="642"/>
      <c r="G39" s="643"/>
      <c r="H39" s="643"/>
      <c r="I39" s="643"/>
      <c r="J39" s="643"/>
      <c r="K39" s="642"/>
      <c r="L39" s="643"/>
      <c r="M39" s="643"/>
      <c r="N39" s="643"/>
      <c r="O39" s="643"/>
      <c r="P39" s="642"/>
      <c r="Q39" s="643"/>
      <c r="R39" s="643"/>
      <c r="S39" s="643"/>
      <c r="T39" s="643"/>
      <c r="U39" s="642"/>
      <c r="V39" s="643"/>
      <c r="W39" s="643"/>
      <c r="X39" s="643"/>
      <c r="Y39" s="643"/>
      <c r="Z39" s="642"/>
      <c r="AA39" s="643">
        <f>Model!AA80</f>
        <v>1.0869565217391304E-2</v>
      </c>
      <c r="AB39" s="643">
        <f>Model!AB80</f>
        <v>2.2702702702702702</v>
      </c>
      <c r="AC39" s="643">
        <f>Model!AC80</f>
        <v>0.33045356371490281</v>
      </c>
      <c r="AD39" s="643">
        <f>Model!AD80</f>
        <v>0.26172465960665658</v>
      </c>
      <c r="AE39" s="642">
        <f>Model!AE80</f>
        <v>0.42958656330749356</v>
      </c>
      <c r="AF39" s="643">
        <f>Model!AF80</f>
        <v>-1.239460370994941</v>
      </c>
      <c r="AG39" s="643">
        <f>Model!AG80</f>
        <v>0.42758620689655175</v>
      </c>
      <c r="AH39" s="643">
        <f>Model!AH80</f>
        <v>-0.4</v>
      </c>
      <c r="AI39" s="643">
        <f>Model!AI80</f>
        <v>0.13333333333333333</v>
      </c>
      <c r="AJ39" s="642">
        <f>Model!AJ80</f>
        <v>-0.43772563176895307</v>
      </c>
      <c r="AK39" s="643">
        <f>Model!AK80</f>
        <v>-0.31084337349397589</v>
      </c>
      <c r="AL39" s="643">
        <f>Model!AL80</f>
        <v>3.1917808219178081</v>
      </c>
      <c r="AM39" s="643">
        <f>Model!AM80</f>
        <v>3.1055900621118012E-2</v>
      </c>
      <c r="AN39" s="643">
        <f>Model!AN80</f>
        <v>-2.7590361445783134</v>
      </c>
      <c r="AO39" s="642">
        <f>Model!AO80</f>
        <v>1.6422893481717011</v>
      </c>
      <c r="AP39" s="643">
        <f>Model!AP80</f>
        <v>2.4858490566037736</v>
      </c>
      <c r="AQ39" s="643">
        <f>Model!AQ80</f>
        <v>-3.819095477386935E-2</v>
      </c>
      <c r="AR39" s="643">
        <f>Model!AR80</f>
        <v>-0.28412256267409469</v>
      </c>
      <c r="AS39" s="643">
        <f>Model!AS80</f>
        <v>1.1101694915254237</v>
      </c>
      <c r="AT39" s="642">
        <f>Model!AT80</f>
        <v>20.5625</v>
      </c>
      <c r="AU39" s="858">
        <f>Model!AU80</f>
        <v>0.4265463917525773</v>
      </c>
      <c r="AV39" s="643">
        <f>Model!AV80</f>
        <v>-8.9443108273711547E-2</v>
      </c>
      <c r="AW39" s="643">
        <f>Model!AW80</f>
        <v>0.32533032671675427</v>
      </c>
      <c r="AX39" s="643">
        <f>Model!AX80</f>
        <v>0.7288514555954354</v>
      </c>
      <c r="AY39" s="642">
        <f>Model!AY80</f>
        <v>0.34255156204150616</v>
      </c>
      <c r="AZ39" s="643">
        <f>Model!AZ80</f>
        <v>0.41812031964916263</v>
      </c>
      <c r="BA39" s="643">
        <f>Model!BA80</f>
        <v>0.57072921921115938</v>
      </c>
      <c r="BB39" s="643">
        <f>Model!BB80</f>
        <v>0.14092035152871527</v>
      </c>
      <c r="BC39" s="643">
        <f>Model!BC80</f>
        <v>0.3470094474537283</v>
      </c>
      <c r="BD39" s="642">
        <f>Model!BD80</f>
        <v>0.36412324751533393</v>
      </c>
      <c r="BE39" s="642">
        <f>Model!BE80</f>
        <v>0.3420383877507181</v>
      </c>
      <c r="BF39" s="642">
        <f>Model!BF80</f>
        <v>0.34773657510820571</v>
      </c>
      <c r="BG39" s="642">
        <f>Model!BG80</f>
        <v>0.35341581485082491</v>
      </c>
      <c r="BH39" s="846"/>
    </row>
    <row r="40" spans="1:60" s="145" customFormat="1" x14ac:dyDescent="0.35">
      <c r="A40" s="326"/>
      <c r="B40" s="616"/>
      <c r="C40" s="208"/>
      <c r="D40" s="208"/>
      <c r="E40" s="208"/>
      <c r="F40" s="208"/>
      <c r="G40" s="325"/>
      <c r="H40" s="325"/>
      <c r="I40" s="325"/>
      <c r="J40" s="325"/>
      <c r="K40" s="208"/>
      <c r="L40" s="325"/>
      <c r="M40" s="325"/>
      <c r="N40" s="325"/>
      <c r="O40" s="325"/>
      <c r="P40" s="208"/>
      <c r="Q40" s="325"/>
      <c r="R40" s="325"/>
      <c r="S40" s="325"/>
      <c r="T40" s="325"/>
      <c r="U40" s="208"/>
      <c r="V40" s="325"/>
      <c r="W40" s="325"/>
      <c r="X40" s="325"/>
      <c r="Y40" s="325"/>
      <c r="Z40" s="208"/>
      <c r="AA40" s="325"/>
      <c r="AB40" s="325"/>
      <c r="AC40" s="325"/>
      <c r="AD40" s="325"/>
      <c r="AE40" s="208"/>
      <c r="AF40" s="325"/>
      <c r="AG40" s="325"/>
      <c r="AH40" s="325"/>
      <c r="AI40" s="325"/>
      <c r="AJ40" s="208"/>
      <c r="AK40" s="325"/>
      <c r="AL40" s="325"/>
      <c r="AM40" s="325"/>
      <c r="AN40" s="325"/>
      <c r="AO40" s="208"/>
      <c r="AP40" s="325"/>
      <c r="AQ40" s="325"/>
      <c r="AR40" s="325"/>
      <c r="AS40" s="325"/>
      <c r="AT40" s="208"/>
      <c r="AU40" s="859"/>
      <c r="AV40" s="325"/>
      <c r="AW40" s="325"/>
      <c r="AX40" s="325"/>
      <c r="AY40" s="208"/>
      <c r="AZ40" s="325"/>
      <c r="BA40" s="325"/>
      <c r="BB40" s="325"/>
      <c r="BC40" s="325"/>
      <c r="BD40" s="208"/>
      <c r="BE40" s="208"/>
      <c r="BF40" s="208"/>
      <c r="BG40" s="208"/>
      <c r="BH40" s="846"/>
    </row>
    <row r="41" spans="1:60" s="146" customFormat="1" x14ac:dyDescent="0.35">
      <c r="A41" s="329" t="str">
        <f>Model!A82</f>
        <v>Total adjusted operating income margin, %</v>
      </c>
      <c r="B41" s="617"/>
      <c r="C41" s="618"/>
      <c r="D41" s="618"/>
      <c r="E41" s="618"/>
      <c r="F41" s="618"/>
      <c r="G41" s="368"/>
      <c r="H41" s="368"/>
      <c r="I41" s="368"/>
      <c r="J41" s="368"/>
      <c r="K41" s="618"/>
      <c r="L41" s="368"/>
      <c r="M41" s="368"/>
      <c r="N41" s="368"/>
      <c r="O41" s="368"/>
      <c r="P41" s="618"/>
      <c r="Q41" s="368"/>
      <c r="R41" s="368"/>
      <c r="S41" s="368"/>
      <c r="T41" s="368"/>
      <c r="U41" s="618"/>
      <c r="V41" s="368">
        <f>Model!V82</f>
        <v>0.23471453637467946</v>
      </c>
      <c r="W41" s="368">
        <f>Model!W82</f>
        <v>0.23714434873401199</v>
      </c>
      <c r="X41" s="368">
        <f>Model!X82</f>
        <v>0.24062783759242443</v>
      </c>
      <c r="Y41" s="368">
        <f>Model!Y82</f>
        <v>0.22049392823031791</v>
      </c>
      <c r="Z41" s="618">
        <f>Model!Z82</f>
        <v>0.23338536650171046</v>
      </c>
      <c r="AA41" s="368">
        <f>Model!AA82</f>
        <v>0.22667534157449576</v>
      </c>
      <c r="AB41" s="368">
        <f>Model!AB82</f>
        <v>0.27567221510883483</v>
      </c>
      <c r="AC41" s="368">
        <f>Model!AC82</f>
        <v>0.24571708272148801</v>
      </c>
      <c r="AD41" s="368">
        <f>Model!AD82</f>
        <v>0.22390488110137671</v>
      </c>
      <c r="AE41" s="618">
        <f>Model!AE82</f>
        <v>0.24297943582777901</v>
      </c>
      <c r="AF41" s="368">
        <f>Model!AF82</f>
        <v>0.23000724812756704</v>
      </c>
      <c r="AG41" s="368">
        <f>Model!AG82</f>
        <v>0.28617401668653158</v>
      </c>
      <c r="AH41" s="368">
        <f>Model!AH82</f>
        <v>0.24730127576054955</v>
      </c>
      <c r="AI41" s="368">
        <f>Model!AI82</f>
        <v>0.22441787287602266</v>
      </c>
      <c r="AJ41" s="618">
        <f>Model!AJ82</f>
        <v>0.24733709751258964</v>
      </c>
      <c r="AK41" s="368">
        <f>Model!AK82</f>
        <v>0.21315019712577896</v>
      </c>
      <c r="AL41" s="368">
        <f>Model!AL82</f>
        <v>0.20829763798800635</v>
      </c>
      <c r="AM41" s="368">
        <f>Model!AM82</f>
        <v>0.23839319234138406</v>
      </c>
      <c r="AN41" s="368">
        <f>Model!AN82</f>
        <v>0.189742325237332</v>
      </c>
      <c r="AO41" s="618">
        <f>Model!AO82</f>
        <v>0.21228528752800596</v>
      </c>
      <c r="AP41" s="368">
        <f>Model!AP82</f>
        <v>0.20780185758513933</v>
      </c>
      <c r="AQ41" s="368">
        <f>Model!AQ82</f>
        <v>0.19620958751393533</v>
      </c>
      <c r="AR41" s="368">
        <f>Model!AR82</f>
        <v>0.22862275449101796</v>
      </c>
      <c r="AS41" s="368">
        <f>Model!AS82</f>
        <v>0.21542584178026331</v>
      </c>
      <c r="AT41" s="618">
        <f>Model!AT82</f>
        <v>0.21265224956500126</v>
      </c>
      <c r="AU41" s="856">
        <f>Model!AU82</f>
        <v>0.22528527849960456</v>
      </c>
      <c r="AV41" s="368">
        <f>Model!AV82</f>
        <v>0.22116926245405194</v>
      </c>
      <c r="AW41" s="368">
        <f>Model!AW82</f>
        <v>0.23299694611170085</v>
      </c>
      <c r="AX41" s="368">
        <f>Model!AX82</f>
        <v>0.23825236624639573</v>
      </c>
      <c r="AY41" s="618">
        <f>Model!AY82</f>
        <v>0.22973398091480912</v>
      </c>
      <c r="AZ41" s="368">
        <f>Model!AZ82</f>
        <v>0.23815930633214255</v>
      </c>
      <c r="BA41" s="368">
        <f>Model!BA82</f>
        <v>0.24216241365399624</v>
      </c>
      <c r="BB41" s="368">
        <f>Model!BB82</f>
        <v>0.22743330004761345</v>
      </c>
      <c r="BC41" s="368">
        <f>Model!BC82</f>
        <v>0.24482045392669138</v>
      </c>
      <c r="BD41" s="618">
        <f>Model!BD82</f>
        <v>0.23806340899030176</v>
      </c>
      <c r="BE41" s="618">
        <f>Model!BE82</f>
        <v>0.24435185278655866</v>
      </c>
      <c r="BF41" s="618">
        <f>Model!BF82</f>
        <v>0.25061997821256116</v>
      </c>
      <c r="BG41" s="618">
        <f>Model!BG82</f>
        <v>0.25686762898812343</v>
      </c>
      <c r="BH41" s="844"/>
    </row>
    <row r="42" spans="1:60" s="620" customFormat="1" x14ac:dyDescent="0.35">
      <c r="A42" s="644" t="str">
        <f>Model!A83</f>
        <v>Total Y/Y adjusted operating income margin change, bps</v>
      </c>
      <c r="B42" s="645"/>
      <c r="C42" s="646"/>
      <c r="D42" s="646"/>
      <c r="E42" s="646"/>
      <c r="F42" s="646"/>
      <c r="G42" s="647"/>
      <c r="H42" s="647"/>
      <c r="I42" s="647"/>
      <c r="J42" s="647"/>
      <c r="K42" s="646"/>
      <c r="L42" s="647"/>
      <c r="M42" s="647"/>
      <c r="N42" s="647"/>
      <c r="O42" s="647"/>
      <c r="P42" s="646"/>
      <c r="Q42" s="647"/>
      <c r="R42" s="647"/>
      <c r="S42" s="647"/>
      <c r="T42" s="647"/>
      <c r="U42" s="646"/>
      <c r="V42" s="647"/>
      <c r="W42" s="647"/>
      <c r="X42" s="647"/>
      <c r="Y42" s="647"/>
      <c r="Z42" s="646"/>
      <c r="AA42" s="647">
        <f>Model!AA83</f>
        <v>-80.391948001836965</v>
      </c>
      <c r="AB42" s="647">
        <f>Model!AB83</f>
        <v>385.27866374822833</v>
      </c>
      <c r="AC42" s="647">
        <f>Model!AC83</f>
        <v>50.892451290635854</v>
      </c>
      <c r="AD42" s="647">
        <f>Model!AD83</f>
        <v>34.10952871058803</v>
      </c>
      <c r="AE42" s="646">
        <f>Model!AE83</f>
        <v>95.940693260685435</v>
      </c>
      <c r="AF42" s="647">
        <f>Model!AF83</f>
        <v>33.319065530712791</v>
      </c>
      <c r="AG42" s="647">
        <f>Model!AG83</f>
        <v>105.01801577696756</v>
      </c>
      <c r="AH42" s="647">
        <f>Model!AH83</f>
        <v>15.841930390615433</v>
      </c>
      <c r="AI42" s="647">
        <f>Model!AI83</f>
        <v>5.1299177464594887</v>
      </c>
      <c r="AJ42" s="646">
        <f>Model!AJ83</f>
        <v>43.576616848106376</v>
      </c>
      <c r="AK42" s="647">
        <f>Model!AK83</f>
        <v>-168.57051001788082</v>
      </c>
      <c r="AL42" s="647">
        <f>Model!AL83</f>
        <v>-778.7637869852523</v>
      </c>
      <c r="AM42" s="647">
        <f>Model!AM83</f>
        <v>-89.080834191654915</v>
      </c>
      <c r="AN42" s="647">
        <f>Model!AN83</f>
        <v>-346.75547638690659</v>
      </c>
      <c r="AO42" s="646">
        <f>Model!AO83</f>
        <v>-350.51809984583684</v>
      </c>
      <c r="AP42" s="647">
        <f>Model!AP83</f>
        <v>-53.483395406396241</v>
      </c>
      <c r="AQ42" s="647">
        <f>Model!AQ83</f>
        <v>-120.88050474071022</v>
      </c>
      <c r="AR42" s="647">
        <f>Model!AR83</f>
        <v>-97.704378503661033</v>
      </c>
      <c r="AS42" s="647">
        <f>Model!AS83</f>
        <v>256.83516542931301</v>
      </c>
      <c r="AT42" s="646">
        <f>Model!AT83</f>
        <v>3.6696203699529417</v>
      </c>
      <c r="AU42" s="857">
        <f>Model!AU83</f>
        <v>174.83420914465225</v>
      </c>
      <c r="AV42" s="647">
        <f>Model!AV83</f>
        <v>249.59674940116611</v>
      </c>
      <c r="AW42" s="647">
        <f>Model!AW83</f>
        <v>43.741916206828932</v>
      </c>
      <c r="AX42" s="647">
        <f>Model!AX83</f>
        <v>228.26524466132426</v>
      </c>
      <c r="AY42" s="646">
        <f>Model!AY83</f>
        <v>170.81731349807865</v>
      </c>
      <c r="AZ42" s="647">
        <f>Model!AZ83</f>
        <v>128.74027832537993</v>
      </c>
      <c r="BA42" s="647">
        <f>Model!BA83</f>
        <v>209.93151199944299</v>
      </c>
      <c r="BB42" s="647">
        <f>Model!BB83</f>
        <v>-55.636460640874077</v>
      </c>
      <c r="BC42" s="647">
        <f>Model!BC83</f>
        <v>65.680876802956533</v>
      </c>
      <c r="BD42" s="646">
        <f>Model!BD83</f>
        <v>83.294280754926405</v>
      </c>
      <c r="BE42" s="646">
        <f>Model!BE83</f>
        <v>62.884437962568981</v>
      </c>
      <c r="BF42" s="646">
        <f>Model!BF83</f>
        <v>62.681254260024964</v>
      </c>
      <c r="BG42" s="646">
        <f>Model!BG83</f>
        <v>62.476507755622748</v>
      </c>
      <c r="BH42" s="619"/>
    </row>
    <row r="43" spans="1:60" s="145" customFormat="1" x14ac:dyDescent="0.35">
      <c r="A43" s="640" t="str">
        <f>Model!A84</f>
        <v>Total adjusted operating income incremental margin, %</v>
      </c>
      <c r="B43" s="641"/>
      <c r="C43" s="642"/>
      <c r="D43" s="642"/>
      <c r="E43" s="642"/>
      <c r="F43" s="642"/>
      <c r="G43" s="643"/>
      <c r="H43" s="643"/>
      <c r="I43" s="643"/>
      <c r="J43" s="643"/>
      <c r="K43" s="642"/>
      <c r="L43" s="643"/>
      <c r="M43" s="643"/>
      <c r="N43" s="643"/>
      <c r="O43" s="643"/>
      <c r="P43" s="642"/>
      <c r="Q43" s="643"/>
      <c r="R43" s="643"/>
      <c r="S43" s="643"/>
      <c r="T43" s="643"/>
      <c r="U43" s="642"/>
      <c r="V43" s="643"/>
      <c r="W43" s="643"/>
      <c r="X43" s="643"/>
      <c r="Y43" s="643"/>
      <c r="Z43" s="642"/>
      <c r="AA43" s="643">
        <f>Model!AA84</f>
        <v>1.0869565217391304E-2</v>
      </c>
      <c r="AB43" s="643">
        <f>Model!AB84</f>
        <v>2.2702702702702702</v>
      </c>
      <c r="AC43" s="643">
        <f>Model!AC84</f>
        <v>0.33045356371490281</v>
      </c>
      <c r="AD43" s="643">
        <f>Model!AD84</f>
        <v>0.26172465960665658</v>
      </c>
      <c r="AE43" s="642">
        <f>Model!AE84</f>
        <v>0.42958656330749356</v>
      </c>
      <c r="AF43" s="643">
        <f>Model!AF84</f>
        <v>0.27318718381112983</v>
      </c>
      <c r="AG43" s="643">
        <f>Model!AG84</f>
        <v>0.42758620689655175</v>
      </c>
      <c r="AH43" s="643">
        <f>Model!AH84</f>
        <v>-0.4</v>
      </c>
      <c r="AI43" s="643">
        <f>Model!AI84</f>
        <v>0.13333333333333333</v>
      </c>
      <c r="AJ43" s="642">
        <f>Model!AJ84</f>
        <v>0.37184115523465705</v>
      </c>
      <c r="AK43" s="643">
        <f>Model!AK84</f>
        <v>0.54939759036144575</v>
      </c>
      <c r="AL43" s="643">
        <f>Model!AL84</f>
        <v>3.1917808219178081</v>
      </c>
      <c r="AM43" s="643">
        <f>Model!AM84</f>
        <v>0.68944099378881984</v>
      </c>
      <c r="AN43" s="643">
        <f>Model!AN84</f>
        <v>-1.4698795180722892</v>
      </c>
      <c r="AO43" s="642">
        <f>Model!AO84</f>
        <v>2.0381558028616853</v>
      </c>
      <c r="AP43" s="643">
        <f>Model!AP84</f>
        <v>9.433962264150943E-3</v>
      </c>
      <c r="AQ43" s="643">
        <f>Model!AQ84</f>
        <v>0.29547738693467335</v>
      </c>
      <c r="AR43" s="643">
        <f>Model!AR84</f>
        <v>1.1142061281337047E-2</v>
      </c>
      <c r="AS43" s="643">
        <f>Model!AS84</f>
        <v>0.65677966101694918</v>
      </c>
      <c r="AT43" s="642">
        <f>Model!AT84</f>
        <v>0.45833333333333331</v>
      </c>
      <c r="AU43" s="858">
        <f>Model!AU84</f>
        <v>0.40721649484536082</v>
      </c>
      <c r="AV43" s="643">
        <f>Model!AV84</f>
        <v>0.58505313242555357</v>
      </c>
      <c r="AW43" s="643">
        <f>Model!AW84</f>
        <v>0.32533032671675427</v>
      </c>
      <c r="AX43" s="643">
        <f>Model!AX84</f>
        <v>0.7288514555954354</v>
      </c>
      <c r="AY43" s="642">
        <f>Model!AY84</f>
        <v>0.49620086879231406</v>
      </c>
      <c r="AZ43" s="643">
        <f>Model!AZ84</f>
        <v>0.41812031964916263</v>
      </c>
      <c r="BA43" s="643">
        <f>Model!BA84</f>
        <v>0.57072921921115938</v>
      </c>
      <c r="BB43" s="643">
        <f>Model!BB84</f>
        <v>0.14092035152871527</v>
      </c>
      <c r="BC43" s="643">
        <f>Model!BC84</f>
        <v>0.3470094474537283</v>
      </c>
      <c r="BD43" s="642">
        <f>Model!BD84</f>
        <v>0.36412324751533393</v>
      </c>
      <c r="BE43" s="642">
        <f>Model!BE84</f>
        <v>0.3420383877507181</v>
      </c>
      <c r="BF43" s="642">
        <f>Model!BF84</f>
        <v>0.34773657510820571</v>
      </c>
      <c r="BG43" s="642">
        <f>Model!BG84</f>
        <v>0.35341581485082491</v>
      </c>
      <c r="BH43" s="846"/>
    </row>
    <row r="44" spans="1:60" s="145" customFormat="1" x14ac:dyDescent="0.35">
      <c r="A44" s="304"/>
      <c r="B44" s="320"/>
      <c r="C44" s="909"/>
      <c r="D44" s="909"/>
      <c r="E44" s="909"/>
      <c r="F44" s="909"/>
      <c r="G44" s="910"/>
      <c r="H44" s="910"/>
      <c r="I44" s="910"/>
      <c r="J44" s="910"/>
      <c r="K44" s="909"/>
      <c r="L44" s="910"/>
      <c r="M44" s="910"/>
      <c r="N44" s="910"/>
      <c r="O44" s="910"/>
      <c r="P44" s="909"/>
      <c r="Q44" s="910"/>
      <c r="R44" s="910"/>
      <c r="S44" s="910"/>
      <c r="T44" s="910"/>
      <c r="U44" s="909"/>
      <c r="V44" s="910"/>
      <c r="W44" s="910"/>
      <c r="X44" s="910"/>
      <c r="Y44" s="910"/>
      <c r="Z44" s="909"/>
      <c r="AA44" s="910"/>
      <c r="AB44" s="910"/>
      <c r="AC44" s="910"/>
      <c r="AD44" s="910"/>
      <c r="AE44" s="909"/>
      <c r="AF44" s="910"/>
      <c r="AG44" s="910"/>
      <c r="AH44" s="910"/>
      <c r="AI44" s="910"/>
      <c r="AJ44" s="909"/>
      <c r="AK44" s="910"/>
      <c r="AL44" s="910"/>
      <c r="AM44" s="910"/>
      <c r="AN44" s="910"/>
      <c r="AO44" s="909"/>
      <c r="AP44" s="910"/>
      <c r="AQ44" s="910"/>
      <c r="AR44" s="910"/>
      <c r="AS44" s="910"/>
      <c r="AT44" s="909"/>
      <c r="AU44" s="911"/>
      <c r="AV44" s="910"/>
      <c r="AW44" s="910"/>
      <c r="AX44" s="910"/>
      <c r="AY44" s="909"/>
      <c r="AZ44" s="910"/>
      <c r="BA44" s="910"/>
      <c r="BB44" s="910"/>
      <c r="BC44" s="910"/>
      <c r="BD44" s="909"/>
      <c r="BE44" s="909"/>
      <c r="BF44" s="909"/>
      <c r="BG44" s="909"/>
      <c r="BH44" s="846"/>
    </row>
    <row r="45" spans="1:60" s="145" customFormat="1" x14ac:dyDescent="0.35">
      <c r="A45" s="308" t="str">
        <f>Model!A87</f>
        <v>Safety and Industrial adjusted EBITDA, mm</v>
      </c>
      <c r="B45" s="648"/>
      <c r="C45" s="198"/>
      <c r="D45" s="198"/>
      <c r="E45" s="198"/>
      <c r="F45" s="198"/>
      <c r="G45" s="199"/>
      <c r="H45" s="199"/>
      <c r="I45" s="199"/>
      <c r="J45" s="199"/>
      <c r="K45" s="198"/>
      <c r="L45" s="199"/>
      <c r="M45" s="199"/>
      <c r="N45" s="199"/>
      <c r="O45" s="199"/>
      <c r="P45" s="198"/>
      <c r="Q45" s="199"/>
      <c r="R45" s="199"/>
      <c r="S45" s="199"/>
      <c r="T45" s="199"/>
      <c r="U45" s="198"/>
      <c r="V45" s="199"/>
      <c r="W45" s="199"/>
      <c r="X45" s="199"/>
      <c r="Y45" s="199"/>
      <c r="Z45" s="198"/>
      <c r="AA45" s="199"/>
      <c r="AB45" s="199"/>
      <c r="AC45" s="199"/>
      <c r="AD45" s="199"/>
      <c r="AE45" s="198"/>
      <c r="AF45" s="199"/>
      <c r="AG45" s="199"/>
      <c r="AH45" s="199"/>
      <c r="AI45" s="199"/>
      <c r="AJ45" s="198"/>
      <c r="AK45" s="199"/>
      <c r="AL45" s="199"/>
      <c r="AM45" s="199"/>
      <c r="AN45" s="199"/>
      <c r="AO45" s="198"/>
      <c r="AP45" s="199">
        <f>Model!AP87</f>
        <v>825</v>
      </c>
      <c r="AQ45" s="199">
        <f>Model!AQ87</f>
        <v>761</v>
      </c>
      <c r="AR45" s="199">
        <f>Model!AR87</f>
        <v>956</v>
      </c>
      <c r="AS45" s="199">
        <f>Model!AS87</f>
        <v>1014</v>
      </c>
      <c r="AT45" s="198">
        <f>Model!AT87</f>
        <v>3616</v>
      </c>
      <c r="AU45" s="852">
        <f>Model!AU87</f>
        <v>952</v>
      </c>
      <c r="AV45" s="199">
        <f>Model!AV87</f>
        <v>867.61519999999996</v>
      </c>
      <c r="AW45" s="199">
        <f>Model!AW87</f>
        <v>962.07479999999987</v>
      </c>
      <c r="AX45" s="199">
        <f>Model!AX87</f>
        <v>1093.4280000000001</v>
      </c>
      <c r="AY45" s="198">
        <f>Model!AY87</f>
        <v>3875.1179999999995</v>
      </c>
      <c r="AZ45" s="199">
        <f>Model!AZ87</f>
        <v>1033.3688999999999</v>
      </c>
      <c r="BA45" s="199">
        <f>Model!BA87</f>
        <v>980.34012800000005</v>
      </c>
      <c r="BB45" s="199">
        <f>Model!BB87</f>
        <v>968.38737199999991</v>
      </c>
      <c r="BC45" s="199">
        <f>Model!BC87</f>
        <v>1196.81782</v>
      </c>
      <c r="BD45" s="198">
        <f>Model!BD87</f>
        <v>4178.9142199999997</v>
      </c>
      <c r="BE45" s="198">
        <f>Model!BE87</f>
        <v>4508.1815257800008</v>
      </c>
      <c r="BF45" s="198">
        <f>Model!BF87</f>
        <v>4865.6175746912004</v>
      </c>
      <c r="BG45" s="198">
        <f>Model!BG87</f>
        <v>5253.5525809736464</v>
      </c>
      <c r="BH45" s="846"/>
    </row>
    <row r="46" spans="1:60" s="145" customFormat="1" x14ac:dyDescent="0.35">
      <c r="A46" s="308" t="str">
        <f>Model!A88</f>
        <v>Transportation and Electronics adjusted EBITDA, mm</v>
      </c>
      <c r="B46" s="648"/>
      <c r="C46" s="198"/>
      <c r="D46" s="198"/>
      <c r="E46" s="198"/>
      <c r="F46" s="198"/>
      <c r="G46" s="199"/>
      <c r="H46" s="199"/>
      <c r="I46" s="199"/>
      <c r="J46" s="199"/>
      <c r="K46" s="198"/>
      <c r="L46" s="199"/>
      <c r="M46" s="199"/>
      <c r="N46" s="199"/>
      <c r="O46" s="199"/>
      <c r="P46" s="198"/>
      <c r="Q46" s="199"/>
      <c r="R46" s="199"/>
      <c r="S46" s="199"/>
      <c r="T46" s="199"/>
      <c r="U46" s="198"/>
      <c r="V46" s="199"/>
      <c r="W46" s="199"/>
      <c r="X46" s="199"/>
      <c r="Y46" s="199"/>
      <c r="Z46" s="198"/>
      <c r="AA46" s="199"/>
      <c r="AB46" s="199"/>
      <c r="AC46" s="199"/>
      <c r="AD46" s="199"/>
      <c r="AE46" s="198"/>
      <c r="AF46" s="199"/>
      <c r="AG46" s="199"/>
      <c r="AH46" s="199"/>
      <c r="AI46" s="199"/>
      <c r="AJ46" s="198"/>
      <c r="AK46" s="199"/>
      <c r="AL46" s="199"/>
      <c r="AM46" s="199"/>
      <c r="AN46" s="199"/>
      <c r="AO46" s="198"/>
      <c r="AP46" s="199">
        <f>Model!AP88</f>
        <v>559</v>
      </c>
      <c r="AQ46" s="199">
        <f>Model!AQ88</f>
        <v>471</v>
      </c>
      <c r="AR46" s="199">
        <f>Model!AR88</f>
        <v>643</v>
      </c>
      <c r="AS46" s="199">
        <f>Model!AS88</f>
        <v>624</v>
      </c>
      <c r="AT46" s="198">
        <f>Model!AT88</f>
        <v>2356</v>
      </c>
      <c r="AU46" s="852">
        <f>Model!AU88</f>
        <v>690</v>
      </c>
      <c r="AV46" s="199">
        <f>Model!AV88</f>
        <v>523.47960000000012</v>
      </c>
      <c r="AW46" s="199">
        <f>Model!AW88</f>
        <v>711.15120000000002</v>
      </c>
      <c r="AX46" s="199">
        <f>Model!AX88</f>
        <v>667.13040000000001</v>
      </c>
      <c r="AY46" s="198">
        <f>Model!AY88</f>
        <v>2591.7611999999999</v>
      </c>
      <c r="AZ46" s="199">
        <f>Model!AZ88</f>
        <v>755.61480000000006</v>
      </c>
      <c r="BA46" s="199">
        <f>Model!BA88</f>
        <v>580.75113600000009</v>
      </c>
      <c r="BB46" s="199">
        <f>Model!BB88</f>
        <v>787.83379200000002</v>
      </c>
      <c r="BC46" s="199">
        <f>Model!BC88</f>
        <v>740.57126400000004</v>
      </c>
      <c r="BD46" s="198">
        <f>Model!BD88</f>
        <v>2864.7709920000002</v>
      </c>
      <c r="BE46" s="198">
        <f>Model!BE88</f>
        <v>3121.4146751999997</v>
      </c>
      <c r="BF46" s="198">
        <f>Model!BF88</f>
        <v>3403.0908133631992</v>
      </c>
      <c r="BG46" s="198">
        <f>Model!BG88</f>
        <v>3712.1620797112309</v>
      </c>
      <c r="BH46" s="846"/>
    </row>
    <row r="47" spans="1:60" s="145" customFormat="1" x14ac:dyDescent="0.35">
      <c r="A47" s="308" t="str">
        <f>Model!A89</f>
        <v>Health Care adjusted EBITDA, mm</v>
      </c>
      <c r="B47" s="648"/>
      <c r="C47" s="198"/>
      <c r="D47" s="198"/>
      <c r="E47" s="198"/>
      <c r="F47" s="198"/>
      <c r="G47" s="199"/>
      <c r="H47" s="199"/>
      <c r="I47" s="199"/>
      <c r="J47" s="199"/>
      <c r="K47" s="198"/>
      <c r="L47" s="199"/>
      <c r="M47" s="199"/>
      <c r="N47" s="199"/>
      <c r="O47" s="199"/>
      <c r="P47" s="198"/>
      <c r="Q47" s="199"/>
      <c r="R47" s="199"/>
      <c r="S47" s="199"/>
      <c r="T47" s="199"/>
      <c r="U47" s="198"/>
      <c r="V47" s="199"/>
      <c r="W47" s="199"/>
      <c r="X47" s="199"/>
      <c r="Y47" s="199"/>
      <c r="Z47" s="198"/>
      <c r="AA47" s="199"/>
      <c r="AB47" s="199"/>
      <c r="AC47" s="199"/>
      <c r="AD47" s="199"/>
      <c r="AE47" s="198"/>
      <c r="AF47" s="199"/>
      <c r="AG47" s="199"/>
      <c r="AH47" s="199"/>
      <c r="AI47" s="199"/>
      <c r="AJ47" s="198"/>
      <c r="AK47" s="199"/>
      <c r="AL47" s="199"/>
      <c r="AM47" s="199"/>
      <c r="AN47" s="199"/>
      <c r="AO47" s="198"/>
      <c r="AP47" s="199">
        <f>Model!AP89</f>
        <v>584</v>
      </c>
      <c r="AQ47" s="199">
        <f>Model!AQ89</f>
        <v>439</v>
      </c>
      <c r="AR47" s="199">
        <f>Model!AR89</f>
        <v>644</v>
      </c>
      <c r="AS47" s="199">
        <f>Model!AS89</f>
        <v>716</v>
      </c>
      <c r="AT47" s="198">
        <f>Model!AT89</f>
        <v>2454</v>
      </c>
      <c r="AU47" s="852">
        <f>Model!AU89</f>
        <v>667</v>
      </c>
      <c r="AV47" s="199">
        <f>Model!AV89</f>
        <v>556.57500000000005</v>
      </c>
      <c r="AW47" s="199">
        <f>Model!AW89</f>
        <v>638.49599999999998</v>
      </c>
      <c r="AX47" s="199">
        <f>Model!AX89</f>
        <v>658.73685</v>
      </c>
      <c r="AY47" s="198">
        <f>Model!AY89</f>
        <v>2520.8078500000001</v>
      </c>
      <c r="AZ47" s="199">
        <f>Model!AZ89</f>
        <v>716.6579999999999</v>
      </c>
      <c r="BA47" s="199">
        <f>Model!BA89</f>
        <v>678.25687500000004</v>
      </c>
      <c r="BB47" s="199">
        <f>Model!BB89</f>
        <v>675.57780000000002</v>
      </c>
      <c r="BC47" s="199">
        <f>Model!BC89</f>
        <v>709.80711750000012</v>
      </c>
      <c r="BD47" s="198">
        <f>Model!BD89</f>
        <v>2780.2997925</v>
      </c>
      <c r="BE47" s="198">
        <f>Model!BE89</f>
        <v>2989.3579346249999</v>
      </c>
      <c r="BF47" s="198">
        <f>Model!BF89</f>
        <v>3213.72114148125</v>
      </c>
      <c r="BG47" s="198">
        <f>Model!BG89</f>
        <v>3454.3972741865618</v>
      </c>
      <c r="BH47" s="846"/>
    </row>
    <row r="48" spans="1:60" s="145" customFormat="1" x14ac:dyDescent="0.35">
      <c r="A48" s="308" t="str">
        <f>Model!A90</f>
        <v>Consumer adjusted EBITDA, mm</v>
      </c>
      <c r="B48" s="648"/>
      <c r="C48" s="198"/>
      <c r="D48" s="198"/>
      <c r="E48" s="198"/>
      <c r="F48" s="198"/>
      <c r="G48" s="199"/>
      <c r="H48" s="199"/>
      <c r="I48" s="199"/>
      <c r="J48" s="199"/>
      <c r="K48" s="198"/>
      <c r="L48" s="199"/>
      <c r="M48" s="199"/>
      <c r="N48" s="199"/>
      <c r="O48" s="199"/>
      <c r="P48" s="198"/>
      <c r="Q48" s="199"/>
      <c r="R48" s="199"/>
      <c r="S48" s="199"/>
      <c r="T48" s="199"/>
      <c r="U48" s="198"/>
      <c r="V48" s="199"/>
      <c r="W48" s="199"/>
      <c r="X48" s="199"/>
      <c r="Y48" s="199"/>
      <c r="Z48" s="198"/>
      <c r="AA48" s="199"/>
      <c r="AB48" s="199"/>
      <c r="AC48" s="199"/>
      <c r="AD48" s="199"/>
      <c r="AE48" s="198"/>
      <c r="AF48" s="199"/>
      <c r="AG48" s="199"/>
      <c r="AH48" s="199"/>
      <c r="AI48" s="199"/>
      <c r="AJ48" s="198"/>
      <c r="AK48" s="199"/>
      <c r="AL48" s="199"/>
      <c r="AM48" s="199"/>
      <c r="AN48" s="199"/>
      <c r="AO48" s="198"/>
      <c r="AP48" s="199">
        <f>Model!AP90</f>
        <v>285</v>
      </c>
      <c r="AQ48" s="199">
        <f>Model!AQ90</f>
        <v>313</v>
      </c>
      <c r="AR48" s="199">
        <f>Model!AR90</f>
        <v>383</v>
      </c>
      <c r="AS48" s="199">
        <f>Model!AS90</f>
        <v>371</v>
      </c>
      <c r="AT48" s="198">
        <f>Model!AT90</f>
        <v>1389</v>
      </c>
      <c r="AU48" s="852">
        <f>Model!AU90</f>
        <v>323</v>
      </c>
      <c r="AV48" s="199">
        <f>Model!AV90</f>
        <v>296.67910000000001</v>
      </c>
      <c r="AW48" s="199">
        <f>Model!AW90</f>
        <v>298</v>
      </c>
      <c r="AX48" s="199">
        <f>Model!AX90</f>
        <v>298</v>
      </c>
      <c r="AY48" s="198">
        <f>Model!AY90</f>
        <v>1215.6791000000001</v>
      </c>
      <c r="AZ48" s="199">
        <f>Model!AZ90</f>
        <v>341.35284999999999</v>
      </c>
      <c r="BA48" s="199">
        <f>Model!BA90</f>
        <v>295.38538999999997</v>
      </c>
      <c r="BB48" s="199">
        <f>Model!BB90</f>
        <v>269.52999999999997</v>
      </c>
      <c r="BC48" s="199">
        <f>Model!BC90</f>
        <v>283.11500000000001</v>
      </c>
      <c r="BD48" s="198">
        <f>Model!BD90</f>
        <v>1189.3832399999999</v>
      </c>
      <c r="BE48" s="198">
        <f>Model!BE90</f>
        <v>1249.9082437754998</v>
      </c>
      <c r="BF48" s="198">
        <f>Model!BF90</f>
        <v>1313.6744968297949</v>
      </c>
      <c r="BG48" s="198">
        <f>Model!BG90</f>
        <v>1380.8511484653311</v>
      </c>
      <c r="BH48" s="846"/>
    </row>
    <row r="49" spans="1:60" s="145" customFormat="1" x14ac:dyDescent="0.35">
      <c r="A49" s="308" t="str">
        <f>Model!A91</f>
        <v>Elimination of Dual Credit adjusted EBITDA, mm</v>
      </c>
      <c r="B49" s="648"/>
      <c r="C49" s="198"/>
      <c r="D49" s="198"/>
      <c r="E49" s="198"/>
      <c r="F49" s="198"/>
      <c r="G49" s="199"/>
      <c r="H49" s="199"/>
      <c r="I49" s="199"/>
      <c r="J49" s="199"/>
      <c r="K49" s="198"/>
      <c r="L49" s="199"/>
      <c r="M49" s="199"/>
      <c r="N49" s="199"/>
      <c r="O49" s="199"/>
      <c r="P49" s="198"/>
      <c r="Q49" s="199"/>
      <c r="R49" s="199"/>
      <c r="S49" s="199"/>
      <c r="T49" s="199"/>
      <c r="U49" s="198"/>
      <c r="V49" s="199"/>
      <c r="W49" s="199"/>
      <c r="X49" s="199"/>
      <c r="Y49" s="199"/>
      <c r="Z49" s="198"/>
      <c r="AA49" s="199"/>
      <c r="AB49" s="199"/>
      <c r="AC49" s="199"/>
      <c r="AD49" s="199"/>
      <c r="AE49" s="198"/>
      <c r="AF49" s="199"/>
      <c r="AG49" s="199"/>
      <c r="AH49" s="199"/>
      <c r="AI49" s="199"/>
      <c r="AJ49" s="198"/>
      <c r="AK49" s="199"/>
      <c r="AL49" s="199"/>
      <c r="AM49" s="199"/>
      <c r="AN49" s="199"/>
      <c r="AO49" s="198"/>
      <c r="AP49" s="199">
        <f>Model!AP91</f>
        <v>-116</v>
      </c>
      <c r="AQ49" s="199">
        <f>Model!AQ91</f>
        <v>-123</v>
      </c>
      <c r="AR49" s="199">
        <f>Model!AR91</f>
        <v>-145</v>
      </c>
      <c r="AS49" s="199">
        <f>Model!AS91</f>
        <v>-145</v>
      </c>
      <c r="AT49" s="198">
        <f>Model!AT91</f>
        <v>-534</v>
      </c>
      <c r="AU49" s="852">
        <f>Model!AU91</f>
        <v>-159</v>
      </c>
      <c r="AV49" s="199">
        <f>Model!AV91</f>
        <v>-122.3652</v>
      </c>
      <c r="AW49" s="199">
        <f>Model!AW91</f>
        <v>-139.55699999999999</v>
      </c>
      <c r="AX49" s="199">
        <f>Model!AX91</f>
        <v>-143.33535000000001</v>
      </c>
      <c r="AY49" s="198">
        <f>Model!AY91</f>
        <v>-564.25755000000004</v>
      </c>
      <c r="AZ49" s="199">
        <f>Model!AZ91</f>
        <v>-151.34332499999999</v>
      </c>
      <c r="BA49" s="199">
        <f>Model!BA91</f>
        <v>-130.18349175</v>
      </c>
      <c r="BB49" s="199">
        <f>Model!BB91</f>
        <v>-148.53190799999999</v>
      </c>
      <c r="BC49" s="199">
        <f>Model!BC91</f>
        <v>-152.54807549999998</v>
      </c>
      <c r="BD49" s="198">
        <f>Model!BD91</f>
        <v>-582.60680024999988</v>
      </c>
      <c r="BE49" s="198">
        <f>Model!BE91</f>
        <v>-620.11135622625011</v>
      </c>
      <c r="BF49" s="198">
        <f>Model!BF91</f>
        <v>-660.13474958188124</v>
      </c>
      <c r="BG49" s="198">
        <f>Model!BG91</f>
        <v>-702.85219003245447</v>
      </c>
      <c r="BH49" s="846"/>
    </row>
    <row r="50" spans="1:60" s="145" customFormat="1" x14ac:dyDescent="0.35">
      <c r="A50" s="498" t="str">
        <f>Model!A92</f>
        <v>Corporate and Unallocated adjusted EBITDA, mm</v>
      </c>
      <c r="B50" s="649"/>
      <c r="C50" s="500"/>
      <c r="D50" s="500"/>
      <c r="E50" s="500"/>
      <c r="F50" s="500"/>
      <c r="G50" s="462"/>
      <c r="H50" s="462"/>
      <c r="I50" s="462"/>
      <c r="J50" s="462"/>
      <c r="K50" s="500"/>
      <c r="L50" s="462"/>
      <c r="M50" s="462"/>
      <c r="N50" s="462"/>
      <c r="O50" s="462"/>
      <c r="P50" s="500"/>
      <c r="Q50" s="462"/>
      <c r="R50" s="462"/>
      <c r="S50" s="462"/>
      <c r="T50" s="462"/>
      <c r="U50" s="500"/>
      <c r="V50" s="462"/>
      <c r="W50" s="462"/>
      <c r="X50" s="462"/>
      <c r="Y50" s="462"/>
      <c r="Z50" s="500"/>
      <c r="AA50" s="462"/>
      <c r="AB50" s="462"/>
      <c r="AC50" s="462"/>
      <c r="AD50" s="462"/>
      <c r="AE50" s="500"/>
      <c r="AF50" s="462"/>
      <c r="AG50" s="462"/>
      <c r="AH50" s="462"/>
      <c r="AI50" s="462"/>
      <c r="AJ50" s="500"/>
      <c r="AK50" s="462"/>
      <c r="AL50" s="462"/>
      <c r="AM50" s="462"/>
      <c r="AN50" s="462"/>
      <c r="AO50" s="500"/>
      <c r="AP50" s="462">
        <f>Model!AP92</f>
        <v>-19</v>
      </c>
      <c r="AQ50" s="462">
        <f>Model!AQ92</f>
        <v>39</v>
      </c>
      <c r="AR50" s="462">
        <f>Model!AR92</f>
        <v>-91</v>
      </c>
      <c r="AS50" s="462">
        <f>Model!AS92</f>
        <v>-228</v>
      </c>
      <c r="AT50" s="500">
        <f>Model!AT92</f>
        <v>-526</v>
      </c>
      <c r="AU50" s="853">
        <f>Model!AU92</f>
        <v>-19</v>
      </c>
      <c r="AV50" s="462">
        <f>Model!AV92</f>
        <v>-1.0093152000000032</v>
      </c>
      <c r="AW50" s="462">
        <f>Model!AW92</f>
        <v>-7.4734320000000025</v>
      </c>
      <c r="AX50" s="462">
        <f>Model!AX92</f>
        <v>-8.8940916000000101</v>
      </c>
      <c r="AY50" s="500">
        <f>Model!AY92</f>
        <v>-36.376838800000016</v>
      </c>
      <c r="AZ50" s="462">
        <f>Model!AZ92</f>
        <v>-11.905090200000011</v>
      </c>
      <c r="BA50" s="462">
        <f>Model!BA92</f>
        <v>-3.9489928980000073</v>
      </c>
      <c r="BB50" s="462">
        <f>Model!BB92</f>
        <v>-10.847997407999998</v>
      </c>
      <c r="BC50" s="462">
        <f>Model!BC92</f>
        <v>-12.358076388000001</v>
      </c>
      <c r="BD50" s="500">
        <f>Model!BD92</f>
        <v>-39.060156894000016</v>
      </c>
      <c r="BE50" s="500">
        <f>Model!BE92</f>
        <v>-53.161869941069938</v>
      </c>
      <c r="BF50" s="500">
        <f>Model!BF92</f>
        <v>-68.21066584278725</v>
      </c>
      <c r="BG50" s="500">
        <f>Model!BG92</f>
        <v>-84.272423452202759</v>
      </c>
      <c r="BH50" s="846"/>
    </row>
    <row r="51" spans="1:60" s="146" customFormat="1" x14ac:dyDescent="0.35">
      <c r="A51" s="321" t="str">
        <f>Model!A93</f>
        <v>Total adjusted EBITDA, mm</v>
      </c>
      <c r="B51" s="650"/>
      <c r="C51" s="250"/>
      <c r="D51" s="250"/>
      <c r="E51" s="250"/>
      <c r="F51" s="250"/>
      <c r="G51" s="251"/>
      <c r="H51" s="251"/>
      <c r="I51" s="251"/>
      <c r="J51" s="251"/>
      <c r="K51" s="250"/>
      <c r="L51" s="251"/>
      <c r="M51" s="251"/>
      <c r="N51" s="251"/>
      <c r="O51" s="251"/>
      <c r="P51" s="250"/>
      <c r="Q51" s="251"/>
      <c r="R51" s="251"/>
      <c r="S51" s="251"/>
      <c r="T51" s="251"/>
      <c r="U51" s="250"/>
      <c r="V51" s="251"/>
      <c r="W51" s="251"/>
      <c r="X51" s="251"/>
      <c r="Y51" s="251"/>
      <c r="Z51" s="250"/>
      <c r="AA51" s="251"/>
      <c r="AB51" s="251"/>
      <c r="AC51" s="251"/>
      <c r="AD51" s="251"/>
      <c r="AE51" s="250"/>
      <c r="AF51" s="251"/>
      <c r="AG51" s="251"/>
      <c r="AH51" s="251"/>
      <c r="AI51" s="251"/>
      <c r="AJ51" s="250"/>
      <c r="AK51" s="251"/>
      <c r="AL51" s="251"/>
      <c r="AM51" s="251"/>
      <c r="AN51" s="251"/>
      <c r="AO51" s="250"/>
      <c r="AP51" s="251">
        <f>Model!AP93</f>
        <v>2118</v>
      </c>
      <c r="AQ51" s="251">
        <f>Model!AQ93</f>
        <v>1900</v>
      </c>
      <c r="AR51" s="251">
        <f>Model!AR93</f>
        <v>2390</v>
      </c>
      <c r="AS51" s="251">
        <f>Model!AS93</f>
        <v>2352</v>
      </c>
      <c r="AT51" s="250">
        <f>Model!AT93</f>
        <v>8755</v>
      </c>
      <c r="AU51" s="855">
        <f>Model!AU93</f>
        <v>2454</v>
      </c>
      <c r="AV51" s="251">
        <f>Model!AV93</f>
        <v>2120.9743847999998</v>
      </c>
      <c r="AW51" s="251">
        <f>Model!AW93</f>
        <v>2462.6915680000002</v>
      </c>
      <c r="AX51" s="251">
        <f>Model!AX93</f>
        <v>2565.0658084000002</v>
      </c>
      <c r="AY51" s="250">
        <f>Model!AY93</f>
        <v>9602.7317611999988</v>
      </c>
      <c r="AZ51" s="251">
        <f>Model!AZ93</f>
        <v>2683.7461348000006</v>
      </c>
      <c r="BA51" s="251">
        <f>Model!BA93</f>
        <v>2400.6010443519999</v>
      </c>
      <c r="BB51" s="251">
        <f>Model!BB93</f>
        <v>2541.9490585920003</v>
      </c>
      <c r="BC51" s="251">
        <f>Model!BC93</f>
        <v>2765.4050496119999</v>
      </c>
      <c r="BD51" s="250">
        <f>Model!BD93</f>
        <v>10391.701287356</v>
      </c>
      <c r="BE51" s="250">
        <f>Model!BE93</f>
        <v>11195.589153213179</v>
      </c>
      <c r="BF51" s="250">
        <f>Model!BF93</f>
        <v>12067.758610940777</v>
      </c>
      <c r="BG51" s="250">
        <f>Model!BG93</f>
        <v>13013.838469852113</v>
      </c>
      <c r="BH51" s="844"/>
    </row>
    <row r="52" spans="1:60" s="145" customFormat="1" x14ac:dyDescent="0.35">
      <c r="A52" s="304"/>
      <c r="B52" s="320"/>
      <c r="C52" s="909"/>
      <c r="D52" s="909"/>
      <c r="E52" s="909"/>
      <c r="F52" s="909"/>
      <c r="G52" s="910"/>
      <c r="H52" s="910"/>
      <c r="I52" s="910"/>
      <c r="J52" s="910"/>
      <c r="K52" s="909"/>
      <c r="L52" s="910"/>
      <c r="M52" s="910"/>
      <c r="N52" s="910"/>
      <c r="O52" s="910"/>
      <c r="P52" s="909"/>
      <c r="Q52" s="910"/>
      <c r="R52" s="910"/>
      <c r="S52" s="910"/>
      <c r="T52" s="910"/>
      <c r="U52" s="909"/>
      <c r="V52" s="910"/>
      <c r="W52" s="910"/>
      <c r="X52" s="910"/>
      <c r="Y52" s="910"/>
      <c r="Z52" s="909"/>
      <c r="AA52" s="910"/>
      <c r="AB52" s="910"/>
      <c r="AC52" s="910"/>
      <c r="AD52" s="910"/>
      <c r="AE52" s="909"/>
      <c r="AF52" s="910"/>
      <c r="AG52" s="910"/>
      <c r="AH52" s="910"/>
      <c r="AI52" s="910"/>
      <c r="AJ52" s="909"/>
      <c r="AK52" s="910"/>
      <c r="AL52" s="910"/>
      <c r="AM52" s="910"/>
      <c r="AN52" s="910"/>
      <c r="AO52" s="909"/>
      <c r="AP52" s="910"/>
      <c r="AQ52" s="910"/>
      <c r="AR52" s="910"/>
      <c r="AS52" s="910"/>
      <c r="AT52" s="909"/>
      <c r="AU52" s="911"/>
      <c r="AV52" s="910"/>
      <c r="AW52" s="910"/>
      <c r="AX52" s="910"/>
      <c r="AY52" s="909"/>
      <c r="AZ52" s="910"/>
      <c r="BA52" s="910"/>
      <c r="BB52" s="910"/>
      <c r="BC52" s="910"/>
      <c r="BD52" s="909"/>
      <c r="BE52" s="909"/>
      <c r="BF52" s="909"/>
      <c r="BG52" s="909"/>
      <c r="BH52" s="846"/>
    </row>
    <row r="53" spans="1:60" x14ac:dyDescent="0.35">
      <c r="A53" s="190" t="s">
        <v>294</v>
      </c>
      <c r="B53" s="845"/>
      <c r="C53" s="907"/>
      <c r="D53" s="907"/>
      <c r="E53" s="907"/>
      <c r="F53" s="907"/>
      <c r="G53" s="907"/>
      <c r="H53" s="907"/>
      <c r="I53" s="907"/>
      <c r="J53" s="907"/>
      <c r="K53" s="907"/>
      <c r="L53" s="907"/>
      <c r="M53" s="907"/>
      <c r="N53" s="907"/>
      <c r="O53" s="907"/>
      <c r="P53" s="907"/>
      <c r="Q53" s="907"/>
      <c r="R53" s="907"/>
      <c r="S53" s="907"/>
      <c r="T53" s="907"/>
      <c r="U53" s="907"/>
      <c r="V53" s="907"/>
      <c r="W53" s="907"/>
      <c r="X53" s="907"/>
      <c r="Y53" s="907"/>
      <c r="Z53" s="907"/>
      <c r="AA53" s="907"/>
      <c r="AB53" s="907"/>
      <c r="AC53" s="907"/>
      <c r="AD53" s="907"/>
      <c r="AE53" s="907"/>
      <c r="AF53" s="907"/>
      <c r="AG53" s="907"/>
      <c r="AH53" s="907"/>
      <c r="AI53" s="907"/>
      <c r="AJ53" s="907"/>
      <c r="AK53" s="907"/>
      <c r="AL53" s="907"/>
      <c r="AM53" s="907"/>
      <c r="AN53" s="907"/>
      <c r="AO53" s="907"/>
      <c r="AP53" s="907"/>
      <c r="AQ53" s="907"/>
      <c r="AR53" s="907"/>
      <c r="AS53" s="907"/>
      <c r="AT53" s="907"/>
      <c r="AU53" s="908"/>
      <c r="AV53" s="907"/>
      <c r="AW53" s="907"/>
      <c r="AX53" s="907"/>
      <c r="AY53" s="907"/>
      <c r="AZ53" s="907"/>
      <c r="BA53" s="907"/>
      <c r="BB53" s="907"/>
      <c r="BC53" s="907"/>
      <c r="BD53" s="907"/>
      <c r="BE53" s="907"/>
      <c r="BF53" s="907"/>
      <c r="BG53" s="907"/>
      <c r="BH53" s="844"/>
    </row>
    <row r="54" spans="1:60" s="156" customFormat="1" x14ac:dyDescent="0.35">
      <c r="A54" s="321" t="str">
        <f>INDEX(MO_RIS_REV,0,COLUMN())</f>
        <v>Net Revenue</v>
      </c>
      <c r="B54" s="322"/>
      <c r="C54" s="250">
        <f t="shared" ref="C54:AH54" si="30">INDEX(MO_RIS_REV,0,COLUMN())</f>
        <v>23123</v>
      </c>
      <c r="D54" s="250">
        <f t="shared" si="30"/>
        <v>26662</v>
      </c>
      <c r="E54" s="250">
        <f t="shared" si="30"/>
        <v>29611</v>
      </c>
      <c r="F54" s="250">
        <f t="shared" si="30"/>
        <v>29904</v>
      </c>
      <c r="G54" s="251">
        <f t="shared" si="30"/>
        <v>7634</v>
      </c>
      <c r="H54" s="251">
        <f t="shared" si="30"/>
        <v>7752</v>
      </c>
      <c r="I54" s="251">
        <f t="shared" si="30"/>
        <v>7916</v>
      </c>
      <c r="J54" s="251">
        <f t="shared" si="30"/>
        <v>7569</v>
      </c>
      <c r="K54" s="250">
        <f t="shared" si="30"/>
        <v>30871</v>
      </c>
      <c r="L54" s="251">
        <f t="shared" si="30"/>
        <v>7831</v>
      </c>
      <c r="M54" s="251">
        <f t="shared" si="30"/>
        <v>8134</v>
      </c>
      <c r="N54" s="251">
        <f t="shared" si="30"/>
        <v>8137</v>
      </c>
      <c r="O54" s="251">
        <f t="shared" si="30"/>
        <v>7719</v>
      </c>
      <c r="P54" s="250">
        <f t="shared" si="30"/>
        <v>31821</v>
      </c>
      <c r="Q54" s="251">
        <f t="shared" si="30"/>
        <v>7578</v>
      </c>
      <c r="R54" s="251">
        <f t="shared" si="30"/>
        <v>7686</v>
      </c>
      <c r="S54" s="251">
        <f t="shared" si="30"/>
        <v>7712</v>
      </c>
      <c r="T54" s="251">
        <f t="shared" si="30"/>
        <v>7298</v>
      </c>
      <c r="U54" s="250">
        <f t="shared" si="30"/>
        <v>30274</v>
      </c>
      <c r="V54" s="251">
        <f t="shared" si="30"/>
        <v>7409</v>
      </c>
      <c r="W54" s="251">
        <f t="shared" si="30"/>
        <v>7662</v>
      </c>
      <c r="X54" s="251">
        <f t="shared" si="30"/>
        <v>7709</v>
      </c>
      <c r="Y54" s="251">
        <f t="shared" si="30"/>
        <v>7329</v>
      </c>
      <c r="Z54" s="250">
        <f t="shared" si="30"/>
        <v>30109</v>
      </c>
      <c r="AA54" s="251">
        <f t="shared" si="30"/>
        <v>7685</v>
      </c>
      <c r="AB54" s="251">
        <f t="shared" si="30"/>
        <v>7810</v>
      </c>
      <c r="AC54" s="251">
        <f t="shared" si="30"/>
        <v>8172</v>
      </c>
      <c r="AD54" s="251">
        <f t="shared" si="30"/>
        <v>7990</v>
      </c>
      <c r="AE54" s="250">
        <f t="shared" si="30"/>
        <v>31657</v>
      </c>
      <c r="AF54" s="251">
        <f t="shared" si="30"/>
        <v>8278</v>
      </c>
      <c r="AG54" s="251">
        <f t="shared" si="30"/>
        <v>8390</v>
      </c>
      <c r="AH54" s="251">
        <f t="shared" si="30"/>
        <v>8152</v>
      </c>
      <c r="AI54" s="251">
        <f t="shared" ref="AI54:AY54" si="31">INDEX(MO_RIS_REV,0,COLUMN())</f>
        <v>7945</v>
      </c>
      <c r="AJ54" s="250">
        <f t="shared" si="31"/>
        <v>32765</v>
      </c>
      <c r="AK54" s="251">
        <f t="shared" si="31"/>
        <v>7863</v>
      </c>
      <c r="AL54" s="251">
        <f t="shared" si="31"/>
        <v>8171</v>
      </c>
      <c r="AM54" s="251">
        <f t="shared" si="31"/>
        <v>7991</v>
      </c>
      <c r="AN54" s="251">
        <f t="shared" si="31"/>
        <v>8111</v>
      </c>
      <c r="AO54" s="250">
        <f t="shared" si="31"/>
        <v>32136</v>
      </c>
      <c r="AP54" s="251">
        <f t="shared" si="31"/>
        <v>8075</v>
      </c>
      <c r="AQ54" s="251">
        <f t="shared" si="31"/>
        <v>7176</v>
      </c>
      <c r="AR54" s="251">
        <f>INDEX(MO_RIS_REV,0,COLUMN())</f>
        <v>8350</v>
      </c>
      <c r="AS54" s="251">
        <f>INDEX(MO_RIS_REV,0,COLUMN())</f>
        <v>8583</v>
      </c>
      <c r="AT54" s="250">
        <f>INDEX(MO_RIS_REV,0,COLUMN())</f>
        <v>32184</v>
      </c>
      <c r="AU54" s="855">
        <f t="shared" si="31"/>
        <v>8851</v>
      </c>
      <c r="AV54" s="251">
        <f t="shared" si="31"/>
        <v>7668.2192000000005</v>
      </c>
      <c r="AW54" s="251">
        <f t="shared" si="31"/>
        <v>8745.5720000000001</v>
      </c>
      <c r="AX54" s="251">
        <f t="shared" si="31"/>
        <v>8982.3486000000012</v>
      </c>
      <c r="AY54" s="250">
        <f t="shared" si="31"/>
        <v>34247.139800000004</v>
      </c>
      <c r="AZ54" s="251">
        <f t="shared" ref="AZ54:BG54" si="32">INDEX(MO_RIS_REV,0,COLUMN())</f>
        <v>9484.181700000001</v>
      </c>
      <c r="BA54" s="251">
        <f t="shared" si="32"/>
        <v>8158.1654830000007</v>
      </c>
      <c r="BB54" s="251">
        <f t="shared" si="32"/>
        <v>9307.9995679999993</v>
      </c>
      <c r="BC54" s="251">
        <f t="shared" si="32"/>
        <v>9559.6793980000002</v>
      </c>
      <c r="BD54" s="250">
        <f t="shared" si="32"/>
        <v>36510.026148999998</v>
      </c>
      <c r="BE54" s="250">
        <f t="shared" si="32"/>
        <v>38860.311656844999</v>
      </c>
      <c r="BF54" s="250">
        <f t="shared" si="32"/>
        <v>41368.44430713122</v>
      </c>
      <c r="BG54" s="250">
        <f t="shared" si="32"/>
        <v>44045.403908700471</v>
      </c>
      <c r="BH54" s="251"/>
    </row>
    <row r="55" spans="1:60" s="157" customFormat="1" x14ac:dyDescent="0.35">
      <c r="A55" s="308" t="str">
        <f>INDEX(MO_RIS_COGS,0,COLUMN())</f>
        <v>COGS (adj. for D&amp;A and SBC)</v>
      </c>
      <c r="B55" s="309"/>
      <c r="C55" s="198">
        <f t="shared" ref="C55:AH55" si="33">INDEX(MO_RIS_COGS,0,COLUMN())</f>
        <v>10914</v>
      </c>
      <c r="D55" s="198">
        <f t="shared" si="33"/>
        <v>12680</v>
      </c>
      <c r="E55" s="198">
        <f t="shared" si="33"/>
        <v>14428</v>
      </c>
      <c r="F55" s="198">
        <f t="shared" si="33"/>
        <v>14370</v>
      </c>
      <c r="G55" s="199">
        <f t="shared" si="33"/>
        <v>3621</v>
      </c>
      <c r="H55" s="199">
        <f t="shared" si="33"/>
        <v>3672</v>
      </c>
      <c r="I55" s="199">
        <f t="shared" si="33"/>
        <v>3800</v>
      </c>
      <c r="J55" s="199">
        <f t="shared" si="33"/>
        <v>3615</v>
      </c>
      <c r="K55" s="198">
        <f t="shared" si="33"/>
        <v>14708</v>
      </c>
      <c r="L55" s="199">
        <f t="shared" si="33"/>
        <v>3659</v>
      </c>
      <c r="M55" s="199">
        <f t="shared" si="33"/>
        <v>3815</v>
      </c>
      <c r="N55" s="199">
        <f t="shared" si="33"/>
        <v>3846</v>
      </c>
      <c r="O55" s="199">
        <f t="shared" si="33"/>
        <v>3672</v>
      </c>
      <c r="P55" s="198">
        <f t="shared" si="33"/>
        <v>14992</v>
      </c>
      <c r="Q55" s="199">
        <f t="shared" si="33"/>
        <v>3459</v>
      </c>
      <c r="R55" s="199">
        <f t="shared" si="33"/>
        <v>3506</v>
      </c>
      <c r="S55" s="199">
        <f t="shared" si="33"/>
        <v>3514</v>
      </c>
      <c r="T55" s="199">
        <f t="shared" si="33"/>
        <v>3423</v>
      </c>
      <c r="U55" s="198">
        <f t="shared" si="33"/>
        <v>13902</v>
      </c>
      <c r="V55" s="199">
        <f t="shared" si="33"/>
        <v>3299</v>
      </c>
      <c r="W55" s="199">
        <f t="shared" si="33"/>
        <v>3425</v>
      </c>
      <c r="X55" s="199">
        <f t="shared" si="33"/>
        <v>3471</v>
      </c>
      <c r="Y55" s="199">
        <f t="shared" si="33"/>
        <v>3324</v>
      </c>
      <c r="Z55" s="198">
        <f t="shared" si="33"/>
        <v>13519</v>
      </c>
      <c r="AA55" s="199">
        <f t="shared" si="33"/>
        <v>3421</v>
      </c>
      <c r="AB55" s="199">
        <f t="shared" si="33"/>
        <v>3631</v>
      </c>
      <c r="AC55" s="199">
        <f t="shared" si="33"/>
        <v>3673</v>
      </c>
      <c r="AD55" s="199">
        <f t="shared" si="33"/>
        <v>3737</v>
      </c>
      <c r="AE55" s="198">
        <f t="shared" si="33"/>
        <v>14462</v>
      </c>
      <c r="AF55" s="199">
        <f t="shared" si="33"/>
        <v>3831</v>
      </c>
      <c r="AG55" s="199">
        <f t="shared" si="33"/>
        <v>3838</v>
      </c>
      <c r="AH55" s="199">
        <f t="shared" si="33"/>
        <v>3796</v>
      </c>
      <c r="AI55" s="199">
        <f t="shared" ref="AI55:AY55" si="34">INDEX(MO_RIS_COGS,0,COLUMN())</f>
        <v>3681</v>
      </c>
      <c r="AJ55" s="198">
        <f t="shared" si="34"/>
        <v>15146</v>
      </c>
      <c r="AK55" s="199">
        <f t="shared" si="34"/>
        <v>3913</v>
      </c>
      <c r="AL55" s="199">
        <f t="shared" si="34"/>
        <v>3928</v>
      </c>
      <c r="AM55" s="199">
        <f t="shared" si="34"/>
        <v>3801</v>
      </c>
      <c r="AN55" s="199">
        <f t="shared" si="34"/>
        <v>3854</v>
      </c>
      <c r="AO55" s="198">
        <f t="shared" si="34"/>
        <v>15496</v>
      </c>
      <c r="AP55" s="199">
        <f t="shared" si="34"/>
        <v>3647</v>
      </c>
      <c r="AQ55" s="199">
        <f t="shared" si="34"/>
        <v>3303</v>
      </c>
      <c r="AR55" s="199">
        <f>INDEX(MO_RIS_COGS,0,COLUMN())</f>
        <v>3813</v>
      </c>
      <c r="AS55" s="199">
        <f>INDEX(MO_RIS_COGS,0,COLUMN())</f>
        <v>3881</v>
      </c>
      <c r="AT55" s="198">
        <f>INDEX(MO_RIS_COGS,0,COLUMN())</f>
        <v>14644</v>
      </c>
      <c r="AU55" s="852">
        <f t="shared" si="34"/>
        <v>4043</v>
      </c>
      <c r="AV55" s="199">
        <f t="shared" si="34"/>
        <v>3572.5217959999991</v>
      </c>
      <c r="AW55" s="199">
        <f t="shared" si="34"/>
        <v>4037.7418599999996</v>
      </c>
      <c r="AX55" s="199">
        <f t="shared" si="34"/>
        <v>4112.7132930000007</v>
      </c>
      <c r="AY55" s="198">
        <f t="shared" si="34"/>
        <v>15765.976949</v>
      </c>
      <c r="AZ55" s="199">
        <f t="shared" ref="AZ55:BG55" si="35">INDEX(MO_RIS_COGS,0,COLUMN())</f>
        <v>4284.9059584999995</v>
      </c>
      <c r="BA55" s="199">
        <f t="shared" si="35"/>
        <v>3659.864902415</v>
      </c>
      <c r="BB55" s="199">
        <f t="shared" si="35"/>
        <v>4379.7426178399992</v>
      </c>
      <c r="BC55" s="199">
        <f t="shared" si="35"/>
        <v>4344.79481949</v>
      </c>
      <c r="BD55" s="198">
        <f t="shared" si="35"/>
        <v>16669.308298245</v>
      </c>
      <c r="BE55" s="198">
        <f t="shared" si="35"/>
        <v>17625.784277763723</v>
      </c>
      <c r="BF55" s="198">
        <f t="shared" si="35"/>
        <v>18632.206175100506</v>
      </c>
      <c r="BG55" s="198">
        <f t="shared" si="35"/>
        <v>19691.169057764542</v>
      </c>
      <c r="BH55" s="199"/>
    </row>
    <row r="56" spans="1:60" s="157" customFormat="1" x14ac:dyDescent="0.35">
      <c r="A56" s="308" t="str">
        <f>INDEX(MO_RIS_SGA,0,COLUMN())</f>
        <v>SG&amp;A (adj. for SBC)</v>
      </c>
      <c r="B56" s="309"/>
      <c r="C56" s="198">
        <f t="shared" ref="C56:AH56" si="36">INDEX(MO_RIS_SGA,0,COLUMN())</f>
        <v>4763</v>
      </c>
      <c r="D56" s="198">
        <f t="shared" si="36"/>
        <v>5270</v>
      </c>
      <c r="E56" s="198">
        <f t="shared" si="36"/>
        <v>5978</v>
      </c>
      <c r="F56" s="198">
        <f t="shared" si="36"/>
        <v>5935</v>
      </c>
      <c r="G56" s="199">
        <f t="shared" si="36"/>
        <v>1512</v>
      </c>
      <c r="H56" s="199">
        <f t="shared" si="36"/>
        <v>1574</v>
      </c>
      <c r="I56" s="199">
        <f t="shared" si="36"/>
        <v>1573</v>
      </c>
      <c r="J56" s="199">
        <f t="shared" si="36"/>
        <v>1542</v>
      </c>
      <c r="K56" s="198">
        <f t="shared" si="36"/>
        <v>6201</v>
      </c>
      <c r="L56" s="199">
        <f t="shared" si="36"/>
        <v>1555</v>
      </c>
      <c r="M56" s="199">
        <f t="shared" si="36"/>
        <v>1611</v>
      </c>
      <c r="N56" s="199">
        <f t="shared" si="36"/>
        <v>1566</v>
      </c>
      <c r="O56" s="199">
        <f t="shared" si="36"/>
        <v>1545</v>
      </c>
      <c r="P56" s="198">
        <f t="shared" si="36"/>
        <v>6277</v>
      </c>
      <c r="Q56" s="199">
        <f t="shared" si="36"/>
        <v>1476</v>
      </c>
      <c r="R56" s="199">
        <f t="shared" si="36"/>
        <v>1515</v>
      </c>
      <c r="S56" s="199">
        <f t="shared" si="36"/>
        <v>1499</v>
      </c>
      <c r="T56" s="199">
        <f t="shared" si="36"/>
        <v>1507</v>
      </c>
      <c r="U56" s="198">
        <f t="shared" si="36"/>
        <v>5997</v>
      </c>
      <c r="V56" s="199">
        <f t="shared" si="36"/>
        <v>1397</v>
      </c>
      <c r="W56" s="199">
        <f t="shared" si="36"/>
        <v>1526</v>
      </c>
      <c r="X56" s="199">
        <f t="shared" si="36"/>
        <v>1495</v>
      </c>
      <c r="Y56" s="199">
        <f t="shared" si="36"/>
        <v>1487</v>
      </c>
      <c r="Z56" s="198">
        <f t="shared" si="36"/>
        <v>5905</v>
      </c>
      <c r="AA56" s="199">
        <f t="shared" si="36"/>
        <v>1516</v>
      </c>
      <c r="AB56" s="199">
        <f t="shared" si="36"/>
        <v>1577</v>
      </c>
      <c r="AC56" s="199">
        <f t="shared" si="36"/>
        <v>1592</v>
      </c>
      <c r="AD56" s="199">
        <f t="shared" si="36"/>
        <v>1712</v>
      </c>
      <c r="AE56" s="198">
        <f t="shared" si="36"/>
        <v>6397</v>
      </c>
      <c r="AF56" s="199">
        <f t="shared" si="36"/>
        <v>2464</v>
      </c>
      <c r="AG56" s="199">
        <f t="shared" si="36"/>
        <v>1767</v>
      </c>
      <c r="AH56" s="199">
        <f t="shared" si="36"/>
        <v>1512</v>
      </c>
      <c r="AI56" s="199">
        <f t="shared" ref="AI56:AY56" si="37">INDEX(MO_RIS_SGA,0,COLUMN())</f>
        <v>1652</v>
      </c>
      <c r="AJ56" s="198">
        <f t="shared" si="37"/>
        <v>7395</v>
      </c>
      <c r="AK56" s="199">
        <f t="shared" si="37"/>
        <v>1866</v>
      </c>
      <c r="AL56" s="199">
        <f t="shared" si="37"/>
        <v>1650</v>
      </c>
      <c r="AM56" s="199">
        <f t="shared" si="37"/>
        <v>1422</v>
      </c>
      <c r="AN56" s="199">
        <f t="shared" si="37"/>
        <v>1906</v>
      </c>
      <c r="AO56" s="198">
        <f t="shared" si="37"/>
        <v>6844</v>
      </c>
      <c r="AP56" s="199">
        <f t="shared" si="37"/>
        <v>1695</v>
      </c>
      <c r="AQ56" s="199">
        <f t="shared" si="37"/>
        <v>1559</v>
      </c>
      <c r="AR56" s="199">
        <f>INDEX(MO_RIS_SGA,0,COLUMN())</f>
        <v>1647</v>
      </c>
      <c r="AS56" s="199">
        <f>INDEX(MO_RIS_SGA,0,COLUMN())</f>
        <v>1859</v>
      </c>
      <c r="AT56" s="198">
        <f>INDEX(MO_RIS_SGA,0,COLUMN())</f>
        <v>6760</v>
      </c>
      <c r="AU56" s="852">
        <f t="shared" si="37"/>
        <v>1724</v>
      </c>
      <c r="AV56" s="199">
        <f t="shared" si="37"/>
        <v>1456.9616480000002</v>
      </c>
      <c r="AW56" s="199">
        <f t="shared" si="37"/>
        <v>1661.65868</v>
      </c>
      <c r="AX56" s="199">
        <f t="shared" si="37"/>
        <v>1706.6462340000003</v>
      </c>
      <c r="AY56" s="198">
        <f t="shared" si="37"/>
        <v>6549.2665620000007</v>
      </c>
      <c r="AZ56" s="199">
        <f t="shared" ref="AZ56:BG56" si="38">INDEX(MO_RIS_SGA,0,COLUMN())</f>
        <v>1801.9945230000003</v>
      </c>
      <c r="BA56" s="199">
        <f t="shared" si="38"/>
        <v>1550.0514417700001</v>
      </c>
      <c r="BB56" s="199">
        <f t="shared" si="38"/>
        <v>1768.5199179199999</v>
      </c>
      <c r="BC56" s="199">
        <f t="shared" si="38"/>
        <v>1816.3390856200001</v>
      </c>
      <c r="BD56" s="198">
        <f t="shared" si="38"/>
        <v>6936.9049683100002</v>
      </c>
      <c r="BE56" s="198">
        <f t="shared" si="38"/>
        <v>7383.4592148005495</v>
      </c>
      <c r="BF56" s="198">
        <f t="shared" si="38"/>
        <v>7860.0044183549317</v>
      </c>
      <c r="BG56" s="198">
        <f t="shared" si="38"/>
        <v>8368.6267426530903</v>
      </c>
      <c r="BH56" s="199"/>
    </row>
    <row r="57" spans="1:60" s="157" customFormat="1" x14ac:dyDescent="0.35">
      <c r="A57" s="498" t="str">
        <f>INDEX(MO_RIS_RD,0,COLUMN())</f>
        <v>R&amp;D (adj. for SBC)</v>
      </c>
      <c r="B57" s="499"/>
      <c r="C57" s="500">
        <f t="shared" ref="C57:AH57" si="39">INDEX(MO_RIS_RD,0,COLUMN())</f>
        <v>1258</v>
      </c>
      <c r="D57" s="500">
        <f t="shared" si="39"/>
        <v>1400</v>
      </c>
      <c r="E57" s="500">
        <f t="shared" si="39"/>
        <v>1538</v>
      </c>
      <c r="F57" s="500">
        <f t="shared" si="39"/>
        <v>1605</v>
      </c>
      <c r="G57" s="462">
        <f t="shared" si="39"/>
        <v>416</v>
      </c>
      <c r="H57" s="462">
        <f t="shared" si="39"/>
        <v>422</v>
      </c>
      <c r="I57" s="462">
        <f t="shared" si="39"/>
        <v>414</v>
      </c>
      <c r="J57" s="462">
        <f t="shared" si="39"/>
        <v>433</v>
      </c>
      <c r="K57" s="500">
        <f t="shared" si="39"/>
        <v>1685</v>
      </c>
      <c r="L57" s="462">
        <f t="shared" si="39"/>
        <v>429</v>
      </c>
      <c r="M57" s="462">
        <f t="shared" si="39"/>
        <v>442</v>
      </c>
      <c r="N57" s="462">
        <f t="shared" si="39"/>
        <v>427</v>
      </c>
      <c r="O57" s="462">
        <f t="shared" si="39"/>
        <v>431</v>
      </c>
      <c r="P57" s="500">
        <f t="shared" si="39"/>
        <v>1729</v>
      </c>
      <c r="Q57" s="462">
        <f t="shared" si="39"/>
        <v>436</v>
      </c>
      <c r="R57" s="462">
        <f t="shared" si="39"/>
        <v>432</v>
      </c>
      <c r="S57" s="462">
        <f t="shared" si="39"/>
        <v>422</v>
      </c>
      <c r="T57" s="462">
        <f t="shared" si="39"/>
        <v>428</v>
      </c>
      <c r="U57" s="500">
        <f t="shared" si="39"/>
        <v>1718</v>
      </c>
      <c r="V57" s="462">
        <f t="shared" si="39"/>
        <v>425</v>
      </c>
      <c r="W57" s="462">
        <f t="shared" si="39"/>
        <v>430</v>
      </c>
      <c r="X57" s="462">
        <f t="shared" si="39"/>
        <v>420</v>
      </c>
      <c r="Y57" s="462">
        <f t="shared" si="39"/>
        <v>415</v>
      </c>
      <c r="Z57" s="500">
        <f t="shared" si="39"/>
        <v>1690</v>
      </c>
      <c r="AA57" s="462">
        <f t="shared" si="39"/>
        <v>450</v>
      </c>
      <c r="AB57" s="462">
        <f t="shared" si="39"/>
        <v>471</v>
      </c>
      <c r="AC57" s="462">
        <f t="shared" si="39"/>
        <v>462</v>
      </c>
      <c r="AD57" s="462">
        <f t="shared" si="39"/>
        <v>441</v>
      </c>
      <c r="AE57" s="500">
        <f t="shared" si="39"/>
        <v>1824</v>
      </c>
      <c r="AF57" s="462">
        <f t="shared" si="39"/>
        <v>459</v>
      </c>
      <c r="AG57" s="462">
        <f t="shared" si="39"/>
        <v>461</v>
      </c>
      <c r="AH57" s="462">
        <f t="shared" si="39"/>
        <v>423</v>
      </c>
      <c r="AI57" s="462">
        <f t="shared" ref="AI57:AY57" si="40">INDEX(MO_RIS_RD,0,COLUMN())</f>
        <v>431</v>
      </c>
      <c r="AJ57" s="500">
        <f t="shared" si="40"/>
        <v>1774</v>
      </c>
      <c r="AK57" s="462">
        <f t="shared" si="40"/>
        <v>451</v>
      </c>
      <c r="AL57" s="462">
        <f t="shared" si="40"/>
        <v>463</v>
      </c>
      <c r="AM57" s="462">
        <f t="shared" si="40"/>
        <v>436</v>
      </c>
      <c r="AN57" s="462">
        <f t="shared" si="40"/>
        <v>515</v>
      </c>
      <c r="AO57" s="500">
        <f t="shared" si="40"/>
        <v>1865</v>
      </c>
      <c r="AP57" s="462">
        <f t="shared" si="40"/>
        <v>512</v>
      </c>
      <c r="AQ57" s="462">
        <f t="shared" si="40"/>
        <v>417</v>
      </c>
      <c r="AR57" s="462">
        <f>INDEX(MO_RIS_RD,0,COLUMN())</f>
        <v>456</v>
      </c>
      <c r="AS57" s="462">
        <f>INDEX(MO_RIS_RD,0,COLUMN())</f>
        <v>450</v>
      </c>
      <c r="AT57" s="500">
        <f>INDEX(MO_RIS_RD,0,COLUMN())</f>
        <v>1835</v>
      </c>
      <c r="AU57" s="853">
        <f t="shared" si="40"/>
        <v>499</v>
      </c>
      <c r="AV57" s="462">
        <f t="shared" si="40"/>
        <v>467.76137120000004</v>
      </c>
      <c r="AW57" s="462">
        <f t="shared" si="40"/>
        <v>533.47989199999995</v>
      </c>
      <c r="AX57" s="462">
        <f t="shared" si="40"/>
        <v>547.92326460000004</v>
      </c>
      <c r="AY57" s="500">
        <f t="shared" si="40"/>
        <v>2048.1645278000001</v>
      </c>
      <c r="AZ57" s="462">
        <f t="shared" ref="AZ57:BG57" si="41">INDEX(MO_RIS_RD,0,COLUMN())</f>
        <v>578.53508370000009</v>
      </c>
      <c r="BA57" s="462">
        <f t="shared" si="41"/>
        <v>497.64809446300001</v>
      </c>
      <c r="BB57" s="462">
        <f t="shared" si="41"/>
        <v>567.78797364799993</v>
      </c>
      <c r="BC57" s="462">
        <f t="shared" si="41"/>
        <v>583.14044327800002</v>
      </c>
      <c r="BD57" s="500">
        <f t="shared" si="41"/>
        <v>2227.1115950889998</v>
      </c>
      <c r="BE57" s="500">
        <f t="shared" si="41"/>
        <v>2370.4790110675449</v>
      </c>
      <c r="BF57" s="500">
        <f t="shared" si="41"/>
        <v>2523.4751027350044</v>
      </c>
      <c r="BG57" s="500">
        <f t="shared" si="41"/>
        <v>2686.7696384307287</v>
      </c>
      <c r="BH57" s="199"/>
    </row>
    <row r="58" spans="1:60" s="156" customFormat="1" x14ac:dyDescent="0.35">
      <c r="A58" s="306" t="str">
        <f>INDEX(MO_RIS_EBITDA,0,COLUMN())</f>
        <v>EBITDA</v>
      </c>
      <c r="B58" s="307"/>
      <c r="C58" s="196">
        <f>IFERROR(INDEX(SP_GF_Rev,0,COLUMN()),0)-IFERROR(INDEX(SP_GF_COGS,0,COLUMN()),0)-IFERROR(INDEX(SP_GF_SGA,0,COLUMN()),0)-IFERROR(INDEX(SP_GF_SM,0,COLUMN()),0)-IFERROR(INDEX(SP_GF_GA,0,COLUMN()),0)-IFERROR(INDEX(SP_GF_OPEX,0,COLUMN()),0)-IFERROR(INDEX(SP_GF_RD,0,COLUMN()),0)</f>
        <v>6188</v>
      </c>
      <c r="D58" s="196">
        <f>IFERROR(INDEX(SP_GF_Rev,0,COLUMN()),0)-IFERROR(INDEX(SP_GF_COGS,0,COLUMN()),0)-IFERROR(INDEX(SP_GF_SGA,0,COLUMN()),0)-IFERROR(INDEX(SP_GF_SM,0,COLUMN()),0)-IFERROR(INDEX(SP_GF_GA,0,COLUMN()),0)-IFERROR(INDEX(SP_GF_OPEX,0,COLUMN()),0)-IFERROR(INDEX(SP_GF_RD,0,COLUMN()),0)</f>
        <v>7312</v>
      </c>
      <c r="E58" s="196">
        <f>IFERROR(INDEX(SP_GF_Rev,0,COLUMN()),0)-IFERROR(INDEX(SP_GF_COGS,0,COLUMN()),0)-IFERROR(INDEX(SP_GF_SGA,0,COLUMN()),0)-IFERROR(INDEX(SP_GF_SM,0,COLUMN()),0)-IFERROR(INDEX(SP_GF_GA,0,COLUMN()),0)-IFERROR(INDEX(SP_GF_OPEX,0,COLUMN()),0)-IFERROR(INDEX(SP_GF_RD,0,COLUMN()),0)</f>
        <v>7667</v>
      </c>
      <c r="F58" s="196">
        <f>IFERROR(INDEX(SP_GF_Rev,0,COLUMN()),0)-IFERROR(INDEX(SP_GF_COGS,0,COLUMN()),0)-IFERROR(INDEX(SP_GF_SGA,0,COLUMN()),0)-IFERROR(INDEX(SP_GF_SM,0,COLUMN()),0)-IFERROR(INDEX(SP_GF_GA,0,COLUMN()),0)-IFERROR(INDEX(SP_GF_OPEX,0,COLUMN()),0)-IFERROR(INDEX(SP_GF_RD,0,COLUMN()),0)</f>
        <v>7994</v>
      </c>
      <c r="G58" s="197">
        <f>IFERROR(INDEX(SP_GF_Rev,0,COLUMN()),0)-IFERROR(INDEX(SP_GF_COGS,0,COLUMN()),0)-IFERROR(INDEX(SP_GF_SGA,0,COLUMN()),0)-IFERROR(INDEX(SP_GF_SM,0,COLUMN()),0)-IFERROR(INDEX(SP_GF_GA,0,COLUMN()),0)-IFERROR(INDEX(SP_GF_OPEX,0,COLUMN()),0)-IFERROR(INDEX(SP_GF_RD,0,COLUMN()),0)</f>
        <v>2085</v>
      </c>
      <c r="H58" s="197">
        <f>IFERROR(INDEX(SP_GF_Rev,0,COLUMN()),0)-IFERROR(INDEX(SP_GF_COGS,0,COLUMN()),0)-IFERROR(INDEX(SP_GF_SGA,0,COLUMN()),0)-IFERROR(INDEX(SP_GF_SM,0,COLUMN()),0)-IFERROR(INDEX(SP_GF_GA,0,COLUMN()),0)-IFERROR(INDEX(SP_GF_OPEX,0,COLUMN()),0)-IFERROR(INDEX(SP_GF_RD,0,COLUMN()),0)</f>
        <v>2084</v>
      </c>
      <c r="I58" s="197">
        <f>IFERROR(INDEX(SP_GF_Rev,0,COLUMN()),0)-IFERROR(INDEX(SP_GF_COGS,0,COLUMN()),0)-IFERROR(INDEX(SP_GF_SGA,0,COLUMN()),0)-IFERROR(INDEX(SP_GF_SM,0,COLUMN()),0)-IFERROR(INDEX(SP_GF_GA,0,COLUMN()),0)-IFERROR(INDEX(SP_GF_OPEX,0,COLUMN()),0)-IFERROR(INDEX(SP_GF_RD,0,COLUMN()),0)</f>
        <v>2129</v>
      </c>
      <c r="J58" s="197">
        <f>IFERROR(INDEX(SP_GF_Rev,0,COLUMN()),0)-IFERROR(INDEX(SP_GF_COGS,0,COLUMN()),0)-IFERROR(INDEX(SP_GF_SGA,0,COLUMN()),0)-IFERROR(INDEX(SP_GF_SM,0,COLUMN()),0)-IFERROR(INDEX(SP_GF_GA,0,COLUMN()),0)-IFERROR(INDEX(SP_GF_OPEX,0,COLUMN()),0)-IFERROR(INDEX(SP_GF_RD,0,COLUMN()),0)</f>
        <v>1979</v>
      </c>
      <c r="K58" s="196">
        <f>IFERROR(INDEX(SP_GF_Rev,0,COLUMN()),0)-IFERROR(INDEX(SP_GF_COGS,0,COLUMN()),0)-IFERROR(INDEX(SP_GF_SGA,0,COLUMN()),0)-IFERROR(INDEX(SP_GF_SM,0,COLUMN()),0)-IFERROR(INDEX(SP_GF_GA,0,COLUMN()),0)-IFERROR(INDEX(SP_GF_OPEX,0,COLUMN()),0)-IFERROR(INDEX(SP_GF_RD,0,COLUMN()),0)</f>
        <v>8277</v>
      </c>
      <c r="L58" s="197">
        <f>IFERROR(INDEX(SP_GF_Rev,0,COLUMN()),0)-IFERROR(INDEX(SP_GF_COGS,0,COLUMN()),0)-IFERROR(INDEX(SP_GF_SGA,0,COLUMN()),0)-IFERROR(INDEX(SP_GF_SM,0,COLUMN()),0)-IFERROR(INDEX(SP_GF_GA,0,COLUMN()),0)-IFERROR(INDEX(SP_GF_OPEX,0,COLUMN()),0)-IFERROR(INDEX(SP_GF_RD,0,COLUMN()),0)</f>
        <v>2188</v>
      </c>
      <c r="M58" s="197">
        <f>IFERROR(INDEX(SP_GF_Rev,0,COLUMN()),0)-IFERROR(INDEX(SP_GF_COGS,0,COLUMN()),0)-IFERROR(INDEX(SP_GF_SGA,0,COLUMN()),0)-IFERROR(INDEX(SP_GF_SM,0,COLUMN()),0)-IFERROR(INDEX(SP_GF_GA,0,COLUMN()),0)-IFERROR(INDEX(SP_GF_OPEX,0,COLUMN()),0)-IFERROR(INDEX(SP_GF_RD,0,COLUMN()),0)</f>
        <v>2266</v>
      </c>
      <c r="N58" s="197">
        <f>IFERROR(INDEX(SP_GF_Rev,0,COLUMN()),0)-IFERROR(INDEX(SP_GF_COGS,0,COLUMN()),0)-IFERROR(INDEX(SP_GF_SGA,0,COLUMN()),0)-IFERROR(INDEX(SP_GF_SM,0,COLUMN()),0)-IFERROR(INDEX(SP_GF_GA,0,COLUMN()),0)-IFERROR(INDEX(SP_GF_OPEX,0,COLUMN()),0)-IFERROR(INDEX(SP_GF_RD,0,COLUMN()),0)</f>
        <v>2298</v>
      </c>
      <c r="O58" s="197">
        <f>IFERROR(INDEX(SP_GF_Rev,0,COLUMN()),0)-IFERROR(INDEX(SP_GF_COGS,0,COLUMN()),0)-IFERROR(INDEX(SP_GF_SGA,0,COLUMN()),0)-IFERROR(INDEX(SP_GF_SM,0,COLUMN()),0)-IFERROR(INDEX(SP_GF_GA,0,COLUMN()),0)-IFERROR(INDEX(SP_GF_OPEX,0,COLUMN()),0)-IFERROR(INDEX(SP_GF_RD,0,COLUMN()),0)</f>
        <v>2071</v>
      </c>
      <c r="P58" s="196">
        <f>IFERROR(INDEX(SP_GF_Rev,0,COLUMN()),0)-IFERROR(INDEX(SP_GF_COGS,0,COLUMN()),0)-IFERROR(INDEX(SP_GF_SGA,0,COLUMN()),0)-IFERROR(INDEX(SP_GF_SM,0,COLUMN()),0)-IFERROR(INDEX(SP_GF_GA,0,COLUMN()),0)-IFERROR(INDEX(SP_GF_OPEX,0,COLUMN()),0)-IFERROR(INDEX(SP_GF_RD,0,COLUMN()),0)</f>
        <v>8823</v>
      </c>
      <c r="Q58" s="197">
        <f>IFERROR(INDEX(SP_GF_Rev,0,COLUMN()),0)-IFERROR(INDEX(SP_GF_COGS,0,COLUMN()),0)-IFERROR(INDEX(SP_GF_SGA,0,COLUMN()),0)-IFERROR(INDEX(SP_GF_SM,0,COLUMN()),0)-IFERROR(INDEX(SP_GF_GA,0,COLUMN()),0)-IFERROR(INDEX(SP_GF_OPEX,0,COLUMN()),0)-IFERROR(INDEX(SP_GF_RD,0,COLUMN()),0)</f>
        <v>2207</v>
      </c>
      <c r="R58" s="197">
        <f>IFERROR(INDEX(SP_GF_Rev,0,COLUMN()),0)-IFERROR(INDEX(SP_GF_COGS,0,COLUMN()),0)-IFERROR(INDEX(SP_GF_SGA,0,COLUMN()),0)-IFERROR(INDEX(SP_GF_SM,0,COLUMN()),0)-IFERROR(INDEX(SP_GF_GA,0,COLUMN()),0)-IFERROR(INDEX(SP_GF_OPEX,0,COLUMN()),0)-IFERROR(INDEX(SP_GF_RD,0,COLUMN()),0)</f>
        <v>2233</v>
      </c>
      <c r="S58" s="197">
        <f>IFERROR(INDEX(SP_GF_Rev,0,COLUMN()),0)-IFERROR(INDEX(SP_GF_COGS,0,COLUMN()),0)-IFERROR(INDEX(SP_GF_SGA,0,COLUMN()),0)-IFERROR(INDEX(SP_GF_SM,0,COLUMN()),0)-IFERROR(INDEX(SP_GF_GA,0,COLUMN()),0)-IFERROR(INDEX(SP_GF_OPEX,0,COLUMN()),0)-IFERROR(INDEX(SP_GF_RD,0,COLUMN()),0)</f>
        <v>2277</v>
      </c>
      <c r="T58" s="197">
        <f>IFERROR(INDEX(SP_GF_Rev,0,COLUMN()),0)-IFERROR(INDEX(SP_GF_COGS,0,COLUMN()),0)-IFERROR(INDEX(SP_GF_SGA,0,COLUMN()),0)-IFERROR(INDEX(SP_GF_SM,0,COLUMN()),0)-IFERROR(INDEX(SP_GF_GA,0,COLUMN()),0)-IFERROR(INDEX(SP_GF_OPEX,0,COLUMN()),0)-IFERROR(INDEX(SP_GF_RD,0,COLUMN()),0)</f>
        <v>1940</v>
      </c>
      <c r="U58" s="196">
        <f>IFERROR(INDEX(SP_GF_Rev,0,COLUMN()),0)-IFERROR(INDEX(SP_GF_COGS,0,COLUMN()),0)-IFERROR(INDEX(SP_GF_SGA,0,COLUMN()),0)-IFERROR(INDEX(SP_GF_SM,0,COLUMN()),0)-IFERROR(INDEX(SP_GF_GA,0,COLUMN()),0)-IFERROR(INDEX(SP_GF_OPEX,0,COLUMN()),0)-IFERROR(INDEX(SP_GF_RD,0,COLUMN()),0)</f>
        <v>8657</v>
      </c>
      <c r="V58" s="197">
        <f>IFERROR(INDEX(SP_GF_Rev,0,COLUMN()),0)-IFERROR(INDEX(SP_GF_COGS,0,COLUMN()),0)-IFERROR(INDEX(SP_GF_SGA,0,COLUMN()),0)-IFERROR(INDEX(SP_GF_SM,0,COLUMN()),0)-IFERROR(INDEX(SP_GF_GA,0,COLUMN()),0)-IFERROR(INDEX(SP_GF_OPEX,0,COLUMN()),0)-IFERROR(INDEX(SP_GF_RD,0,COLUMN()),0)</f>
        <v>2288</v>
      </c>
      <c r="W58" s="197">
        <f>IFERROR(INDEX(SP_GF_Rev,0,COLUMN()),0)-IFERROR(INDEX(SP_GF_COGS,0,COLUMN()),0)-IFERROR(INDEX(SP_GF_SGA,0,COLUMN()),0)-IFERROR(INDEX(SP_GF_SM,0,COLUMN()),0)-IFERROR(INDEX(SP_GF_GA,0,COLUMN()),0)-IFERROR(INDEX(SP_GF_OPEX,0,COLUMN()),0)-IFERROR(INDEX(SP_GF_RD,0,COLUMN()),0)</f>
        <v>2281</v>
      </c>
      <c r="X58" s="197">
        <f>IFERROR(INDEX(SP_GF_Rev,0,COLUMN()),0)-IFERROR(INDEX(SP_GF_COGS,0,COLUMN()),0)-IFERROR(INDEX(SP_GF_SGA,0,COLUMN()),0)-IFERROR(INDEX(SP_GF_SM,0,COLUMN()),0)-IFERROR(INDEX(SP_GF_GA,0,COLUMN()),0)-IFERROR(INDEX(SP_GF_OPEX,0,COLUMN()),0)-IFERROR(INDEX(SP_GF_RD,0,COLUMN()),0)</f>
        <v>2323</v>
      </c>
      <c r="Y58" s="197">
        <f>IFERROR(INDEX(SP_GF_Rev,0,COLUMN()),0)-IFERROR(INDEX(SP_GF_COGS,0,COLUMN()),0)-IFERROR(INDEX(SP_GF_SGA,0,COLUMN()),0)-IFERROR(INDEX(SP_GF_SM,0,COLUMN()),0)-IFERROR(INDEX(SP_GF_GA,0,COLUMN()),0)-IFERROR(INDEX(SP_GF_OPEX,0,COLUMN()),0)-IFERROR(INDEX(SP_GF_RD,0,COLUMN()),0)</f>
        <v>2103</v>
      </c>
      <c r="Z58" s="196">
        <f>IFERROR(INDEX(SP_GF_Rev,0,COLUMN()),0)-IFERROR(INDEX(SP_GF_COGS,0,COLUMN()),0)-IFERROR(INDEX(SP_GF_SGA,0,COLUMN()),0)-IFERROR(INDEX(SP_GF_SM,0,COLUMN()),0)-IFERROR(INDEX(SP_GF_GA,0,COLUMN()),0)-IFERROR(INDEX(SP_GF_OPEX,0,COLUMN()),0)-IFERROR(INDEX(SP_GF_RD,0,COLUMN()),0)</f>
        <v>8995</v>
      </c>
      <c r="AA58" s="197">
        <f>IFERROR(INDEX(SP_GF_Rev,0,COLUMN()),0)-IFERROR(INDEX(SP_GF_COGS,0,COLUMN()),0)-IFERROR(INDEX(SP_GF_SGA,0,COLUMN()),0)-IFERROR(INDEX(SP_GF_SM,0,COLUMN()),0)-IFERROR(INDEX(SP_GF_GA,0,COLUMN()),0)-IFERROR(INDEX(SP_GF_OPEX,0,COLUMN()),0)-IFERROR(INDEX(SP_GF_RD,0,COLUMN()),0)</f>
        <v>2298</v>
      </c>
      <c r="AB58" s="197">
        <f>IFERROR(INDEX(SP_GF_Rev,0,COLUMN()),0)-IFERROR(INDEX(SP_GF_COGS,0,COLUMN()),0)-IFERROR(INDEX(SP_GF_SGA,0,COLUMN()),0)-IFERROR(INDEX(SP_GF_SM,0,COLUMN()),0)-IFERROR(INDEX(SP_GF_GA,0,COLUMN()),0)-IFERROR(INDEX(SP_GF_OPEX,0,COLUMN()),0)-IFERROR(INDEX(SP_GF_RD,0,COLUMN()),0)</f>
        <v>2131</v>
      </c>
      <c r="AC58" s="197">
        <f>IFERROR(INDEX(SP_GF_Rev,0,COLUMN()),0)-IFERROR(INDEX(SP_GF_COGS,0,COLUMN()),0)-IFERROR(INDEX(SP_GF_SGA,0,COLUMN()),0)-IFERROR(INDEX(SP_GF_SM,0,COLUMN()),0)-IFERROR(INDEX(SP_GF_GA,0,COLUMN()),0)-IFERROR(INDEX(SP_GF_OPEX,0,COLUMN()),0)-IFERROR(INDEX(SP_GF_RD,0,COLUMN()),0)</f>
        <v>2445</v>
      </c>
      <c r="AD58" s="197">
        <f>IFERROR(INDEX(SP_GF_Rev,0,COLUMN()),0)-IFERROR(INDEX(SP_GF_COGS,0,COLUMN()),0)-IFERROR(INDEX(SP_GF_SGA,0,COLUMN()),0)-IFERROR(INDEX(SP_GF_SM,0,COLUMN()),0)-IFERROR(INDEX(SP_GF_GA,0,COLUMN()),0)-IFERROR(INDEX(SP_GF_OPEX,0,COLUMN()),0)-IFERROR(INDEX(SP_GF_RD,0,COLUMN()),0)</f>
        <v>2100</v>
      </c>
      <c r="AE58" s="196">
        <f>IFERROR(INDEX(SP_GF_Rev,0,COLUMN()),0)-IFERROR(INDEX(SP_GF_COGS,0,COLUMN()),0)-IFERROR(INDEX(SP_GF_SGA,0,COLUMN()),0)-IFERROR(INDEX(SP_GF_SM,0,COLUMN()),0)-IFERROR(INDEX(SP_GF_GA,0,COLUMN()),0)-IFERROR(INDEX(SP_GF_OPEX,0,COLUMN()),0)-IFERROR(INDEX(SP_GF_RD,0,COLUMN()),0)</f>
        <v>8974</v>
      </c>
      <c r="AF58" s="197">
        <f>IFERROR(INDEX(SP_GF_Rev,0,COLUMN()),0)-IFERROR(INDEX(SP_GF_COGS,0,COLUMN()),0)-IFERROR(INDEX(SP_GF_SGA,0,COLUMN()),0)-IFERROR(INDEX(SP_GF_SM,0,COLUMN()),0)-IFERROR(INDEX(SP_GF_GA,0,COLUMN()),0)-IFERROR(INDEX(SP_GF_OPEX,0,COLUMN()),0)-IFERROR(INDEX(SP_GF_RD,0,COLUMN()),0)</f>
        <v>1524</v>
      </c>
      <c r="AG58" s="197">
        <f>IFERROR(INDEX(SP_GF_Rev,0,COLUMN()),0)-IFERROR(INDEX(SP_GF_COGS,0,COLUMN()),0)-IFERROR(INDEX(SP_GF_SGA,0,COLUMN()),0)-IFERROR(INDEX(SP_GF_SM,0,COLUMN()),0)-IFERROR(INDEX(SP_GF_GA,0,COLUMN()),0)-IFERROR(INDEX(SP_GF_OPEX,0,COLUMN()),0)-IFERROR(INDEX(SP_GF_RD,0,COLUMN()),0)</f>
        <v>2324</v>
      </c>
      <c r="AH58" s="197">
        <f>IFERROR(INDEX(SP_GF_Rev,0,COLUMN()),0)-IFERROR(INDEX(SP_GF_COGS,0,COLUMN()),0)-IFERROR(INDEX(SP_GF_SGA,0,COLUMN()),0)-IFERROR(INDEX(SP_GF_SM,0,COLUMN()),0)-IFERROR(INDEX(SP_GF_GA,0,COLUMN()),0)-IFERROR(INDEX(SP_GF_OPEX,0,COLUMN()),0)-IFERROR(INDEX(SP_GF_RD,0,COLUMN()),0)</f>
        <v>2421</v>
      </c>
      <c r="AI58" s="197">
        <f>IFERROR(INDEX(SP_GF_Rev,0,COLUMN()),0)-IFERROR(INDEX(SP_GF_COGS,0,COLUMN()),0)-IFERROR(INDEX(SP_GF_SGA,0,COLUMN()),0)-IFERROR(INDEX(SP_GF_SM,0,COLUMN()),0)-IFERROR(INDEX(SP_GF_GA,0,COLUMN()),0)-IFERROR(INDEX(SP_GF_OPEX,0,COLUMN()),0)-IFERROR(INDEX(SP_GF_RD,0,COLUMN()),0)</f>
        <v>2181</v>
      </c>
      <c r="AJ58" s="196">
        <f>IFERROR(INDEX(SP_GF_Rev,0,COLUMN()),0)-IFERROR(INDEX(SP_GF_COGS,0,COLUMN()),0)-IFERROR(INDEX(SP_GF_SGA,0,COLUMN()),0)-IFERROR(INDEX(SP_GF_SM,0,COLUMN()),0)-IFERROR(INDEX(SP_GF_GA,0,COLUMN()),0)-IFERROR(INDEX(SP_GF_OPEX,0,COLUMN()),0)-IFERROR(INDEX(SP_GF_RD,0,COLUMN()),0)</f>
        <v>8450</v>
      </c>
      <c r="AK58" s="197">
        <f>IFERROR(INDEX(SP_GF_Rev,0,COLUMN()),0)-IFERROR(INDEX(SP_GF_COGS,0,COLUMN()),0)-IFERROR(INDEX(SP_GF_SGA,0,COLUMN()),0)-IFERROR(INDEX(SP_GF_SM,0,COLUMN()),0)-IFERROR(INDEX(SP_GF_GA,0,COLUMN()),0)-IFERROR(INDEX(SP_GF_OPEX,0,COLUMN()),0)-IFERROR(INDEX(SP_GF_RD,0,COLUMN()),0)</f>
        <v>1633</v>
      </c>
      <c r="AL58" s="197">
        <f>IFERROR(INDEX(SP_GF_Rev,0,COLUMN()),0)-IFERROR(INDEX(SP_GF_COGS,0,COLUMN()),0)-IFERROR(INDEX(SP_GF_SGA,0,COLUMN()),0)-IFERROR(INDEX(SP_GF_SM,0,COLUMN()),0)-IFERROR(INDEX(SP_GF_GA,0,COLUMN()),0)-IFERROR(INDEX(SP_GF_OPEX,0,COLUMN()),0)-IFERROR(INDEX(SP_GF_RD,0,COLUMN()),0)</f>
        <v>2130</v>
      </c>
      <c r="AM58" s="197">
        <f>IFERROR(INDEX(SP_GF_Rev,0,COLUMN()),0)-IFERROR(INDEX(SP_GF_COGS,0,COLUMN()),0)-IFERROR(INDEX(SP_GF_SGA,0,COLUMN()),0)-IFERROR(INDEX(SP_GF_SM,0,COLUMN()),0)-IFERROR(INDEX(SP_GF_GA,0,COLUMN()),0)-IFERROR(INDEX(SP_GF_OPEX,0,COLUMN()),0)-IFERROR(INDEX(SP_GF_RD,0,COLUMN()),0)</f>
        <v>2332</v>
      </c>
      <c r="AN58" s="197">
        <f>IFERROR(INDEX(SP_GF_Rev,0,COLUMN()),0)-IFERROR(INDEX(SP_GF_COGS,0,COLUMN()),0)-IFERROR(INDEX(SP_GF_SGA,0,COLUMN()),0)-IFERROR(INDEX(SP_GF_SM,0,COLUMN()),0)-IFERROR(INDEX(SP_GF_GA,0,COLUMN()),0)-IFERROR(INDEX(SP_GF_OPEX,0,COLUMN()),0)-IFERROR(INDEX(SP_GF_RD,0,COLUMN()),0)</f>
        <v>1836</v>
      </c>
      <c r="AO58" s="196">
        <f>IFERROR(INDEX(SP_GF_Rev,0,COLUMN()),0)-IFERROR(INDEX(SP_GF_COGS,0,COLUMN()),0)-IFERROR(INDEX(SP_GF_SGA,0,COLUMN()),0)-IFERROR(INDEX(SP_GF_SM,0,COLUMN()),0)-IFERROR(INDEX(SP_GF_GA,0,COLUMN()),0)-IFERROR(INDEX(SP_GF_OPEX,0,COLUMN()),0)-IFERROR(INDEX(SP_GF_RD,0,COLUMN()),0)</f>
        <v>7931</v>
      </c>
      <c r="AP58" s="197">
        <f>IFERROR(INDEX(SP_GF_Rev,0,COLUMN()),0)-IFERROR(INDEX(SP_GF_COGS,0,COLUMN()),0)-IFERROR(INDEX(SP_GF_SGA,0,COLUMN()),0)-IFERROR(INDEX(SP_GF_SM,0,COLUMN()),0)-IFERROR(INDEX(SP_GF_GA,0,COLUMN()),0)-IFERROR(INDEX(SP_GF_OPEX,0,COLUMN()),0)-IFERROR(INDEX(SP_GF_RD,0,COLUMN()),0)</f>
        <v>2221</v>
      </c>
      <c r="AQ58" s="197">
        <f>IFERROR(INDEX(SP_GF_Rev,0,COLUMN()),0)-IFERROR(INDEX(SP_GF_COGS,0,COLUMN()),0)-IFERROR(INDEX(SP_GF_SGA,0,COLUMN()),0)-IFERROR(INDEX(SP_GF_SM,0,COLUMN()),0)-IFERROR(INDEX(SP_GF_GA,0,COLUMN()),0)-IFERROR(INDEX(SP_GF_OPEX,0,COLUMN()),0)-IFERROR(INDEX(SP_GF_RD,0,COLUMN()),0)</f>
        <v>1897</v>
      </c>
      <c r="AR58" s="197">
        <f>IFERROR(INDEX(SP_GF_Rev,0,COLUMN()),0)-IFERROR(INDEX(SP_GF_COGS,0,COLUMN()),0)-IFERROR(INDEX(SP_GF_SGA,0,COLUMN()),0)-IFERROR(INDEX(SP_GF_SM,0,COLUMN()),0)-IFERROR(INDEX(SP_GF_GA,0,COLUMN()),0)-IFERROR(INDEX(SP_GF_OPEX,0,COLUMN()),0)-IFERROR(INDEX(SP_GF_RD,0,COLUMN()),0)</f>
        <v>2434</v>
      </c>
      <c r="AS58" s="197">
        <f>IFERROR(INDEX(SP_GF_Rev,0,COLUMN()),0)-IFERROR(INDEX(SP_GF_COGS,0,COLUMN()),0)-IFERROR(INDEX(SP_GF_SGA,0,COLUMN()),0)-IFERROR(INDEX(SP_GF_SM,0,COLUMN()),0)-IFERROR(INDEX(SP_GF_GA,0,COLUMN()),0)-IFERROR(INDEX(SP_GF_OPEX,0,COLUMN()),0)-IFERROR(INDEX(SP_GF_RD,0,COLUMN()),0)</f>
        <v>2393</v>
      </c>
      <c r="AT58" s="196">
        <f>IFERROR(INDEX(SP_GF_Rev,0,COLUMN()),0)-IFERROR(INDEX(SP_GF_COGS,0,COLUMN()),0)-IFERROR(INDEX(SP_GF_SGA,0,COLUMN()),0)-IFERROR(INDEX(SP_GF_SM,0,COLUMN()),0)-IFERROR(INDEX(SP_GF_GA,0,COLUMN()),0)-IFERROR(INDEX(SP_GF_OPEX,0,COLUMN()),0)-IFERROR(INDEX(SP_GF_RD,0,COLUMN()),0)</f>
        <v>8945</v>
      </c>
      <c r="AU58" s="851">
        <f>IFERROR(INDEX(SP_GF_Rev,0,COLUMN()),0)-IFERROR(INDEX(SP_GF_COGS,0,COLUMN()),0)-IFERROR(INDEX(SP_GF_SGA,0,COLUMN()),0)-IFERROR(INDEX(SP_GF_SM,0,COLUMN()),0)-IFERROR(INDEX(SP_GF_GA,0,COLUMN()),0)-IFERROR(INDEX(SP_GF_OPEX,0,COLUMN()),0)-IFERROR(INDEX(SP_GF_RD,0,COLUMN()),0)</f>
        <v>2585</v>
      </c>
      <c r="AV58" s="197">
        <f>IFERROR(INDEX(SP_GF_Rev,0,COLUMN()),0)-IFERROR(INDEX(SP_GF_COGS,0,COLUMN()),0)-IFERROR(INDEX(SP_GF_SGA,0,COLUMN()),0)-IFERROR(INDEX(SP_GF_SM,0,COLUMN()),0)-IFERROR(INDEX(SP_GF_GA,0,COLUMN()),0)-IFERROR(INDEX(SP_GF_OPEX,0,COLUMN()),0)-IFERROR(INDEX(SP_GF_RD,0,COLUMN()),0)</f>
        <v>2170.9743848000007</v>
      </c>
      <c r="AW58" s="197">
        <f>IFERROR(INDEX(SP_GF_Rev,0,COLUMN()),0)-IFERROR(INDEX(SP_GF_COGS,0,COLUMN()),0)-IFERROR(INDEX(SP_GF_SGA,0,COLUMN()),0)-IFERROR(INDEX(SP_GF_SM,0,COLUMN()),0)-IFERROR(INDEX(SP_GF_GA,0,COLUMN()),0)-IFERROR(INDEX(SP_GF_OPEX,0,COLUMN()),0)-IFERROR(INDEX(SP_GF_RD,0,COLUMN()),0)</f>
        <v>2512.6915680000002</v>
      </c>
      <c r="AX58" s="197">
        <f>IFERROR(INDEX(SP_GF_Rev,0,COLUMN()),0)-IFERROR(INDEX(SP_GF_COGS,0,COLUMN()),0)-IFERROR(INDEX(SP_GF_SGA,0,COLUMN()),0)-IFERROR(INDEX(SP_GF_SM,0,COLUMN()),0)-IFERROR(INDEX(SP_GF_GA,0,COLUMN()),0)-IFERROR(INDEX(SP_GF_OPEX,0,COLUMN()),0)-IFERROR(INDEX(SP_GF_RD,0,COLUMN()),0)</f>
        <v>2615.0658084000002</v>
      </c>
      <c r="AY58" s="196">
        <f>IFERROR(INDEX(SP_GF_Rev,0,COLUMN()),0)-IFERROR(INDEX(SP_GF_COGS,0,COLUMN()),0)-IFERROR(INDEX(SP_GF_SGA,0,COLUMN()),0)-IFERROR(INDEX(SP_GF_SM,0,COLUMN()),0)-IFERROR(INDEX(SP_GF_GA,0,COLUMN()),0)-IFERROR(INDEX(SP_GF_OPEX,0,COLUMN()),0)-IFERROR(INDEX(SP_GF_RD,0,COLUMN()),0)</f>
        <v>9883.7317612000043</v>
      </c>
      <c r="AZ58" s="197">
        <f>IFERROR(INDEX(SP_GF_Rev,0,COLUMN()),0)-IFERROR(INDEX(SP_GF_COGS,0,COLUMN()),0)-IFERROR(INDEX(SP_GF_SGA,0,COLUMN()),0)-IFERROR(INDEX(SP_GF_SM,0,COLUMN()),0)-IFERROR(INDEX(SP_GF_GA,0,COLUMN()),0)-IFERROR(INDEX(SP_GF_OPEX,0,COLUMN()),0)-IFERROR(INDEX(SP_GF_RD,0,COLUMN()),0)</f>
        <v>2818.7461348000011</v>
      </c>
      <c r="BA58" s="197">
        <f>IFERROR(INDEX(SP_GF_Rev,0,COLUMN()),0)-IFERROR(INDEX(SP_GF_COGS,0,COLUMN()),0)-IFERROR(INDEX(SP_GF_SGA,0,COLUMN()),0)-IFERROR(INDEX(SP_GF_SM,0,COLUMN()),0)-IFERROR(INDEX(SP_GF_GA,0,COLUMN()),0)-IFERROR(INDEX(SP_GF_OPEX,0,COLUMN()),0)-IFERROR(INDEX(SP_GF_RD,0,COLUMN()),0)</f>
        <v>2450.6010443520008</v>
      </c>
      <c r="BB58" s="197">
        <f>IFERROR(INDEX(SP_GF_Rev,0,COLUMN()),0)-IFERROR(INDEX(SP_GF_COGS,0,COLUMN()),0)-IFERROR(INDEX(SP_GF_SGA,0,COLUMN()),0)-IFERROR(INDEX(SP_GF_SM,0,COLUMN()),0)-IFERROR(INDEX(SP_GF_GA,0,COLUMN()),0)-IFERROR(INDEX(SP_GF_OPEX,0,COLUMN()),0)-IFERROR(INDEX(SP_GF_RD,0,COLUMN()),0)</f>
        <v>2591.9490585920003</v>
      </c>
      <c r="BC58" s="197">
        <f>IFERROR(INDEX(SP_GF_Rev,0,COLUMN()),0)-IFERROR(INDEX(SP_GF_COGS,0,COLUMN()),0)-IFERROR(INDEX(SP_GF_SGA,0,COLUMN()),0)-IFERROR(INDEX(SP_GF_SM,0,COLUMN()),0)-IFERROR(INDEX(SP_GF_GA,0,COLUMN()),0)-IFERROR(INDEX(SP_GF_OPEX,0,COLUMN()),0)-IFERROR(INDEX(SP_GF_RD,0,COLUMN()),0)</f>
        <v>2815.4050496119999</v>
      </c>
      <c r="BD58" s="196">
        <f>IFERROR(INDEX(SP_GF_Rev,0,COLUMN()),0)-IFERROR(INDEX(SP_GF_COGS,0,COLUMN()),0)-IFERROR(INDEX(SP_GF_SGA,0,COLUMN()),0)-IFERROR(INDEX(SP_GF_SM,0,COLUMN()),0)-IFERROR(INDEX(SP_GF_GA,0,COLUMN()),0)-IFERROR(INDEX(SP_GF_OPEX,0,COLUMN()),0)-IFERROR(INDEX(SP_GF_RD,0,COLUMN()),0)</f>
        <v>10676.701287355998</v>
      </c>
      <c r="BE58" s="196">
        <f>IFERROR(INDEX(SP_GF_Rev,0,COLUMN()),0)-IFERROR(INDEX(SP_GF_COGS,0,COLUMN()),0)-IFERROR(INDEX(SP_GF_SGA,0,COLUMN()),0)-IFERROR(INDEX(SP_GF_SM,0,COLUMN()),0)-IFERROR(INDEX(SP_GF_GA,0,COLUMN()),0)-IFERROR(INDEX(SP_GF_OPEX,0,COLUMN()),0)-IFERROR(INDEX(SP_GF_RD,0,COLUMN()),0)</f>
        <v>11480.589153213179</v>
      </c>
      <c r="BF58" s="196">
        <f>IFERROR(INDEX(SP_GF_Rev,0,COLUMN()),0)-IFERROR(INDEX(SP_GF_COGS,0,COLUMN()),0)-IFERROR(INDEX(SP_GF_SGA,0,COLUMN()),0)-IFERROR(INDEX(SP_GF_SM,0,COLUMN()),0)-IFERROR(INDEX(SP_GF_GA,0,COLUMN()),0)-IFERROR(INDEX(SP_GF_OPEX,0,COLUMN()),0)-IFERROR(INDEX(SP_GF_RD,0,COLUMN()),0)</f>
        <v>12352.758610940777</v>
      </c>
      <c r="BG58" s="196">
        <f>IFERROR(INDEX(SP_GF_Rev,0,COLUMN()),0)-IFERROR(INDEX(SP_GF_COGS,0,COLUMN()),0)-IFERROR(INDEX(SP_GF_SGA,0,COLUMN()),0)-IFERROR(INDEX(SP_GF_SM,0,COLUMN()),0)-IFERROR(INDEX(SP_GF_GA,0,COLUMN()),0)-IFERROR(INDEX(SP_GF_OPEX,0,COLUMN()),0)-IFERROR(INDEX(SP_GF_RD,0,COLUMN()),0)</f>
        <v>13298.838469852109</v>
      </c>
      <c r="BH58" s="251"/>
    </row>
    <row r="59" spans="1:60" s="157" customFormat="1" x14ac:dyDescent="0.35">
      <c r="A59" s="308" t="str">
        <f>INDEX(MO_RIS_SBC,0,COLUMN())</f>
        <v>SBC</v>
      </c>
      <c r="B59" s="309"/>
      <c r="C59" s="198">
        <f t="shared" ref="C59:AH59" si="42">INDEX(MO_RIS_SBC,0,COLUMN())</f>
        <v>217</v>
      </c>
      <c r="D59" s="198">
        <f t="shared" si="42"/>
        <v>274</v>
      </c>
      <c r="E59" s="198">
        <f t="shared" si="42"/>
        <v>253</v>
      </c>
      <c r="F59" s="198">
        <f t="shared" si="42"/>
        <v>223</v>
      </c>
      <c r="G59" s="199">
        <f t="shared" si="42"/>
        <v>103</v>
      </c>
      <c r="H59" s="199">
        <f t="shared" si="42"/>
        <v>47</v>
      </c>
      <c r="I59" s="199">
        <f t="shared" si="42"/>
        <v>47</v>
      </c>
      <c r="J59" s="199">
        <f t="shared" si="42"/>
        <v>43</v>
      </c>
      <c r="K59" s="198">
        <f t="shared" si="42"/>
        <v>240</v>
      </c>
      <c r="L59" s="199">
        <f t="shared" si="42"/>
        <v>122</v>
      </c>
      <c r="M59" s="199">
        <f t="shared" si="42"/>
        <v>52</v>
      </c>
      <c r="N59" s="199">
        <f t="shared" si="42"/>
        <v>47</v>
      </c>
      <c r="O59" s="199">
        <f t="shared" si="42"/>
        <v>59</v>
      </c>
      <c r="P59" s="198">
        <f t="shared" si="42"/>
        <v>280</v>
      </c>
      <c r="Q59" s="199">
        <f t="shared" si="42"/>
        <v>138</v>
      </c>
      <c r="R59" s="199">
        <f t="shared" si="42"/>
        <v>49</v>
      </c>
      <c r="S59" s="199">
        <f t="shared" si="42"/>
        <v>46</v>
      </c>
      <c r="T59" s="199">
        <f t="shared" si="42"/>
        <v>43</v>
      </c>
      <c r="U59" s="198">
        <f t="shared" si="42"/>
        <v>276</v>
      </c>
      <c r="V59" s="199">
        <f t="shared" si="42"/>
        <v>144</v>
      </c>
      <c r="W59" s="199">
        <f t="shared" si="42"/>
        <v>49</v>
      </c>
      <c r="X59" s="199">
        <f t="shared" si="42"/>
        <v>51</v>
      </c>
      <c r="Y59" s="199">
        <f t="shared" si="42"/>
        <v>54</v>
      </c>
      <c r="Z59" s="198">
        <f t="shared" si="42"/>
        <v>298</v>
      </c>
      <c r="AA59" s="199">
        <f t="shared" si="42"/>
        <v>147</v>
      </c>
      <c r="AB59" s="199">
        <f t="shared" si="42"/>
        <v>59</v>
      </c>
      <c r="AC59" s="199">
        <f t="shared" si="42"/>
        <v>60</v>
      </c>
      <c r="AD59" s="199">
        <f t="shared" si="42"/>
        <v>58</v>
      </c>
      <c r="AE59" s="198">
        <f t="shared" si="42"/>
        <v>324</v>
      </c>
      <c r="AF59" s="199">
        <f t="shared" si="42"/>
        <v>159</v>
      </c>
      <c r="AG59" s="199">
        <f t="shared" si="42"/>
        <v>49</v>
      </c>
      <c r="AH59" s="199">
        <f t="shared" si="42"/>
        <v>50</v>
      </c>
      <c r="AI59" s="199">
        <f t="shared" ref="AI59:AY59" si="43">INDEX(MO_RIS_SBC,0,COLUMN())</f>
        <v>44</v>
      </c>
      <c r="AJ59" s="198">
        <f t="shared" si="43"/>
        <v>302</v>
      </c>
      <c r="AK59" s="199">
        <f t="shared" si="43"/>
        <v>130</v>
      </c>
      <c r="AL59" s="199">
        <f t="shared" si="43"/>
        <v>52</v>
      </c>
      <c r="AM59" s="199">
        <f t="shared" si="43"/>
        <v>48</v>
      </c>
      <c r="AN59" s="199">
        <f t="shared" si="43"/>
        <v>48</v>
      </c>
      <c r="AO59" s="198">
        <f t="shared" si="43"/>
        <v>278</v>
      </c>
      <c r="AP59" s="199">
        <f t="shared" si="43"/>
        <v>120</v>
      </c>
      <c r="AQ59" s="199">
        <f t="shared" si="43"/>
        <v>52</v>
      </c>
      <c r="AR59" s="199">
        <f>INDEX(MO_RIS_SBC,0,COLUMN())</f>
        <v>44</v>
      </c>
      <c r="AS59" s="199">
        <f>INDEX(MO_RIS_SBC,0,COLUMN())</f>
        <v>46</v>
      </c>
      <c r="AT59" s="198">
        <f>INDEX(MO_RIS_SBC,0,COLUMN())</f>
        <v>262</v>
      </c>
      <c r="AU59" s="852">
        <f t="shared" si="43"/>
        <v>131</v>
      </c>
      <c r="AV59" s="199">
        <f t="shared" si="43"/>
        <v>50</v>
      </c>
      <c r="AW59" s="199">
        <f t="shared" si="43"/>
        <v>50</v>
      </c>
      <c r="AX59" s="199">
        <f t="shared" si="43"/>
        <v>50</v>
      </c>
      <c r="AY59" s="198">
        <f t="shared" si="43"/>
        <v>281</v>
      </c>
      <c r="AZ59" s="199">
        <f t="shared" ref="AZ59:BG59" si="44">INDEX(MO_RIS_SBC,0,COLUMN())</f>
        <v>135</v>
      </c>
      <c r="BA59" s="199">
        <f t="shared" si="44"/>
        <v>50</v>
      </c>
      <c r="BB59" s="199">
        <f t="shared" si="44"/>
        <v>50</v>
      </c>
      <c r="BC59" s="199">
        <f t="shared" si="44"/>
        <v>50</v>
      </c>
      <c r="BD59" s="198">
        <f t="shared" si="44"/>
        <v>285</v>
      </c>
      <c r="BE59" s="198">
        <f t="shared" si="44"/>
        <v>285</v>
      </c>
      <c r="BF59" s="198">
        <f t="shared" si="44"/>
        <v>285</v>
      </c>
      <c r="BG59" s="198">
        <f t="shared" si="44"/>
        <v>285</v>
      </c>
      <c r="BH59" s="199"/>
    </row>
    <row r="60" spans="1:60" s="157" customFormat="1" x14ac:dyDescent="0.35">
      <c r="A60" s="308" t="str">
        <f>INDEX(MO_RIS_DA,0,COLUMN())</f>
        <v>D&amp;A</v>
      </c>
      <c r="B60" s="309"/>
      <c r="C60" s="198">
        <f t="shared" ref="C60:AH60" si="45">IFERROR(INDEX(MO_RIS_DA,0,COLUMN()),0)+IFERROR(INDEX(MO_RIS_DAintangibles,0,COLUMN()),0)</f>
        <v>1157</v>
      </c>
      <c r="D60" s="198">
        <f t="shared" si="45"/>
        <v>1120</v>
      </c>
      <c r="E60" s="198">
        <f t="shared" si="45"/>
        <v>1236</v>
      </c>
      <c r="F60" s="198">
        <f t="shared" si="45"/>
        <v>1288</v>
      </c>
      <c r="G60" s="199">
        <f t="shared" si="45"/>
        <v>336</v>
      </c>
      <c r="H60" s="199">
        <f t="shared" si="45"/>
        <v>335</v>
      </c>
      <c r="I60" s="199">
        <f t="shared" si="45"/>
        <v>343</v>
      </c>
      <c r="J60" s="199">
        <f t="shared" si="45"/>
        <v>357</v>
      </c>
      <c r="K60" s="198">
        <f t="shared" si="45"/>
        <v>1371</v>
      </c>
      <c r="L60" s="199">
        <f t="shared" si="45"/>
        <v>350</v>
      </c>
      <c r="M60" s="199">
        <f t="shared" si="45"/>
        <v>358</v>
      </c>
      <c r="N60" s="199">
        <f t="shared" si="45"/>
        <v>350</v>
      </c>
      <c r="O60" s="199">
        <f t="shared" si="45"/>
        <v>350</v>
      </c>
      <c r="P60" s="198">
        <f t="shared" si="45"/>
        <v>1408</v>
      </c>
      <c r="Q60" s="199">
        <f t="shared" si="45"/>
        <v>339</v>
      </c>
      <c r="R60" s="199">
        <f t="shared" si="45"/>
        <v>344</v>
      </c>
      <c r="S60" s="199">
        <f t="shared" si="45"/>
        <v>355</v>
      </c>
      <c r="T60" s="199">
        <f t="shared" si="45"/>
        <v>397</v>
      </c>
      <c r="U60" s="198">
        <f t="shared" si="45"/>
        <v>1435</v>
      </c>
      <c r="V60" s="199">
        <f t="shared" si="45"/>
        <v>356</v>
      </c>
      <c r="W60" s="199">
        <f t="shared" si="45"/>
        <v>366</v>
      </c>
      <c r="X60" s="199">
        <f t="shared" si="45"/>
        <v>368</v>
      </c>
      <c r="Y60" s="199">
        <f t="shared" si="45"/>
        <v>384</v>
      </c>
      <c r="Z60" s="198">
        <f t="shared" si="45"/>
        <v>1474</v>
      </c>
      <c r="AA60" s="199">
        <f t="shared" si="45"/>
        <v>438</v>
      </c>
      <c r="AB60" s="199">
        <f t="shared" si="45"/>
        <v>380</v>
      </c>
      <c r="AC60" s="199">
        <f t="shared" si="45"/>
        <v>377</v>
      </c>
      <c r="AD60" s="199">
        <f t="shared" si="45"/>
        <v>349</v>
      </c>
      <c r="AE60" s="198">
        <f t="shared" si="45"/>
        <v>1544</v>
      </c>
      <c r="AF60" s="199">
        <f t="shared" si="45"/>
        <v>382</v>
      </c>
      <c r="AG60" s="199">
        <f t="shared" si="45"/>
        <v>380</v>
      </c>
      <c r="AH60" s="199">
        <f t="shared" si="45"/>
        <v>355</v>
      </c>
      <c r="AI60" s="199">
        <f t="shared" ref="AI60:AY60" si="46">IFERROR(INDEX(MO_RIS_DA,0,COLUMN()),0)+IFERROR(INDEX(MO_RIS_DAintangibles,0,COLUMN()),0)</f>
        <v>371</v>
      </c>
      <c r="AJ60" s="198">
        <f t="shared" si="46"/>
        <v>1488</v>
      </c>
      <c r="AK60" s="199">
        <f t="shared" si="46"/>
        <v>375</v>
      </c>
      <c r="AL60" s="199">
        <f t="shared" si="46"/>
        <v>376</v>
      </c>
      <c r="AM60" s="199">
        <f t="shared" si="46"/>
        <v>379</v>
      </c>
      <c r="AN60" s="199">
        <f t="shared" si="46"/>
        <v>463</v>
      </c>
      <c r="AO60" s="198">
        <f t="shared" si="46"/>
        <v>1593</v>
      </c>
      <c r="AP60" s="199">
        <f t="shared" si="46"/>
        <v>440</v>
      </c>
      <c r="AQ60" s="199">
        <f t="shared" si="46"/>
        <v>492</v>
      </c>
      <c r="AR60" s="199">
        <f>IFERROR(INDEX(MO_RIS_DA,0,COLUMN()),0)+IFERROR(INDEX(MO_RIS_DAintangibles,0,COLUMN()),0)</f>
        <v>481</v>
      </c>
      <c r="AS60" s="199">
        <f>IFERROR(INDEX(MO_RIS_DA,0,COLUMN()),0)+IFERROR(INDEX(MO_RIS_DAintangibles,0,COLUMN()),0)</f>
        <v>498</v>
      </c>
      <c r="AT60" s="198">
        <f>IFERROR(INDEX(MO_RIS_DA,0,COLUMN()),0)+IFERROR(INDEX(MO_RIS_DAintangibles,0,COLUMN()),0)</f>
        <v>1911</v>
      </c>
      <c r="AU60" s="852">
        <f t="shared" si="46"/>
        <v>460</v>
      </c>
      <c r="AV60" s="199">
        <f t="shared" si="46"/>
        <v>425</v>
      </c>
      <c r="AW60" s="199">
        <f t="shared" si="46"/>
        <v>425</v>
      </c>
      <c r="AX60" s="199">
        <f t="shared" si="46"/>
        <v>425</v>
      </c>
      <c r="AY60" s="198">
        <f t="shared" si="46"/>
        <v>1735</v>
      </c>
      <c r="AZ60" s="199">
        <f t="shared" ref="AZ60:BG60" si="47">IFERROR(INDEX(MO_RIS_DA,0,COLUMN()),0)+IFERROR(INDEX(MO_RIS_DAintangibles,0,COLUMN()),0)</f>
        <v>425</v>
      </c>
      <c r="BA60" s="199">
        <f t="shared" si="47"/>
        <v>425</v>
      </c>
      <c r="BB60" s="199">
        <f t="shared" si="47"/>
        <v>425</v>
      </c>
      <c r="BC60" s="199">
        <f t="shared" si="47"/>
        <v>425</v>
      </c>
      <c r="BD60" s="198">
        <f t="shared" si="47"/>
        <v>1700</v>
      </c>
      <c r="BE60" s="198">
        <f t="shared" si="47"/>
        <v>1700</v>
      </c>
      <c r="BF60" s="198">
        <f t="shared" si="47"/>
        <v>1700</v>
      </c>
      <c r="BG60" s="198">
        <f t="shared" si="47"/>
        <v>1700</v>
      </c>
      <c r="BH60" s="199"/>
    </row>
    <row r="61" spans="1:60" s="252" customFormat="1" x14ac:dyDescent="0.35">
      <c r="A61" s="308" t="str">
        <f>INDEX(MO_RIS_OI_Operating,0,COLUMN())</f>
        <v>Other</v>
      </c>
      <c r="B61" s="309"/>
      <c r="C61" s="198">
        <f t="shared" ref="C61:AH61" si="48">INDEX(MO_RIS_OI_Operating,0,COLUMN())</f>
        <v>0</v>
      </c>
      <c r="D61" s="198">
        <f t="shared" si="48"/>
        <v>0</v>
      </c>
      <c r="E61" s="198">
        <f t="shared" si="48"/>
        <v>0</v>
      </c>
      <c r="F61" s="198">
        <f t="shared" si="48"/>
        <v>0</v>
      </c>
      <c r="G61" s="199">
        <f t="shared" si="48"/>
        <v>0</v>
      </c>
      <c r="H61" s="199">
        <f t="shared" si="48"/>
        <v>0</v>
      </c>
      <c r="I61" s="199">
        <f t="shared" si="48"/>
        <v>0</v>
      </c>
      <c r="J61" s="199">
        <f t="shared" si="48"/>
        <v>0</v>
      </c>
      <c r="K61" s="198">
        <f t="shared" si="48"/>
        <v>0</v>
      </c>
      <c r="L61" s="199">
        <f t="shared" si="48"/>
        <v>0</v>
      </c>
      <c r="M61" s="199">
        <f t="shared" si="48"/>
        <v>0</v>
      </c>
      <c r="N61" s="199">
        <f t="shared" si="48"/>
        <v>0</v>
      </c>
      <c r="O61" s="199">
        <f t="shared" si="48"/>
        <v>0</v>
      </c>
      <c r="P61" s="198">
        <f t="shared" si="48"/>
        <v>0</v>
      </c>
      <c r="Q61" s="199">
        <f t="shared" si="48"/>
        <v>0</v>
      </c>
      <c r="R61" s="199">
        <f t="shared" si="48"/>
        <v>0</v>
      </c>
      <c r="S61" s="199">
        <f t="shared" si="48"/>
        <v>0</v>
      </c>
      <c r="T61" s="199">
        <f t="shared" si="48"/>
        <v>0</v>
      </c>
      <c r="U61" s="198">
        <f t="shared" si="48"/>
        <v>0</v>
      </c>
      <c r="V61" s="199">
        <f t="shared" si="48"/>
        <v>0</v>
      </c>
      <c r="W61" s="199">
        <f t="shared" si="48"/>
        <v>0</v>
      </c>
      <c r="X61" s="199">
        <f t="shared" si="48"/>
        <v>0</v>
      </c>
      <c r="Y61" s="199">
        <f t="shared" si="48"/>
        <v>0</v>
      </c>
      <c r="Z61" s="198">
        <f t="shared" si="48"/>
        <v>0</v>
      </c>
      <c r="AA61" s="199">
        <f t="shared" si="48"/>
        <v>-29</v>
      </c>
      <c r="AB61" s="199">
        <f t="shared" si="48"/>
        <v>-461</v>
      </c>
      <c r="AC61" s="199">
        <f t="shared" si="48"/>
        <v>0</v>
      </c>
      <c r="AD61" s="199">
        <f t="shared" si="48"/>
        <v>-96</v>
      </c>
      <c r="AE61" s="198">
        <f t="shared" si="48"/>
        <v>-586</v>
      </c>
      <c r="AF61" s="199">
        <f t="shared" si="48"/>
        <v>-24</v>
      </c>
      <c r="AG61" s="199">
        <f t="shared" si="48"/>
        <v>-506</v>
      </c>
      <c r="AH61" s="199">
        <f t="shared" si="48"/>
        <v>0</v>
      </c>
      <c r="AI61" s="199">
        <f t="shared" ref="AI61:AY61" si="49">INDEX(MO_RIS_OI_Operating,0,COLUMN())</f>
        <v>-17</v>
      </c>
      <c r="AJ61" s="198">
        <f t="shared" si="49"/>
        <v>-547</v>
      </c>
      <c r="AK61" s="199">
        <f t="shared" si="49"/>
        <v>-8</v>
      </c>
      <c r="AL61" s="199">
        <f t="shared" si="49"/>
        <v>0</v>
      </c>
      <c r="AM61" s="199">
        <f t="shared" si="49"/>
        <v>-106</v>
      </c>
      <c r="AN61" s="199">
        <f t="shared" si="49"/>
        <v>0</v>
      </c>
      <c r="AO61" s="198">
        <f t="shared" si="49"/>
        <v>-114</v>
      </c>
      <c r="AP61" s="199">
        <f t="shared" si="49"/>
        <v>-2</v>
      </c>
      <c r="AQ61" s="199">
        <f t="shared" si="49"/>
        <v>-387</v>
      </c>
      <c r="AR61" s="199">
        <f>INDEX(MO_RIS_OI_Operating,0,COLUMN())</f>
        <v>0</v>
      </c>
      <c r="AS61" s="199">
        <f>INDEX(MO_RIS_OI_Operating,0,COLUMN())</f>
        <v>0</v>
      </c>
      <c r="AT61" s="198">
        <f>INDEX(MO_RIS_OI_Operating,0,COLUMN())</f>
        <v>-389</v>
      </c>
      <c r="AU61" s="852">
        <f t="shared" si="49"/>
        <v>0</v>
      </c>
      <c r="AV61" s="199">
        <f t="shared" si="49"/>
        <v>0</v>
      </c>
      <c r="AW61" s="199">
        <f t="shared" si="49"/>
        <v>0</v>
      </c>
      <c r="AX61" s="199">
        <f t="shared" si="49"/>
        <v>0</v>
      </c>
      <c r="AY61" s="198">
        <f t="shared" si="49"/>
        <v>0</v>
      </c>
      <c r="AZ61" s="199">
        <f t="shared" ref="AZ61:BG61" si="50">INDEX(MO_RIS_OI_Operating,0,COLUMN())</f>
        <v>0</v>
      </c>
      <c r="BA61" s="199">
        <f t="shared" si="50"/>
        <v>0</v>
      </c>
      <c r="BB61" s="199">
        <f t="shared" si="50"/>
        <v>0</v>
      </c>
      <c r="BC61" s="199">
        <f t="shared" si="50"/>
        <v>0</v>
      </c>
      <c r="BD61" s="198">
        <f t="shared" si="50"/>
        <v>0</v>
      </c>
      <c r="BE61" s="198">
        <f t="shared" si="50"/>
        <v>0</v>
      </c>
      <c r="BF61" s="198">
        <f t="shared" si="50"/>
        <v>0</v>
      </c>
      <c r="BG61" s="198">
        <f t="shared" si="50"/>
        <v>0</v>
      </c>
      <c r="BH61" s="199"/>
    </row>
    <row r="62" spans="1:60" s="156" customFormat="1" x14ac:dyDescent="0.35">
      <c r="A62" s="306" t="str">
        <f>INDEX(MO_RIS_EBIT,0,COLUMN())</f>
        <v>EBIT</v>
      </c>
      <c r="B62" s="307"/>
      <c r="C62" s="196">
        <f t="shared" ref="C62:AH62" si="51">INDEX(SP_GF_EBITDA,0,COLUMN())-INDEX(SP_GF_SBC,0,COLUMN())-INDEX(SP_GF_DA,0,COLUMN())-INDEX(SP_GF_OI_Operating,0,COLUMN())</f>
        <v>4814</v>
      </c>
      <c r="D62" s="196">
        <f t="shared" si="51"/>
        <v>5918</v>
      </c>
      <c r="E62" s="196">
        <f t="shared" si="51"/>
        <v>6178</v>
      </c>
      <c r="F62" s="196">
        <f t="shared" si="51"/>
        <v>6483</v>
      </c>
      <c r="G62" s="197">
        <f t="shared" si="51"/>
        <v>1646</v>
      </c>
      <c r="H62" s="197">
        <f t="shared" si="51"/>
        <v>1702</v>
      </c>
      <c r="I62" s="197">
        <f t="shared" si="51"/>
        <v>1739</v>
      </c>
      <c r="J62" s="197">
        <f t="shared" si="51"/>
        <v>1579</v>
      </c>
      <c r="K62" s="196">
        <f t="shared" si="51"/>
        <v>6666</v>
      </c>
      <c r="L62" s="197">
        <f t="shared" si="51"/>
        <v>1716</v>
      </c>
      <c r="M62" s="197">
        <f t="shared" si="51"/>
        <v>1856</v>
      </c>
      <c r="N62" s="197">
        <f t="shared" si="51"/>
        <v>1901</v>
      </c>
      <c r="O62" s="197">
        <f t="shared" si="51"/>
        <v>1662</v>
      </c>
      <c r="P62" s="196">
        <f t="shared" si="51"/>
        <v>7135</v>
      </c>
      <c r="Q62" s="197">
        <f t="shared" si="51"/>
        <v>1730</v>
      </c>
      <c r="R62" s="197">
        <f t="shared" si="51"/>
        <v>1840</v>
      </c>
      <c r="S62" s="197">
        <f t="shared" si="51"/>
        <v>1876</v>
      </c>
      <c r="T62" s="197">
        <f t="shared" si="51"/>
        <v>1500</v>
      </c>
      <c r="U62" s="196">
        <f t="shared" si="51"/>
        <v>6946</v>
      </c>
      <c r="V62" s="197">
        <f t="shared" si="51"/>
        <v>1788</v>
      </c>
      <c r="W62" s="197">
        <f t="shared" si="51"/>
        <v>1866</v>
      </c>
      <c r="X62" s="197">
        <f t="shared" si="51"/>
        <v>1904</v>
      </c>
      <c r="Y62" s="197">
        <f t="shared" si="51"/>
        <v>1665</v>
      </c>
      <c r="Z62" s="196">
        <f t="shared" si="51"/>
        <v>7223</v>
      </c>
      <c r="AA62" s="197">
        <f t="shared" si="51"/>
        <v>1742</v>
      </c>
      <c r="AB62" s="197">
        <f t="shared" si="51"/>
        <v>2153</v>
      </c>
      <c r="AC62" s="197">
        <f t="shared" si="51"/>
        <v>2008</v>
      </c>
      <c r="AD62" s="197">
        <f t="shared" si="51"/>
        <v>1789</v>
      </c>
      <c r="AE62" s="196">
        <f t="shared" si="51"/>
        <v>7692</v>
      </c>
      <c r="AF62" s="197">
        <f t="shared" si="51"/>
        <v>1007</v>
      </c>
      <c r="AG62" s="197">
        <f t="shared" si="51"/>
        <v>2401</v>
      </c>
      <c r="AH62" s="197">
        <f t="shared" si="51"/>
        <v>2016</v>
      </c>
      <c r="AI62" s="197">
        <f t="shared" ref="AI62:AY62" si="52">INDEX(SP_GF_EBITDA,0,COLUMN())-INDEX(SP_GF_SBC,0,COLUMN())-INDEX(SP_GF_DA,0,COLUMN())-INDEX(SP_GF_OI_Operating,0,COLUMN())</f>
        <v>1783</v>
      </c>
      <c r="AJ62" s="196">
        <f t="shared" si="52"/>
        <v>7207</v>
      </c>
      <c r="AK62" s="197">
        <f t="shared" si="52"/>
        <v>1136</v>
      </c>
      <c r="AL62" s="197">
        <f t="shared" si="52"/>
        <v>1702</v>
      </c>
      <c r="AM62" s="197">
        <f t="shared" si="52"/>
        <v>2011</v>
      </c>
      <c r="AN62" s="197">
        <f t="shared" si="52"/>
        <v>1325</v>
      </c>
      <c r="AO62" s="196">
        <f t="shared" si="52"/>
        <v>6174</v>
      </c>
      <c r="AP62" s="197">
        <f t="shared" si="52"/>
        <v>1663</v>
      </c>
      <c r="AQ62" s="197">
        <f t="shared" si="52"/>
        <v>1740</v>
      </c>
      <c r="AR62" s="197">
        <f>INDEX(SP_GF_EBITDA,0,COLUMN())-INDEX(SP_GF_SBC,0,COLUMN())-INDEX(SP_GF_DA,0,COLUMN())-INDEX(SP_GF_OI_Operating,0,COLUMN())</f>
        <v>1909</v>
      </c>
      <c r="AS62" s="197">
        <f>INDEX(SP_GF_EBITDA,0,COLUMN())-INDEX(SP_GF_SBC,0,COLUMN())-INDEX(SP_GF_DA,0,COLUMN())-INDEX(SP_GF_OI_Operating,0,COLUMN())</f>
        <v>1849</v>
      </c>
      <c r="AT62" s="196">
        <f>INDEX(SP_GF_EBITDA,0,COLUMN())-INDEX(SP_GF_SBC,0,COLUMN())-INDEX(SP_GF_DA,0,COLUMN())-INDEX(SP_GF_OI_Operating,0,COLUMN())</f>
        <v>7161</v>
      </c>
      <c r="AU62" s="851">
        <f t="shared" si="52"/>
        <v>1994</v>
      </c>
      <c r="AV62" s="197">
        <f t="shared" si="52"/>
        <v>1695.9743848000007</v>
      </c>
      <c r="AW62" s="197">
        <f t="shared" si="52"/>
        <v>2037.6915680000002</v>
      </c>
      <c r="AX62" s="197">
        <f t="shared" si="52"/>
        <v>2140.0658084000002</v>
      </c>
      <c r="AY62" s="196">
        <f t="shared" si="52"/>
        <v>7867.7317612000043</v>
      </c>
      <c r="AZ62" s="197">
        <f t="shared" ref="AZ62:BG62" si="53">INDEX(SP_GF_EBITDA,0,COLUMN())-INDEX(SP_GF_SBC,0,COLUMN())-INDEX(SP_GF_DA,0,COLUMN())-INDEX(SP_GF_OI_Operating,0,COLUMN())</f>
        <v>2258.7461348000011</v>
      </c>
      <c r="BA62" s="197">
        <f t="shared" si="53"/>
        <v>1975.6010443520008</v>
      </c>
      <c r="BB62" s="197">
        <f t="shared" si="53"/>
        <v>2116.9490585920003</v>
      </c>
      <c r="BC62" s="197">
        <f t="shared" si="53"/>
        <v>2340.4050496119999</v>
      </c>
      <c r="BD62" s="196">
        <f t="shared" si="53"/>
        <v>8691.7012873559979</v>
      </c>
      <c r="BE62" s="196">
        <f t="shared" si="53"/>
        <v>9495.5891532131791</v>
      </c>
      <c r="BF62" s="196">
        <f t="shared" si="53"/>
        <v>10367.758610940777</v>
      </c>
      <c r="BG62" s="196">
        <f t="shared" si="53"/>
        <v>11313.838469852109</v>
      </c>
      <c r="BH62" s="251"/>
    </row>
    <row r="63" spans="1:60" s="157" customFormat="1" x14ac:dyDescent="0.35">
      <c r="A63" s="308" t="str">
        <f>INDEX(MO_RIS_IE,0,COLUMN())</f>
        <v>Interest expense</v>
      </c>
      <c r="B63" s="309"/>
      <c r="C63" s="198">
        <f>IFERROR(INDEX(MO_RIS_IE_Net,0,COLUMN()),INDEX(MO_RIS_IE,0,COLUMN())+INDEX(MO_RIS_II,0,COLUMN()))</f>
        <v>182</v>
      </c>
      <c r="D63" s="198">
        <f>IFERROR(INDEX(MO_RIS_IE_Net,0,COLUMN()),INDEX(MO_RIS_IE,0,COLUMN())+INDEX(MO_RIS_II,0,COLUMN()))</f>
        <v>163</v>
      </c>
      <c r="E63" s="198">
        <f>IFERROR(INDEX(MO_RIS_IE_Net,0,COLUMN()),INDEX(MO_RIS_IE,0,COLUMN())+INDEX(MO_RIS_II,0,COLUMN()))</f>
        <v>147</v>
      </c>
      <c r="F63" s="198">
        <f>IFERROR(INDEX(MO_RIS_IE_Net,0,COLUMN()),INDEX(MO_RIS_IE,0,COLUMN())+INDEX(MO_RIS_II,0,COLUMN()))</f>
        <v>132</v>
      </c>
      <c r="G63" s="199">
        <f>IFERROR(INDEX(MO_RIS_IE_Net,0,COLUMN()),INDEX(MO_RIS_IE,0,COLUMN())+INDEX(MO_RIS_II,0,COLUMN()))</f>
        <v>29</v>
      </c>
      <c r="H63" s="199">
        <f>IFERROR(INDEX(MO_RIS_IE_Net,0,COLUMN()),INDEX(MO_RIS_IE,0,COLUMN())+INDEX(MO_RIS_II,0,COLUMN()))</f>
        <v>31</v>
      </c>
      <c r="I63" s="199">
        <f>IFERROR(INDEX(MO_RIS_IE_Net,0,COLUMN()),INDEX(MO_RIS_IE,0,COLUMN())+INDEX(MO_RIS_II,0,COLUMN()))</f>
        <v>23</v>
      </c>
      <c r="J63" s="199">
        <f>IFERROR(INDEX(MO_RIS_IE_Net,0,COLUMN()),INDEX(MO_RIS_IE,0,COLUMN())+INDEX(MO_RIS_II,0,COLUMN()))</f>
        <v>21</v>
      </c>
      <c r="K63" s="198">
        <f>IFERROR(INDEX(MO_RIS_IE_Net,0,COLUMN()),INDEX(MO_RIS_IE,0,COLUMN())+INDEX(MO_RIS_II,0,COLUMN()))</f>
        <v>104</v>
      </c>
      <c r="L63" s="199">
        <f>IFERROR(INDEX(MO_RIS_IE_Net,0,COLUMN()),INDEX(MO_RIS_IE,0,COLUMN())+INDEX(MO_RIS_II,0,COLUMN()))</f>
        <v>28</v>
      </c>
      <c r="M63" s="199">
        <f>IFERROR(INDEX(MO_RIS_IE_Net,0,COLUMN()),INDEX(MO_RIS_IE,0,COLUMN())+INDEX(MO_RIS_II,0,COLUMN()))</f>
        <v>36</v>
      </c>
      <c r="N63" s="199">
        <f>IFERROR(INDEX(MO_RIS_IE_Net,0,COLUMN()),INDEX(MO_RIS_IE,0,COLUMN())+INDEX(MO_RIS_II,0,COLUMN()))</f>
        <v>21</v>
      </c>
      <c r="O63" s="199">
        <f>IFERROR(INDEX(MO_RIS_IE_Net,0,COLUMN()),INDEX(MO_RIS_IE,0,COLUMN())+INDEX(MO_RIS_II,0,COLUMN()))</f>
        <v>24</v>
      </c>
      <c r="P63" s="198">
        <f>IFERROR(INDEX(MO_RIS_IE_Net,0,COLUMN()),INDEX(MO_RIS_IE,0,COLUMN())+INDEX(MO_RIS_II,0,COLUMN()))</f>
        <v>109</v>
      </c>
      <c r="Q63" s="199">
        <f>IFERROR(INDEX(MO_RIS_IE_Net,0,COLUMN()),INDEX(MO_RIS_IE,0,COLUMN())+INDEX(MO_RIS_II,0,COLUMN()))</f>
        <v>27</v>
      </c>
      <c r="R63" s="199">
        <f>IFERROR(INDEX(MO_RIS_IE_Net,0,COLUMN()),INDEX(MO_RIS_IE,0,COLUMN())+INDEX(MO_RIS_II,0,COLUMN()))</f>
        <v>28</v>
      </c>
      <c r="S63" s="199">
        <f>IFERROR(INDEX(MO_RIS_IE_Net,0,COLUMN()),INDEX(MO_RIS_IE,0,COLUMN())+INDEX(MO_RIS_II,0,COLUMN()))</f>
        <v>31</v>
      </c>
      <c r="T63" s="199">
        <f>IFERROR(INDEX(MO_RIS_IE_Net,0,COLUMN()),INDEX(MO_RIS_IE,0,COLUMN())+INDEX(MO_RIS_II,0,COLUMN()))</f>
        <v>37</v>
      </c>
      <c r="U63" s="198">
        <f>IFERROR(INDEX(MO_RIS_IE_Net,0,COLUMN()),INDEX(MO_RIS_IE,0,COLUMN())+INDEX(MO_RIS_II,0,COLUMN()))</f>
        <v>123</v>
      </c>
      <c r="V63" s="199">
        <f>IFERROR(INDEX(MO_RIS_IE_Net,0,COLUMN()),INDEX(MO_RIS_IE,0,COLUMN())+INDEX(MO_RIS_II,0,COLUMN()))</f>
        <v>42</v>
      </c>
      <c r="W63" s="199">
        <f>IFERROR(INDEX(MO_RIS_IE_Net,0,COLUMN()),INDEX(MO_RIS_IE,0,COLUMN())+INDEX(MO_RIS_II,0,COLUMN()))</f>
        <v>31</v>
      </c>
      <c r="X63" s="199">
        <f>IFERROR(INDEX(MO_RIS_IE_Net,0,COLUMN()),INDEX(MO_RIS_IE,0,COLUMN())+INDEX(MO_RIS_II,0,COLUMN()))</f>
        <v>42</v>
      </c>
      <c r="Y63" s="199">
        <f>IFERROR(INDEX(MO_RIS_IE_Net,0,COLUMN()),INDEX(MO_RIS_IE,0,COLUMN())+INDEX(MO_RIS_II,0,COLUMN()))</f>
        <v>55</v>
      </c>
      <c r="Z63" s="198">
        <f>IFERROR(INDEX(MO_RIS_IE_Net,0,COLUMN()),INDEX(MO_RIS_IE,0,COLUMN())+INDEX(MO_RIS_II,0,COLUMN()))</f>
        <v>170</v>
      </c>
      <c r="AA63" s="199">
        <f>IFERROR(INDEX(MO_RIS_IE_Net,0,COLUMN()),INDEX(MO_RIS_IE,0,COLUMN())+INDEX(MO_RIS_II,0,COLUMN()))</f>
        <v>37</v>
      </c>
      <c r="AB63" s="199">
        <f>IFERROR(INDEX(MO_RIS_IE_Net,0,COLUMN()),INDEX(MO_RIS_IE,0,COLUMN())+INDEX(MO_RIS_II,0,COLUMN()))</f>
        <v>42</v>
      </c>
      <c r="AC63" s="199">
        <f>IFERROR(INDEX(MO_RIS_IE_Net,0,COLUMN()),INDEX(MO_RIS_IE,0,COLUMN())+INDEX(MO_RIS_II,0,COLUMN()))</f>
        <v>44</v>
      </c>
      <c r="AD63" s="199">
        <f>IFERROR(INDEX(MO_RIS_IE_Net,0,COLUMN()),INDEX(MO_RIS_IE,0,COLUMN())+INDEX(MO_RIS_II,0,COLUMN()))</f>
        <v>149</v>
      </c>
      <c r="AE63" s="198">
        <f>IFERROR(INDEX(MO_RIS_IE_Net,0,COLUMN()),INDEX(MO_RIS_IE,0,COLUMN())+INDEX(MO_RIS_II,0,COLUMN()))</f>
        <v>272</v>
      </c>
      <c r="AF63" s="199">
        <f>IFERROR(INDEX(MO_RIS_IE_Net,0,COLUMN()),INDEX(MO_RIS_IE,0,COLUMN())+INDEX(MO_RIS_II,0,COLUMN()))</f>
        <v>61</v>
      </c>
      <c r="AG63" s="199">
        <f>IFERROR(INDEX(MO_RIS_IE_Net,0,COLUMN()),INDEX(MO_RIS_IE,0,COLUMN())+INDEX(MO_RIS_II,0,COLUMN()))</f>
        <v>72</v>
      </c>
      <c r="AH63" s="199">
        <f>IFERROR(INDEX(MO_RIS_IE_Net,0,COLUMN()),INDEX(MO_RIS_IE,0,COLUMN())+INDEX(MO_RIS_II,0,COLUMN()))</f>
        <v>70</v>
      </c>
      <c r="AI63" s="199">
        <f>IFERROR(INDEX(MO_RIS_IE_Net,0,COLUMN()),INDEX(MO_RIS_IE,0,COLUMN())+INDEX(MO_RIS_II,0,COLUMN()))</f>
        <v>77</v>
      </c>
      <c r="AJ63" s="198">
        <f>IFERROR(INDEX(MO_RIS_IE_Net,0,COLUMN()),INDEX(MO_RIS_IE,0,COLUMN())+INDEX(MO_RIS_II,0,COLUMN()))</f>
        <v>280</v>
      </c>
      <c r="AK63" s="199">
        <f>IFERROR(INDEX(MO_RIS_IE_Net,0,COLUMN()),INDEX(MO_RIS_IE,0,COLUMN())+INDEX(MO_RIS_II,0,COLUMN()))</f>
        <v>84</v>
      </c>
      <c r="AL63" s="199">
        <f>IFERROR(INDEX(MO_RIS_IE_Net,0,COLUMN()),INDEX(MO_RIS_IE,0,COLUMN())+INDEX(MO_RIS_II,0,COLUMN()))</f>
        <v>93</v>
      </c>
      <c r="AM63" s="199">
        <f>IFERROR(INDEX(MO_RIS_IE_Net,0,COLUMN()),INDEX(MO_RIS_IE,0,COLUMN())+INDEX(MO_RIS_II,0,COLUMN()))</f>
        <v>83</v>
      </c>
      <c r="AN63" s="199">
        <f>IFERROR(INDEX(MO_RIS_IE_Net,0,COLUMN()),INDEX(MO_RIS_IE,0,COLUMN())+INDEX(MO_RIS_II,0,COLUMN()))</f>
        <v>108</v>
      </c>
      <c r="AO63" s="198">
        <f>IFERROR(INDEX(MO_RIS_IE_Net,0,COLUMN()),INDEX(MO_RIS_IE,0,COLUMN())+INDEX(MO_RIS_II,0,COLUMN()))</f>
        <v>368</v>
      </c>
      <c r="AP63" s="199">
        <f>IFERROR(INDEX(MO_RIS_IE_Net,0,COLUMN()),INDEX(MO_RIS_IE,0,COLUMN())+INDEX(MO_RIS_II,0,COLUMN()))</f>
        <v>113</v>
      </c>
      <c r="AQ63" s="199">
        <f>IFERROR(INDEX(MO_RIS_IE_Net,0,COLUMN()),INDEX(MO_RIS_IE,0,COLUMN())+INDEX(MO_RIS_II,0,COLUMN()))</f>
        <v>128</v>
      </c>
      <c r="AR63" s="199">
        <f>IFERROR(INDEX(MO_RIS_IE_Net,0,COLUMN()),INDEX(MO_RIS_IE,0,COLUMN())+INDEX(MO_RIS_II,0,COLUMN()))</f>
        <v>123</v>
      </c>
      <c r="AS63" s="199">
        <f>IFERROR(INDEX(MO_RIS_IE_Net,0,COLUMN()),INDEX(MO_RIS_IE,0,COLUMN())+INDEX(MO_RIS_II,0,COLUMN()))</f>
        <v>136</v>
      </c>
      <c r="AT63" s="198">
        <f>IFERROR(INDEX(MO_RIS_IE_Net,0,COLUMN()),INDEX(MO_RIS_IE,0,COLUMN())+INDEX(MO_RIS_II,0,COLUMN()))</f>
        <v>500</v>
      </c>
      <c r="AU63" s="852">
        <f>IFERROR(INDEX(MO_RIS_IE_Net,0,COLUMN()),INDEX(MO_RIS_IE,0,COLUMN())+INDEX(MO_RIS_II,0,COLUMN()))</f>
        <v>128</v>
      </c>
      <c r="AV63" s="199">
        <f>IFERROR(INDEX(MO_RIS_IE_Net,0,COLUMN()),INDEX(MO_RIS_IE,0,COLUMN())+INDEX(MO_RIS_II,0,COLUMN()))</f>
        <v>123.81011232876713</v>
      </c>
      <c r="AW63" s="199">
        <f>IFERROR(INDEX(MO_RIS_IE_Net,0,COLUMN()),INDEX(MO_RIS_IE,0,COLUMN())+INDEX(MO_RIS_II,0,COLUMN()))</f>
        <v>126.14492915418651</v>
      </c>
      <c r="AX63" s="199">
        <f>IFERROR(INDEX(MO_RIS_IE_Net,0,COLUMN()),INDEX(MO_RIS_IE,0,COLUMN())+INDEX(MO_RIS_II,0,COLUMN()))</f>
        <v>125.36084364355163</v>
      </c>
      <c r="AY63" s="198">
        <f>IFERROR(INDEX(MO_RIS_IE_Net,0,COLUMN()),INDEX(MO_RIS_IE,0,COLUMN())+INDEX(MO_RIS_II,0,COLUMN()))</f>
        <v>503.31588512650529</v>
      </c>
      <c r="AZ63" s="199">
        <f>IFERROR(INDEX(MO_RIS_IE_Net,0,COLUMN()),INDEX(MO_RIS_IE,0,COLUMN())+INDEX(MO_RIS_II,0,COLUMN()))</f>
        <v>122.15371640037453</v>
      </c>
      <c r="BA63" s="199">
        <f ca="1">IFERROR(INDEX(MO_RIS_IE_Net,0,COLUMN()),INDEX(MO_RIS_IE,0,COLUMN())+INDEX(MO_RIS_II,0,COLUMN()))</f>
        <v>123.13006735657109</v>
      </c>
      <c r="BB63" s="199">
        <f ca="1">IFERROR(INDEX(MO_RIS_IE_Net,0,COLUMN()),INDEX(MO_RIS_IE,0,COLUMN())+INDEX(MO_RIS_II,0,COLUMN()))</f>
        <v>125.13076528000337</v>
      </c>
      <c r="BC63" s="199">
        <f ca="1">IFERROR(INDEX(MO_RIS_IE_Net,0,COLUMN()),INDEX(MO_RIS_IE,0,COLUMN())+INDEX(MO_RIS_II,0,COLUMN()))</f>
        <v>124.24647351191689</v>
      </c>
      <c r="BD63" s="198">
        <f ca="1">IFERROR(INDEX(MO_RIS_IE_Net,0,COLUMN()),INDEX(MO_RIS_IE,0,COLUMN())+INDEX(MO_RIS_II,0,COLUMN()))</f>
        <v>494.6610225488659</v>
      </c>
      <c r="BE63" s="198">
        <f ca="1">IFERROR(INDEX(MO_RIS_IE_Net,0,COLUMN()),INDEX(MO_RIS_IE,0,COLUMN())+INDEX(MO_RIS_II,0,COLUMN()))</f>
        <v>490.55606027205465</v>
      </c>
      <c r="BF63" s="198">
        <f ca="1">IFERROR(INDEX(MO_RIS_IE_Net,0,COLUMN()),INDEX(MO_RIS_IE,0,COLUMN())+INDEX(MO_RIS_II,0,COLUMN()))</f>
        <v>481.12799087970154</v>
      </c>
      <c r="BG63" s="198">
        <f ca="1">IFERROR(INDEX(MO_RIS_IE_Net,0,COLUMN()),INDEX(MO_RIS_IE,0,COLUMN())+INDEX(MO_RIS_II,0,COLUMN()))</f>
        <v>467.39521074327536</v>
      </c>
      <c r="BH63" s="199"/>
    </row>
    <row r="64" spans="1:60" s="157" customFormat="1" x14ac:dyDescent="0.35">
      <c r="A64" s="498" t="s">
        <v>295</v>
      </c>
      <c r="B64" s="499"/>
      <c r="C64" s="500">
        <f t="shared" ref="C64:AH64" si="54">INDEX(MO_RIS_OI,0,COLUMN())+INDEX(MO_RIS_OTI,0,COLUMN())</f>
        <v>0</v>
      </c>
      <c r="D64" s="500">
        <f t="shared" si="54"/>
        <v>0</v>
      </c>
      <c r="E64" s="500">
        <f t="shared" si="54"/>
        <v>0</v>
      </c>
      <c r="F64" s="500">
        <f t="shared" si="54"/>
        <v>0</v>
      </c>
      <c r="G64" s="462">
        <f t="shared" si="54"/>
        <v>0</v>
      </c>
      <c r="H64" s="462">
        <f t="shared" si="54"/>
        <v>0</v>
      </c>
      <c r="I64" s="462">
        <f t="shared" si="54"/>
        <v>0</v>
      </c>
      <c r="J64" s="462">
        <f t="shared" si="54"/>
        <v>0</v>
      </c>
      <c r="K64" s="500">
        <f t="shared" si="54"/>
        <v>0</v>
      </c>
      <c r="L64" s="462">
        <f t="shared" si="54"/>
        <v>0</v>
      </c>
      <c r="M64" s="462">
        <f t="shared" si="54"/>
        <v>0</v>
      </c>
      <c r="N64" s="462">
        <f t="shared" si="54"/>
        <v>0</v>
      </c>
      <c r="O64" s="462">
        <f t="shared" si="54"/>
        <v>0</v>
      </c>
      <c r="P64" s="500">
        <f t="shared" si="54"/>
        <v>0</v>
      </c>
      <c r="Q64" s="462">
        <f t="shared" si="54"/>
        <v>0</v>
      </c>
      <c r="R64" s="462">
        <f t="shared" si="54"/>
        <v>0</v>
      </c>
      <c r="S64" s="462">
        <f t="shared" si="54"/>
        <v>0</v>
      </c>
      <c r="T64" s="462">
        <f t="shared" si="54"/>
        <v>0</v>
      </c>
      <c r="U64" s="500">
        <f t="shared" si="54"/>
        <v>0</v>
      </c>
      <c r="V64" s="462">
        <f t="shared" si="54"/>
        <v>0</v>
      </c>
      <c r="W64" s="462">
        <f t="shared" si="54"/>
        <v>0</v>
      </c>
      <c r="X64" s="462">
        <f t="shared" si="54"/>
        <v>0</v>
      </c>
      <c r="Y64" s="462">
        <f t="shared" si="54"/>
        <v>0</v>
      </c>
      <c r="Z64" s="500">
        <f t="shared" si="54"/>
        <v>0</v>
      </c>
      <c r="AA64" s="462">
        <f t="shared" si="54"/>
        <v>-32</v>
      </c>
      <c r="AB64" s="462">
        <f t="shared" si="54"/>
        <v>-31</v>
      </c>
      <c r="AC64" s="462">
        <f t="shared" si="54"/>
        <v>-33</v>
      </c>
      <c r="AD64" s="462">
        <f t="shared" si="54"/>
        <v>-32</v>
      </c>
      <c r="AE64" s="500">
        <f t="shared" si="54"/>
        <v>-128</v>
      </c>
      <c r="AF64" s="462">
        <f t="shared" si="54"/>
        <v>-19</v>
      </c>
      <c r="AG64" s="462">
        <f t="shared" si="54"/>
        <v>-21</v>
      </c>
      <c r="AH64" s="462">
        <f t="shared" si="54"/>
        <v>-19</v>
      </c>
      <c r="AI64" s="462">
        <f t="shared" ref="AI64:AY64" si="55">INDEX(MO_RIS_OI,0,COLUMN())+INDEX(MO_RIS_OTI,0,COLUMN())</f>
        <v>-14</v>
      </c>
      <c r="AJ64" s="500">
        <f t="shared" si="55"/>
        <v>-73</v>
      </c>
      <c r="AK64" s="462">
        <f t="shared" si="55"/>
        <v>-36</v>
      </c>
      <c r="AL64" s="462">
        <f t="shared" si="55"/>
        <v>163</v>
      </c>
      <c r="AM64" s="462">
        <f t="shared" si="55"/>
        <v>-38</v>
      </c>
      <c r="AN64" s="462">
        <f t="shared" si="55"/>
        <v>5</v>
      </c>
      <c r="AO64" s="500">
        <f t="shared" si="55"/>
        <v>94</v>
      </c>
      <c r="AP64" s="462">
        <f t="shared" si="55"/>
        <v>-17</v>
      </c>
      <c r="AQ64" s="462">
        <f t="shared" si="55"/>
        <v>-17</v>
      </c>
      <c r="AR64" s="462">
        <f>INDEX(MO_RIS_OI,0,COLUMN())+INDEX(MO_RIS_OTI,0,COLUMN())</f>
        <v>-19</v>
      </c>
      <c r="AS64" s="462">
        <f>INDEX(MO_RIS_OI,0,COLUMN())+INDEX(MO_RIS_OTI,0,COLUMN())</f>
        <v>3</v>
      </c>
      <c r="AT64" s="500">
        <f>INDEX(MO_RIS_OI,0,COLUMN())+INDEX(MO_RIS_OTI,0,COLUMN())</f>
        <v>-50</v>
      </c>
      <c r="AU64" s="853">
        <f t="shared" si="55"/>
        <v>-79</v>
      </c>
      <c r="AV64" s="462">
        <f t="shared" si="55"/>
        <v>0</v>
      </c>
      <c r="AW64" s="462">
        <f t="shared" si="55"/>
        <v>0</v>
      </c>
      <c r="AX64" s="462">
        <f t="shared" si="55"/>
        <v>0</v>
      </c>
      <c r="AY64" s="500">
        <f t="shared" si="55"/>
        <v>-79</v>
      </c>
      <c r="AZ64" s="462">
        <f t="shared" ref="AZ64:BG64" si="56">INDEX(MO_RIS_OI,0,COLUMN())+INDEX(MO_RIS_OTI,0,COLUMN())</f>
        <v>0</v>
      </c>
      <c r="BA64" s="462">
        <f t="shared" si="56"/>
        <v>0</v>
      </c>
      <c r="BB64" s="462">
        <f t="shared" si="56"/>
        <v>0</v>
      </c>
      <c r="BC64" s="462">
        <f t="shared" si="56"/>
        <v>0</v>
      </c>
      <c r="BD64" s="500">
        <f t="shared" si="56"/>
        <v>0</v>
      </c>
      <c r="BE64" s="500">
        <f t="shared" si="56"/>
        <v>0</v>
      </c>
      <c r="BF64" s="500">
        <f t="shared" si="56"/>
        <v>0</v>
      </c>
      <c r="BG64" s="500">
        <f t="shared" si="56"/>
        <v>0</v>
      </c>
      <c r="BH64" s="199"/>
    </row>
    <row r="65" spans="1:60" s="156" customFormat="1" x14ac:dyDescent="0.35">
      <c r="A65" s="306" t="str">
        <f>INDEX(MO_RIS_EBT,0,COLUMN())</f>
        <v>EBT</v>
      </c>
      <c r="B65" s="307"/>
      <c r="C65" s="196">
        <f t="shared" ref="C65:AH65" si="57">INDEX(SP_GF_EBIT,0,COLUMN())-INDEX(SP_GF_IE,0,COLUMN())-INDEX(SP_GF_OI,0,COLUMN())</f>
        <v>4632</v>
      </c>
      <c r="D65" s="196">
        <f t="shared" si="57"/>
        <v>5755</v>
      </c>
      <c r="E65" s="196">
        <f t="shared" si="57"/>
        <v>6031</v>
      </c>
      <c r="F65" s="196">
        <f t="shared" si="57"/>
        <v>6351</v>
      </c>
      <c r="G65" s="197">
        <f t="shared" si="57"/>
        <v>1617</v>
      </c>
      <c r="H65" s="197">
        <f t="shared" si="57"/>
        <v>1671</v>
      </c>
      <c r="I65" s="197">
        <f t="shared" si="57"/>
        <v>1716</v>
      </c>
      <c r="J65" s="197">
        <f t="shared" si="57"/>
        <v>1558</v>
      </c>
      <c r="K65" s="196">
        <f t="shared" si="57"/>
        <v>6562</v>
      </c>
      <c r="L65" s="197">
        <f t="shared" si="57"/>
        <v>1688</v>
      </c>
      <c r="M65" s="197">
        <f t="shared" si="57"/>
        <v>1820</v>
      </c>
      <c r="N65" s="197">
        <f t="shared" si="57"/>
        <v>1880</v>
      </c>
      <c r="O65" s="197">
        <f t="shared" si="57"/>
        <v>1638</v>
      </c>
      <c r="P65" s="196">
        <f t="shared" si="57"/>
        <v>7026</v>
      </c>
      <c r="Q65" s="197">
        <f t="shared" si="57"/>
        <v>1703</v>
      </c>
      <c r="R65" s="197">
        <f t="shared" si="57"/>
        <v>1812</v>
      </c>
      <c r="S65" s="197">
        <f t="shared" si="57"/>
        <v>1845</v>
      </c>
      <c r="T65" s="197">
        <f t="shared" si="57"/>
        <v>1463</v>
      </c>
      <c r="U65" s="196">
        <f t="shared" si="57"/>
        <v>6823</v>
      </c>
      <c r="V65" s="197">
        <f t="shared" si="57"/>
        <v>1746</v>
      </c>
      <c r="W65" s="197">
        <f t="shared" si="57"/>
        <v>1835</v>
      </c>
      <c r="X65" s="197">
        <f t="shared" si="57"/>
        <v>1862</v>
      </c>
      <c r="Y65" s="197">
        <f t="shared" si="57"/>
        <v>1610</v>
      </c>
      <c r="Z65" s="196">
        <f t="shared" si="57"/>
        <v>7053</v>
      </c>
      <c r="AA65" s="197">
        <f t="shared" si="57"/>
        <v>1737</v>
      </c>
      <c r="AB65" s="197">
        <f t="shared" si="57"/>
        <v>2142</v>
      </c>
      <c r="AC65" s="197">
        <f t="shared" si="57"/>
        <v>1997</v>
      </c>
      <c r="AD65" s="197">
        <f t="shared" si="57"/>
        <v>1672</v>
      </c>
      <c r="AE65" s="196">
        <f t="shared" si="57"/>
        <v>7548</v>
      </c>
      <c r="AF65" s="197">
        <f t="shared" si="57"/>
        <v>965</v>
      </c>
      <c r="AG65" s="197">
        <f t="shared" si="57"/>
        <v>2350</v>
      </c>
      <c r="AH65" s="197">
        <f t="shared" si="57"/>
        <v>1965</v>
      </c>
      <c r="AI65" s="197">
        <f t="shared" ref="AI65:AY65" si="58">INDEX(SP_GF_EBIT,0,COLUMN())-INDEX(SP_GF_IE,0,COLUMN())-INDEX(SP_GF_OI,0,COLUMN())</f>
        <v>1720</v>
      </c>
      <c r="AJ65" s="196">
        <f t="shared" si="58"/>
        <v>7000</v>
      </c>
      <c r="AK65" s="197">
        <f t="shared" si="58"/>
        <v>1088</v>
      </c>
      <c r="AL65" s="197">
        <f t="shared" si="58"/>
        <v>1446</v>
      </c>
      <c r="AM65" s="197">
        <f t="shared" si="58"/>
        <v>1966</v>
      </c>
      <c r="AN65" s="197">
        <f t="shared" si="58"/>
        <v>1212</v>
      </c>
      <c r="AO65" s="196">
        <f t="shared" si="58"/>
        <v>5712</v>
      </c>
      <c r="AP65" s="197">
        <f t="shared" si="58"/>
        <v>1567</v>
      </c>
      <c r="AQ65" s="197">
        <f t="shared" si="58"/>
        <v>1629</v>
      </c>
      <c r="AR65" s="197">
        <f>INDEX(SP_GF_EBIT,0,COLUMN())-INDEX(SP_GF_IE,0,COLUMN())-INDEX(SP_GF_OI,0,COLUMN())</f>
        <v>1805</v>
      </c>
      <c r="AS65" s="197">
        <f>INDEX(SP_GF_EBIT,0,COLUMN())-INDEX(SP_GF_IE,0,COLUMN())-INDEX(SP_GF_OI,0,COLUMN())</f>
        <v>1710</v>
      </c>
      <c r="AT65" s="196">
        <f>INDEX(SP_GF_EBIT,0,COLUMN())-INDEX(SP_GF_IE,0,COLUMN())-INDEX(SP_GF_OI,0,COLUMN())</f>
        <v>6711</v>
      </c>
      <c r="AU65" s="851">
        <f t="shared" si="58"/>
        <v>1945</v>
      </c>
      <c r="AV65" s="197">
        <f t="shared" si="58"/>
        <v>1572.1642724712335</v>
      </c>
      <c r="AW65" s="197">
        <f t="shared" si="58"/>
        <v>1911.5466388458137</v>
      </c>
      <c r="AX65" s="197">
        <f t="shared" si="58"/>
        <v>2014.7049647564486</v>
      </c>
      <c r="AY65" s="196">
        <f t="shared" si="58"/>
        <v>7443.415876073499</v>
      </c>
      <c r="AZ65" s="197">
        <f t="shared" ref="AZ65:BG65" si="59">INDEX(SP_GF_EBIT,0,COLUMN())-INDEX(SP_GF_IE,0,COLUMN())-INDEX(SP_GF_OI,0,COLUMN())</f>
        <v>2136.5924183996267</v>
      </c>
      <c r="BA65" s="197">
        <f t="shared" ca="1" si="59"/>
        <v>1852.4709769954297</v>
      </c>
      <c r="BB65" s="197">
        <f t="shared" ca="1" si="59"/>
        <v>1991.818293311997</v>
      </c>
      <c r="BC65" s="197">
        <f t="shared" ca="1" si="59"/>
        <v>2216.1585761000829</v>
      </c>
      <c r="BD65" s="196">
        <f t="shared" ca="1" si="59"/>
        <v>8197.0402648071322</v>
      </c>
      <c r="BE65" s="196">
        <f t="shared" ca="1" si="59"/>
        <v>9005.0330929411248</v>
      </c>
      <c r="BF65" s="196">
        <f t="shared" ca="1" si="59"/>
        <v>9886.6306200610743</v>
      </c>
      <c r="BG65" s="196">
        <f t="shared" ca="1" si="59"/>
        <v>10846.443259108833</v>
      </c>
      <c r="BH65" s="251"/>
    </row>
    <row r="66" spans="1:60" s="157" customFormat="1" x14ac:dyDescent="0.35">
      <c r="A66" s="308" t="s">
        <v>296</v>
      </c>
      <c r="B66" s="309"/>
      <c r="C66" s="198">
        <f t="shared" ref="C66:AH66" si="60">INDEX(MO_RIS_Tax_Current,0,COLUMN())+INDEX(MO_RIS_Tax_Deferred,0,COLUMN())</f>
        <v>1388</v>
      </c>
      <c r="D66" s="198">
        <f t="shared" si="60"/>
        <v>1592</v>
      </c>
      <c r="E66" s="198">
        <f t="shared" si="60"/>
        <v>1674</v>
      </c>
      <c r="F66" s="198">
        <f t="shared" si="60"/>
        <v>1840</v>
      </c>
      <c r="G66" s="199">
        <f t="shared" si="60"/>
        <v>470</v>
      </c>
      <c r="H66" s="199">
        <f t="shared" si="60"/>
        <v>458</v>
      </c>
      <c r="I66" s="199">
        <f t="shared" si="60"/>
        <v>471</v>
      </c>
      <c r="J66" s="199">
        <f t="shared" si="60"/>
        <v>442</v>
      </c>
      <c r="K66" s="198">
        <f t="shared" si="60"/>
        <v>1841</v>
      </c>
      <c r="L66" s="199">
        <f t="shared" si="60"/>
        <v>463</v>
      </c>
      <c r="M66" s="199">
        <f t="shared" si="60"/>
        <v>537</v>
      </c>
      <c r="N66" s="199">
        <f t="shared" si="60"/>
        <v>569</v>
      </c>
      <c r="O66" s="199">
        <f t="shared" si="60"/>
        <v>459</v>
      </c>
      <c r="P66" s="198">
        <f t="shared" si="60"/>
        <v>2028</v>
      </c>
      <c r="Q66" s="199">
        <f t="shared" si="60"/>
        <v>502</v>
      </c>
      <c r="R66" s="199">
        <f t="shared" si="60"/>
        <v>509</v>
      </c>
      <c r="S66" s="199">
        <f t="shared" si="60"/>
        <v>547</v>
      </c>
      <c r="T66" s="199">
        <f t="shared" si="60"/>
        <v>424</v>
      </c>
      <c r="U66" s="198">
        <f t="shared" si="60"/>
        <v>1982</v>
      </c>
      <c r="V66" s="199">
        <f t="shared" si="60"/>
        <v>468</v>
      </c>
      <c r="W66" s="199">
        <f t="shared" si="60"/>
        <v>542</v>
      </c>
      <c r="X66" s="199">
        <f t="shared" si="60"/>
        <v>531</v>
      </c>
      <c r="Y66" s="199">
        <f t="shared" si="60"/>
        <v>454</v>
      </c>
      <c r="Z66" s="198">
        <f t="shared" si="60"/>
        <v>1995</v>
      </c>
      <c r="AA66" s="199">
        <f t="shared" si="60"/>
        <v>411</v>
      </c>
      <c r="AB66" s="199">
        <f t="shared" si="60"/>
        <v>557</v>
      </c>
      <c r="AC66" s="199">
        <f t="shared" si="60"/>
        <v>564</v>
      </c>
      <c r="AD66" s="199">
        <f t="shared" si="60"/>
        <v>1147</v>
      </c>
      <c r="AE66" s="198">
        <f t="shared" si="60"/>
        <v>2679</v>
      </c>
      <c r="AF66" s="199">
        <f t="shared" si="60"/>
        <v>359</v>
      </c>
      <c r="AG66" s="199">
        <f t="shared" si="60"/>
        <v>488</v>
      </c>
      <c r="AH66" s="199">
        <f t="shared" si="60"/>
        <v>419</v>
      </c>
      <c r="AI66" s="199">
        <f t="shared" ref="AI66:AY66" si="61">INDEX(MO_RIS_Tax_Current,0,COLUMN())+INDEX(MO_RIS_Tax_Deferred,0,COLUMN())</f>
        <v>371</v>
      </c>
      <c r="AJ66" s="198">
        <f t="shared" si="61"/>
        <v>1637</v>
      </c>
      <c r="AK66" s="199">
        <f t="shared" si="61"/>
        <v>195</v>
      </c>
      <c r="AL66" s="199">
        <f t="shared" si="61"/>
        <v>315</v>
      </c>
      <c r="AM66" s="199">
        <f t="shared" si="61"/>
        <v>378</v>
      </c>
      <c r="AN66" s="199">
        <f t="shared" si="61"/>
        <v>242</v>
      </c>
      <c r="AO66" s="198">
        <f t="shared" si="61"/>
        <v>1130</v>
      </c>
      <c r="AP66" s="199">
        <f t="shared" si="61"/>
        <v>273</v>
      </c>
      <c r="AQ66" s="199">
        <f t="shared" si="61"/>
        <v>342</v>
      </c>
      <c r="AR66" s="199">
        <f>INDEX(MO_RIS_Tax_Current,0,COLUMN())+INDEX(MO_RIS_Tax_Deferred,0,COLUMN())</f>
        <v>387</v>
      </c>
      <c r="AS66" s="199">
        <f>INDEX(MO_RIS_Tax_Current,0,COLUMN())+INDEX(MO_RIS_Tax_Deferred,0,COLUMN())</f>
        <v>316</v>
      </c>
      <c r="AT66" s="198">
        <f>INDEX(MO_RIS_Tax_Current,0,COLUMN())+INDEX(MO_RIS_Tax_Deferred,0,COLUMN())</f>
        <v>1318</v>
      </c>
      <c r="AU66" s="852">
        <f t="shared" si="61"/>
        <v>319</v>
      </c>
      <c r="AV66" s="199">
        <f t="shared" si="61"/>
        <v>330.15449721895891</v>
      </c>
      <c r="AW66" s="199">
        <f t="shared" si="61"/>
        <v>401.42479415762085</v>
      </c>
      <c r="AX66" s="199">
        <f t="shared" si="61"/>
        <v>423.08804259885426</v>
      </c>
      <c r="AY66" s="198">
        <f t="shared" si="61"/>
        <v>1473.6673339754341</v>
      </c>
      <c r="AZ66" s="199">
        <f t="shared" ref="AZ66:BG66" si="62">INDEX(MO_RIS_Tax_Current,0,COLUMN())+INDEX(MO_RIS_Tax_Deferred,0,COLUMN())</f>
        <v>448.68440786392154</v>
      </c>
      <c r="BA66" s="199">
        <f t="shared" ca="1" si="62"/>
        <v>389.01890516904007</v>
      </c>
      <c r="BB66" s="199">
        <f t="shared" ca="1" si="62"/>
        <v>418.28184159551938</v>
      </c>
      <c r="BC66" s="199">
        <f t="shared" ca="1" si="62"/>
        <v>465.39330098101738</v>
      </c>
      <c r="BD66" s="198">
        <f t="shared" ca="1" si="62"/>
        <v>1721.3784556094984</v>
      </c>
      <c r="BE66" s="198">
        <f t="shared" ca="1" si="62"/>
        <v>1891.0569495176362</v>
      </c>
      <c r="BF66" s="198">
        <f t="shared" ca="1" si="62"/>
        <v>2076.1924302128255</v>
      </c>
      <c r="BG66" s="198">
        <f t="shared" ca="1" si="62"/>
        <v>2277.7530844128555</v>
      </c>
      <c r="BH66" s="199"/>
    </row>
    <row r="67" spans="1:60" s="157" customFormat="1" x14ac:dyDescent="0.35">
      <c r="A67" s="308" t="str">
        <f>INDEX(MO_RIS_DisCont,0,COLUMN())</f>
        <v>Discontinued Operations / Unconsolidated subsidiaries</v>
      </c>
      <c r="B67" s="309"/>
      <c r="C67" s="198">
        <f t="shared" ref="C67:AH67" si="63">INDEX(MO_RIS_DisCont,0,COLUMN())</f>
        <v>0</v>
      </c>
      <c r="D67" s="198">
        <f t="shared" si="63"/>
        <v>0</v>
      </c>
      <c r="E67" s="198">
        <f t="shared" si="63"/>
        <v>0</v>
      </c>
      <c r="F67" s="198">
        <f t="shared" si="63"/>
        <v>0</v>
      </c>
      <c r="G67" s="199">
        <f t="shared" si="63"/>
        <v>0</v>
      </c>
      <c r="H67" s="199">
        <f t="shared" si="63"/>
        <v>0</v>
      </c>
      <c r="I67" s="199">
        <f t="shared" si="63"/>
        <v>0</v>
      </c>
      <c r="J67" s="199">
        <f t="shared" si="63"/>
        <v>0</v>
      </c>
      <c r="K67" s="198">
        <f t="shared" si="63"/>
        <v>0</v>
      </c>
      <c r="L67" s="199">
        <f t="shared" si="63"/>
        <v>0</v>
      </c>
      <c r="M67" s="199">
        <f t="shared" si="63"/>
        <v>0</v>
      </c>
      <c r="N67" s="199">
        <f t="shared" si="63"/>
        <v>0</v>
      </c>
      <c r="O67" s="199">
        <f t="shared" si="63"/>
        <v>0</v>
      </c>
      <c r="P67" s="198">
        <f t="shared" si="63"/>
        <v>0</v>
      </c>
      <c r="Q67" s="199">
        <f t="shared" si="63"/>
        <v>0</v>
      </c>
      <c r="R67" s="199">
        <f t="shared" si="63"/>
        <v>0</v>
      </c>
      <c r="S67" s="199">
        <f t="shared" si="63"/>
        <v>0</v>
      </c>
      <c r="T67" s="199">
        <f t="shared" si="63"/>
        <v>0</v>
      </c>
      <c r="U67" s="198">
        <f t="shared" si="63"/>
        <v>0</v>
      </c>
      <c r="V67" s="199">
        <f t="shared" si="63"/>
        <v>0</v>
      </c>
      <c r="W67" s="199">
        <f t="shared" si="63"/>
        <v>0</v>
      </c>
      <c r="X67" s="199">
        <f t="shared" si="63"/>
        <v>0</v>
      </c>
      <c r="Y67" s="199">
        <f t="shared" si="63"/>
        <v>0</v>
      </c>
      <c r="Z67" s="198">
        <f t="shared" si="63"/>
        <v>0</v>
      </c>
      <c r="AA67" s="199">
        <f t="shared" si="63"/>
        <v>0</v>
      </c>
      <c r="AB67" s="199">
        <f t="shared" si="63"/>
        <v>0</v>
      </c>
      <c r="AC67" s="199">
        <f t="shared" si="63"/>
        <v>0</v>
      </c>
      <c r="AD67" s="199">
        <f t="shared" si="63"/>
        <v>0</v>
      </c>
      <c r="AE67" s="198">
        <f t="shared" si="63"/>
        <v>0</v>
      </c>
      <c r="AF67" s="199">
        <f t="shared" si="63"/>
        <v>0</v>
      </c>
      <c r="AG67" s="199">
        <f t="shared" si="63"/>
        <v>0</v>
      </c>
      <c r="AH67" s="199">
        <f t="shared" si="63"/>
        <v>0</v>
      </c>
      <c r="AI67" s="199">
        <f t="shared" ref="AI67:AY67" si="64">INDEX(MO_RIS_DisCont,0,COLUMN())</f>
        <v>0</v>
      </c>
      <c r="AJ67" s="198">
        <f t="shared" si="64"/>
        <v>0</v>
      </c>
      <c r="AK67" s="199">
        <f t="shared" si="64"/>
        <v>0</v>
      </c>
      <c r="AL67" s="199">
        <f t="shared" si="64"/>
        <v>0</v>
      </c>
      <c r="AM67" s="199">
        <f t="shared" si="64"/>
        <v>0</v>
      </c>
      <c r="AN67" s="199">
        <f t="shared" si="64"/>
        <v>0</v>
      </c>
      <c r="AO67" s="198">
        <f t="shared" si="64"/>
        <v>0</v>
      </c>
      <c r="AP67" s="199">
        <f t="shared" si="64"/>
        <v>0</v>
      </c>
      <c r="AQ67" s="199">
        <f t="shared" si="64"/>
        <v>0</v>
      </c>
      <c r="AR67" s="199">
        <f>INDEX(MO_RIS_DisCont,0,COLUMN())</f>
        <v>1</v>
      </c>
      <c r="AS67" s="199">
        <f>INDEX(MO_RIS_DisCont,0,COLUMN())</f>
        <v>4</v>
      </c>
      <c r="AT67" s="198">
        <f>INDEX(MO_RIS_DisCont,0,COLUMN())</f>
        <v>5</v>
      </c>
      <c r="AU67" s="852">
        <f t="shared" si="64"/>
        <v>-1</v>
      </c>
      <c r="AV67" s="199">
        <f t="shared" si="64"/>
        <v>0</v>
      </c>
      <c r="AW67" s="199">
        <f t="shared" si="64"/>
        <v>0</v>
      </c>
      <c r="AX67" s="199">
        <f t="shared" si="64"/>
        <v>0</v>
      </c>
      <c r="AY67" s="198">
        <f t="shared" si="64"/>
        <v>-1</v>
      </c>
      <c r="AZ67" s="199">
        <f t="shared" ref="AZ67:BG67" si="65">INDEX(MO_RIS_DisCont,0,COLUMN())</f>
        <v>0</v>
      </c>
      <c r="BA67" s="199">
        <f t="shared" si="65"/>
        <v>0</v>
      </c>
      <c r="BB67" s="199">
        <f t="shared" si="65"/>
        <v>0</v>
      </c>
      <c r="BC67" s="199">
        <f t="shared" si="65"/>
        <v>0</v>
      </c>
      <c r="BD67" s="198">
        <f t="shared" si="65"/>
        <v>0</v>
      </c>
      <c r="BE67" s="198">
        <f t="shared" si="65"/>
        <v>0</v>
      </c>
      <c r="BF67" s="198">
        <f t="shared" si="65"/>
        <v>0</v>
      </c>
      <c r="BG67" s="198">
        <f t="shared" si="65"/>
        <v>0</v>
      </c>
      <c r="BH67" s="199"/>
    </row>
    <row r="68" spans="1:60" s="157" customFormat="1" x14ac:dyDescent="0.35">
      <c r="A68" s="308" t="str">
        <f>INDEX(MO_RIS_NCI,0,COLUMN())</f>
        <v>Net Income to NCI</v>
      </c>
      <c r="B68" s="309"/>
      <c r="C68" s="198">
        <f t="shared" ref="C68:AH68" si="66">INDEX(MO_RIS_NCI,0,COLUMN())</f>
        <v>51</v>
      </c>
      <c r="D68" s="198">
        <f t="shared" si="66"/>
        <v>78</v>
      </c>
      <c r="E68" s="198">
        <f t="shared" si="66"/>
        <v>74</v>
      </c>
      <c r="F68" s="198">
        <f t="shared" si="66"/>
        <v>67</v>
      </c>
      <c r="G68" s="199">
        <f t="shared" si="66"/>
        <v>18</v>
      </c>
      <c r="H68" s="199">
        <f t="shared" si="66"/>
        <v>16</v>
      </c>
      <c r="I68" s="199">
        <f t="shared" si="66"/>
        <v>15</v>
      </c>
      <c r="J68" s="199">
        <f t="shared" si="66"/>
        <v>13</v>
      </c>
      <c r="K68" s="198">
        <f t="shared" si="66"/>
        <v>62</v>
      </c>
      <c r="L68" s="199">
        <f t="shared" si="66"/>
        <v>18</v>
      </c>
      <c r="M68" s="199">
        <f t="shared" si="66"/>
        <v>16</v>
      </c>
      <c r="N68" s="199">
        <f t="shared" si="66"/>
        <v>8</v>
      </c>
      <c r="O68" s="199">
        <f t="shared" si="66"/>
        <v>0</v>
      </c>
      <c r="P68" s="198">
        <f t="shared" si="66"/>
        <v>42</v>
      </c>
      <c r="Q68" s="199">
        <f t="shared" si="66"/>
        <v>2</v>
      </c>
      <c r="R68" s="199">
        <f t="shared" si="66"/>
        <v>3</v>
      </c>
      <c r="S68" s="199">
        <f t="shared" si="66"/>
        <v>2</v>
      </c>
      <c r="T68" s="199">
        <f t="shared" si="66"/>
        <v>1</v>
      </c>
      <c r="U68" s="198">
        <f t="shared" si="66"/>
        <v>8</v>
      </c>
      <c r="V68" s="199">
        <f t="shared" si="66"/>
        <v>3</v>
      </c>
      <c r="W68" s="199">
        <f t="shared" si="66"/>
        <v>2</v>
      </c>
      <c r="X68" s="199">
        <f t="shared" si="66"/>
        <v>2</v>
      </c>
      <c r="Y68" s="199">
        <f t="shared" si="66"/>
        <v>1</v>
      </c>
      <c r="Z68" s="198">
        <f t="shared" si="66"/>
        <v>8</v>
      </c>
      <c r="AA68" s="199">
        <f t="shared" si="66"/>
        <v>3</v>
      </c>
      <c r="AB68" s="199">
        <f t="shared" si="66"/>
        <v>2</v>
      </c>
      <c r="AC68" s="199">
        <f t="shared" si="66"/>
        <v>4</v>
      </c>
      <c r="AD68" s="199">
        <f t="shared" si="66"/>
        <v>2</v>
      </c>
      <c r="AE68" s="198">
        <f t="shared" si="66"/>
        <v>11</v>
      </c>
      <c r="AF68" s="199">
        <f t="shared" si="66"/>
        <v>4</v>
      </c>
      <c r="AG68" s="199">
        <f t="shared" si="66"/>
        <v>5</v>
      </c>
      <c r="AH68" s="199">
        <f t="shared" si="66"/>
        <v>3</v>
      </c>
      <c r="AI68" s="199">
        <f t="shared" ref="AI68:AY68" si="67">INDEX(MO_RIS_NCI,0,COLUMN())</f>
        <v>2</v>
      </c>
      <c r="AJ68" s="198">
        <f t="shared" si="67"/>
        <v>14</v>
      </c>
      <c r="AK68" s="199">
        <f t="shared" si="67"/>
        <v>2</v>
      </c>
      <c r="AL68" s="199">
        <f t="shared" si="67"/>
        <v>4</v>
      </c>
      <c r="AM68" s="199">
        <f t="shared" si="67"/>
        <v>5</v>
      </c>
      <c r="AN68" s="199">
        <f t="shared" si="67"/>
        <v>1</v>
      </c>
      <c r="AO68" s="198">
        <f t="shared" si="67"/>
        <v>12</v>
      </c>
      <c r="AP68" s="199">
        <f t="shared" si="67"/>
        <v>2</v>
      </c>
      <c r="AQ68" s="199">
        <f t="shared" si="67"/>
        <v>-3</v>
      </c>
      <c r="AR68" s="199">
        <f>INDEX(MO_RIS_NCI,0,COLUMN())</f>
        <v>4</v>
      </c>
      <c r="AS68" s="199">
        <f>INDEX(MO_RIS_NCI,0,COLUMN())</f>
        <v>1</v>
      </c>
      <c r="AT68" s="198">
        <f>INDEX(MO_RIS_NCI,0,COLUMN())</f>
        <v>4</v>
      </c>
      <c r="AU68" s="852">
        <f t="shared" si="67"/>
        <v>3</v>
      </c>
      <c r="AV68" s="199">
        <f t="shared" si="67"/>
        <v>0</v>
      </c>
      <c r="AW68" s="199">
        <f t="shared" si="67"/>
        <v>0</v>
      </c>
      <c r="AX68" s="199">
        <f t="shared" si="67"/>
        <v>0</v>
      </c>
      <c r="AY68" s="198">
        <f t="shared" si="67"/>
        <v>3</v>
      </c>
      <c r="AZ68" s="199">
        <f t="shared" ref="AZ68:BG68" si="68">INDEX(MO_RIS_NCI,0,COLUMN())</f>
        <v>0</v>
      </c>
      <c r="BA68" s="199">
        <f t="shared" si="68"/>
        <v>0</v>
      </c>
      <c r="BB68" s="199">
        <f t="shared" si="68"/>
        <v>0</v>
      </c>
      <c r="BC68" s="199">
        <f t="shared" si="68"/>
        <v>0</v>
      </c>
      <c r="BD68" s="198">
        <f t="shared" si="68"/>
        <v>0</v>
      </c>
      <c r="BE68" s="198">
        <f t="shared" si="68"/>
        <v>0</v>
      </c>
      <c r="BF68" s="198">
        <f t="shared" si="68"/>
        <v>0</v>
      </c>
      <c r="BG68" s="198">
        <f t="shared" si="68"/>
        <v>0</v>
      </c>
      <c r="BH68" s="199"/>
    </row>
    <row r="69" spans="1:60" s="157" customFormat="1" x14ac:dyDescent="0.35">
      <c r="A69" s="498" t="str">
        <f>INDEX(MO_RIS_Dividend_Prefs,0,COLUMN())</f>
        <v>Preferred stock dividends</v>
      </c>
      <c r="B69" s="499"/>
      <c r="C69" s="500">
        <f t="shared" ref="C69:AH69" si="69">INDEX(MO_RIS_Dividend_Prefs,0,COLUMN())</f>
        <v>0</v>
      </c>
      <c r="D69" s="500">
        <f t="shared" si="69"/>
        <v>0</v>
      </c>
      <c r="E69" s="500">
        <f t="shared" si="69"/>
        <v>0</v>
      </c>
      <c r="F69" s="500">
        <f t="shared" si="69"/>
        <v>0</v>
      </c>
      <c r="G69" s="462">
        <f t="shared" si="69"/>
        <v>0</v>
      </c>
      <c r="H69" s="462">
        <f t="shared" si="69"/>
        <v>0</v>
      </c>
      <c r="I69" s="462">
        <f t="shared" si="69"/>
        <v>0</v>
      </c>
      <c r="J69" s="462">
        <f t="shared" si="69"/>
        <v>0</v>
      </c>
      <c r="K69" s="500">
        <f t="shared" si="69"/>
        <v>0</v>
      </c>
      <c r="L69" s="462">
        <f t="shared" si="69"/>
        <v>0</v>
      </c>
      <c r="M69" s="462">
        <f t="shared" si="69"/>
        <v>0</v>
      </c>
      <c r="N69" s="462">
        <f t="shared" si="69"/>
        <v>0</v>
      </c>
      <c r="O69" s="462">
        <f t="shared" si="69"/>
        <v>0</v>
      </c>
      <c r="P69" s="500">
        <f t="shared" si="69"/>
        <v>0</v>
      </c>
      <c r="Q69" s="462">
        <f t="shared" si="69"/>
        <v>0</v>
      </c>
      <c r="R69" s="462">
        <f t="shared" si="69"/>
        <v>0</v>
      </c>
      <c r="S69" s="462">
        <f t="shared" si="69"/>
        <v>0</v>
      </c>
      <c r="T69" s="462">
        <f t="shared" si="69"/>
        <v>0</v>
      </c>
      <c r="U69" s="500">
        <f t="shared" si="69"/>
        <v>0</v>
      </c>
      <c r="V69" s="462">
        <f t="shared" si="69"/>
        <v>0</v>
      </c>
      <c r="W69" s="462">
        <f t="shared" si="69"/>
        <v>0</v>
      </c>
      <c r="X69" s="462">
        <f t="shared" si="69"/>
        <v>0</v>
      </c>
      <c r="Y69" s="462">
        <f t="shared" si="69"/>
        <v>0</v>
      </c>
      <c r="Z69" s="500">
        <f t="shared" si="69"/>
        <v>0</v>
      </c>
      <c r="AA69" s="462">
        <f t="shared" si="69"/>
        <v>0</v>
      </c>
      <c r="AB69" s="462">
        <f t="shared" si="69"/>
        <v>0</v>
      </c>
      <c r="AC69" s="462">
        <f t="shared" si="69"/>
        <v>0</v>
      </c>
      <c r="AD69" s="462">
        <f t="shared" si="69"/>
        <v>0</v>
      </c>
      <c r="AE69" s="500">
        <f t="shared" si="69"/>
        <v>0</v>
      </c>
      <c r="AF69" s="462">
        <f t="shared" si="69"/>
        <v>0</v>
      </c>
      <c r="AG69" s="462">
        <f t="shared" si="69"/>
        <v>0</v>
      </c>
      <c r="AH69" s="462">
        <f t="shared" si="69"/>
        <v>0</v>
      </c>
      <c r="AI69" s="462">
        <f t="shared" ref="AI69:AY69" si="70">INDEX(MO_RIS_Dividend_Prefs,0,COLUMN())</f>
        <v>0</v>
      </c>
      <c r="AJ69" s="500">
        <f t="shared" si="70"/>
        <v>0</v>
      </c>
      <c r="AK69" s="462">
        <f t="shared" si="70"/>
        <v>0</v>
      </c>
      <c r="AL69" s="462">
        <f t="shared" si="70"/>
        <v>0</v>
      </c>
      <c r="AM69" s="462">
        <f t="shared" si="70"/>
        <v>0</v>
      </c>
      <c r="AN69" s="462">
        <f t="shared" si="70"/>
        <v>0</v>
      </c>
      <c r="AO69" s="500">
        <f t="shared" si="70"/>
        <v>0</v>
      </c>
      <c r="AP69" s="462">
        <f t="shared" si="70"/>
        <v>0</v>
      </c>
      <c r="AQ69" s="462">
        <f t="shared" si="70"/>
        <v>0</v>
      </c>
      <c r="AR69" s="462">
        <f>INDEX(MO_RIS_Dividend_Prefs,0,COLUMN())</f>
        <v>0</v>
      </c>
      <c r="AS69" s="462">
        <f>INDEX(MO_RIS_Dividend_Prefs,0,COLUMN())</f>
        <v>0</v>
      </c>
      <c r="AT69" s="500">
        <f>INDEX(MO_RIS_Dividend_Prefs,0,COLUMN())</f>
        <v>0</v>
      </c>
      <c r="AU69" s="853">
        <f t="shared" si="70"/>
        <v>0</v>
      </c>
      <c r="AV69" s="462">
        <f t="shared" si="70"/>
        <v>0</v>
      </c>
      <c r="AW69" s="462">
        <f t="shared" si="70"/>
        <v>0</v>
      </c>
      <c r="AX69" s="462">
        <f t="shared" si="70"/>
        <v>0</v>
      </c>
      <c r="AY69" s="500">
        <f t="shared" si="70"/>
        <v>0</v>
      </c>
      <c r="AZ69" s="462">
        <f t="shared" ref="AZ69:BG69" si="71">INDEX(MO_RIS_Dividend_Prefs,0,COLUMN())</f>
        <v>0</v>
      </c>
      <c r="BA69" s="462">
        <f t="shared" si="71"/>
        <v>0</v>
      </c>
      <c r="BB69" s="462">
        <f t="shared" si="71"/>
        <v>0</v>
      </c>
      <c r="BC69" s="462">
        <f t="shared" si="71"/>
        <v>0</v>
      </c>
      <c r="BD69" s="500">
        <f t="shared" si="71"/>
        <v>0</v>
      </c>
      <c r="BE69" s="500">
        <f t="shared" si="71"/>
        <v>0</v>
      </c>
      <c r="BF69" s="500">
        <f t="shared" si="71"/>
        <v>0</v>
      </c>
      <c r="BG69" s="500">
        <f t="shared" si="71"/>
        <v>0</v>
      </c>
      <c r="BH69" s="199"/>
    </row>
    <row r="70" spans="1:60" s="156" customFormat="1" x14ac:dyDescent="0.35">
      <c r="A70" s="306" t="str">
        <f>INDEX(MO_RIS_NI_ContinOp,0,COLUMN())</f>
        <v>Net Income from Continued Operation</v>
      </c>
      <c r="B70" s="307"/>
      <c r="C70" s="196">
        <f t="shared" ref="C70:AH70" si="72">INDEX(SP_GF_EBT,0,COLUMN())-INDEX(SP_GF_Tax,0,COLUMN())-INDEX(SP_GF_DisCont,0,COLUMN())-INDEX(SP_GF_NCI,0,COLUMN())-INDEX(SP_GF_Div_Prefs,0,COLUMN())</f>
        <v>3193</v>
      </c>
      <c r="D70" s="196">
        <f t="shared" si="72"/>
        <v>4085</v>
      </c>
      <c r="E70" s="196">
        <f t="shared" si="72"/>
        <v>4283</v>
      </c>
      <c r="F70" s="196">
        <f t="shared" si="72"/>
        <v>4444</v>
      </c>
      <c r="G70" s="197">
        <f t="shared" si="72"/>
        <v>1129</v>
      </c>
      <c r="H70" s="197">
        <f t="shared" si="72"/>
        <v>1197</v>
      </c>
      <c r="I70" s="197">
        <f t="shared" si="72"/>
        <v>1230</v>
      </c>
      <c r="J70" s="197">
        <f t="shared" si="72"/>
        <v>1103</v>
      </c>
      <c r="K70" s="196">
        <f t="shared" si="72"/>
        <v>4659</v>
      </c>
      <c r="L70" s="197">
        <f t="shared" si="72"/>
        <v>1207</v>
      </c>
      <c r="M70" s="197">
        <f t="shared" si="72"/>
        <v>1267</v>
      </c>
      <c r="N70" s="197">
        <f t="shared" si="72"/>
        <v>1303</v>
      </c>
      <c r="O70" s="197">
        <f t="shared" si="72"/>
        <v>1179</v>
      </c>
      <c r="P70" s="196">
        <f t="shared" si="72"/>
        <v>4956</v>
      </c>
      <c r="Q70" s="197">
        <f t="shared" si="72"/>
        <v>1199</v>
      </c>
      <c r="R70" s="197">
        <f t="shared" si="72"/>
        <v>1300</v>
      </c>
      <c r="S70" s="197">
        <f t="shared" si="72"/>
        <v>1296</v>
      </c>
      <c r="T70" s="197">
        <f t="shared" si="72"/>
        <v>1038</v>
      </c>
      <c r="U70" s="196">
        <f t="shared" si="72"/>
        <v>4833</v>
      </c>
      <c r="V70" s="197">
        <f t="shared" si="72"/>
        <v>1275</v>
      </c>
      <c r="W70" s="197">
        <f t="shared" si="72"/>
        <v>1291</v>
      </c>
      <c r="X70" s="197">
        <f t="shared" si="72"/>
        <v>1329</v>
      </c>
      <c r="Y70" s="197">
        <f t="shared" si="72"/>
        <v>1155</v>
      </c>
      <c r="Z70" s="196">
        <f t="shared" si="72"/>
        <v>5050</v>
      </c>
      <c r="AA70" s="197">
        <f t="shared" si="72"/>
        <v>1323</v>
      </c>
      <c r="AB70" s="197">
        <f t="shared" si="72"/>
        <v>1583</v>
      </c>
      <c r="AC70" s="197">
        <f t="shared" si="72"/>
        <v>1429</v>
      </c>
      <c r="AD70" s="197">
        <f t="shared" si="72"/>
        <v>523</v>
      </c>
      <c r="AE70" s="196">
        <f t="shared" si="72"/>
        <v>4858</v>
      </c>
      <c r="AF70" s="197">
        <f t="shared" si="72"/>
        <v>602</v>
      </c>
      <c r="AG70" s="197">
        <f t="shared" si="72"/>
        <v>1857</v>
      </c>
      <c r="AH70" s="197">
        <f t="shared" si="72"/>
        <v>1543</v>
      </c>
      <c r="AI70" s="197">
        <f t="shared" ref="AI70:AY70" si="73">INDEX(SP_GF_EBT,0,COLUMN())-INDEX(SP_GF_Tax,0,COLUMN())-INDEX(SP_GF_DisCont,0,COLUMN())-INDEX(SP_GF_NCI,0,COLUMN())-INDEX(SP_GF_Div_Prefs,0,COLUMN())</f>
        <v>1347</v>
      </c>
      <c r="AJ70" s="196">
        <f t="shared" si="73"/>
        <v>5349</v>
      </c>
      <c r="AK70" s="197">
        <f t="shared" si="73"/>
        <v>891</v>
      </c>
      <c r="AL70" s="197">
        <f t="shared" si="73"/>
        <v>1127</v>
      </c>
      <c r="AM70" s="197">
        <f t="shared" si="73"/>
        <v>1583</v>
      </c>
      <c r="AN70" s="197">
        <f t="shared" si="73"/>
        <v>969</v>
      </c>
      <c r="AO70" s="196">
        <f t="shared" si="73"/>
        <v>4570</v>
      </c>
      <c r="AP70" s="197">
        <f t="shared" si="73"/>
        <v>1292</v>
      </c>
      <c r="AQ70" s="197">
        <f t="shared" si="73"/>
        <v>1290</v>
      </c>
      <c r="AR70" s="197">
        <f>INDEX(SP_GF_EBT,0,COLUMN())-INDEX(SP_GF_Tax,0,COLUMN())-INDEX(SP_GF_DisCont,0,COLUMN())-INDEX(SP_GF_NCI,0,COLUMN())-INDEX(SP_GF_Div_Prefs,0,COLUMN())</f>
        <v>1413</v>
      </c>
      <c r="AS70" s="197">
        <f>INDEX(SP_GF_EBT,0,COLUMN())-INDEX(SP_GF_Tax,0,COLUMN())-INDEX(SP_GF_DisCont,0,COLUMN())-INDEX(SP_GF_NCI,0,COLUMN())-INDEX(SP_GF_Div_Prefs,0,COLUMN())</f>
        <v>1389</v>
      </c>
      <c r="AT70" s="196">
        <f>INDEX(SP_GF_EBT,0,COLUMN())-INDEX(SP_GF_Tax,0,COLUMN())-INDEX(SP_GF_DisCont,0,COLUMN())-INDEX(SP_GF_NCI,0,COLUMN())-INDEX(SP_GF_Div_Prefs,0,COLUMN())</f>
        <v>5384</v>
      </c>
      <c r="AU70" s="851">
        <f t="shared" si="73"/>
        <v>1624</v>
      </c>
      <c r="AV70" s="197">
        <f t="shared" si="73"/>
        <v>1242.0097752522747</v>
      </c>
      <c r="AW70" s="197">
        <f t="shared" si="73"/>
        <v>1510.1218446881928</v>
      </c>
      <c r="AX70" s="197">
        <f t="shared" si="73"/>
        <v>1591.6169221575942</v>
      </c>
      <c r="AY70" s="196">
        <f t="shared" si="73"/>
        <v>5967.7485420980647</v>
      </c>
      <c r="AZ70" s="197">
        <f t="shared" ref="AZ70:BG70" si="74">INDEX(SP_GF_EBT,0,COLUMN())-INDEX(SP_GF_Tax,0,COLUMN())-INDEX(SP_GF_DisCont,0,COLUMN())-INDEX(SP_GF_NCI,0,COLUMN())-INDEX(SP_GF_Div_Prefs,0,COLUMN())</f>
        <v>1687.9080105357052</v>
      </c>
      <c r="BA70" s="197">
        <f t="shared" ca="1" si="74"/>
        <v>1463.4520718263898</v>
      </c>
      <c r="BB70" s="197">
        <f t="shared" ca="1" si="74"/>
        <v>1573.5364517164776</v>
      </c>
      <c r="BC70" s="197">
        <f t="shared" ca="1" si="74"/>
        <v>1750.7652751190656</v>
      </c>
      <c r="BD70" s="196">
        <f t="shared" ca="1" si="74"/>
        <v>6475.6618091976343</v>
      </c>
      <c r="BE70" s="196">
        <f t="shared" ca="1" si="74"/>
        <v>7113.9761434234888</v>
      </c>
      <c r="BF70" s="196">
        <f t="shared" ca="1" si="74"/>
        <v>7810.4381898482488</v>
      </c>
      <c r="BG70" s="196">
        <f t="shared" ca="1" si="74"/>
        <v>8568.6901746959775</v>
      </c>
      <c r="BH70" s="251"/>
    </row>
    <row r="71" spans="1:60" s="144" customFormat="1" x14ac:dyDescent="0.35">
      <c r="A71" s="323" t="s">
        <v>297</v>
      </c>
      <c r="B71" s="324"/>
      <c r="C71" s="195">
        <f t="shared" ref="C71:AH71" si="75">INDEX(SP_GF_NI,0,COLUMN())/INDEX(SP_CS_ShareCount,0,COLUMN())</f>
        <v>4.5181831045705385</v>
      </c>
      <c r="D71" s="195">
        <f t="shared" si="75"/>
        <v>5.6305995864920746</v>
      </c>
      <c r="E71" s="195">
        <f t="shared" si="75"/>
        <v>5.9568845618915161</v>
      </c>
      <c r="F71" s="195">
        <f t="shared" si="75"/>
        <v>6.3187828807052471</v>
      </c>
      <c r="G71" s="204">
        <f t="shared" si="75"/>
        <v>1.6080330437259649</v>
      </c>
      <c r="H71" s="204">
        <f t="shared" si="75"/>
        <v>1.7122014018023173</v>
      </c>
      <c r="I71" s="204">
        <f t="shared" si="75"/>
        <v>1.7779705117085864</v>
      </c>
      <c r="J71" s="204">
        <f t="shared" si="75"/>
        <v>1.6189637457801263</v>
      </c>
      <c r="K71" s="195">
        <f t="shared" si="75"/>
        <v>6.7171280276816603</v>
      </c>
      <c r="L71" s="204">
        <f t="shared" si="75"/>
        <v>1.7894736842105263</v>
      </c>
      <c r="M71" s="204">
        <f t="shared" si="75"/>
        <v>1.9064098705988564</v>
      </c>
      <c r="N71" s="204">
        <f t="shared" si="75"/>
        <v>1.9805441556467549</v>
      </c>
      <c r="O71" s="204">
        <f t="shared" si="75"/>
        <v>1.8113381471808265</v>
      </c>
      <c r="P71" s="195">
        <f t="shared" si="75"/>
        <v>7.4864048338368576</v>
      </c>
      <c r="Q71" s="204">
        <f t="shared" si="75"/>
        <v>1.8468884781269252</v>
      </c>
      <c r="R71" s="204">
        <f t="shared" si="75"/>
        <v>2.0217729393468118</v>
      </c>
      <c r="S71" s="204">
        <f t="shared" si="75"/>
        <v>2.0532319391634979</v>
      </c>
      <c r="T71" s="204">
        <f t="shared" si="75"/>
        <v>1.6597377678285898</v>
      </c>
      <c r="U71" s="195">
        <f t="shared" si="75"/>
        <v>7.5847457627118642</v>
      </c>
      <c r="V71" s="204">
        <f t="shared" si="75"/>
        <v>2.0521487204249156</v>
      </c>
      <c r="W71" s="204">
        <f t="shared" si="75"/>
        <v>2.0792398131744241</v>
      </c>
      <c r="X71" s="204">
        <f t="shared" si="75"/>
        <v>2.1477052359405304</v>
      </c>
      <c r="Y71" s="204">
        <f t="shared" si="75"/>
        <v>1.881720430107527</v>
      </c>
      <c r="Z71" s="195">
        <f t="shared" si="75"/>
        <v>8.1622757394536922</v>
      </c>
      <c r="AA71" s="204">
        <f t="shared" si="75"/>
        <v>2.1617647058823528</v>
      </c>
      <c r="AB71" s="204">
        <f t="shared" si="75"/>
        <v>2.5832245430809402</v>
      </c>
      <c r="AC71" s="204">
        <f t="shared" si="75"/>
        <v>2.3322996572547736</v>
      </c>
      <c r="AD71" s="204">
        <f t="shared" si="75"/>
        <v>0.8526247147049234</v>
      </c>
      <c r="AE71" s="195">
        <f t="shared" si="75"/>
        <v>7.928839562591806</v>
      </c>
      <c r="AF71" s="204">
        <f t="shared" si="75"/>
        <v>0.98253631467275981</v>
      </c>
      <c r="AG71" s="204">
        <f t="shared" si="75"/>
        <v>3.0734856007944389</v>
      </c>
      <c r="AH71" s="204">
        <f t="shared" si="75"/>
        <v>2.5785427807486632</v>
      </c>
      <c r="AI71" s="204">
        <f t="shared" ref="AI71:AY71" si="76">INDEX(SP_GF_NI,0,COLUMN())/INDEX(SP_CS_ShareCount,0,COLUMN())</f>
        <v>2.2730340870739116</v>
      </c>
      <c r="AJ71" s="195">
        <f t="shared" si="76"/>
        <v>8.8853820598006639</v>
      </c>
      <c r="AK71" s="204">
        <f t="shared" si="76"/>
        <v>1.514018691588785</v>
      </c>
      <c r="AL71" s="204">
        <f t="shared" si="76"/>
        <v>1.9228800545981914</v>
      </c>
      <c r="AM71" s="204">
        <f t="shared" si="76"/>
        <v>2.7152658662092626</v>
      </c>
      <c r="AN71" s="204">
        <f t="shared" si="76"/>
        <v>1.6629483439162518</v>
      </c>
      <c r="AO71" s="195">
        <f t="shared" si="76"/>
        <v>7.8106306614253969</v>
      </c>
      <c r="AP71" s="204">
        <f t="shared" si="76"/>
        <v>2.2218400687876181</v>
      </c>
      <c r="AQ71" s="204">
        <f t="shared" si="76"/>
        <v>2.2210743801652892</v>
      </c>
      <c r="AR71" s="204">
        <f>INDEX(SP_GF_NI,0,COLUMN())/INDEX(SP_CS_ShareCount,0,COLUMN())</f>
        <v>2.4261675824175826</v>
      </c>
      <c r="AS71" s="204">
        <f>INDEX(SP_GF_NI,0,COLUMN())/INDEX(SP_CS_ShareCount,0,COLUMN())</f>
        <v>2.3784246575342465</v>
      </c>
      <c r="AT71" s="195">
        <f>INDEX(SP_GF_NI,0,COLUMN())/INDEX(SP_CS_ShareCount,0,COLUMN())</f>
        <v>9.2476812092064584</v>
      </c>
      <c r="AU71" s="860">
        <f t="shared" si="76"/>
        <v>2.7699130138154531</v>
      </c>
      <c r="AV71" s="204">
        <f t="shared" ca="1" si="76"/>
        <v>2.1277394504781899</v>
      </c>
      <c r="AW71" s="204">
        <f t="shared" ca="1" si="76"/>
        <v>2.5985268858467316</v>
      </c>
      <c r="AX71" s="204">
        <f t="shared" ca="1" si="76"/>
        <v>2.7509589343274921</v>
      </c>
      <c r="AY71" s="195">
        <f t="shared" ca="1" si="76"/>
        <v>10.246222457541535</v>
      </c>
      <c r="AZ71" s="204">
        <f t="shared" ref="AZ71:BG71" ca="1" si="77">INDEX(SP_GF_NI,0,COLUMN())/INDEX(SP_CS_ShareCount,0,COLUMN())</f>
        <v>2.9292738614347567</v>
      </c>
      <c r="BA71" s="204">
        <f t="shared" ca="1" si="77"/>
        <v>2.5501313838264896</v>
      </c>
      <c r="BB71" s="204">
        <f t="shared" ca="1" si="77"/>
        <v>2.7532203892406488</v>
      </c>
      <c r="BC71" s="204">
        <f t="shared" ca="1" si="77"/>
        <v>3.0759518769163336</v>
      </c>
      <c r="BD71" s="195">
        <f t="shared" ca="1" si="77"/>
        <v>11.307259474180231</v>
      </c>
      <c r="BE71" s="195">
        <f t="shared" ca="1" si="77"/>
        <v>12.689222605322245</v>
      </c>
      <c r="BF71" s="195">
        <f t="shared" ca="1" si="77"/>
        <v>14.127609011486499</v>
      </c>
      <c r="BG71" s="195">
        <f t="shared" ca="1" si="77"/>
        <v>15.699836663334427</v>
      </c>
      <c r="BH71" s="204"/>
    </row>
    <row r="72" spans="1:60" s="145" customFormat="1" x14ac:dyDescent="0.35">
      <c r="A72" s="304"/>
      <c r="B72" s="305"/>
      <c r="C72" s="909"/>
      <c r="D72" s="909"/>
      <c r="E72" s="909"/>
      <c r="F72" s="909"/>
      <c r="G72" s="910"/>
      <c r="H72" s="910"/>
      <c r="I72" s="910"/>
      <c r="J72" s="910"/>
      <c r="K72" s="909"/>
      <c r="L72" s="910"/>
      <c r="M72" s="910"/>
      <c r="N72" s="910"/>
      <c r="O72" s="910"/>
      <c r="P72" s="909"/>
      <c r="Q72" s="910"/>
      <c r="R72" s="910"/>
      <c r="S72" s="910"/>
      <c r="T72" s="910"/>
      <c r="U72" s="909"/>
      <c r="V72" s="910"/>
      <c r="W72" s="910"/>
      <c r="X72" s="910"/>
      <c r="Y72" s="910"/>
      <c r="Z72" s="909"/>
      <c r="AA72" s="910"/>
      <c r="AB72" s="910"/>
      <c r="AC72" s="910"/>
      <c r="AD72" s="910"/>
      <c r="AE72" s="909"/>
      <c r="AF72" s="910"/>
      <c r="AG72" s="910"/>
      <c r="AH72" s="910"/>
      <c r="AI72" s="910"/>
      <c r="AJ72" s="909"/>
      <c r="AK72" s="910"/>
      <c r="AL72" s="910"/>
      <c r="AM72" s="910"/>
      <c r="AN72" s="910"/>
      <c r="AO72" s="909"/>
      <c r="AP72" s="910"/>
      <c r="AQ72" s="910"/>
      <c r="AR72" s="910"/>
      <c r="AS72" s="910"/>
      <c r="AT72" s="909"/>
      <c r="AU72" s="911"/>
      <c r="AV72" s="910"/>
      <c r="AW72" s="910"/>
      <c r="AX72" s="910"/>
      <c r="AY72" s="909"/>
      <c r="AZ72" s="910"/>
      <c r="BA72" s="910"/>
      <c r="BB72" s="910"/>
      <c r="BC72" s="910"/>
      <c r="BD72" s="909"/>
      <c r="BE72" s="909"/>
      <c r="BF72" s="909"/>
      <c r="BG72" s="909"/>
      <c r="BH72" s="846"/>
    </row>
    <row r="73" spans="1:60" x14ac:dyDescent="0.35">
      <c r="A73" s="191" t="s">
        <v>298</v>
      </c>
      <c r="B73" s="192"/>
      <c r="C73" s="192"/>
      <c r="D73" s="192"/>
      <c r="E73" s="192"/>
      <c r="F73" s="192"/>
      <c r="G73" s="192"/>
      <c r="H73" s="192"/>
      <c r="I73" s="192"/>
      <c r="J73" s="192"/>
      <c r="K73" s="192"/>
      <c r="L73" s="192"/>
      <c r="M73" s="192"/>
      <c r="N73" s="192"/>
      <c r="O73" s="192"/>
      <c r="P73" s="192"/>
      <c r="Q73" s="192"/>
      <c r="R73" s="192"/>
      <c r="S73" s="192"/>
      <c r="T73" s="192"/>
      <c r="U73" s="192"/>
      <c r="V73" s="192"/>
      <c r="W73" s="192"/>
      <c r="X73" s="192"/>
      <c r="Y73" s="192"/>
      <c r="Z73" s="192"/>
      <c r="AA73" s="192"/>
      <c r="AB73" s="192"/>
      <c r="AC73" s="192"/>
      <c r="AD73" s="192"/>
      <c r="AE73" s="192"/>
      <c r="AF73" s="192"/>
      <c r="AG73" s="192"/>
      <c r="AH73" s="192"/>
      <c r="AI73" s="192"/>
      <c r="AJ73" s="192"/>
      <c r="AK73" s="192"/>
      <c r="AL73" s="192"/>
      <c r="AM73" s="192"/>
      <c r="AN73" s="192"/>
      <c r="AO73" s="192"/>
      <c r="AP73" s="192"/>
      <c r="AQ73" s="192"/>
      <c r="AR73" s="192"/>
      <c r="AS73" s="192"/>
      <c r="AT73" s="192"/>
      <c r="AU73" s="861"/>
      <c r="AV73" s="192"/>
      <c r="AW73" s="192"/>
      <c r="AX73" s="192"/>
      <c r="AY73" s="192"/>
      <c r="AZ73" s="192"/>
      <c r="BA73" s="192"/>
      <c r="BB73" s="192"/>
      <c r="BC73" s="192"/>
      <c r="BD73" s="192"/>
      <c r="BE73" s="192"/>
      <c r="BF73" s="192"/>
      <c r="BG73" s="192"/>
      <c r="BH73" s="325"/>
    </row>
    <row r="74" spans="1:60" s="156" customFormat="1" x14ac:dyDescent="0.35">
      <c r="A74" s="321" t="str">
        <f>INDEX(MO_RIS_EBITDA_Adj,0,COLUMN())</f>
        <v>Adjusted EBITDA</v>
      </c>
      <c r="B74" s="322"/>
      <c r="C74" s="250">
        <f t="shared" ref="C74:AH74" si="78">INDEX(MO_RIS_EBITDA_Adj,0,COLUMN())</f>
        <v>5971</v>
      </c>
      <c r="D74" s="250">
        <f t="shared" si="78"/>
        <v>7038</v>
      </c>
      <c r="E74" s="250">
        <f t="shared" si="78"/>
        <v>7414</v>
      </c>
      <c r="F74" s="250">
        <f t="shared" si="78"/>
        <v>7771</v>
      </c>
      <c r="G74" s="251">
        <f t="shared" si="78"/>
        <v>1982</v>
      </c>
      <c r="H74" s="251">
        <f t="shared" si="78"/>
        <v>2037</v>
      </c>
      <c r="I74" s="251">
        <f t="shared" si="78"/>
        <v>2082</v>
      </c>
      <c r="J74" s="251">
        <f t="shared" si="78"/>
        <v>1936</v>
      </c>
      <c r="K74" s="250">
        <f t="shared" si="78"/>
        <v>8037</v>
      </c>
      <c r="L74" s="251">
        <f t="shared" si="78"/>
        <v>2066</v>
      </c>
      <c r="M74" s="251">
        <f t="shared" si="78"/>
        <v>2214</v>
      </c>
      <c r="N74" s="251">
        <f t="shared" si="78"/>
        <v>2251</v>
      </c>
      <c r="O74" s="251">
        <f t="shared" si="78"/>
        <v>2012</v>
      </c>
      <c r="P74" s="250">
        <f t="shared" si="78"/>
        <v>8543</v>
      </c>
      <c r="Q74" s="251">
        <f t="shared" si="78"/>
        <v>2069</v>
      </c>
      <c r="R74" s="251">
        <f t="shared" si="78"/>
        <v>2184</v>
      </c>
      <c r="S74" s="251">
        <f t="shared" si="78"/>
        <v>2231</v>
      </c>
      <c r="T74" s="251">
        <f t="shared" si="78"/>
        <v>1897</v>
      </c>
      <c r="U74" s="250">
        <f t="shared" si="78"/>
        <v>8381</v>
      </c>
      <c r="V74" s="251">
        <f t="shared" si="78"/>
        <v>2144</v>
      </c>
      <c r="W74" s="251">
        <f t="shared" si="78"/>
        <v>2232</v>
      </c>
      <c r="X74" s="251">
        <f t="shared" si="78"/>
        <v>2272</v>
      </c>
      <c r="Y74" s="251">
        <f t="shared" si="78"/>
        <v>2049</v>
      </c>
      <c r="Z74" s="250">
        <f t="shared" si="78"/>
        <v>8697</v>
      </c>
      <c r="AA74" s="251">
        <f t="shared" si="78"/>
        <v>2180</v>
      </c>
      <c r="AB74" s="251">
        <f t="shared" si="78"/>
        <v>2533</v>
      </c>
      <c r="AC74" s="251">
        <f t="shared" si="78"/>
        <v>2385</v>
      </c>
      <c r="AD74" s="251">
        <f t="shared" si="78"/>
        <v>2138</v>
      </c>
      <c r="AE74" s="250">
        <f t="shared" si="78"/>
        <v>9236</v>
      </c>
      <c r="AF74" s="251">
        <f t="shared" si="78"/>
        <v>2286</v>
      </c>
      <c r="AG74" s="251">
        <f t="shared" si="78"/>
        <v>2781</v>
      </c>
      <c r="AH74" s="251">
        <f t="shared" si="78"/>
        <v>2371</v>
      </c>
      <c r="AI74" s="251">
        <f t="shared" ref="AI74:AY74" si="79">INDEX(MO_RIS_EBITDA_Adj,0,COLUMN())</f>
        <v>2154</v>
      </c>
      <c r="AJ74" s="250">
        <f t="shared" si="79"/>
        <v>9592</v>
      </c>
      <c r="AK74" s="251">
        <f t="shared" si="79"/>
        <v>2051</v>
      </c>
      <c r="AL74" s="251">
        <f t="shared" si="79"/>
        <v>2078</v>
      </c>
      <c r="AM74" s="251">
        <f t="shared" si="79"/>
        <v>2284</v>
      </c>
      <c r="AN74" s="251">
        <f t="shared" si="79"/>
        <v>2002</v>
      </c>
      <c r="AO74" s="250">
        <f t="shared" si="79"/>
        <v>8415</v>
      </c>
      <c r="AP74" s="251">
        <f t="shared" si="79"/>
        <v>2118</v>
      </c>
      <c r="AQ74" s="251">
        <f t="shared" si="79"/>
        <v>1900</v>
      </c>
      <c r="AR74" s="251">
        <f>INDEX(MO_RIS_EBITDA_Adj,0,COLUMN())</f>
        <v>2390</v>
      </c>
      <c r="AS74" s="251">
        <f>INDEX(MO_RIS_EBITDA_Adj,0,COLUMN())</f>
        <v>2347</v>
      </c>
      <c r="AT74" s="250">
        <f>INDEX(MO_RIS_EBITDA_Adj,0,COLUMN())</f>
        <v>8755</v>
      </c>
      <c r="AU74" s="855">
        <f t="shared" si="79"/>
        <v>2454</v>
      </c>
      <c r="AV74" s="251">
        <f t="shared" si="79"/>
        <v>2120.9743847999998</v>
      </c>
      <c r="AW74" s="251">
        <f t="shared" si="79"/>
        <v>2462.6915680000002</v>
      </c>
      <c r="AX74" s="251">
        <f t="shared" si="79"/>
        <v>2565.0658084000002</v>
      </c>
      <c r="AY74" s="250">
        <f t="shared" si="79"/>
        <v>9602.7317612000006</v>
      </c>
      <c r="AZ74" s="251">
        <f t="shared" ref="AZ74:BG74" si="80">INDEX(MO_RIS_EBITDA_Adj,0,COLUMN())</f>
        <v>2683.7461348000006</v>
      </c>
      <c r="BA74" s="251">
        <f t="shared" si="80"/>
        <v>2400.6010443519999</v>
      </c>
      <c r="BB74" s="251">
        <f t="shared" si="80"/>
        <v>2541.9490585920003</v>
      </c>
      <c r="BC74" s="251">
        <f t="shared" si="80"/>
        <v>2765.4050496119999</v>
      </c>
      <c r="BD74" s="250">
        <f t="shared" si="80"/>
        <v>10391.701287356002</v>
      </c>
      <c r="BE74" s="250">
        <f t="shared" si="80"/>
        <v>11195.589153213179</v>
      </c>
      <c r="BF74" s="250">
        <f t="shared" si="80"/>
        <v>12067.758610940777</v>
      </c>
      <c r="BG74" s="250">
        <f t="shared" si="80"/>
        <v>13013.838469852113</v>
      </c>
      <c r="BH74" s="251"/>
    </row>
    <row r="75" spans="1:60" s="156" customFormat="1" x14ac:dyDescent="0.35">
      <c r="A75" s="321" t="str">
        <f>INDEX(MO_RIS_EBIT_Adj,0,COLUMN())</f>
        <v>Adjusted EBIT</v>
      </c>
      <c r="B75" s="322"/>
      <c r="C75" s="250">
        <f t="shared" ref="C75:AH75" si="81">INDEX(MO_RIS_EBIT_Adj,0,COLUMN())</f>
        <v>4814</v>
      </c>
      <c r="D75" s="250">
        <f t="shared" si="81"/>
        <v>5918</v>
      </c>
      <c r="E75" s="250">
        <f t="shared" si="81"/>
        <v>6178</v>
      </c>
      <c r="F75" s="250">
        <f t="shared" si="81"/>
        <v>6483</v>
      </c>
      <c r="G75" s="251">
        <f t="shared" si="81"/>
        <v>1646</v>
      </c>
      <c r="H75" s="251">
        <f t="shared" si="81"/>
        <v>1702</v>
      </c>
      <c r="I75" s="251">
        <f t="shared" si="81"/>
        <v>1739</v>
      </c>
      <c r="J75" s="251">
        <f t="shared" si="81"/>
        <v>1579</v>
      </c>
      <c r="K75" s="250">
        <f t="shared" si="81"/>
        <v>6666</v>
      </c>
      <c r="L75" s="251">
        <f t="shared" si="81"/>
        <v>1716</v>
      </c>
      <c r="M75" s="251">
        <f t="shared" si="81"/>
        <v>1856</v>
      </c>
      <c r="N75" s="251">
        <f t="shared" si="81"/>
        <v>1901</v>
      </c>
      <c r="O75" s="251">
        <f t="shared" si="81"/>
        <v>1662</v>
      </c>
      <c r="P75" s="250">
        <f t="shared" si="81"/>
        <v>7135</v>
      </c>
      <c r="Q75" s="251">
        <f t="shared" si="81"/>
        <v>1730</v>
      </c>
      <c r="R75" s="251">
        <f t="shared" si="81"/>
        <v>1840</v>
      </c>
      <c r="S75" s="251">
        <f t="shared" si="81"/>
        <v>1876</v>
      </c>
      <c r="T75" s="251">
        <f t="shared" si="81"/>
        <v>1500</v>
      </c>
      <c r="U75" s="250">
        <f t="shared" si="81"/>
        <v>6946</v>
      </c>
      <c r="V75" s="251">
        <f t="shared" si="81"/>
        <v>1788</v>
      </c>
      <c r="W75" s="251">
        <f t="shared" si="81"/>
        <v>1866</v>
      </c>
      <c r="X75" s="251">
        <f t="shared" si="81"/>
        <v>1904</v>
      </c>
      <c r="Y75" s="251">
        <f t="shared" si="81"/>
        <v>1665</v>
      </c>
      <c r="Z75" s="250">
        <f t="shared" si="81"/>
        <v>7223</v>
      </c>
      <c r="AA75" s="251">
        <f t="shared" si="81"/>
        <v>1742</v>
      </c>
      <c r="AB75" s="251">
        <f t="shared" si="81"/>
        <v>2153</v>
      </c>
      <c r="AC75" s="251">
        <f t="shared" si="81"/>
        <v>2008</v>
      </c>
      <c r="AD75" s="251">
        <f t="shared" si="81"/>
        <v>1789</v>
      </c>
      <c r="AE75" s="250">
        <f t="shared" si="81"/>
        <v>7692</v>
      </c>
      <c r="AF75" s="251">
        <f t="shared" si="81"/>
        <v>1904</v>
      </c>
      <c r="AG75" s="251">
        <f t="shared" si="81"/>
        <v>2401</v>
      </c>
      <c r="AH75" s="251">
        <f t="shared" si="81"/>
        <v>2016</v>
      </c>
      <c r="AI75" s="251">
        <f t="shared" ref="AI75:AY75" si="82">INDEX(MO_RIS_EBIT_Adj,0,COLUMN())</f>
        <v>1783</v>
      </c>
      <c r="AJ75" s="250">
        <f t="shared" si="82"/>
        <v>8104</v>
      </c>
      <c r="AK75" s="251">
        <f t="shared" si="82"/>
        <v>1676</v>
      </c>
      <c r="AL75" s="251">
        <f t="shared" si="82"/>
        <v>1702</v>
      </c>
      <c r="AM75" s="251">
        <f t="shared" si="82"/>
        <v>1905</v>
      </c>
      <c r="AN75" s="251">
        <f t="shared" si="82"/>
        <v>1539</v>
      </c>
      <c r="AO75" s="250">
        <f t="shared" si="82"/>
        <v>6822</v>
      </c>
      <c r="AP75" s="251">
        <f t="shared" si="82"/>
        <v>1678</v>
      </c>
      <c r="AQ75" s="251">
        <f t="shared" si="82"/>
        <v>1408</v>
      </c>
      <c r="AR75" s="251">
        <f>INDEX(MO_RIS_EBIT_Adj,0,COLUMN())</f>
        <v>1909</v>
      </c>
      <c r="AS75" s="251">
        <f>INDEX(MO_RIS_EBIT_Adj,0,COLUMN())</f>
        <v>1849</v>
      </c>
      <c r="AT75" s="250">
        <f>INDEX(MO_RIS_EBIT_Adj,0,COLUMN())</f>
        <v>6844</v>
      </c>
      <c r="AU75" s="855">
        <f t="shared" si="82"/>
        <v>1994</v>
      </c>
      <c r="AV75" s="251">
        <f t="shared" si="82"/>
        <v>1695.9743848000003</v>
      </c>
      <c r="AW75" s="251">
        <f t="shared" si="82"/>
        <v>2037.691568</v>
      </c>
      <c r="AX75" s="251">
        <f t="shared" si="82"/>
        <v>2140.0658084000002</v>
      </c>
      <c r="AY75" s="250">
        <f t="shared" si="82"/>
        <v>7867.7317612000006</v>
      </c>
      <c r="AZ75" s="251">
        <f t="shared" ref="AZ75:BG75" si="83">INDEX(MO_RIS_EBIT_Adj,0,COLUMN())</f>
        <v>2258.7461348000006</v>
      </c>
      <c r="BA75" s="251">
        <f t="shared" si="83"/>
        <v>1975.6010443520001</v>
      </c>
      <c r="BB75" s="251">
        <f t="shared" si="83"/>
        <v>2116.9490585920003</v>
      </c>
      <c r="BC75" s="251">
        <f t="shared" si="83"/>
        <v>2340.4050496119999</v>
      </c>
      <c r="BD75" s="250">
        <f t="shared" si="83"/>
        <v>8691.7012873560016</v>
      </c>
      <c r="BE75" s="250">
        <f t="shared" si="83"/>
        <v>9495.5891532131791</v>
      </c>
      <c r="BF75" s="250">
        <f t="shared" si="83"/>
        <v>10367.758610940777</v>
      </c>
      <c r="BG75" s="250">
        <f t="shared" si="83"/>
        <v>11313.838469852113</v>
      </c>
      <c r="BH75" s="251"/>
    </row>
    <row r="76" spans="1:60" s="156" customFormat="1" x14ac:dyDescent="0.35">
      <c r="A76" s="321" t="str">
        <f>INDEX(MO_RIS_NI_NONGAAP_Diluted,0,COLUMN())</f>
        <v>Adjusted Net Income</v>
      </c>
      <c r="B76" s="322"/>
      <c r="C76" s="250">
        <f t="shared" ref="C76:AH76" si="84">INDEX(MO_RIS_NI_NONGAAP_Diluted,0,COLUMN())</f>
        <v>3193</v>
      </c>
      <c r="D76" s="250">
        <f t="shared" si="84"/>
        <v>4085</v>
      </c>
      <c r="E76" s="250">
        <f t="shared" si="84"/>
        <v>4283</v>
      </c>
      <c r="F76" s="250">
        <f t="shared" si="84"/>
        <v>4444</v>
      </c>
      <c r="G76" s="251">
        <f t="shared" si="84"/>
        <v>1129</v>
      </c>
      <c r="H76" s="251">
        <f t="shared" si="84"/>
        <v>1197</v>
      </c>
      <c r="I76" s="251">
        <f t="shared" si="84"/>
        <v>1230</v>
      </c>
      <c r="J76" s="251">
        <f t="shared" si="84"/>
        <v>1103</v>
      </c>
      <c r="K76" s="250">
        <f t="shared" si="84"/>
        <v>4659</v>
      </c>
      <c r="L76" s="251">
        <f t="shared" si="84"/>
        <v>1207</v>
      </c>
      <c r="M76" s="251">
        <f t="shared" si="84"/>
        <v>1267</v>
      </c>
      <c r="N76" s="251">
        <f t="shared" si="84"/>
        <v>1303</v>
      </c>
      <c r="O76" s="251">
        <f t="shared" si="84"/>
        <v>1179</v>
      </c>
      <c r="P76" s="250">
        <f t="shared" si="84"/>
        <v>4956</v>
      </c>
      <c r="Q76" s="251">
        <f t="shared" si="84"/>
        <v>1199</v>
      </c>
      <c r="R76" s="251">
        <f t="shared" si="84"/>
        <v>1300</v>
      </c>
      <c r="S76" s="251">
        <f t="shared" si="84"/>
        <v>1296</v>
      </c>
      <c r="T76" s="251">
        <f t="shared" si="84"/>
        <v>1038</v>
      </c>
      <c r="U76" s="250">
        <f t="shared" si="84"/>
        <v>4833</v>
      </c>
      <c r="V76" s="251">
        <f t="shared" si="84"/>
        <v>1275</v>
      </c>
      <c r="W76" s="251">
        <f t="shared" si="84"/>
        <v>1291</v>
      </c>
      <c r="X76" s="251">
        <f t="shared" si="84"/>
        <v>1329</v>
      </c>
      <c r="Y76" s="251">
        <f t="shared" si="84"/>
        <v>1155</v>
      </c>
      <c r="Z76" s="250">
        <f t="shared" si="84"/>
        <v>5050</v>
      </c>
      <c r="AA76" s="251">
        <f t="shared" si="84"/>
        <v>1323</v>
      </c>
      <c r="AB76" s="251">
        <f t="shared" si="84"/>
        <v>1583</v>
      </c>
      <c r="AC76" s="251">
        <f t="shared" si="84"/>
        <v>1429</v>
      </c>
      <c r="AD76" s="251">
        <f t="shared" si="84"/>
        <v>1285</v>
      </c>
      <c r="AE76" s="250">
        <f t="shared" si="84"/>
        <v>5620</v>
      </c>
      <c r="AF76" s="251">
        <f t="shared" si="84"/>
        <v>1529</v>
      </c>
      <c r="AG76" s="251">
        <f t="shared" si="84"/>
        <v>1857</v>
      </c>
      <c r="AH76" s="251">
        <f t="shared" si="84"/>
        <v>1543</v>
      </c>
      <c r="AI76" s="251">
        <f t="shared" ref="AI76:AY76" si="85">INDEX(MO_RIS_NI_NONGAAP_Diluted,0,COLUMN())</f>
        <v>1366</v>
      </c>
      <c r="AJ76" s="250">
        <f t="shared" si="85"/>
        <v>6295</v>
      </c>
      <c r="AK76" s="251">
        <f t="shared" si="85"/>
        <v>1308</v>
      </c>
      <c r="AL76" s="251">
        <f t="shared" si="85"/>
        <v>1246</v>
      </c>
      <c r="AM76" s="251">
        <f t="shared" si="85"/>
        <v>1504</v>
      </c>
      <c r="AN76" s="251">
        <f t="shared" si="85"/>
        <v>1135</v>
      </c>
      <c r="AO76" s="250">
        <f t="shared" si="85"/>
        <v>5193</v>
      </c>
      <c r="AP76" s="251">
        <f t="shared" si="85"/>
        <v>1254</v>
      </c>
      <c r="AQ76" s="251">
        <f t="shared" si="85"/>
        <v>1032</v>
      </c>
      <c r="AR76" s="251">
        <f>INDEX(MO_RIS_NI_NONGAAP_Diluted,0,COLUMN())</f>
        <v>1413</v>
      </c>
      <c r="AS76" s="251">
        <f>INDEX(MO_RIS_NI_NONGAAP_Diluted,0,COLUMN())</f>
        <v>1389</v>
      </c>
      <c r="AT76" s="250">
        <f>INDEX(MO_RIS_NI_NONGAAP_Diluted,0,COLUMN())</f>
        <v>5088</v>
      </c>
      <c r="AU76" s="855">
        <f t="shared" si="85"/>
        <v>1624</v>
      </c>
      <c r="AV76" s="251">
        <f t="shared" si="85"/>
        <v>1242.0097752522743</v>
      </c>
      <c r="AW76" s="251">
        <f t="shared" si="85"/>
        <v>1510.1218446881926</v>
      </c>
      <c r="AX76" s="251">
        <f t="shared" si="85"/>
        <v>1591.6169221575942</v>
      </c>
      <c r="AY76" s="250">
        <f t="shared" si="85"/>
        <v>5967.7485420980611</v>
      </c>
      <c r="AZ76" s="251">
        <f t="shared" ref="AZ76:BG76" si="86">INDEX(MO_RIS_NI_NONGAAP_Diluted,0,COLUMN())</f>
        <v>1687.9080105357048</v>
      </c>
      <c r="BA76" s="251">
        <f t="shared" ca="1" si="86"/>
        <v>1463.4520718263889</v>
      </c>
      <c r="BB76" s="251">
        <f t="shared" ca="1" si="86"/>
        <v>1573.5364517164776</v>
      </c>
      <c r="BC76" s="251">
        <f t="shared" ca="1" si="86"/>
        <v>1750.7652751190656</v>
      </c>
      <c r="BD76" s="250">
        <f t="shared" ca="1" si="86"/>
        <v>6475.6618091976379</v>
      </c>
      <c r="BE76" s="250">
        <f t="shared" ca="1" si="86"/>
        <v>7113.9761434234888</v>
      </c>
      <c r="BF76" s="250">
        <f t="shared" ca="1" si="86"/>
        <v>7810.4381898482488</v>
      </c>
      <c r="BG76" s="250">
        <f t="shared" ca="1" si="86"/>
        <v>8568.6901746959811</v>
      </c>
      <c r="BH76" s="251"/>
    </row>
    <row r="77" spans="1:60" s="144" customFormat="1" x14ac:dyDescent="0.35">
      <c r="A77" s="323" t="str">
        <f>INDEX(MO_RIS_EPS_WAD_Adj,0,COLUMN())</f>
        <v>Adjusted Earnings Per Share - WAD</v>
      </c>
      <c r="B77" s="324"/>
      <c r="C77" s="195">
        <f t="shared" ref="C77:AH77" si="87">INDEX(MO_RIS_EPS_WAD_Adj,0,COLUMN())</f>
        <v>4.5181831045705385</v>
      </c>
      <c r="D77" s="195">
        <f t="shared" si="87"/>
        <v>5.6305995864920746</v>
      </c>
      <c r="E77" s="195">
        <f t="shared" si="87"/>
        <v>5.9568845618915161</v>
      </c>
      <c r="F77" s="195">
        <f t="shared" si="87"/>
        <v>6.3187828807052471</v>
      </c>
      <c r="G77" s="204">
        <f t="shared" si="87"/>
        <v>1.6080330437259649</v>
      </c>
      <c r="H77" s="204">
        <f t="shared" si="87"/>
        <v>1.7122014018023173</v>
      </c>
      <c r="I77" s="204">
        <f t="shared" si="87"/>
        <v>1.7779705117085864</v>
      </c>
      <c r="J77" s="204">
        <f t="shared" si="87"/>
        <v>1.6189637457801263</v>
      </c>
      <c r="K77" s="195">
        <f t="shared" si="87"/>
        <v>6.7171280276816603</v>
      </c>
      <c r="L77" s="204">
        <f t="shared" si="87"/>
        <v>1.7894736842105263</v>
      </c>
      <c r="M77" s="204">
        <f t="shared" si="87"/>
        <v>1.9064098705988564</v>
      </c>
      <c r="N77" s="204">
        <f t="shared" si="87"/>
        <v>1.9805441556467549</v>
      </c>
      <c r="O77" s="204">
        <f t="shared" si="87"/>
        <v>1.8113381471808265</v>
      </c>
      <c r="P77" s="195">
        <f t="shared" si="87"/>
        <v>7.4864048338368576</v>
      </c>
      <c r="Q77" s="204">
        <f t="shared" si="87"/>
        <v>1.8468884781269252</v>
      </c>
      <c r="R77" s="204">
        <f t="shared" si="87"/>
        <v>2.0217729393468118</v>
      </c>
      <c r="S77" s="204">
        <f t="shared" si="87"/>
        <v>2.0532319391634979</v>
      </c>
      <c r="T77" s="204">
        <f t="shared" si="87"/>
        <v>1.6597377678285898</v>
      </c>
      <c r="U77" s="195">
        <f t="shared" si="87"/>
        <v>7.5847457627118642</v>
      </c>
      <c r="V77" s="204">
        <f t="shared" si="87"/>
        <v>2.0521487204249156</v>
      </c>
      <c r="W77" s="204">
        <f t="shared" si="87"/>
        <v>2.0792398131744241</v>
      </c>
      <c r="X77" s="204">
        <f t="shared" si="87"/>
        <v>2.1477052359405304</v>
      </c>
      <c r="Y77" s="204">
        <f t="shared" si="87"/>
        <v>1.881720430107527</v>
      </c>
      <c r="Z77" s="195">
        <f t="shared" si="87"/>
        <v>8.1622757394536922</v>
      </c>
      <c r="AA77" s="204">
        <f t="shared" si="87"/>
        <v>2.1617647058823528</v>
      </c>
      <c r="AB77" s="204">
        <f t="shared" si="87"/>
        <v>2.5832245430809402</v>
      </c>
      <c r="AC77" s="204">
        <f t="shared" si="87"/>
        <v>2.3322996572547736</v>
      </c>
      <c r="AD77" s="204">
        <f t="shared" si="87"/>
        <v>2.0948809911966091</v>
      </c>
      <c r="AE77" s="195">
        <f t="shared" si="87"/>
        <v>9.1725150971111464</v>
      </c>
      <c r="AF77" s="204">
        <f t="shared" si="87"/>
        <v>2.4955116696588866</v>
      </c>
      <c r="AG77" s="204">
        <f t="shared" si="87"/>
        <v>3.0734856007944389</v>
      </c>
      <c r="AH77" s="204">
        <f t="shared" si="87"/>
        <v>2.5785427807486632</v>
      </c>
      <c r="AI77" s="204">
        <f t="shared" ref="AI77:AY77" si="88">INDEX(MO_RIS_EPS_WAD_Adj,0,COLUMN())</f>
        <v>2.3050961862976713</v>
      </c>
      <c r="AJ77" s="195">
        <f t="shared" si="88"/>
        <v>10.456810631229235</v>
      </c>
      <c r="AK77" s="204">
        <f t="shared" si="88"/>
        <v>2.2225998300764656</v>
      </c>
      <c r="AL77" s="204">
        <f t="shared" si="88"/>
        <v>2.1259170789967583</v>
      </c>
      <c r="AM77" s="204">
        <f t="shared" si="88"/>
        <v>2.5797598627787308</v>
      </c>
      <c r="AN77" s="204">
        <f t="shared" si="88"/>
        <v>1.9478290715634115</v>
      </c>
      <c r="AO77" s="195">
        <f t="shared" si="88"/>
        <v>8.8754059135190566</v>
      </c>
      <c r="AP77" s="204">
        <f t="shared" si="88"/>
        <v>2.1564918314703352</v>
      </c>
      <c r="AQ77" s="204">
        <f t="shared" si="88"/>
        <v>1.7768595041322315</v>
      </c>
      <c r="AR77" s="204">
        <f>INDEX(MO_RIS_EPS_WAD_Adj,0,COLUMN())</f>
        <v>2.4261675824175826</v>
      </c>
      <c r="AS77" s="204">
        <f>INDEX(MO_RIS_EPS_WAD_Adj,0,COLUMN())</f>
        <v>2.3784246575342465</v>
      </c>
      <c r="AT77" s="195">
        <f>INDEX(MO_RIS_EPS_WAD_Adj,0,COLUMN())</f>
        <v>8.7392648574373055</v>
      </c>
      <c r="AU77" s="860">
        <f t="shared" si="88"/>
        <v>2.7699130138154531</v>
      </c>
      <c r="AV77" s="204">
        <f t="shared" si="88"/>
        <v>2.1277394504781895</v>
      </c>
      <c r="AW77" s="204">
        <f t="shared" si="88"/>
        <v>2.5985268858467312</v>
      </c>
      <c r="AX77" s="204">
        <f t="shared" si="88"/>
        <v>2.7509589343274921</v>
      </c>
      <c r="AY77" s="195">
        <f t="shared" si="88"/>
        <v>10.246222457541528</v>
      </c>
      <c r="AZ77" s="204">
        <f t="shared" ref="AZ77:BG77" ca="1" si="89">INDEX(MO_RIS_EPS_WAD_Adj,0,COLUMN())</f>
        <v>2.9292738614347562</v>
      </c>
      <c r="BA77" s="204">
        <f t="shared" ca="1" si="89"/>
        <v>2.5501313838264879</v>
      </c>
      <c r="BB77" s="204">
        <f t="shared" ca="1" si="89"/>
        <v>2.7532203892406488</v>
      </c>
      <c r="BC77" s="204">
        <f t="shared" ca="1" si="89"/>
        <v>3.0759518769163336</v>
      </c>
      <c r="BD77" s="195">
        <f t="shared" ca="1" si="89"/>
        <v>11.307259474180238</v>
      </c>
      <c r="BE77" s="195">
        <f t="shared" ca="1" si="89"/>
        <v>12.689222605322245</v>
      </c>
      <c r="BF77" s="195">
        <f t="shared" ca="1" si="89"/>
        <v>14.127609011486499</v>
      </c>
      <c r="BG77" s="195">
        <f t="shared" ca="1" si="89"/>
        <v>15.699836663334432</v>
      </c>
      <c r="BH77" s="204"/>
    </row>
    <row r="78" spans="1:60" x14ac:dyDescent="0.35">
      <c r="A78" s="325"/>
      <c r="B78" s="315"/>
      <c r="C78" s="205"/>
      <c r="D78" s="205"/>
      <c r="E78" s="205"/>
      <c r="F78" s="205"/>
      <c r="G78" s="206"/>
      <c r="H78" s="206"/>
      <c r="I78" s="206"/>
      <c r="J78" s="206"/>
      <c r="K78" s="205"/>
      <c r="L78" s="206"/>
      <c r="M78" s="206"/>
      <c r="N78" s="206"/>
      <c r="O78" s="206"/>
      <c r="P78" s="205"/>
      <c r="Q78" s="206"/>
      <c r="R78" s="206"/>
      <c r="S78" s="206"/>
      <c r="T78" s="206"/>
      <c r="U78" s="205"/>
      <c r="V78" s="206"/>
      <c r="W78" s="206"/>
      <c r="X78" s="206"/>
      <c r="Y78" s="207"/>
      <c r="Z78" s="208"/>
      <c r="AA78" s="206"/>
      <c r="AB78" s="206"/>
      <c r="AC78" s="206"/>
      <c r="AD78" s="207"/>
      <c r="AE78" s="208"/>
      <c r="AF78" s="206"/>
      <c r="AG78" s="206"/>
      <c r="AH78" s="206"/>
      <c r="AI78" s="207"/>
      <c r="AJ78" s="208"/>
      <c r="AK78" s="206"/>
      <c r="AL78" s="206"/>
      <c r="AM78" s="206"/>
      <c r="AN78" s="207"/>
      <c r="AO78" s="208"/>
      <c r="AP78" s="206"/>
      <c r="AQ78" s="206"/>
      <c r="AR78" s="206"/>
      <c r="AS78" s="207"/>
      <c r="AT78" s="208"/>
      <c r="AU78" s="862"/>
      <c r="AV78" s="206"/>
      <c r="AW78" s="206"/>
      <c r="AX78" s="207"/>
      <c r="AY78" s="208"/>
      <c r="AZ78" s="206"/>
      <c r="BA78" s="206"/>
      <c r="BB78" s="206"/>
      <c r="BC78" s="207"/>
      <c r="BD78" s="208"/>
      <c r="BE78" s="208"/>
      <c r="BF78" s="208"/>
      <c r="BG78" s="208"/>
      <c r="BH78" s="325"/>
    </row>
    <row r="79" spans="1:60" x14ac:dyDescent="0.35">
      <c r="A79" s="193" t="s">
        <v>25</v>
      </c>
      <c r="B79" s="845"/>
      <c r="C79" s="907"/>
      <c r="D79" s="907"/>
      <c r="E79" s="907"/>
      <c r="F79" s="907"/>
      <c r="G79" s="907"/>
      <c r="H79" s="907"/>
      <c r="I79" s="907"/>
      <c r="J79" s="907"/>
      <c r="K79" s="907"/>
      <c r="L79" s="907"/>
      <c r="M79" s="907"/>
      <c r="N79" s="907"/>
      <c r="O79" s="907"/>
      <c r="P79" s="907"/>
      <c r="Q79" s="907"/>
      <c r="R79" s="907"/>
      <c r="S79" s="907"/>
      <c r="T79" s="907"/>
      <c r="U79" s="907"/>
      <c r="V79" s="907"/>
      <c r="W79" s="907"/>
      <c r="X79" s="907"/>
      <c r="Y79" s="907"/>
      <c r="Z79" s="907"/>
      <c r="AA79" s="907"/>
      <c r="AB79" s="907"/>
      <c r="AC79" s="907"/>
      <c r="AD79" s="907"/>
      <c r="AE79" s="907"/>
      <c r="AF79" s="907"/>
      <c r="AG79" s="907"/>
      <c r="AH79" s="907"/>
      <c r="AI79" s="907"/>
      <c r="AJ79" s="907"/>
      <c r="AK79" s="907"/>
      <c r="AL79" s="907"/>
      <c r="AM79" s="907"/>
      <c r="AN79" s="907"/>
      <c r="AO79" s="907"/>
      <c r="AP79" s="907"/>
      <c r="AQ79" s="907"/>
      <c r="AR79" s="907"/>
      <c r="AS79" s="907"/>
      <c r="AT79" s="907"/>
      <c r="AU79" s="908"/>
      <c r="AV79" s="907"/>
      <c r="AW79" s="907"/>
      <c r="AX79" s="907"/>
      <c r="AY79" s="907"/>
      <c r="AZ79" s="907"/>
      <c r="BA79" s="907"/>
      <c r="BB79" s="907"/>
      <c r="BC79" s="907"/>
      <c r="BD79" s="907"/>
      <c r="BE79" s="907"/>
      <c r="BF79" s="907"/>
      <c r="BG79" s="907"/>
      <c r="BH79" s="846"/>
    </row>
    <row r="80" spans="1:60" s="147" customFormat="1" x14ac:dyDescent="0.35">
      <c r="A80" s="326" t="str">
        <f>INDEX(MO_MA_COGS,0,COLUMN())</f>
        <v>COGS Margin (Excluding D&amp;A and SBC), %</v>
      </c>
      <c r="B80" s="315"/>
      <c r="C80" s="201">
        <f t="shared" ref="C80:AH80" si="90">INDEX(SP_GF_COGS,0,COLUMN())/INDEX(SP_GF_Rev,0,COLUMN())</f>
        <v>0.47199757816892274</v>
      </c>
      <c r="D80" s="201">
        <f t="shared" si="90"/>
        <v>0.47558322706473632</v>
      </c>
      <c r="E80" s="201">
        <f t="shared" si="90"/>
        <v>0.48725135929215496</v>
      </c>
      <c r="F80" s="201">
        <f t="shared" si="90"/>
        <v>0.48053772070626005</v>
      </c>
      <c r="G80" s="202">
        <f t="shared" si="90"/>
        <v>0.4743253864291328</v>
      </c>
      <c r="H80" s="202">
        <f t="shared" si="90"/>
        <v>0.47368421052631576</v>
      </c>
      <c r="I80" s="202">
        <f t="shared" si="90"/>
        <v>0.48004042445679634</v>
      </c>
      <c r="J80" s="202">
        <f t="shared" si="90"/>
        <v>0.47760602457391993</v>
      </c>
      <c r="K80" s="201">
        <f t="shared" si="90"/>
        <v>0.47643419390366365</v>
      </c>
      <c r="L80" s="202">
        <f t="shared" si="90"/>
        <v>0.4672455625079811</v>
      </c>
      <c r="M80" s="202">
        <f t="shared" si="90"/>
        <v>0.46901893287435459</v>
      </c>
      <c r="N80" s="202">
        <f t="shared" si="90"/>
        <v>0.47265576993978126</v>
      </c>
      <c r="O80" s="202">
        <f t="shared" si="90"/>
        <v>0.47570928876797514</v>
      </c>
      <c r="P80" s="201">
        <f t="shared" si="90"/>
        <v>0.47113541372049905</v>
      </c>
      <c r="Q80" s="202">
        <f t="shared" si="90"/>
        <v>0.45645288994457639</v>
      </c>
      <c r="R80" s="202">
        <f t="shared" si="90"/>
        <v>0.45615404631798073</v>
      </c>
      <c r="S80" s="202">
        <f t="shared" si="90"/>
        <v>0.45565352697095435</v>
      </c>
      <c r="T80" s="202">
        <f t="shared" si="90"/>
        <v>0.46903261167443133</v>
      </c>
      <c r="U80" s="201">
        <f t="shared" si="90"/>
        <v>0.45920591927066129</v>
      </c>
      <c r="V80" s="202">
        <f t="shared" si="90"/>
        <v>0.44526926710757186</v>
      </c>
      <c r="W80" s="202">
        <f t="shared" si="90"/>
        <v>0.44701122422344036</v>
      </c>
      <c r="X80" s="202">
        <f t="shared" si="90"/>
        <v>0.4502529510961214</v>
      </c>
      <c r="Y80" s="202">
        <f t="shared" si="90"/>
        <v>0.45354072861236183</v>
      </c>
      <c r="Z80" s="201">
        <f t="shared" si="90"/>
        <v>0.4490019595469793</v>
      </c>
      <c r="AA80" s="202">
        <f t="shared" si="90"/>
        <v>0.44515289525048796</v>
      </c>
      <c r="AB80" s="202">
        <f t="shared" si="90"/>
        <v>0.46491677336747761</v>
      </c>
      <c r="AC80" s="202">
        <f t="shared" si="90"/>
        <v>0.44946157611355847</v>
      </c>
      <c r="AD80" s="202">
        <f t="shared" si="90"/>
        <v>0.46770963704630786</v>
      </c>
      <c r="AE80" s="201">
        <f t="shared" si="90"/>
        <v>0.45683419149003379</v>
      </c>
      <c r="AF80" s="202">
        <f t="shared" si="90"/>
        <v>0.46279294515583475</v>
      </c>
      <c r="AG80" s="202">
        <f t="shared" si="90"/>
        <v>0.4574493444576877</v>
      </c>
      <c r="AH80" s="202">
        <f t="shared" si="90"/>
        <v>0.46565260058881258</v>
      </c>
      <c r="AI80" s="202">
        <f t="shared" ref="AI80:AY80" si="91">INDEX(SP_GF_COGS,0,COLUMN())/INDEX(SP_GF_Rev,0,COLUMN())</f>
        <v>0.4633102580239144</v>
      </c>
      <c r="AJ80" s="201">
        <f t="shared" si="91"/>
        <v>0.46226155959102699</v>
      </c>
      <c r="AK80" s="202">
        <f t="shared" si="91"/>
        <v>0.49764720844461402</v>
      </c>
      <c r="AL80" s="202">
        <f t="shared" si="91"/>
        <v>0.48072451352343654</v>
      </c>
      <c r="AM80" s="202">
        <f t="shared" si="91"/>
        <v>0.4756601176323364</v>
      </c>
      <c r="AN80" s="202">
        <f t="shared" si="91"/>
        <v>0.4751571939341635</v>
      </c>
      <c r="AO80" s="201">
        <f t="shared" si="91"/>
        <v>0.48220064724919093</v>
      </c>
      <c r="AP80" s="202">
        <f t="shared" si="91"/>
        <v>0.45164086687306504</v>
      </c>
      <c r="AQ80" s="202">
        <f t="shared" si="91"/>
        <v>0.46028428093645485</v>
      </c>
      <c r="AR80" s="202">
        <f>INDEX(SP_GF_COGS,0,COLUMN())/INDEX(SP_GF_Rev,0,COLUMN())</f>
        <v>0.45664670658682632</v>
      </c>
      <c r="AS80" s="202">
        <f>INDEX(SP_GF_COGS,0,COLUMN())/INDEX(SP_GF_Rev,0,COLUMN())</f>
        <v>0.45217289991844345</v>
      </c>
      <c r="AT80" s="201">
        <f>INDEX(SP_GF_COGS,0,COLUMN())/INDEX(SP_GF_Rev,0,COLUMN())</f>
        <v>0.45500869997514293</v>
      </c>
      <c r="AU80" s="854">
        <f t="shared" si="91"/>
        <v>0.45678454411930858</v>
      </c>
      <c r="AV80" s="202">
        <f t="shared" si="91"/>
        <v>0.46588675973164656</v>
      </c>
      <c r="AW80" s="202">
        <f t="shared" si="91"/>
        <v>0.46168985401983992</v>
      </c>
      <c r="AX80" s="202">
        <f t="shared" si="91"/>
        <v>0.45786614126732961</v>
      </c>
      <c r="AY80" s="201">
        <f t="shared" si="91"/>
        <v>0.4603589392011066</v>
      </c>
      <c r="AZ80" s="202">
        <f t="shared" ref="AZ80:BG80" si="92">INDEX(SP_GF_COGS,0,COLUMN())/INDEX(SP_GF_Rev,0,COLUMN())</f>
        <v>0.45179500920991411</v>
      </c>
      <c r="BA80" s="202">
        <f t="shared" si="92"/>
        <v>0.44861371224222318</v>
      </c>
      <c r="BB80" s="202">
        <f t="shared" si="92"/>
        <v>0.47053532672016124</v>
      </c>
      <c r="BC80" s="202">
        <f t="shared" si="92"/>
        <v>0.45449168728388351</v>
      </c>
      <c r="BD80" s="201">
        <f t="shared" si="92"/>
        <v>0.45656796383043863</v>
      </c>
      <c r="BE80" s="208">
        <f t="shared" si="92"/>
        <v>0.45356775399558724</v>
      </c>
      <c r="BF80" s="208">
        <f t="shared" si="92"/>
        <v>0.45039658820065004</v>
      </c>
      <c r="BG80" s="208">
        <f t="shared" si="92"/>
        <v>0.44706523973719003</v>
      </c>
      <c r="BH80" s="325"/>
    </row>
    <row r="81" spans="1:60" s="147" customFormat="1" x14ac:dyDescent="0.35">
      <c r="A81" s="326" t="str">
        <f>INDEX(MO_MA_SGA,0,COLUMN())</f>
        <v>SG&amp;A Margin (adj. for SBC), %</v>
      </c>
      <c r="B81" s="315"/>
      <c r="C81" s="201">
        <f t="shared" ref="C81:AH81" si="93">INDEX(SP_GF_SGA,0,COLUMN())/INDEX(SP_GF_Rev,0,COLUMN())</f>
        <v>0.20598538251956927</v>
      </c>
      <c r="D81" s="201">
        <f t="shared" si="93"/>
        <v>0.19765959042832495</v>
      </c>
      <c r="E81" s="201">
        <f t="shared" si="93"/>
        <v>0.20188443483840465</v>
      </c>
      <c r="F81" s="201">
        <f t="shared" si="93"/>
        <v>0.19846843231674693</v>
      </c>
      <c r="G81" s="202">
        <f t="shared" si="93"/>
        <v>0.19806130468954677</v>
      </c>
      <c r="H81" s="202">
        <f t="shared" si="93"/>
        <v>0.20304437564499483</v>
      </c>
      <c r="I81" s="202">
        <f t="shared" si="93"/>
        <v>0.19871147043961596</v>
      </c>
      <c r="J81" s="202">
        <f t="shared" si="93"/>
        <v>0.20372572334522393</v>
      </c>
      <c r="K81" s="201">
        <f t="shared" si="93"/>
        <v>0.20086812866444237</v>
      </c>
      <c r="L81" s="202">
        <f t="shared" si="93"/>
        <v>0.19856978674498788</v>
      </c>
      <c r="M81" s="202">
        <f t="shared" si="93"/>
        <v>0.19805753626751907</v>
      </c>
      <c r="N81" s="202">
        <f t="shared" si="93"/>
        <v>0.19245422145753963</v>
      </c>
      <c r="O81" s="202">
        <f t="shared" si="93"/>
        <v>0.20015546055188496</v>
      </c>
      <c r="P81" s="201">
        <f t="shared" si="93"/>
        <v>0.19725967128625752</v>
      </c>
      <c r="Q81" s="202">
        <f t="shared" si="93"/>
        <v>0.19477434679334918</v>
      </c>
      <c r="R81" s="202">
        <f t="shared" si="93"/>
        <v>0.19711163153786104</v>
      </c>
      <c r="S81" s="202">
        <f t="shared" si="93"/>
        <v>0.19437240663900415</v>
      </c>
      <c r="T81" s="202">
        <f t="shared" si="93"/>
        <v>0.20649493011784051</v>
      </c>
      <c r="U81" s="201">
        <f t="shared" si="93"/>
        <v>0.19809077095857833</v>
      </c>
      <c r="V81" s="202">
        <f t="shared" si="93"/>
        <v>0.18855446079092994</v>
      </c>
      <c r="W81" s="202">
        <f t="shared" si="93"/>
        <v>0.1991647089532759</v>
      </c>
      <c r="X81" s="202">
        <f t="shared" si="93"/>
        <v>0.19392917369308602</v>
      </c>
      <c r="Y81" s="202">
        <f t="shared" si="93"/>
        <v>0.20289261836539774</v>
      </c>
      <c r="Z81" s="201">
        <f t="shared" si="93"/>
        <v>0.19612076123418248</v>
      </c>
      <c r="AA81" s="202">
        <f t="shared" si="93"/>
        <v>0.19726740403383214</v>
      </c>
      <c r="AB81" s="202">
        <f t="shared" si="93"/>
        <v>0.20192061459667093</v>
      </c>
      <c r="AC81" s="202">
        <f t="shared" si="93"/>
        <v>0.19481155163974548</v>
      </c>
      <c r="AD81" s="202">
        <f t="shared" si="93"/>
        <v>0.21426783479349187</v>
      </c>
      <c r="AE81" s="201">
        <f t="shared" si="93"/>
        <v>0.20207221151719998</v>
      </c>
      <c r="AF81" s="202">
        <f t="shared" si="93"/>
        <v>0.29765643875332204</v>
      </c>
      <c r="AG81" s="202">
        <f t="shared" si="93"/>
        <v>0.21060786650774732</v>
      </c>
      <c r="AH81" s="202">
        <f t="shared" si="93"/>
        <v>0.18547595682041218</v>
      </c>
      <c r="AI81" s="202">
        <f t="shared" ref="AI81:AY81" si="94">INDEX(SP_GF_SGA,0,COLUMN())/INDEX(SP_GF_Rev,0,COLUMN())</f>
        <v>0.20792951541850221</v>
      </c>
      <c r="AJ81" s="201">
        <f t="shared" si="94"/>
        <v>0.22569815351747291</v>
      </c>
      <c r="AK81" s="202">
        <f t="shared" si="94"/>
        <v>0.2373140022892026</v>
      </c>
      <c r="AL81" s="202">
        <f t="shared" si="94"/>
        <v>0.20193366784971239</v>
      </c>
      <c r="AM81" s="202">
        <f t="shared" si="94"/>
        <v>0.17795019396821424</v>
      </c>
      <c r="AN81" s="202">
        <f t="shared" si="94"/>
        <v>0.23498952040438911</v>
      </c>
      <c r="AO81" s="201">
        <f t="shared" si="94"/>
        <v>0.21296987801842171</v>
      </c>
      <c r="AP81" s="202">
        <f t="shared" si="94"/>
        <v>0.20990712074303405</v>
      </c>
      <c r="AQ81" s="202">
        <f t="shared" si="94"/>
        <v>0.21725195094760313</v>
      </c>
      <c r="AR81" s="202">
        <f>INDEX(SP_GF_SGA,0,COLUMN())/INDEX(SP_GF_Rev,0,COLUMN())</f>
        <v>0.19724550898203594</v>
      </c>
      <c r="AS81" s="202">
        <f>INDEX(SP_GF_SGA,0,COLUMN())/INDEX(SP_GF_Rev,0,COLUMN())</f>
        <v>0.21659093557031342</v>
      </c>
      <c r="AT81" s="201">
        <f>INDEX(SP_GF_SGA,0,COLUMN())/INDEX(SP_GF_Rev,0,COLUMN())</f>
        <v>0.21004225702212279</v>
      </c>
      <c r="AU81" s="854">
        <f t="shared" si="94"/>
        <v>0.19478025081911648</v>
      </c>
      <c r="AV81" s="202">
        <f t="shared" si="94"/>
        <v>0.19</v>
      </c>
      <c r="AW81" s="202">
        <f t="shared" si="94"/>
        <v>0.19</v>
      </c>
      <c r="AX81" s="202">
        <f t="shared" si="94"/>
        <v>0.19</v>
      </c>
      <c r="AY81" s="201">
        <f t="shared" si="94"/>
        <v>0.19123543163741807</v>
      </c>
      <c r="AZ81" s="202">
        <f t="shared" ref="AZ81:BG81" si="95">INDEX(SP_GF_SGA,0,COLUMN())/INDEX(SP_GF_Rev,0,COLUMN())</f>
        <v>0.19</v>
      </c>
      <c r="BA81" s="202">
        <f t="shared" si="95"/>
        <v>0.19</v>
      </c>
      <c r="BB81" s="202">
        <f t="shared" si="95"/>
        <v>0.19</v>
      </c>
      <c r="BC81" s="202">
        <f t="shared" si="95"/>
        <v>0.19</v>
      </c>
      <c r="BD81" s="201">
        <f t="shared" si="95"/>
        <v>0.19000000000000003</v>
      </c>
      <c r="BE81" s="208">
        <f t="shared" si="95"/>
        <v>0.19</v>
      </c>
      <c r="BF81" s="208">
        <f t="shared" si="95"/>
        <v>0.19</v>
      </c>
      <c r="BG81" s="208">
        <f t="shared" si="95"/>
        <v>0.19000000000000003</v>
      </c>
      <c r="BH81" s="325"/>
    </row>
    <row r="82" spans="1:60" s="147" customFormat="1" x14ac:dyDescent="0.35">
      <c r="A82" s="503" t="str">
        <f>INDEX(MO_MA_RD,0,COLUMN())</f>
        <v>R&amp;D Margin (adj. for SBC), %</v>
      </c>
      <c r="B82" s="504"/>
      <c r="C82" s="505">
        <f t="shared" ref="C82:AH82" si="96">INDEX(SP_GF_RD,0,COLUMN())/INDEX(SP_GF_Rev,0,COLUMN())</f>
        <v>5.440470527180729E-2</v>
      </c>
      <c r="D82" s="505">
        <f t="shared" si="96"/>
        <v>5.2509189108093914E-2</v>
      </c>
      <c r="E82" s="505">
        <f t="shared" si="96"/>
        <v>5.1940157373948873E-2</v>
      </c>
      <c r="F82" s="505">
        <f t="shared" si="96"/>
        <v>5.3671749598715894E-2</v>
      </c>
      <c r="G82" s="464">
        <f t="shared" si="96"/>
        <v>5.4493057374901753E-2</v>
      </c>
      <c r="H82" s="464">
        <f t="shared" si="96"/>
        <v>5.4437564499484004E-2</v>
      </c>
      <c r="I82" s="464">
        <f t="shared" si="96"/>
        <v>5.2299140980293077E-2</v>
      </c>
      <c r="J82" s="464">
        <f t="shared" si="96"/>
        <v>5.7207028669573258E-2</v>
      </c>
      <c r="K82" s="505">
        <f t="shared" si="96"/>
        <v>5.4581970133782513E-2</v>
      </c>
      <c r="L82" s="464">
        <f t="shared" si="96"/>
        <v>5.4782275571446812E-2</v>
      </c>
      <c r="M82" s="464">
        <f t="shared" si="96"/>
        <v>5.4339808212441602E-2</v>
      </c>
      <c r="N82" s="464">
        <f t="shared" si="96"/>
        <v>5.2476342632419813E-2</v>
      </c>
      <c r="O82" s="464">
        <f t="shared" si="96"/>
        <v>5.5836248218681175E-2</v>
      </c>
      <c r="P82" s="505">
        <f t="shared" si="96"/>
        <v>5.4335187454825427E-2</v>
      </c>
      <c r="Q82" s="464">
        <f t="shared" si="96"/>
        <v>5.75349696489839E-2</v>
      </c>
      <c r="R82" s="464">
        <f t="shared" si="96"/>
        <v>5.6206088992974239E-2</v>
      </c>
      <c r="S82" s="464">
        <f t="shared" si="96"/>
        <v>5.4719917012448133E-2</v>
      </c>
      <c r="T82" s="464">
        <f t="shared" si="96"/>
        <v>5.8646204439572483E-2</v>
      </c>
      <c r="U82" s="505">
        <f t="shared" si="96"/>
        <v>5.6748364933606396E-2</v>
      </c>
      <c r="V82" s="464">
        <f t="shared" si="96"/>
        <v>5.7362667026589285E-2</v>
      </c>
      <c r="W82" s="464">
        <f t="shared" si="96"/>
        <v>5.6121117201774991E-2</v>
      </c>
      <c r="X82" s="464">
        <f t="shared" si="96"/>
        <v>5.4481774549228174E-2</v>
      </c>
      <c r="Y82" s="464">
        <f t="shared" si="96"/>
        <v>5.6624368945285851E-2</v>
      </c>
      <c r="Z82" s="505">
        <f t="shared" si="96"/>
        <v>5.6129396525955694E-2</v>
      </c>
      <c r="AA82" s="464">
        <f t="shared" si="96"/>
        <v>5.8555627846454128E-2</v>
      </c>
      <c r="AB82" s="464">
        <f t="shared" si="96"/>
        <v>6.0307298335467351E-2</v>
      </c>
      <c r="AC82" s="464">
        <f t="shared" si="96"/>
        <v>5.6534508076358299E-2</v>
      </c>
      <c r="AD82" s="464">
        <f t="shared" si="96"/>
        <v>5.519399249061327E-2</v>
      </c>
      <c r="AE82" s="505">
        <f t="shared" si="96"/>
        <v>5.761758852702404E-2</v>
      </c>
      <c r="AF82" s="464">
        <f t="shared" si="96"/>
        <v>5.5448175887895627E-2</v>
      </c>
      <c r="AG82" s="464">
        <f t="shared" si="96"/>
        <v>5.4946364719904647E-2</v>
      </c>
      <c r="AH82" s="464">
        <f t="shared" si="96"/>
        <v>5.1889106967615312E-2</v>
      </c>
      <c r="AI82" s="464">
        <f t="shared" ref="AI82:AY82" si="97">INDEX(SP_GF_RD,0,COLUMN())/INDEX(SP_GF_Rev,0,COLUMN())</f>
        <v>5.424795468848332E-2</v>
      </c>
      <c r="AJ82" s="505">
        <f t="shared" si="97"/>
        <v>5.4143140546314666E-2</v>
      </c>
      <c r="AK82" s="464">
        <f t="shared" si="97"/>
        <v>5.7357242782652931E-2</v>
      </c>
      <c r="AL82" s="464">
        <f t="shared" si="97"/>
        <v>5.6663811039040508E-2</v>
      </c>
      <c r="AM82" s="464">
        <f t="shared" si="97"/>
        <v>5.4561381554248528E-2</v>
      </c>
      <c r="AN82" s="464">
        <f t="shared" si="97"/>
        <v>6.3494020466033779E-2</v>
      </c>
      <c r="AO82" s="505">
        <f t="shared" si="97"/>
        <v>5.8034602937515556E-2</v>
      </c>
      <c r="AP82" s="464">
        <f t="shared" si="97"/>
        <v>6.3405572755417958E-2</v>
      </c>
      <c r="AQ82" s="464">
        <f t="shared" si="97"/>
        <v>5.8110367892976592E-2</v>
      </c>
      <c r="AR82" s="464">
        <f>INDEX(SP_GF_RD,0,COLUMN())/INDEX(SP_GF_Rev,0,COLUMN())</f>
        <v>5.4610778443113774E-2</v>
      </c>
      <c r="AS82" s="464">
        <f>INDEX(SP_GF_RD,0,COLUMN())/INDEX(SP_GF_Rev,0,COLUMN())</f>
        <v>5.2429220552254456E-2</v>
      </c>
      <c r="AT82" s="505">
        <f>INDEX(SP_GF_RD,0,COLUMN())/INDEX(SP_GF_Rev,0,COLUMN())</f>
        <v>5.7015908525975642E-2</v>
      </c>
      <c r="AU82" s="863">
        <f t="shared" si="97"/>
        <v>5.6377810416902048E-2</v>
      </c>
      <c r="AV82" s="464">
        <f t="shared" si="97"/>
        <v>6.0999999999999999E-2</v>
      </c>
      <c r="AW82" s="464">
        <f t="shared" si="97"/>
        <v>6.0999999999999992E-2</v>
      </c>
      <c r="AX82" s="464">
        <f t="shared" si="97"/>
        <v>6.0999999999999999E-2</v>
      </c>
      <c r="AY82" s="505">
        <f t="shared" si="97"/>
        <v>5.9805418489283585E-2</v>
      </c>
      <c r="AZ82" s="464">
        <f t="shared" ref="AZ82:BG82" si="98">INDEX(SP_GF_RD,0,COLUMN())/INDEX(SP_GF_Rev,0,COLUMN())</f>
        <v>6.1000000000000006E-2</v>
      </c>
      <c r="BA82" s="464">
        <f t="shared" si="98"/>
        <v>6.0999999999999999E-2</v>
      </c>
      <c r="BB82" s="464">
        <f t="shared" si="98"/>
        <v>6.0999999999999999E-2</v>
      </c>
      <c r="BC82" s="464">
        <f t="shared" si="98"/>
        <v>6.0999999999999999E-2</v>
      </c>
      <c r="BD82" s="505">
        <f t="shared" si="98"/>
        <v>6.0999999999999999E-2</v>
      </c>
      <c r="BE82" s="506">
        <f t="shared" si="98"/>
        <v>6.0999999999999999E-2</v>
      </c>
      <c r="BF82" s="506">
        <f t="shared" si="98"/>
        <v>6.0999999999999999E-2</v>
      </c>
      <c r="BG82" s="506">
        <f t="shared" si="98"/>
        <v>6.0999999999999999E-2</v>
      </c>
      <c r="BH82" s="325"/>
    </row>
    <row r="83" spans="1:60" s="148" customFormat="1" x14ac:dyDescent="0.35">
      <c r="A83" s="327" t="str">
        <f>INDEX(MO_MA_EBITDA,0,COLUMN())</f>
        <v>EBITDA Margin, %</v>
      </c>
      <c r="B83" s="328"/>
      <c r="C83" s="209">
        <f t="shared" ref="C83:AH83" si="99">INDEX(SP_GF_EBITDA,0,COLUMN())/INDEX(SP_GF_Rev,0,COLUMN())</f>
        <v>0.26761233403970075</v>
      </c>
      <c r="D83" s="209">
        <f t="shared" si="99"/>
        <v>0.27424799339884481</v>
      </c>
      <c r="E83" s="209">
        <f t="shared" si="99"/>
        <v>0.25892404849549155</v>
      </c>
      <c r="F83" s="209">
        <f t="shared" si="99"/>
        <v>0.26732209737827717</v>
      </c>
      <c r="G83" s="210">
        <f t="shared" si="99"/>
        <v>0.27312025150641867</v>
      </c>
      <c r="H83" s="210">
        <f t="shared" si="99"/>
        <v>0.26883384932920534</v>
      </c>
      <c r="I83" s="210">
        <f t="shared" si="99"/>
        <v>0.26894896412329461</v>
      </c>
      <c r="J83" s="210">
        <f t="shared" si="99"/>
        <v>0.26146122341128286</v>
      </c>
      <c r="K83" s="209">
        <f t="shared" si="99"/>
        <v>0.26811570729811152</v>
      </c>
      <c r="L83" s="210">
        <f t="shared" si="99"/>
        <v>0.27940237517558419</v>
      </c>
      <c r="M83" s="210">
        <f t="shared" si="99"/>
        <v>0.27858372264568476</v>
      </c>
      <c r="N83" s="210">
        <f t="shared" si="99"/>
        <v>0.2824136659702593</v>
      </c>
      <c r="O83" s="210">
        <f t="shared" si="99"/>
        <v>0.26829900246145871</v>
      </c>
      <c r="P83" s="209">
        <f t="shared" si="99"/>
        <v>0.277269727538418</v>
      </c>
      <c r="Q83" s="210">
        <f t="shared" si="99"/>
        <v>0.29123779361309055</v>
      </c>
      <c r="R83" s="210">
        <f t="shared" si="99"/>
        <v>0.29052823315118398</v>
      </c>
      <c r="S83" s="210">
        <f t="shared" si="99"/>
        <v>0.29525414937759337</v>
      </c>
      <c r="T83" s="210">
        <f t="shared" si="99"/>
        <v>0.26582625376815566</v>
      </c>
      <c r="U83" s="209">
        <f t="shared" si="99"/>
        <v>0.285954944837154</v>
      </c>
      <c r="V83" s="210">
        <f t="shared" si="99"/>
        <v>0.3088136050749089</v>
      </c>
      <c r="W83" s="210">
        <f t="shared" si="99"/>
        <v>0.29770294962150873</v>
      </c>
      <c r="X83" s="210">
        <f t="shared" si="99"/>
        <v>0.30133610066156441</v>
      </c>
      <c r="Y83" s="210">
        <f t="shared" si="99"/>
        <v>0.28694228407695455</v>
      </c>
      <c r="Z83" s="209">
        <f t="shared" si="99"/>
        <v>0.29874788269288255</v>
      </c>
      <c r="AA83" s="210">
        <f t="shared" si="99"/>
        <v>0.29902407286922578</v>
      </c>
      <c r="AB83" s="210">
        <f t="shared" si="99"/>
        <v>0.27285531370038413</v>
      </c>
      <c r="AC83" s="210">
        <f t="shared" si="99"/>
        <v>0.29919236417033773</v>
      </c>
      <c r="AD83" s="210">
        <f t="shared" si="99"/>
        <v>0.26282853566958697</v>
      </c>
      <c r="AE83" s="209">
        <f t="shared" si="99"/>
        <v>0.28347600846574217</v>
      </c>
      <c r="AF83" s="210">
        <f t="shared" si="99"/>
        <v>0.18410244020294758</v>
      </c>
      <c r="AG83" s="210">
        <f t="shared" si="99"/>
        <v>0.27699642431466032</v>
      </c>
      <c r="AH83" s="210">
        <f t="shared" si="99"/>
        <v>0.29698233562315995</v>
      </c>
      <c r="AI83" s="210">
        <f t="shared" ref="AI83:AY83" si="100">INDEX(SP_GF_EBITDA,0,COLUMN())/INDEX(SP_GF_Rev,0,COLUMN())</f>
        <v>0.27451227186910004</v>
      </c>
      <c r="AJ83" s="209">
        <f t="shared" si="100"/>
        <v>0.2578971463451854</v>
      </c>
      <c r="AK83" s="210">
        <f t="shared" si="100"/>
        <v>0.20768154648353046</v>
      </c>
      <c r="AL83" s="210">
        <f t="shared" si="100"/>
        <v>0.26067800758781057</v>
      </c>
      <c r="AM83" s="210">
        <f t="shared" si="100"/>
        <v>0.29182830684520084</v>
      </c>
      <c r="AN83" s="210">
        <f t="shared" si="100"/>
        <v>0.22635926519541363</v>
      </c>
      <c r="AO83" s="209">
        <f t="shared" si="100"/>
        <v>0.24679487179487181</v>
      </c>
      <c r="AP83" s="210">
        <f t="shared" si="100"/>
        <v>0.27504643962848296</v>
      </c>
      <c r="AQ83" s="210">
        <f t="shared" si="100"/>
        <v>0.26435340022296544</v>
      </c>
      <c r="AR83" s="210">
        <f>INDEX(SP_GF_EBITDA,0,COLUMN())/INDEX(SP_GF_Rev,0,COLUMN())</f>
        <v>0.29149700598802397</v>
      </c>
      <c r="AS83" s="210">
        <f>INDEX(SP_GF_EBITDA,0,COLUMN())/INDEX(SP_GF_Rev,0,COLUMN())</f>
        <v>0.2788069439589887</v>
      </c>
      <c r="AT83" s="209">
        <f>INDEX(SP_GF_EBITDA,0,COLUMN())/INDEX(SP_GF_Rev,0,COLUMN())</f>
        <v>0.27793313447675866</v>
      </c>
      <c r="AU83" s="864">
        <f t="shared" si="100"/>
        <v>0.2920573946446729</v>
      </c>
      <c r="AV83" s="210">
        <f t="shared" si="100"/>
        <v>0.28311324026835338</v>
      </c>
      <c r="AW83" s="210">
        <f t="shared" si="100"/>
        <v>0.28731014598016003</v>
      </c>
      <c r="AX83" s="210">
        <f t="shared" si="100"/>
        <v>0.29113385873267039</v>
      </c>
      <c r="AY83" s="209">
        <f t="shared" si="100"/>
        <v>0.28860021067219177</v>
      </c>
      <c r="AZ83" s="210">
        <f t="shared" ref="AZ83:BG83" si="101">INDEX(SP_GF_EBITDA,0,COLUMN())/INDEX(SP_GF_Rev,0,COLUMN())</f>
        <v>0.29720499079008583</v>
      </c>
      <c r="BA83" s="210">
        <f t="shared" si="101"/>
        <v>0.30038628775777687</v>
      </c>
      <c r="BB83" s="210">
        <f t="shared" si="101"/>
        <v>0.27846467327983876</v>
      </c>
      <c r="BC83" s="210">
        <f t="shared" si="101"/>
        <v>0.29450831271611644</v>
      </c>
      <c r="BD83" s="209">
        <f t="shared" si="101"/>
        <v>0.29243203616956137</v>
      </c>
      <c r="BE83" s="209">
        <f t="shared" si="101"/>
        <v>0.2954322460044127</v>
      </c>
      <c r="BF83" s="209">
        <f t="shared" si="101"/>
        <v>0.2986034117993499</v>
      </c>
      <c r="BG83" s="209">
        <f t="shared" si="101"/>
        <v>0.30193476026280996</v>
      </c>
      <c r="BH83" s="368"/>
    </row>
    <row r="84" spans="1:60" s="148" customFormat="1" x14ac:dyDescent="0.35">
      <c r="A84" s="329" t="str">
        <f>INDEX(MO_MA_EBITDA_Adj,0,COLUMN())</f>
        <v>Adjusted EBITDA Margin, %</v>
      </c>
      <c r="B84" s="330"/>
      <c r="C84" s="211">
        <f t="shared" ref="C84:AH84" si="102">INDEX(SP_NGF_EBITDA,0,COLUMN())/INDEX(SP_GF_Rev,0,COLUMN())</f>
        <v>0.25822773861523157</v>
      </c>
      <c r="D84" s="211">
        <f t="shared" si="102"/>
        <v>0.26397119495911786</v>
      </c>
      <c r="E84" s="211">
        <f t="shared" si="102"/>
        <v>0.25037992637871059</v>
      </c>
      <c r="F84" s="211">
        <f t="shared" si="102"/>
        <v>0.25986490101658644</v>
      </c>
      <c r="G84" s="212">
        <f t="shared" si="102"/>
        <v>0.25962798008907517</v>
      </c>
      <c r="H84" s="212">
        <f t="shared" si="102"/>
        <v>0.26277089783281732</v>
      </c>
      <c r="I84" s="212">
        <f t="shared" si="102"/>
        <v>0.26301162203132894</v>
      </c>
      <c r="J84" s="212">
        <f t="shared" si="102"/>
        <v>0.25578015589906195</v>
      </c>
      <c r="K84" s="211">
        <f t="shared" si="102"/>
        <v>0.26034142075086653</v>
      </c>
      <c r="L84" s="212">
        <f t="shared" si="102"/>
        <v>0.26382326650491633</v>
      </c>
      <c r="M84" s="212">
        <f t="shared" si="102"/>
        <v>0.27219080403245638</v>
      </c>
      <c r="N84" s="212">
        <f t="shared" si="102"/>
        <v>0.2766375814182131</v>
      </c>
      <c r="O84" s="212">
        <f t="shared" si="102"/>
        <v>0.26065552532711489</v>
      </c>
      <c r="P84" s="211">
        <f t="shared" si="102"/>
        <v>0.26847050689796048</v>
      </c>
      <c r="Q84" s="212">
        <f t="shared" si="102"/>
        <v>0.27302718395354975</v>
      </c>
      <c r="R84" s="212">
        <f t="shared" si="102"/>
        <v>0.28415300546448086</v>
      </c>
      <c r="S84" s="212">
        <f t="shared" si="102"/>
        <v>0.28928941908713696</v>
      </c>
      <c r="T84" s="212">
        <f t="shared" si="102"/>
        <v>0.2599342285557687</v>
      </c>
      <c r="U84" s="211">
        <f t="shared" si="102"/>
        <v>0.27683821100614386</v>
      </c>
      <c r="V84" s="212">
        <f t="shared" si="102"/>
        <v>0.28937778377648804</v>
      </c>
      <c r="W84" s="212">
        <f t="shared" si="102"/>
        <v>0.29130775254502739</v>
      </c>
      <c r="X84" s="212">
        <f t="shared" si="102"/>
        <v>0.29472045660915813</v>
      </c>
      <c r="Y84" s="212">
        <f t="shared" si="102"/>
        <v>0.27957429390094146</v>
      </c>
      <c r="Z84" s="211">
        <f t="shared" si="102"/>
        <v>0.28885050981434124</v>
      </c>
      <c r="AA84" s="212">
        <f t="shared" si="102"/>
        <v>0.2836694860117111</v>
      </c>
      <c r="AB84" s="212">
        <f t="shared" si="102"/>
        <v>0.32432778489116515</v>
      </c>
      <c r="AC84" s="212">
        <f t="shared" si="102"/>
        <v>0.29185022026431717</v>
      </c>
      <c r="AD84" s="212">
        <f t="shared" si="102"/>
        <v>0.26758448060075096</v>
      </c>
      <c r="AE84" s="211">
        <f t="shared" si="102"/>
        <v>0.29175221909846166</v>
      </c>
      <c r="AF84" s="212">
        <f t="shared" si="102"/>
        <v>0.27615366030442134</v>
      </c>
      <c r="AG84" s="212">
        <f t="shared" si="102"/>
        <v>0.33146603098927296</v>
      </c>
      <c r="AH84" s="212">
        <f t="shared" si="102"/>
        <v>0.29084887144259075</v>
      </c>
      <c r="AI84" s="212">
        <f t="shared" ref="AI84:AY84" si="103">INDEX(SP_NGF_EBITDA,0,COLUMN())/INDEX(SP_GF_Rev,0,COLUMN())</f>
        <v>0.27111390811831343</v>
      </c>
      <c r="AJ84" s="211">
        <f t="shared" si="103"/>
        <v>0.29275141156722112</v>
      </c>
      <c r="AK84" s="212">
        <f t="shared" si="103"/>
        <v>0.26084191784306243</v>
      </c>
      <c r="AL84" s="212">
        <f t="shared" si="103"/>
        <v>0.25431403744951658</v>
      </c>
      <c r="AM84" s="212">
        <f t="shared" si="103"/>
        <v>0.28582154924289827</v>
      </c>
      <c r="AN84" s="212">
        <f t="shared" si="103"/>
        <v>0.2468252989766983</v>
      </c>
      <c r="AO84" s="211">
        <f t="shared" si="103"/>
        <v>0.26185586258401794</v>
      </c>
      <c r="AP84" s="212">
        <f t="shared" si="103"/>
        <v>0.26229102167182661</v>
      </c>
      <c r="AQ84" s="212">
        <f t="shared" si="103"/>
        <v>0.26477146042363436</v>
      </c>
      <c r="AR84" s="212">
        <f>INDEX(SP_NGF_EBITDA,0,COLUMN())/INDEX(SP_GF_Rev,0,COLUMN())</f>
        <v>0.28622754491017965</v>
      </c>
      <c r="AS84" s="212">
        <f>INDEX(SP_NGF_EBITDA,0,COLUMN())/INDEX(SP_GF_Rev,0,COLUMN())</f>
        <v>0.27344751252475824</v>
      </c>
      <c r="AT84" s="211">
        <f>INDEX(SP_NGF_EBITDA,0,COLUMN())/INDEX(SP_GF_Rev,0,COLUMN())</f>
        <v>0.27202957991548593</v>
      </c>
      <c r="AU84" s="865">
        <f t="shared" si="103"/>
        <v>0.2772568071404361</v>
      </c>
      <c r="AV84" s="212">
        <f t="shared" si="103"/>
        <v>0.27659282155105841</v>
      </c>
      <c r="AW84" s="212">
        <f t="shared" si="103"/>
        <v>0.281592967046638</v>
      </c>
      <c r="AX84" s="212">
        <f t="shared" si="103"/>
        <v>0.28556738583937835</v>
      </c>
      <c r="AY84" s="211">
        <f t="shared" si="103"/>
        <v>0.28039514590938186</v>
      </c>
      <c r="AZ84" s="212">
        <f t="shared" ref="AZ84:BG84" si="104">INDEX(SP_NGF_EBITDA,0,COLUMN())/INDEX(SP_GF_Rev,0,COLUMN())</f>
        <v>0.28297076328683163</v>
      </c>
      <c r="BA84" s="212">
        <f t="shared" si="104"/>
        <v>0.29425745890474719</v>
      </c>
      <c r="BB84" s="212">
        <f t="shared" si="104"/>
        <v>0.27309294978170978</v>
      </c>
      <c r="BC84" s="212">
        <f t="shared" si="104"/>
        <v>0.28927801179091378</v>
      </c>
      <c r="BD84" s="211">
        <f t="shared" si="104"/>
        <v>0.28462596123450401</v>
      </c>
      <c r="BE84" s="211">
        <f t="shared" si="104"/>
        <v>0.28809828526532538</v>
      </c>
      <c r="BF84" s="211">
        <f t="shared" si="104"/>
        <v>0.29171410269494952</v>
      </c>
      <c r="BG84" s="211">
        <f t="shared" si="104"/>
        <v>0.29546416458861069</v>
      </c>
      <c r="BH84" s="368"/>
    </row>
    <row r="85" spans="1:60" s="148" customFormat="1" x14ac:dyDescent="0.35">
      <c r="A85" s="329" t="str">
        <f>INDEX(MO_MA_EBIT,0,COLUMN())</f>
        <v>EBIT Margin, %</v>
      </c>
      <c r="B85" s="330"/>
      <c r="C85" s="211">
        <f t="shared" ref="C85:AH85" si="105">INDEX(SP_GF_EBIT,0,COLUMN())/INDEX(SP_GF_Rev,0,COLUMN())</f>
        <v>0.20819097867923711</v>
      </c>
      <c r="D85" s="211">
        <f t="shared" si="105"/>
        <v>0.22196384367264271</v>
      </c>
      <c r="E85" s="211">
        <f t="shared" si="105"/>
        <v>0.20863868157103779</v>
      </c>
      <c r="F85" s="211">
        <f t="shared" si="105"/>
        <v>0.21679373996789728</v>
      </c>
      <c r="G85" s="212">
        <f t="shared" si="105"/>
        <v>0.21561435682473146</v>
      </c>
      <c r="H85" s="212">
        <f t="shared" si="105"/>
        <v>0.2195562435500516</v>
      </c>
      <c r="I85" s="212">
        <f t="shared" si="105"/>
        <v>0.21968165740272866</v>
      </c>
      <c r="J85" s="212">
        <f t="shared" si="105"/>
        <v>0.20861408376271634</v>
      </c>
      <c r="K85" s="211">
        <f t="shared" si="105"/>
        <v>0.21593080884972951</v>
      </c>
      <c r="L85" s="212">
        <f t="shared" si="105"/>
        <v>0.21912910228578725</v>
      </c>
      <c r="M85" s="212">
        <f t="shared" si="105"/>
        <v>0.2281780181952299</v>
      </c>
      <c r="N85" s="212">
        <f t="shared" si="105"/>
        <v>0.23362418581786901</v>
      </c>
      <c r="O85" s="212">
        <f t="shared" si="105"/>
        <v>0.21531286436066849</v>
      </c>
      <c r="P85" s="211">
        <f t="shared" si="105"/>
        <v>0.2242229973916596</v>
      </c>
      <c r="Q85" s="212">
        <f t="shared" si="105"/>
        <v>0.22829242544206915</v>
      </c>
      <c r="R85" s="212">
        <f t="shared" si="105"/>
        <v>0.23939630497007547</v>
      </c>
      <c r="S85" s="212">
        <f t="shared" si="105"/>
        <v>0.24325726141078838</v>
      </c>
      <c r="T85" s="212">
        <f t="shared" si="105"/>
        <v>0.20553576322280076</v>
      </c>
      <c r="U85" s="211">
        <f t="shared" si="105"/>
        <v>0.22943780141375439</v>
      </c>
      <c r="V85" s="212">
        <f t="shared" si="105"/>
        <v>0.2413281144553921</v>
      </c>
      <c r="W85" s="212">
        <f t="shared" si="105"/>
        <v>0.24353954581049334</v>
      </c>
      <c r="X85" s="212">
        <f t="shared" si="105"/>
        <v>0.24698404462316773</v>
      </c>
      <c r="Y85" s="212">
        <f t="shared" si="105"/>
        <v>0.2271796970937372</v>
      </c>
      <c r="Z85" s="211">
        <f t="shared" si="105"/>
        <v>0.23989504799229466</v>
      </c>
      <c r="AA85" s="212">
        <f t="shared" si="105"/>
        <v>0.22667534157449576</v>
      </c>
      <c r="AB85" s="212">
        <f t="shared" si="105"/>
        <v>0.27567221510883483</v>
      </c>
      <c r="AC85" s="212">
        <f t="shared" si="105"/>
        <v>0.24571708272148801</v>
      </c>
      <c r="AD85" s="212">
        <f t="shared" si="105"/>
        <v>0.22390488110137671</v>
      </c>
      <c r="AE85" s="211">
        <f t="shared" si="105"/>
        <v>0.24297943582777901</v>
      </c>
      <c r="AF85" s="212">
        <f t="shared" si="105"/>
        <v>0.1216477410002416</v>
      </c>
      <c r="AG85" s="212">
        <f t="shared" si="105"/>
        <v>0.28617401668653158</v>
      </c>
      <c r="AH85" s="212">
        <f t="shared" si="105"/>
        <v>0.24730127576054955</v>
      </c>
      <c r="AI85" s="212">
        <f t="shared" ref="AI85:AY85" si="106">INDEX(SP_GF_EBIT,0,COLUMN())/INDEX(SP_GF_Rev,0,COLUMN())</f>
        <v>0.22441787287602266</v>
      </c>
      <c r="AJ85" s="211">
        <f t="shared" si="106"/>
        <v>0.21996032351594688</v>
      </c>
      <c r="AK85" s="212">
        <f t="shared" si="106"/>
        <v>0.14447411929289075</v>
      </c>
      <c r="AL85" s="212">
        <f t="shared" si="106"/>
        <v>0.20829763798800635</v>
      </c>
      <c r="AM85" s="212">
        <f t="shared" si="106"/>
        <v>0.25165811537980226</v>
      </c>
      <c r="AN85" s="212">
        <f t="shared" si="106"/>
        <v>0.16335840216989272</v>
      </c>
      <c r="AO85" s="211">
        <f t="shared" si="106"/>
        <v>0.19212098581030621</v>
      </c>
      <c r="AP85" s="212">
        <f t="shared" si="106"/>
        <v>0.20594427244582042</v>
      </c>
      <c r="AQ85" s="212">
        <f t="shared" si="106"/>
        <v>0.24247491638795987</v>
      </c>
      <c r="AR85" s="212">
        <f>INDEX(SP_GF_EBIT,0,COLUMN())/INDEX(SP_GF_Rev,0,COLUMN())</f>
        <v>0.22862275449101796</v>
      </c>
      <c r="AS85" s="212">
        <f>INDEX(SP_GF_EBIT,0,COLUMN())/INDEX(SP_GF_Rev,0,COLUMN())</f>
        <v>0.21542584178026331</v>
      </c>
      <c r="AT85" s="211">
        <f>INDEX(SP_GF_EBIT,0,COLUMN())/INDEX(SP_GF_Rev,0,COLUMN())</f>
        <v>0.22250186428038776</v>
      </c>
      <c r="AU85" s="865">
        <f t="shared" si="106"/>
        <v>0.22528527849960456</v>
      </c>
      <c r="AV85" s="212">
        <f t="shared" si="106"/>
        <v>0.221169262454052</v>
      </c>
      <c r="AW85" s="212">
        <f t="shared" si="106"/>
        <v>0.23299694611170088</v>
      </c>
      <c r="AX85" s="212">
        <f t="shared" si="106"/>
        <v>0.23825236624639573</v>
      </c>
      <c r="AY85" s="211">
        <f t="shared" si="106"/>
        <v>0.22973398091480923</v>
      </c>
      <c r="AZ85" s="212">
        <f t="shared" ref="AZ85:BG85" si="107">INDEX(SP_GF_EBIT,0,COLUMN())/INDEX(SP_GF_Rev,0,COLUMN())</f>
        <v>0.23815930633214258</v>
      </c>
      <c r="BA85" s="212">
        <f t="shared" si="107"/>
        <v>0.24216241365399632</v>
      </c>
      <c r="BB85" s="212">
        <f t="shared" si="107"/>
        <v>0.22743330004761345</v>
      </c>
      <c r="BC85" s="212">
        <f t="shared" si="107"/>
        <v>0.24482045392669138</v>
      </c>
      <c r="BD85" s="211">
        <f t="shared" si="107"/>
        <v>0.23806340899030176</v>
      </c>
      <c r="BE85" s="211">
        <f t="shared" si="107"/>
        <v>0.24435185278655866</v>
      </c>
      <c r="BF85" s="211">
        <f t="shared" si="107"/>
        <v>0.25061997821256116</v>
      </c>
      <c r="BG85" s="211">
        <f t="shared" si="107"/>
        <v>0.25686762898812332</v>
      </c>
      <c r="BH85" s="368"/>
    </row>
    <row r="86" spans="1:60" s="148" customFormat="1" x14ac:dyDescent="0.35">
      <c r="A86" s="329" t="str">
        <f>INDEX(MO_MA_EBIT_Adj,0,COLUMN())</f>
        <v>Adjusted EBIT Margin, %</v>
      </c>
      <c r="B86" s="330"/>
      <c r="C86" s="211">
        <f t="shared" ref="C86:AH86" si="108">INDEX(SP_NGF_EBIT,0,COLUMN())/INDEX(SP_GF_Rev,0,COLUMN())</f>
        <v>0.20819097867923711</v>
      </c>
      <c r="D86" s="211">
        <f t="shared" si="108"/>
        <v>0.22196384367264271</v>
      </c>
      <c r="E86" s="211">
        <f t="shared" si="108"/>
        <v>0.20863868157103779</v>
      </c>
      <c r="F86" s="211">
        <f t="shared" si="108"/>
        <v>0.21679373996789728</v>
      </c>
      <c r="G86" s="212">
        <f t="shared" si="108"/>
        <v>0.21561435682473146</v>
      </c>
      <c r="H86" s="212">
        <f t="shared" si="108"/>
        <v>0.2195562435500516</v>
      </c>
      <c r="I86" s="212">
        <f t="shared" si="108"/>
        <v>0.21968165740272866</v>
      </c>
      <c r="J86" s="212">
        <f t="shared" si="108"/>
        <v>0.20861408376271634</v>
      </c>
      <c r="K86" s="211">
        <f t="shared" si="108"/>
        <v>0.21593080884972951</v>
      </c>
      <c r="L86" s="212">
        <f t="shared" si="108"/>
        <v>0.21912910228578725</v>
      </c>
      <c r="M86" s="212">
        <f t="shared" si="108"/>
        <v>0.2281780181952299</v>
      </c>
      <c r="N86" s="212">
        <f t="shared" si="108"/>
        <v>0.23362418581786901</v>
      </c>
      <c r="O86" s="212">
        <f t="shared" si="108"/>
        <v>0.21531286436066849</v>
      </c>
      <c r="P86" s="211">
        <f t="shared" si="108"/>
        <v>0.2242229973916596</v>
      </c>
      <c r="Q86" s="212">
        <f t="shared" si="108"/>
        <v>0.22829242544206915</v>
      </c>
      <c r="R86" s="212">
        <f t="shared" si="108"/>
        <v>0.23939630497007547</v>
      </c>
      <c r="S86" s="212">
        <f t="shared" si="108"/>
        <v>0.24325726141078838</v>
      </c>
      <c r="T86" s="212">
        <f t="shared" si="108"/>
        <v>0.20553576322280076</v>
      </c>
      <c r="U86" s="211">
        <f t="shared" si="108"/>
        <v>0.22943780141375439</v>
      </c>
      <c r="V86" s="212">
        <f t="shared" si="108"/>
        <v>0.2413281144553921</v>
      </c>
      <c r="W86" s="212">
        <f t="shared" si="108"/>
        <v>0.24353954581049334</v>
      </c>
      <c r="X86" s="212">
        <f t="shared" si="108"/>
        <v>0.24698404462316773</v>
      </c>
      <c r="Y86" s="212">
        <f t="shared" si="108"/>
        <v>0.2271796970937372</v>
      </c>
      <c r="Z86" s="211">
        <f t="shared" si="108"/>
        <v>0.23989504799229466</v>
      </c>
      <c r="AA86" s="212">
        <f t="shared" si="108"/>
        <v>0.22667534157449576</v>
      </c>
      <c r="AB86" s="212">
        <f t="shared" si="108"/>
        <v>0.27567221510883483</v>
      </c>
      <c r="AC86" s="212">
        <f t="shared" si="108"/>
        <v>0.24571708272148801</v>
      </c>
      <c r="AD86" s="212">
        <f t="shared" si="108"/>
        <v>0.22390488110137671</v>
      </c>
      <c r="AE86" s="211">
        <f t="shared" si="108"/>
        <v>0.24297943582777901</v>
      </c>
      <c r="AF86" s="212">
        <f t="shared" si="108"/>
        <v>0.23000724812756704</v>
      </c>
      <c r="AG86" s="212">
        <f t="shared" si="108"/>
        <v>0.28617401668653158</v>
      </c>
      <c r="AH86" s="212">
        <f t="shared" si="108"/>
        <v>0.24730127576054955</v>
      </c>
      <c r="AI86" s="212">
        <f t="shared" ref="AI86:AY86" si="109">INDEX(SP_NGF_EBIT,0,COLUMN())/INDEX(SP_GF_Rev,0,COLUMN())</f>
        <v>0.22441787287602266</v>
      </c>
      <c r="AJ86" s="211">
        <f t="shared" si="109"/>
        <v>0.24733709751258964</v>
      </c>
      <c r="AK86" s="212">
        <f t="shared" si="109"/>
        <v>0.21315019712577896</v>
      </c>
      <c r="AL86" s="212">
        <f t="shared" si="109"/>
        <v>0.20829763798800635</v>
      </c>
      <c r="AM86" s="212">
        <f t="shared" si="109"/>
        <v>0.23839319234138406</v>
      </c>
      <c r="AN86" s="212">
        <f t="shared" si="109"/>
        <v>0.189742325237332</v>
      </c>
      <c r="AO86" s="211">
        <f t="shared" si="109"/>
        <v>0.21228528752800596</v>
      </c>
      <c r="AP86" s="212">
        <f t="shared" si="109"/>
        <v>0.20780185758513933</v>
      </c>
      <c r="AQ86" s="212">
        <f t="shared" si="109"/>
        <v>0.19620958751393533</v>
      </c>
      <c r="AR86" s="212">
        <f>INDEX(SP_NGF_EBIT,0,COLUMN())/INDEX(SP_GF_Rev,0,COLUMN())</f>
        <v>0.22862275449101796</v>
      </c>
      <c r="AS86" s="212">
        <f>INDEX(SP_NGF_EBIT,0,COLUMN())/INDEX(SP_GF_Rev,0,COLUMN())</f>
        <v>0.21542584178026331</v>
      </c>
      <c r="AT86" s="211">
        <f>INDEX(SP_NGF_EBIT,0,COLUMN())/INDEX(SP_GF_Rev,0,COLUMN())</f>
        <v>0.21265224956500126</v>
      </c>
      <c r="AU86" s="865">
        <f t="shared" si="109"/>
        <v>0.22528527849960456</v>
      </c>
      <c r="AV86" s="212">
        <f t="shared" si="109"/>
        <v>0.22116926245405194</v>
      </c>
      <c r="AW86" s="212">
        <f t="shared" si="109"/>
        <v>0.23299694611170085</v>
      </c>
      <c r="AX86" s="212">
        <f t="shared" si="109"/>
        <v>0.23825236624639573</v>
      </c>
      <c r="AY86" s="211">
        <f t="shared" si="109"/>
        <v>0.22973398091480912</v>
      </c>
      <c r="AZ86" s="212">
        <f t="shared" ref="AZ86:BG86" si="110">INDEX(SP_NGF_EBIT,0,COLUMN())/INDEX(SP_GF_Rev,0,COLUMN())</f>
        <v>0.23815930633214255</v>
      </c>
      <c r="BA86" s="212">
        <f t="shared" si="110"/>
        <v>0.24216241365399624</v>
      </c>
      <c r="BB86" s="212">
        <f t="shared" si="110"/>
        <v>0.22743330004761345</v>
      </c>
      <c r="BC86" s="212">
        <f t="shared" si="110"/>
        <v>0.24482045392669138</v>
      </c>
      <c r="BD86" s="211">
        <f t="shared" si="110"/>
        <v>0.23806340899030184</v>
      </c>
      <c r="BE86" s="211">
        <f t="shared" si="110"/>
        <v>0.24435185278655866</v>
      </c>
      <c r="BF86" s="211">
        <f t="shared" si="110"/>
        <v>0.25061997821256116</v>
      </c>
      <c r="BG86" s="211">
        <f t="shared" si="110"/>
        <v>0.25686762898812343</v>
      </c>
      <c r="BH86" s="368"/>
    </row>
    <row r="87" spans="1:60" x14ac:dyDescent="0.35">
      <c r="A87" s="323"/>
      <c r="B87" s="310"/>
      <c r="C87" s="904"/>
      <c r="D87" s="904"/>
      <c r="E87" s="904"/>
      <c r="F87" s="904"/>
      <c r="G87" s="905"/>
      <c r="H87" s="905"/>
      <c r="I87" s="905"/>
      <c r="J87" s="905"/>
      <c r="K87" s="904"/>
      <c r="L87" s="905"/>
      <c r="M87" s="905"/>
      <c r="N87" s="905"/>
      <c r="O87" s="905"/>
      <c r="P87" s="904"/>
      <c r="Q87" s="905"/>
      <c r="R87" s="905"/>
      <c r="S87" s="905"/>
      <c r="T87" s="905"/>
      <c r="U87" s="904"/>
      <c r="V87" s="905"/>
      <c r="W87" s="905"/>
      <c r="X87" s="905"/>
      <c r="Y87" s="905"/>
      <c r="Z87" s="904"/>
      <c r="AA87" s="905"/>
      <c r="AB87" s="905"/>
      <c r="AC87" s="905"/>
      <c r="AD87" s="905"/>
      <c r="AE87" s="904"/>
      <c r="AF87" s="905"/>
      <c r="AG87" s="905"/>
      <c r="AH87" s="905"/>
      <c r="AI87" s="905"/>
      <c r="AJ87" s="904"/>
      <c r="AK87" s="905"/>
      <c r="AL87" s="905"/>
      <c r="AM87" s="905"/>
      <c r="AN87" s="905"/>
      <c r="AO87" s="904"/>
      <c r="AP87" s="905"/>
      <c r="AQ87" s="905"/>
      <c r="AR87" s="905"/>
      <c r="AS87" s="905"/>
      <c r="AT87" s="904"/>
      <c r="AU87" s="906"/>
      <c r="AV87" s="905"/>
      <c r="AW87" s="905"/>
      <c r="AX87" s="905"/>
      <c r="AY87" s="904"/>
      <c r="AZ87" s="905"/>
      <c r="BA87" s="905"/>
      <c r="BB87" s="905"/>
      <c r="BC87" s="905"/>
      <c r="BD87" s="904"/>
      <c r="BE87" s="904"/>
      <c r="BF87" s="904"/>
      <c r="BG87" s="904"/>
      <c r="BH87" s="844"/>
    </row>
    <row r="88" spans="1:60" x14ac:dyDescent="0.35">
      <c r="A88" s="193" t="s">
        <v>299</v>
      </c>
      <c r="B88" s="845"/>
      <c r="C88" s="907"/>
      <c r="D88" s="907"/>
      <c r="E88" s="907"/>
      <c r="F88" s="907"/>
      <c r="G88" s="907"/>
      <c r="H88" s="907"/>
      <c r="I88" s="907"/>
      <c r="J88" s="907"/>
      <c r="K88" s="907"/>
      <c r="L88" s="907"/>
      <c r="M88" s="907"/>
      <c r="N88" s="907"/>
      <c r="O88" s="907"/>
      <c r="P88" s="907"/>
      <c r="Q88" s="907"/>
      <c r="R88" s="907"/>
      <c r="S88" s="907"/>
      <c r="T88" s="907"/>
      <c r="U88" s="907"/>
      <c r="V88" s="907"/>
      <c r="W88" s="907"/>
      <c r="X88" s="907"/>
      <c r="Y88" s="907"/>
      <c r="Z88" s="907"/>
      <c r="AA88" s="907"/>
      <c r="AB88" s="907"/>
      <c r="AC88" s="907"/>
      <c r="AD88" s="907"/>
      <c r="AE88" s="907"/>
      <c r="AF88" s="907"/>
      <c r="AG88" s="907"/>
      <c r="AH88" s="907"/>
      <c r="AI88" s="907"/>
      <c r="AJ88" s="907"/>
      <c r="AK88" s="907"/>
      <c r="AL88" s="907"/>
      <c r="AM88" s="907"/>
      <c r="AN88" s="907"/>
      <c r="AO88" s="907"/>
      <c r="AP88" s="907"/>
      <c r="AQ88" s="907"/>
      <c r="AR88" s="907"/>
      <c r="AS88" s="907"/>
      <c r="AT88" s="907"/>
      <c r="AU88" s="908"/>
      <c r="AV88" s="907"/>
      <c r="AW88" s="907"/>
      <c r="AX88" s="907"/>
      <c r="AY88" s="907"/>
      <c r="AZ88" s="907"/>
      <c r="BA88" s="907"/>
      <c r="BB88" s="907"/>
      <c r="BC88" s="907"/>
      <c r="BD88" s="907"/>
      <c r="BE88" s="907"/>
      <c r="BF88" s="907"/>
      <c r="BG88" s="907"/>
      <c r="BH88" s="846"/>
    </row>
    <row r="89" spans="1:60" s="156" customFormat="1" x14ac:dyDescent="0.35">
      <c r="A89" s="321" t="str">
        <f>INDEX(MO_CFSum_CFO_BeforeWC,0,COLUMN())</f>
        <v>Operating Cash Flow before WC</v>
      </c>
      <c r="B89" s="322"/>
      <c r="C89" s="250">
        <f t="shared" ref="C89:AH89" si="111">INDEX(MO_CFSum_CFO_BeforeWC,0,COLUMN())</f>
        <v>4736</v>
      </c>
      <c r="D89" s="250">
        <f t="shared" si="111"/>
        <v>5038</v>
      </c>
      <c r="E89" s="250">
        <f t="shared" si="111"/>
        <v>5943</v>
      </c>
      <c r="F89" s="250">
        <f t="shared" si="111"/>
        <v>5497</v>
      </c>
      <c r="G89" s="251">
        <f t="shared" si="111"/>
        <v>1683</v>
      </c>
      <c r="H89" s="251">
        <f t="shared" si="111"/>
        <v>1588</v>
      </c>
      <c r="I89" s="251">
        <f t="shared" si="111"/>
        <v>1452</v>
      </c>
      <c r="J89" s="251">
        <f t="shared" si="111"/>
        <v>1421</v>
      </c>
      <c r="K89" s="250">
        <f t="shared" si="111"/>
        <v>6144</v>
      </c>
      <c r="L89" s="251">
        <f t="shared" si="111"/>
        <v>1619</v>
      </c>
      <c r="M89" s="251">
        <f t="shared" si="111"/>
        <v>1757</v>
      </c>
      <c r="N89" s="251">
        <f t="shared" si="111"/>
        <v>1721</v>
      </c>
      <c r="O89" s="251">
        <f t="shared" si="111"/>
        <v>1452</v>
      </c>
      <c r="P89" s="250">
        <f t="shared" si="111"/>
        <v>6549</v>
      </c>
      <c r="Q89" s="251">
        <f t="shared" si="111"/>
        <v>1664</v>
      </c>
      <c r="R89" s="251">
        <f t="shared" si="111"/>
        <v>1974</v>
      </c>
      <c r="S89" s="251">
        <f t="shared" si="111"/>
        <v>1893</v>
      </c>
      <c r="T89" s="251">
        <f t="shared" si="111"/>
        <v>1551</v>
      </c>
      <c r="U89" s="250">
        <f t="shared" si="111"/>
        <v>7082</v>
      </c>
      <c r="V89" s="251">
        <f t="shared" si="111"/>
        <v>1743</v>
      </c>
      <c r="W89" s="251">
        <f t="shared" si="111"/>
        <v>1630</v>
      </c>
      <c r="X89" s="251">
        <f t="shared" si="111"/>
        <v>1620</v>
      </c>
      <c r="Y89" s="251">
        <f t="shared" si="111"/>
        <v>1712</v>
      </c>
      <c r="Z89" s="250">
        <f t="shared" si="111"/>
        <v>6705</v>
      </c>
      <c r="AA89" s="251">
        <f t="shared" si="111"/>
        <v>1631</v>
      </c>
      <c r="AB89" s="251">
        <f t="shared" si="111"/>
        <v>1578</v>
      </c>
      <c r="AC89" s="251">
        <f t="shared" si="111"/>
        <v>1930</v>
      </c>
      <c r="AD89" s="251">
        <f t="shared" si="111"/>
        <v>486</v>
      </c>
      <c r="AE89" s="250">
        <f t="shared" si="111"/>
        <v>5625</v>
      </c>
      <c r="AF89" s="251">
        <f t="shared" si="111"/>
        <v>890</v>
      </c>
      <c r="AG89" s="251">
        <f t="shared" si="111"/>
        <v>1960</v>
      </c>
      <c r="AH89" s="251">
        <f t="shared" si="111"/>
        <v>1939</v>
      </c>
      <c r="AI89" s="251">
        <f t="shared" ref="AI89:AY89" si="112">INDEX(MO_CFSum_CFO_BeforeWC,0,COLUMN())</f>
        <v>1802</v>
      </c>
      <c r="AJ89" s="250">
        <f t="shared" si="112"/>
        <v>6591</v>
      </c>
      <c r="AK89" s="251">
        <f t="shared" si="112"/>
        <v>1360</v>
      </c>
      <c r="AL89" s="251">
        <f t="shared" si="112"/>
        <v>1768</v>
      </c>
      <c r="AM89" s="251">
        <f t="shared" si="112"/>
        <v>1920</v>
      </c>
      <c r="AN89" s="251">
        <f t="shared" si="112"/>
        <v>1330</v>
      </c>
      <c r="AO89" s="250">
        <f t="shared" si="112"/>
        <v>6378</v>
      </c>
      <c r="AP89" s="251">
        <f t="shared" si="112"/>
        <v>1940</v>
      </c>
      <c r="AQ89" s="251">
        <f t="shared" si="112"/>
        <v>1517</v>
      </c>
      <c r="AR89" s="251">
        <f t="shared" si="112"/>
        <v>1897</v>
      </c>
      <c r="AS89" s="251">
        <f>INDEX(MO_CFSum_CFO_BeforeWC,0,COLUMN())</f>
        <v>1903</v>
      </c>
      <c r="AT89" s="250">
        <f>INDEX(MO_CFSum_CFO_BeforeWC,0,COLUMN())</f>
        <v>7257</v>
      </c>
      <c r="AU89" s="855">
        <f t="shared" si="112"/>
        <v>2234</v>
      </c>
      <c r="AV89" s="251">
        <f t="shared" si="112"/>
        <v>1748.4530607016989</v>
      </c>
      <c r="AW89" s="251">
        <f t="shared" si="112"/>
        <v>2023.3527774651088</v>
      </c>
      <c r="AX89" s="251">
        <f t="shared" si="112"/>
        <v>2106.9110214527232</v>
      </c>
      <c r="AY89" s="250">
        <f t="shared" si="112"/>
        <v>8112.7168596195306</v>
      </c>
      <c r="AZ89" s="251">
        <f t="shared" ref="AZ89:BG89" si="113">INDEX(MO_CFSum_CFO_BeforeWC,0,COLUMN())</f>
        <v>2290.6398589036971</v>
      </c>
      <c r="BA89" s="251">
        <f t="shared" ca="1" si="113"/>
        <v>1975.5014913662974</v>
      </c>
      <c r="BB89" s="251">
        <f t="shared" ca="1" si="113"/>
        <v>2088.3728175827177</v>
      </c>
      <c r="BC89" s="251">
        <f t="shared" ca="1" si="113"/>
        <v>2270.0884466410671</v>
      </c>
      <c r="BD89" s="250">
        <f t="shared" ca="1" si="113"/>
        <v>8624.6026144937787</v>
      </c>
      <c r="BE89" s="250">
        <f t="shared" ca="1" si="113"/>
        <v>9279.0768052823114</v>
      </c>
      <c r="BF89" s="250">
        <f t="shared" ca="1" si="113"/>
        <v>9993.1708022494713</v>
      </c>
      <c r="BG89" s="250">
        <f t="shared" ca="1" si="113"/>
        <v>10770.619039878158</v>
      </c>
      <c r="BH89" s="251"/>
    </row>
    <row r="90" spans="1:60" s="157" customFormat="1" x14ac:dyDescent="0.35">
      <c r="A90" s="498" t="str">
        <f>INDEX(MO_CFSum_Capex,0,COLUMN())</f>
        <v>Capex</v>
      </c>
      <c r="B90" s="499"/>
      <c r="C90" s="500">
        <f t="shared" ref="C90:AH90" si="114">INDEX(MO_CFSum_Capex,0,COLUMN())</f>
        <v>-903</v>
      </c>
      <c r="D90" s="500">
        <f t="shared" si="114"/>
        <v>-1091</v>
      </c>
      <c r="E90" s="500">
        <f t="shared" si="114"/>
        <v>-1379</v>
      </c>
      <c r="F90" s="500">
        <f t="shared" si="114"/>
        <v>-1484</v>
      </c>
      <c r="G90" s="462">
        <f t="shared" si="114"/>
        <v>-324</v>
      </c>
      <c r="H90" s="462">
        <f t="shared" si="114"/>
        <v>-394</v>
      </c>
      <c r="I90" s="462">
        <f t="shared" si="114"/>
        <v>-404</v>
      </c>
      <c r="J90" s="462">
        <f t="shared" si="114"/>
        <v>-543</v>
      </c>
      <c r="K90" s="500">
        <f t="shared" si="114"/>
        <v>-1665</v>
      </c>
      <c r="L90" s="462">
        <f t="shared" si="114"/>
        <v>-293</v>
      </c>
      <c r="M90" s="462">
        <f t="shared" si="114"/>
        <v>-341</v>
      </c>
      <c r="N90" s="462">
        <f t="shared" si="114"/>
        <v>-369</v>
      </c>
      <c r="O90" s="462">
        <f t="shared" si="114"/>
        <v>-490</v>
      </c>
      <c r="P90" s="500">
        <f t="shared" si="114"/>
        <v>-1493</v>
      </c>
      <c r="Q90" s="462">
        <f t="shared" si="114"/>
        <v>-291</v>
      </c>
      <c r="R90" s="462">
        <f t="shared" si="114"/>
        <v>-370</v>
      </c>
      <c r="S90" s="462">
        <f t="shared" si="114"/>
        <v>-354</v>
      </c>
      <c r="T90" s="462">
        <f t="shared" si="114"/>
        <v>-446</v>
      </c>
      <c r="U90" s="500">
        <f t="shared" si="114"/>
        <v>-1461</v>
      </c>
      <c r="V90" s="462">
        <f t="shared" si="114"/>
        <v>-314</v>
      </c>
      <c r="W90" s="462">
        <f t="shared" si="114"/>
        <v>-323</v>
      </c>
      <c r="X90" s="462">
        <f t="shared" si="114"/>
        <v>-347</v>
      </c>
      <c r="Y90" s="462">
        <f t="shared" si="114"/>
        <v>-436</v>
      </c>
      <c r="Z90" s="500">
        <f t="shared" si="114"/>
        <v>-1420</v>
      </c>
      <c r="AA90" s="462">
        <f t="shared" si="114"/>
        <v>-287</v>
      </c>
      <c r="AB90" s="462">
        <f t="shared" si="114"/>
        <v>-302</v>
      </c>
      <c r="AC90" s="462">
        <f t="shared" si="114"/>
        <v>-325</v>
      </c>
      <c r="AD90" s="462">
        <f t="shared" si="114"/>
        <v>-459</v>
      </c>
      <c r="AE90" s="500">
        <f t="shared" si="114"/>
        <v>-1373</v>
      </c>
      <c r="AF90" s="462">
        <f t="shared" si="114"/>
        <v>-304</v>
      </c>
      <c r="AG90" s="462">
        <f t="shared" si="114"/>
        <v>-365</v>
      </c>
      <c r="AH90" s="462">
        <f t="shared" si="114"/>
        <v>-377</v>
      </c>
      <c r="AI90" s="462">
        <f t="shared" ref="AI90:AY90" si="115">INDEX(MO_CFSum_Capex,0,COLUMN())</f>
        <v>-531</v>
      </c>
      <c r="AJ90" s="500">
        <f t="shared" si="115"/>
        <v>-1577</v>
      </c>
      <c r="AK90" s="462">
        <f t="shared" si="115"/>
        <v>-391</v>
      </c>
      <c r="AL90" s="462">
        <f t="shared" si="115"/>
        <v>-421</v>
      </c>
      <c r="AM90" s="462">
        <f t="shared" si="115"/>
        <v>-349</v>
      </c>
      <c r="AN90" s="462">
        <f t="shared" si="115"/>
        <v>-538</v>
      </c>
      <c r="AO90" s="500">
        <f t="shared" si="115"/>
        <v>-1699</v>
      </c>
      <c r="AP90" s="462">
        <f t="shared" si="115"/>
        <v>-332</v>
      </c>
      <c r="AQ90" s="462">
        <f t="shared" si="115"/>
        <v>-379</v>
      </c>
      <c r="AR90" s="462">
        <f t="shared" si="115"/>
        <v>-368</v>
      </c>
      <c r="AS90" s="462">
        <f>INDEX(MO_CFSum_Capex,0,COLUMN())</f>
        <v>-422</v>
      </c>
      <c r="AT90" s="500">
        <f>INDEX(MO_CFSum_Capex,0,COLUMN())</f>
        <v>-1501</v>
      </c>
      <c r="AU90" s="853">
        <f t="shared" si="115"/>
        <v>-310</v>
      </c>
      <c r="AV90" s="462">
        <f t="shared" si="115"/>
        <v>-475</v>
      </c>
      <c r="AW90" s="462">
        <f t="shared" si="115"/>
        <v>-475</v>
      </c>
      <c r="AX90" s="462">
        <f t="shared" si="115"/>
        <v>-475</v>
      </c>
      <c r="AY90" s="500">
        <f t="shared" si="115"/>
        <v>-1735</v>
      </c>
      <c r="AZ90" s="462">
        <f t="shared" ref="AZ90:BG90" si="116">INDEX(MO_CFSum_Capex,0,COLUMN())</f>
        <v>-475</v>
      </c>
      <c r="BA90" s="462">
        <f t="shared" si="116"/>
        <v>-475</v>
      </c>
      <c r="BB90" s="462">
        <f t="shared" si="116"/>
        <v>-475</v>
      </c>
      <c r="BC90" s="462">
        <f t="shared" si="116"/>
        <v>-475</v>
      </c>
      <c r="BD90" s="500">
        <f t="shared" si="116"/>
        <v>-1900</v>
      </c>
      <c r="BE90" s="500">
        <f t="shared" si="116"/>
        <v>-1900</v>
      </c>
      <c r="BF90" s="500">
        <f t="shared" si="116"/>
        <v>-1900</v>
      </c>
      <c r="BG90" s="500">
        <f t="shared" si="116"/>
        <v>-1900</v>
      </c>
      <c r="BH90" s="199"/>
    </row>
    <row r="91" spans="1:60" s="156" customFormat="1" x14ac:dyDescent="0.35">
      <c r="A91" s="306" t="s">
        <v>300</v>
      </c>
      <c r="B91" s="307"/>
      <c r="C91" s="196">
        <f t="shared" ref="C91:AH91" si="117">SUM(C89:C90)</f>
        <v>3833</v>
      </c>
      <c r="D91" s="196">
        <f t="shared" si="117"/>
        <v>3947</v>
      </c>
      <c r="E91" s="196">
        <f t="shared" si="117"/>
        <v>4564</v>
      </c>
      <c r="F91" s="196">
        <f t="shared" si="117"/>
        <v>4013</v>
      </c>
      <c r="G91" s="197">
        <f t="shared" si="117"/>
        <v>1359</v>
      </c>
      <c r="H91" s="197">
        <f t="shared" si="117"/>
        <v>1194</v>
      </c>
      <c r="I91" s="197">
        <f t="shared" si="117"/>
        <v>1048</v>
      </c>
      <c r="J91" s="197">
        <f t="shared" si="117"/>
        <v>878</v>
      </c>
      <c r="K91" s="196">
        <f t="shared" si="117"/>
        <v>4479</v>
      </c>
      <c r="L91" s="197">
        <f t="shared" si="117"/>
        <v>1326</v>
      </c>
      <c r="M91" s="197">
        <f t="shared" si="117"/>
        <v>1416</v>
      </c>
      <c r="N91" s="197">
        <f t="shared" si="117"/>
        <v>1352</v>
      </c>
      <c r="O91" s="197">
        <f t="shared" si="117"/>
        <v>962</v>
      </c>
      <c r="P91" s="196">
        <f t="shared" si="117"/>
        <v>5056</v>
      </c>
      <c r="Q91" s="197">
        <f t="shared" si="117"/>
        <v>1373</v>
      </c>
      <c r="R91" s="197">
        <f t="shared" si="117"/>
        <v>1604</v>
      </c>
      <c r="S91" s="197">
        <f t="shared" si="117"/>
        <v>1539</v>
      </c>
      <c r="T91" s="197">
        <f t="shared" si="117"/>
        <v>1105</v>
      </c>
      <c r="U91" s="196">
        <f t="shared" si="117"/>
        <v>5621</v>
      </c>
      <c r="V91" s="197">
        <f t="shared" si="117"/>
        <v>1429</v>
      </c>
      <c r="W91" s="197">
        <f t="shared" si="117"/>
        <v>1307</v>
      </c>
      <c r="X91" s="197">
        <f t="shared" si="117"/>
        <v>1273</v>
      </c>
      <c r="Y91" s="197">
        <f t="shared" si="117"/>
        <v>1276</v>
      </c>
      <c r="Z91" s="196">
        <f t="shared" si="117"/>
        <v>5285</v>
      </c>
      <c r="AA91" s="197">
        <f t="shared" si="117"/>
        <v>1344</v>
      </c>
      <c r="AB91" s="197">
        <f t="shared" si="117"/>
        <v>1276</v>
      </c>
      <c r="AC91" s="197">
        <f t="shared" si="117"/>
        <v>1605</v>
      </c>
      <c r="AD91" s="197">
        <f t="shared" si="117"/>
        <v>27</v>
      </c>
      <c r="AE91" s="196">
        <f t="shared" si="117"/>
        <v>4252</v>
      </c>
      <c r="AF91" s="197">
        <f t="shared" si="117"/>
        <v>586</v>
      </c>
      <c r="AG91" s="197">
        <f t="shared" si="117"/>
        <v>1595</v>
      </c>
      <c r="AH91" s="197">
        <f t="shared" si="117"/>
        <v>1562</v>
      </c>
      <c r="AI91" s="197">
        <f t="shared" ref="AI91:AY91" si="118">SUM(AI89:AI90)</f>
        <v>1271</v>
      </c>
      <c r="AJ91" s="196">
        <f t="shared" si="118"/>
        <v>5014</v>
      </c>
      <c r="AK91" s="197">
        <f t="shared" si="118"/>
        <v>969</v>
      </c>
      <c r="AL91" s="197">
        <f t="shared" si="118"/>
        <v>1347</v>
      </c>
      <c r="AM91" s="197">
        <f t="shared" si="118"/>
        <v>1571</v>
      </c>
      <c r="AN91" s="197">
        <f t="shared" si="118"/>
        <v>792</v>
      </c>
      <c r="AO91" s="196">
        <f t="shared" si="118"/>
        <v>4679</v>
      </c>
      <c r="AP91" s="197">
        <f t="shared" ref="AP91:AR91" si="119">SUM(AP89:AP90)</f>
        <v>1608</v>
      </c>
      <c r="AQ91" s="197">
        <f t="shared" si="119"/>
        <v>1138</v>
      </c>
      <c r="AR91" s="197">
        <f t="shared" si="119"/>
        <v>1529</v>
      </c>
      <c r="AS91" s="197">
        <f>SUM(AS89:AS90)</f>
        <v>1481</v>
      </c>
      <c r="AT91" s="196">
        <f>SUM(AT89:AT90)</f>
        <v>5756</v>
      </c>
      <c r="AU91" s="851">
        <f t="shared" ref="AU91" si="120">SUM(AU89:AU90)</f>
        <v>1924</v>
      </c>
      <c r="AV91" s="197">
        <f t="shared" si="118"/>
        <v>1273.4530607016989</v>
      </c>
      <c r="AW91" s="197">
        <f t="shared" si="118"/>
        <v>1548.3527774651088</v>
      </c>
      <c r="AX91" s="197">
        <f t="shared" si="118"/>
        <v>1631.9110214527232</v>
      </c>
      <c r="AY91" s="196">
        <f t="shared" si="118"/>
        <v>6377.7168596195306</v>
      </c>
      <c r="AZ91" s="197">
        <f t="shared" ref="AZ91:BG91" si="121">SUM(AZ89:AZ90)</f>
        <v>1815.6398589036971</v>
      </c>
      <c r="BA91" s="197">
        <f t="shared" ca="1" si="121"/>
        <v>1500.5014913662974</v>
      </c>
      <c r="BB91" s="197">
        <f t="shared" ca="1" si="121"/>
        <v>1613.3728175827177</v>
      </c>
      <c r="BC91" s="197">
        <f t="shared" ca="1" si="121"/>
        <v>1795.0884466410671</v>
      </c>
      <c r="BD91" s="196">
        <f t="shared" ca="1" si="121"/>
        <v>6724.6026144937787</v>
      </c>
      <c r="BE91" s="196">
        <f t="shared" ca="1" si="121"/>
        <v>7379.0768052823114</v>
      </c>
      <c r="BF91" s="196">
        <f t="shared" ca="1" si="121"/>
        <v>8093.1708022494713</v>
      </c>
      <c r="BG91" s="196">
        <f t="shared" ca="1" si="121"/>
        <v>8870.6190398781582</v>
      </c>
      <c r="BH91" s="251"/>
    </row>
    <row r="92" spans="1:60" s="157" customFormat="1" x14ac:dyDescent="0.35">
      <c r="A92" s="498" t="str">
        <f>INDEX(MO_CFSum_Dividend,0,COLUMN())</f>
        <v>Dividend Paid</v>
      </c>
      <c r="B92" s="499"/>
      <c r="C92" s="500">
        <f t="shared" ref="C92:AH92" si="122">INDEX(MO_CFSum_Dividend,0,COLUMN())</f>
        <v>-1431</v>
      </c>
      <c r="D92" s="500">
        <f t="shared" si="122"/>
        <v>-1500</v>
      </c>
      <c r="E92" s="500">
        <f t="shared" si="122"/>
        <v>-1555</v>
      </c>
      <c r="F92" s="500">
        <f t="shared" si="122"/>
        <v>-1635</v>
      </c>
      <c r="G92" s="462">
        <f t="shared" si="122"/>
        <v>-440</v>
      </c>
      <c r="H92" s="462">
        <f t="shared" si="122"/>
        <v>-436</v>
      </c>
      <c r="I92" s="462">
        <f t="shared" si="122"/>
        <v>-431</v>
      </c>
      <c r="J92" s="462">
        <f t="shared" si="122"/>
        <v>-423</v>
      </c>
      <c r="K92" s="500">
        <f t="shared" si="122"/>
        <v>-1730</v>
      </c>
      <c r="L92" s="462">
        <f t="shared" si="122"/>
        <v>-566</v>
      </c>
      <c r="M92" s="462">
        <f t="shared" si="122"/>
        <v>-556</v>
      </c>
      <c r="N92" s="462">
        <f t="shared" si="122"/>
        <v>-550</v>
      </c>
      <c r="O92" s="462">
        <f t="shared" si="122"/>
        <v>-544</v>
      </c>
      <c r="P92" s="500">
        <f t="shared" si="122"/>
        <v>-2216</v>
      </c>
      <c r="Q92" s="462">
        <f t="shared" si="122"/>
        <v>-652</v>
      </c>
      <c r="R92" s="462">
        <f t="shared" si="122"/>
        <v>-646</v>
      </c>
      <c r="S92" s="462">
        <f t="shared" si="122"/>
        <v>-635</v>
      </c>
      <c r="T92" s="462">
        <f t="shared" si="122"/>
        <v>-628</v>
      </c>
      <c r="U92" s="500">
        <f t="shared" si="122"/>
        <v>-2561</v>
      </c>
      <c r="V92" s="462">
        <f t="shared" si="122"/>
        <v>-672</v>
      </c>
      <c r="W92" s="462">
        <f t="shared" si="122"/>
        <v>-672</v>
      </c>
      <c r="X92" s="462">
        <f t="shared" si="122"/>
        <v>-670</v>
      </c>
      <c r="Y92" s="462">
        <f t="shared" si="122"/>
        <v>-664</v>
      </c>
      <c r="Z92" s="500">
        <f t="shared" si="122"/>
        <v>-2678</v>
      </c>
      <c r="AA92" s="462">
        <f t="shared" si="122"/>
        <v>-702</v>
      </c>
      <c r="AB92" s="462">
        <f t="shared" si="122"/>
        <v>-701</v>
      </c>
      <c r="AC92" s="462">
        <f t="shared" si="122"/>
        <v>-701</v>
      </c>
      <c r="AD92" s="462">
        <f t="shared" si="122"/>
        <v>-699</v>
      </c>
      <c r="AE92" s="500">
        <f t="shared" si="122"/>
        <v>-2803</v>
      </c>
      <c r="AF92" s="462">
        <f t="shared" si="122"/>
        <v>-810</v>
      </c>
      <c r="AG92" s="462">
        <f t="shared" si="122"/>
        <v>-802</v>
      </c>
      <c r="AH92" s="462">
        <f t="shared" si="122"/>
        <v>-794</v>
      </c>
      <c r="AI92" s="462">
        <f t="shared" ref="AI92:AY92" si="123">INDEX(MO_CFSum_Dividend,0,COLUMN())</f>
        <v>-787</v>
      </c>
      <c r="AJ92" s="500">
        <f t="shared" si="123"/>
        <v>-3193</v>
      </c>
      <c r="AK92" s="462">
        <f t="shared" si="123"/>
        <v>-830</v>
      </c>
      <c r="AL92" s="462">
        <f t="shared" si="123"/>
        <v>-830</v>
      </c>
      <c r="AM92" s="462">
        <f t="shared" si="123"/>
        <v>-828</v>
      </c>
      <c r="AN92" s="462">
        <f t="shared" si="123"/>
        <v>-828</v>
      </c>
      <c r="AO92" s="500">
        <f t="shared" si="123"/>
        <v>-3316</v>
      </c>
      <c r="AP92" s="462">
        <f t="shared" si="123"/>
        <v>-847</v>
      </c>
      <c r="AQ92" s="462">
        <f t="shared" si="123"/>
        <v>-846</v>
      </c>
      <c r="AR92" s="462">
        <f t="shared" si="123"/>
        <v>-847</v>
      </c>
      <c r="AS92" s="462">
        <f>INDEX(MO_CFSum_Dividend,0,COLUMN())</f>
        <v>-848</v>
      </c>
      <c r="AT92" s="500">
        <f>INDEX(MO_CFSum_Dividend,0,COLUMN())</f>
        <v>-3388</v>
      </c>
      <c r="AU92" s="853">
        <f t="shared" si="123"/>
        <v>-858</v>
      </c>
      <c r="AV92" s="462">
        <f t="shared" ca="1" si="123"/>
        <v>-855.32556701030933</v>
      </c>
      <c r="AW92" s="462">
        <f t="shared" ca="1" si="123"/>
        <v>-851.51113402061867</v>
      </c>
      <c r="AX92" s="462">
        <f t="shared" ca="1" si="123"/>
        <v>-847.69670103092801</v>
      </c>
      <c r="AY92" s="500">
        <f t="shared" si="123"/>
        <v>-3412.5334020618561</v>
      </c>
      <c r="AZ92" s="462">
        <f t="shared" ref="AZ92:BG92" ca="1" si="124">INDEX(MO_CFSum_Dividend,0,COLUMN())</f>
        <v>-844.22252262717211</v>
      </c>
      <c r="BA92" s="462">
        <f t="shared" ca="1" si="124"/>
        <v>-840.74834422341632</v>
      </c>
      <c r="BB92" s="462">
        <f t="shared" ca="1" si="124"/>
        <v>-837.27416581966054</v>
      </c>
      <c r="BC92" s="462">
        <f t="shared" ca="1" si="124"/>
        <v>-833.79998741590464</v>
      </c>
      <c r="BD92" s="500">
        <f t="shared" si="124"/>
        <v>-3356.0450200861537</v>
      </c>
      <c r="BE92" s="500">
        <f t="shared" ca="1" si="124"/>
        <v>-3284.601659065328</v>
      </c>
      <c r="BF92" s="500">
        <f t="shared" ca="1" si="124"/>
        <v>-3238.5316201548221</v>
      </c>
      <c r="BG92" s="500">
        <f t="shared" ca="1" si="124"/>
        <v>-3196.6941643244331</v>
      </c>
      <c r="BH92" s="199"/>
    </row>
    <row r="93" spans="1:60" s="156" customFormat="1" x14ac:dyDescent="0.35">
      <c r="A93" s="306" t="s">
        <v>301</v>
      </c>
      <c r="B93" s="307"/>
      <c r="C93" s="196">
        <f t="shared" ref="C93:AH93" si="125">SUM(C91:C92)</f>
        <v>2402</v>
      </c>
      <c r="D93" s="196">
        <f t="shared" si="125"/>
        <v>2447</v>
      </c>
      <c r="E93" s="196">
        <f t="shared" si="125"/>
        <v>3009</v>
      </c>
      <c r="F93" s="196">
        <f t="shared" si="125"/>
        <v>2378</v>
      </c>
      <c r="G93" s="197">
        <f t="shared" si="125"/>
        <v>919</v>
      </c>
      <c r="H93" s="197">
        <f t="shared" si="125"/>
        <v>758</v>
      </c>
      <c r="I93" s="197">
        <f t="shared" si="125"/>
        <v>617</v>
      </c>
      <c r="J93" s="197">
        <f t="shared" si="125"/>
        <v>455</v>
      </c>
      <c r="K93" s="196">
        <f t="shared" si="125"/>
        <v>2749</v>
      </c>
      <c r="L93" s="197">
        <f t="shared" si="125"/>
        <v>760</v>
      </c>
      <c r="M93" s="197">
        <f t="shared" si="125"/>
        <v>860</v>
      </c>
      <c r="N93" s="197">
        <f t="shared" si="125"/>
        <v>802</v>
      </c>
      <c r="O93" s="197">
        <f t="shared" si="125"/>
        <v>418</v>
      </c>
      <c r="P93" s="196">
        <f t="shared" si="125"/>
        <v>2840</v>
      </c>
      <c r="Q93" s="197">
        <f t="shared" si="125"/>
        <v>721</v>
      </c>
      <c r="R93" s="197">
        <f t="shared" si="125"/>
        <v>958</v>
      </c>
      <c r="S93" s="197">
        <f t="shared" si="125"/>
        <v>904</v>
      </c>
      <c r="T93" s="197">
        <f t="shared" si="125"/>
        <v>477</v>
      </c>
      <c r="U93" s="196">
        <f t="shared" si="125"/>
        <v>3060</v>
      </c>
      <c r="V93" s="197">
        <f t="shared" si="125"/>
        <v>757</v>
      </c>
      <c r="W93" s="197">
        <f t="shared" si="125"/>
        <v>635</v>
      </c>
      <c r="X93" s="197">
        <f t="shared" si="125"/>
        <v>603</v>
      </c>
      <c r="Y93" s="197">
        <f t="shared" si="125"/>
        <v>612</v>
      </c>
      <c r="Z93" s="196">
        <f t="shared" si="125"/>
        <v>2607</v>
      </c>
      <c r="AA93" s="197">
        <f t="shared" si="125"/>
        <v>642</v>
      </c>
      <c r="AB93" s="197">
        <f t="shared" si="125"/>
        <v>575</v>
      </c>
      <c r="AC93" s="197">
        <f t="shared" si="125"/>
        <v>904</v>
      </c>
      <c r="AD93" s="197">
        <f t="shared" si="125"/>
        <v>-672</v>
      </c>
      <c r="AE93" s="196">
        <f t="shared" si="125"/>
        <v>1449</v>
      </c>
      <c r="AF93" s="197">
        <f t="shared" si="125"/>
        <v>-224</v>
      </c>
      <c r="AG93" s="197">
        <f t="shared" si="125"/>
        <v>793</v>
      </c>
      <c r="AH93" s="197">
        <f t="shared" si="125"/>
        <v>768</v>
      </c>
      <c r="AI93" s="197">
        <f t="shared" ref="AI93:AY93" si="126">SUM(AI91:AI92)</f>
        <v>484</v>
      </c>
      <c r="AJ93" s="196">
        <f t="shared" si="126"/>
        <v>1821</v>
      </c>
      <c r="AK93" s="197">
        <f t="shared" si="126"/>
        <v>139</v>
      </c>
      <c r="AL93" s="197">
        <f t="shared" si="126"/>
        <v>517</v>
      </c>
      <c r="AM93" s="197">
        <f t="shared" si="126"/>
        <v>743</v>
      </c>
      <c r="AN93" s="197">
        <f t="shared" si="126"/>
        <v>-36</v>
      </c>
      <c r="AO93" s="196">
        <f t="shared" si="126"/>
        <v>1363</v>
      </c>
      <c r="AP93" s="197">
        <f t="shared" ref="AP93:AR93" si="127">SUM(AP91:AP92)</f>
        <v>761</v>
      </c>
      <c r="AQ93" s="197">
        <f t="shared" si="127"/>
        <v>292</v>
      </c>
      <c r="AR93" s="197">
        <f t="shared" si="127"/>
        <v>682</v>
      </c>
      <c r="AS93" s="197">
        <f>SUM(AS91:AS92)</f>
        <v>633</v>
      </c>
      <c r="AT93" s="196">
        <f>SUM(AT91:AT92)</f>
        <v>2368</v>
      </c>
      <c r="AU93" s="851">
        <f t="shared" ref="AU93" si="128">SUM(AU91:AU92)</f>
        <v>1066</v>
      </c>
      <c r="AV93" s="197">
        <f t="shared" ca="1" si="126"/>
        <v>418.12749369138953</v>
      </c>
      <c r="AW93" s="197">
        <f t="shared" ca="1" si="126"/>
        <v>696.84164344449016</v>
      </c>
      <c r="AX93" s="197">
        <f t="shared" ca="1" si="126"/>
        <v>784.21432042179515</v>
      </c>
      <c r="AY93" s="196">
        <f t="shared" si="126"/>
        <v>2965.1834575576745</v>
      </c>
      <c r="AZ93" s="197">
        <f t="shared" ref="AZ93:BG93" ca="1" si="129">SUM(AZ91:AZ92)</f>
        <v>971.41733627652502</v>
      </c>
      <c r="BA93" s="197">
        <f t="shared" ca="1" si="129"/>
        <v>659.75314714288106</v>
      </c>
      <c r="BB93" s="197">
        <f t="shared" ca="1" si="129"/>
        <v>776.09865176305721</v>
      </c>
      <c r="BC93" s="197">
        <f t="shared" ca="1" si="129"/>
        <v>961.28845922516246</v>
      </c>
      <c r="BD93" s="196">
        <f t="shared" ca="1" si="129"/>
        <v>3368.5575944076249</v>
      </c>
      <c r="BE93" s="196">
        <f t="shared" ca="1" si="129"/>
        <v>4094.4751462169834</v>
      </c>
      <c r="BF93" s="196">
        <f t="shared" ca="1" si="129"/>
        <v>4854.6391820946492</v>
      </c>
      <c r="BG93" s="196">
        <f t="shared" ca="1" si="129"/>
        <v>5673.9248755537246</v>
      </c>
      <c r="BH93" s="251"/>
    </row>
    <row r="94" spans="1:60" s="157" customFormat="1" x14ac:dyDescent="0.35">
      <c r="A94" s="308" t="str">
        <f>INDEX(MO_CFSum_Acquisition,0,COLUMN())</f>
        <v>Acquisitions</v>
      </c>
      <c r="B94" s="309"/>
      <c r="C94" s="198">
        <f t="shared" ref="C94:AH94" si="130">INDEX(MO_CFSum_Acquisition,0,COLUMN())</f>
        <v>-69</v>
      </c>
      <c r="D94" s="198">
        <f t="shared" si="130"/>
        <v>-1830</v>
      </c>
      <c r="E94" s="198">
        <f t="shared" si="130"/>
        <v>-649</v>
      </c>
      <c r="F94" s="198">
        <f t="shared" si="130"/>
        <v>-1046</v>
      </c>
      <c r="G94" s="199">
        <f t="shared" si="130"/>
        <v>0</v>
      </c>
      <c r="H94" s="199">
        <f t="shared" si="130"/>
        <v>0</v>
      </c>
      <c r="I94" s="199">
        <f t="shared" si="130"/>
        <v>0</v>
      </c>
      <c r="J94" s="199">
        <f t="shared" si="130"/>
        <v>0</v>
      </c>
      <c r="K94" s="198">
        <f t="shared" si="130"/>
        <v>0</v>
      </c>
      <c r="L94" s="199">
        <f t="shared" si="130"/>
        <v>0</v>
      </c>
      <c r="M94" s="199">
        <f t="shared" si="130"/>
        <v>-94</v>
      </c>
      <c r="N94" s="199">
        <f t="shared" si="130"/>
        <v>-699</v>
      </c>
      <c r="O94" s="199">
        <f t="shared" si="130"/>
        <v>-162</v>
      </c>
      <c r="P94" s="198">
        <f t="shared" si="130"/>
        <v>-955</v>
      </c>
      <c r="Q94" s="199">
        <f t="shared" si="130"/>
        <v>-150</v>
      </c>
      <c r="R94" s="199">
        <f t="shared" si="130"/>
        <v>-3</v>
      </c>
      <c r="S94" s="199">
        <f t="shared" si="130"/>
        <v>-2757</v>
      </c>
      <c r="T94" s="199">
        <f t="shared" si="130"/>
        <v>-4</v>
      </c>
      <c r="U94" s="198">
        <f t="shared" si="130"/>
        <v>-2914</v>
      </c>
      <c r="V94" s="199">
        <f t="shared" si="130"/>
        <v>-4</v>
      </c>
      <c r="W94" s="199">
        <f t="shared" si="130"/>
        <v>0</v>
      </c>
      <c r="X94" s="199">
        <f t="shared" si="130"/>
        <v>-13</v>
      </c>
      <c r="Y94" s="199">
        <f t="shared" si="130"/>
        <v>1</v>
      </c>
      <c r="Z94" s="198">
        <f t="shared" si="130"/>
        <v>-16</v>
      </c>
      <c r="AA94" s="199">
        <f t="shared" si="130"/>
        <v>0</v>
      </c>
      <c r="AB94" s="199">
        <f t="shared" si="130"/>
        <v>0</v>
      </c>
      <c r="AC94" s="199">
        <f t="shared" si="130"/>
        <v>-12</v>
      </c>
      <c r="AD94" s="199">
        <f t="shared" si="130"/>
        <v>-2011</v>
      </c>
      <c r="AE94" s="198">
        <f t="shared" si="130"/>
        <v>-2023</v>
      </c>
      <c r="AF94" s="199">
        <f t="shared" si="130"/>
        <v>0</v>
      </c>
      <c r="AG94" s="199">
        <f t="shared" si="130"/>
        <v>13</v>
      </c>
      <c r="AH94" s="199">
        <f t="shared" si="130"/>
        <v>0</v>
      </c>
      <c r="AI94" s="199">
        <f t="shared" ref="AI94:AY94" si="131">INDEX(MO_CFSum_Acquisition,0,COLUMN())</f>
        <v>0</v>
      </c>
      <c r="AJ94" s="198">
        <f t="shared" si="131"/>
        <v>13</v>
      </c>
      <c r="AK94" s="199">
        <f t="shared" si="131"/>
        <v>-704</v>
      </c>
      <c r="AL94" s="199">
        <f t="shared" si="131"/>
        <v>0</v>
      </c>
      <c r="AM94" s="199">
        <f t="shared" si="131"/>
        <v>0</v>
      </c>
      <c r="AN94" s="199">
        <f t="shared" si="131"/>
        <v>-4280</v>
      </c>
      <c r="AO94" s="198">
        <f t="shared" si="131"/>
        <v>-4984</v>
      </c>
      <c r="AP94" s="199">
        <f t="shared" si="131"/>
        <v>-25</v>
      </c>
      <c r="AQ94" s="199">
        <f t="shared" si="131"/>
        <v>0</v>
      </c>
      <c r="AR94" s="199">
        <f t="shared" si="131"/>
        <v>0</v>
      </c>
      <c r="AS94" s="199">
        <f>INDEX(MO_CFSum_Acquisition,0,COLUMN())</f>
        <v>0</v>
      </c>
      <c r="AT94" s="198">
        <f>INDEX(MO_CFSum_Acquisition,0,COLUMN())</f>
        <v>-25</v>
      </c>
      <c r="AU94" s="852">
        <f t="shared" si="131"/>
        <v>0</v>
      </c>
      <c r="AV94" s="199">
        <f t="shared" si="131"/>
        <v>0</v>
      </c>
      <c r="AW94" s="199">
        <f t="shared" si="131"/>
        <v>0</v>
      </c>
      <c r="AX94" s="199">
        <f t="shared" si="131"/>
        <v>0</v>
      </c>
      <c r="AY94" s="198">
        <f t="shared" si="131"/>
        <v>0</v>
      </c>
      <c r="AZ94" s="199">
        <f t="shared" ref="AZ94:BG94" si="132">INDEX(MO_CFSum_Acquisition,0,COLUMN())</f>
        <v>0</v>
      </c>
      <c r="BA94" s="199">
        <f t="shared" si="132"/>
        <v>0</v>
      </c>
      <c r="BB94" s="199">
        <f t="shared" si="132"/>
        <v>0</v>
      </c>
      <c r="BC94" s="199">
        <f t="shared" si="132"/>
        <v>0</v>
      </c>
      <c r="BD94" s="198">
        <f t="shared" si="132"/>
        <v>0</v>
      </c>
      <c r="BE94" s="198">
        <f t="shared" si="132"/>
        <v>0</v>
      </c>
      <c r="BF94" s="198">
        <f t="shared" si="132"/>
        <v>0</v>
      </c>
      <c r="BG94" s="198">
        <f t="shared" si="132"/>
        <v>0</v>
      </c>
      <c r="BH94" s="199"/>
    </row>
    <row r="95" spans="1:60" s="157" customFormat="1" x14ac:dyDescent="0.35">
      <c r="A95" s="308" t="str">
        <f>INDEX(MO_CFSum_Divestiture,0,COLUMN())</f>
        <v>Divestiture</v>
      </c>
      <c r="B95" s="309"/>
      <c r="C95" s="198">
        <f t="shared" ref="C95:AH95" si="133">INDEX(MO_CFSum_Divestiture,0,COLUMN())</f>
        <v>79</v>
      </c>
      <c r="D95" s="198">
        <f t="shared" si="133"/>
        <v>25</v>
      </c>
      <c r="E95" s="198">
        <f t="shared" si="133"/>
        <v>55</v>
      </c>
      <c r="F95" s="198">
        <f t="shared" si="133"/>
        <v>41</v>
      </c>
      <c r="G95" s="199">
        <f t="shared" si="133"/>
        <v>10</v>
      </c>
      <c r="H95" s="199">
        <f t="shared" si="133"/>
        <v>16</v>
      </c>
      <c r="I95" s="199">
        <f t="shared" si="133"/>
        <v>68</v>
      </c>
      <c r="J95" s="199">
        <f t="shared" si="133"/>
        <v>42</v>
      </c>
      <c r="K95" s="198">
        <f t="shared" si="133"/>
        <v>136</v>
      </c>
      <c r="L95" s="199">
        <f t="shared" si="133"/>
        <v>3</v>
      </c>
      <c r="M95" s="199">
        <f t="shared" si="133"/>
        <v>35</v>
      </c>
      <c r="N95" s="199">
        <f t="shared" si="133"/>
        <v>78</v>
      </c>
      <c r="O95" s="199">
        <f t="shared" si="133"/>
        <v>19</v>
      </c>
      <c r="P95" s="198">
        <f t="shared" si="133"/>
        <v>135</v>
      </c>
      <c r="Q95" s="199">
        <f t="shared" si="133"/>
        <v>23</v>
      </c>
      <c r="R95" s="199">
        <f t="shared" si="133"/>
        <v>10</v>
      </c>
      <c r="S95" s="199">
        <f t="shared" si="133"/>
        <v>3</v>
      </c>
      <c r="T95" s="199">
        <f t="shared" si="133"/>
        <v>120</v>
      </c>
      <c r="U95" s="198">
        <f t="shared" si="133"/>
        <v>156</v>
      </c>
      <c r="V95" s="199">
        <f t="shared" si="133"/>
        <v>74</v>
      </c>
      <c r="W95" s="199">
        <f t="shared" si="133"/>
        <v>0</v>
      </c>
      <c r="X95" s="199">
        <f t="shared" si="133"/>
        <v>0</v>
      </c>
      <c r="Y95" s="199">
        <f t="shared" si="133"/>
        <v>126</v>
      </c>
      <c r="Z95" s="198">
        <f t="shared" si="133"/>
        <v>200</v>
      </c>
      <c r="AA95" s="199">
        <f t="shared" si="133"/>
        <v>54</v>
      </c>
      <c r="AB95" s="199">
        <f t="shared" si="133"/>
        <v>821</v>
      </c>
      <c r="AC95" s="199">
        <f t="shared" si="133"/>
        <v>5</v>
      </c>
      <c r="AD95" s="199">
        <f t="shared" si="133"/>
        <v>234</v>
      </c>
      <c r="AE95" s="198">
        <f t="shared" si="133"/>
        <v>1114</v>
      </c>
      <c r="AF95" s="199">
        <f t="shared" si="133"/>
        <v>123</v>
      </c>
      <c r="AG95" s="199">
        <f t="shared" si="133"/>
        <v>779</v>
      </c>
      <c r="AH95" s="199">
        <f t="shared" si="133"/>
        <v>47</v>
      </c>
      <c r="AI95" s="199">
        <f t="shared" ref="AI95:AY95" si="134">INDEX(MO_CFSum_Divestiture,0,COLUMN())</f>
        <v>159</v>
      </c>
      <c r="AJ95" s="198">
        <f t="shared" si="134"/>
        <v>1108</v>
      </c>
      <c r="AK95" s="199">
        <f t="shared" si="134"/>
        <v>7</v>
      </c>
      <c r="AL95" s="199">
        <f t="shared" si="134"/>
        <v>2</v>
      </c>
      <c r="AM95" s="199">
        <f t="shared" si="134"/>
        <v>318</v>
      </c>
      <c r="AN95" s="199">
        <f t="shared" si="134"/>
        <v>32</v>
      </c>
      <c r="AO95" s="198">
        <f t="shared" si="134"/>
        <v>359</v>
      </c>
      <c r="AP95" s="199">
        <f t="shared" si="134"/>
        <v>93</v>
      </c>
      <c r="AQ95" s="199">
        <f t="shared" si="134"/>
        <v>496</v>
      </c>
      <c r="AR95" s="199">
        <f t="shared" si="134"/>
        <v>16</v>
      </c>
      <c r="AS95" s="199">
        <f>INDEX(MO_CFSum_Divestiture,0,COLUMN())</f>
        <v>99</v>
      </c>
      <c r="AT95" s="198">
        <f>INDEX(MO_CFSum_Divestiture,0,COLUMN())</f>
        <v>704</v>
      </c>
      <c r="AU95" s="852">
        <f t="shared" si="134"/>
        <v>0</v>
      </c>
      <c r="AV95" s="199">
        <f t="shared" si="134"/>
        <v>0</v>
      </c>
      <c r="AW95" s="199">
        <f t="shared" si="134"/>
        <v>0</v>
      </c>
      <c r="AX95" s="199">
        <f t="shared" si="134"/>
        <v>0</v>
      </c>
      <c r="AY95" s="198">
        <f t="shared" si="134"/>
        <v>0</v>
      </c>
      <c r="AZ95" s="199">
        <f t="shared" ref="AZ95:BG95" si="135">INDEX(MO_CFSum_Divestiture,0,COLUMN())</f>
        <v>0</v>
      </c>
      <c r="BA95" s="199">
        <f t="shared" si="135"/>
        <v>0</v>
      </c>
      <c r="BB95" s="199">
        <f t="shared" si="135"/>
        <v>0</v>
      </c>
      <c r="BC95" s="199">
        <f t="shared" si="135"/>
        <v>0</v>
      </c>
      <c r="BD95" s="198">
        <f t="shared" si="135"/>
        <v>0</v>
      </c>
      <c r="BE95" s="198">
        <f t="shared" si="135"/>
        <v>0</v>
      </c>
      <c r="BF95" s="198">
        <f t="shared" si="135"/>
        <v>0</v>
      </c>
      <c r="BG95" s="198">
        <f t="shared" si="135"/>
        <v>0</v>
      </c>
      <c r="BH95" s="199"/>
    </row>
    <row r="96" spans="1:60" s="157" customFormat="1" x14ac:dyDescent="0.35">
      <c r="A96" s="308" t="s">
        <v>302</v>
      </c>
      <c r="B96" s="309"/>
      <c r="C96" s="198">
        <f t="shared" ref="C96:AH96" ca="1" si="136">SUM(OFFSET(INDEX(MO_CFS_CFO_BeforeWC,0,COLUMN()),1,0,ROW(INDEX(MO_CFS_CFO,0,COLUMN()))-ROW(INDEX(MO_CFS_CFO_BeforeWC,0,COLUMN()))-1,1))</f>
        <v>205</v>
      </c>
      <c r="D96" s="198">
        <f t="shared" ca="1" si="136"/>
        <v>136</v>
      </c>
      <c r="E96" s="198">
        <f t="shared" ca="1" si="136"/>
        <v>-659</v>
      </c>
      <c r="F96" s="198">
        <f t="shared" ca="1" si="136"/>
        <v>-197</v>
      </c>
      <c r="G96" s="199">
        <f t="shared" ca="1" si="136"/>
        <v>-689</v>
      </c>
      <c r="H96" s="199">
        <f t="shared" ca="1" si="136"/>
        <v>91</v>
      </c>
      <c r="I96" s="199">
        <f t="shared" ca="1" si="136"/>
        <v>-301</v>
      </c>
      <c r="J96" s="199">
        <f t="shared" ca="1" si="136"/>
        <v>572</v>
      </c>
      <c r="K96" s="198">
        <f t="shared" ca="1" si="136"/>
        <v>-327</v>
      </c>
      <c r="L96" s="199">
        <f t="shared" ca="1" si="136"/>
        <v>-527</v>
      </c>
      <c r="M96" s="199">
        <f t="shared" ca="1" si="136"/>
        <v>-117</v>
      </c>
      <c r="N96" s="199">
        <f t="shared" ca="1" si="136"/>
        <v>-10</v>
      </c>
      <c r="O96" s="199">
        <f t="shared" ca="1" si="136"/>
        <v>731</v>
      </c>
      <c r="P96" s="198">
        <f t="shared" ca="1" si="136"/>
        <v>77</v>
      </c>
      <c r="Q96" s="199">
        <f t="shared" ca="1" si="136"/>
        <v>-584</v>
      </c>
      <c r="R96" s="199">
        <f t="shared" ca="1" si="136"/>
        <v>-636</v>
      </c>
      <c r="S96" s="199">
        <f t="shared" ca="1" si="136"/>
        <v>-229</v>
      </c>
      <c r="T96" s="199">
        <f t="shared" ca="1" si="136"/>
        <v>787</v>
      </c>
      <c r="U96" s="198">
        <f t="shared" ca="1" si="136"/>
        <v>-662</v>
      </c>
      <c r="V96" s="199">
        <f t="shared" ca="1" si="136"/>
        <v>-483</v>
      </c>
      <c r="W96" s="199">
        <f t="shared" ca="1" si="136"/>
        <v>-345</v>
      </c>
      <c r="X96" s="199">
        <f t="shared" ca="1" si="136"/>
        <v>288</v>
      </c>
      <c r="Y96" s="199">
        <f t="shared" ca="1" si="136"/>
        <v>497</v>
      </c>
      <c r="Z96" s="198">
        <f t="shared" ca="1" si="136"/>
        <v>-43</v>
      </c>
      <c r="AA96" s="199">
        <f t="shared" ca="1" si="136"/>
        <v>-643</v>
      </c>
      <c r="AB96" s="199">
        <f t="shared" ca="1" si="136"/>
        <v>64</v>
      </c>
      <c r="AC96" s="199">
        <f t="shared" ca="1" si="136"/>
        <v>-180</v>
      </c>
      <c r="AD96" s="199">
        <f t="shared" ca="1" si="136"/>
        <v>1374</v>
      </c>
      <c r="AE96" s="198">
        <f t="shared" ca="1" si="136"/>
        <v>615</v>
      </c>
      <c r="AF96" s="199">
        <f t="shared" ca="1" si="136"/>
        <v>-747</v>
      </c>
      <c r="AG96" s="199">
        <f t="shared" ca="1" si="136"/>
        <v>-61</v>
      </c>
      <c r="AH96" s="199">
        <f t="shared" ca="1" si="136"/>
        <v>200</v>
      </c>
      <c r="AI96" s="199">
        <f t="shared" ref="AI96:AY96" ca="1" si="137">SUM(OFFSET(INDEX(MO_CFS_CFO_BeforeWC,0,COLUMN()),1,0,ROW(INDEX(MO_CFS_CFO,0,COLUMN()))-ROW(INDEX(MO_CFS_CFO_BeforeWC,0,COLUMN()))-1,1))</f>
        <v>456</v>
      </c>
      <c r="AJ96" s="198">
        <f t="shared" ca="1" si="137"/>
        <v>-152</v>
      </c>
      <c r="AK96" s="199">
        <f t="shared" ca="1" si="137"/>
        <v>-312</v>
      </c>
      <c r="AL96" s="199">
        <f t="shared" ca="1" si="137"/>
        <v>-106</v>
      </c>
      <c r="AM96" s="199">
        <f t="shared" ca="1" si="137"/>
        <v>102</v>
      </c>
      <c r="AN96" s="199">
        <f t="shared" ca="1" si="137"/>
        <v>1008</v>
      </c>
      <c r="AO96" s="198">
        <f t="shared" ca="1" si="137"/>
        <v>692</v>
      </c>
      <c r="AP96" s="199">
        <f t="shared" ca="1" si="137"/>
        <v>-727</v>
      </c>
      <c r="AQ96" s="199">
        <f t="shared" ca="1" si="137"/>
        <v>388</v>
      </c>
      <c r="AR96" s="199">
        <f t="shared" ca="1" si="137"/>
        <v>583</v>
      </c>
      <c r="AS96" s="199">
        <f ca="1">SUM(OFFSET(INDEX(MO_CFS_CFO_BeforeWC,0,COLUMN()),1,0,ROW(INDEX(MO_CFS_CFO,0,COLUMN()))-ROW(INDEX(MO_CFS_CFO_BeforeWC,0,COLUMN()))-1,1))</f>
        <v>612</v>
      </c>
      <c r="AT96" s="198">
        <f ca="1">SUM(OFFSET(INDEX(MO_CFS_CFO_BeforeWC,0,COLUMN()),1,0,ROW(INDEX(MO_CFS_CFO,0,COLUMN()))-ROW(INDEX(MO_CFS_CFO_BeforeWC,0,COLUMN()))-1,1))</f>
        <v>856</v>
      </c>
      <c r="AU96" s="852">
        <f t="shared" ca="1" si="137"/>
        <v>-546</v>
      </c>
      <c r="AV96" s="199">
        <f t="shared" ca="1" si="137"/>
        <v>-562.3433293400949</v>
      </c>
      <c r="AW96" s="199">
        <f t="shared" ca="1" si="137"/>
        <v>321.62069601517078</v>
      </c>
      <c r="AX96" s="199">
        <f t="shared" ca="1" si="137"/>
        <v>41.508645884456655</v>
      </c>
      <c r="AY96" s="198">
        <f t="shared" ca="1" si="137"/>
        <v>-745.21398744046746</v>
      </c>
      <c r="AZ96" s="199">
        <f t="shared" ref="AZ96:BG96" ca="1" si="138">SUM(OFFSET(INDEX(MO_CFS_CFO_BeforeWC,0,COLUMN()),1,0,ROW(INDEX(MO_CFS_CFO,0,COLUMN()))-ROW(INDEX(MO_CFS_CFO_BeforeWC,0,COLUMN()))-1,1))</f>
        <v>-216.77798798429069</v>
      </c>
      <c r="BA96" s="199">
        <f t="shared" ca="1" si="138"/>
        <v>-587.9803119313807</v>
      </c>
      <c r="BB96" s="199">
        <f t="shared" ca="1" si="138"/>
        <v>308.62326010572804</v>
      </c>
      <c r="BC96" s="199">
        <f t="shared" ca="1" si="138"/>
        <v>11.195064046803964</v>
      </c>
      <c r="BD96" s="198">
        <f t="shared" ca="1" si="138"/>
        <v>-484.93997576313939</v>
      </c>
      <c r="BE96" s="198">
        <f t="shared" ca="1" si="138"/>
        <v>-503.66974802534185</v>
      </c>
      <c r="BF96" s="198">
        <f t="shared" ca="1" si="138"/>
        <v>-537.49662999117822</v>
      </c>
      <c r="BG96" s="198">
        <f t="shared" ca="1" si="138"/>
        <v>-573.6765016402943</v>
      </c>
      <c r="BH96" s="199"/>
    </row>
    <row r="97" spans="1:60" s="157" customFormat="1" x14ac:dyDescent="0.35">
      <c r="A97" s="308" t="s">
        <v>303</v>
      </c>
      <c r="B97" s="309"/>
      <c r="C97" s="198">
        <f>Model!C983+Model!C984+Model!C986</f>
        <v>428</v>
      </c>
      <c r="D97" s="198">
        <f>Model!D983+Model!D984+Model!D986</f>
        <v>-135</v>
      </c>
      <c r="E97" s="198">
        <f>Model!E983+Model!E984+Model!E986</f>
        <v>-1746</v>
      </c>
      <c r="F97" s="198">
        <f>Model!F983+Model!F984+Model!F986</f>
        <v>-1130</v>
      </c>
      <c r="G97" s="199">
        <f>Model!G983+Model!G984+Model!G986</f>
        <v>-33</v>
      </c>
      <c r="H97" s="199">
        <f>Model!H983+Model!H984+Model!H986</f>
        <v>-808</v>
      </c>
      <c r="I97" s="199">
        <f>Model!I983+Model!I984+Model!I986</f>
        <v>-1257</v>
      </c>
      <c r="J97" s="199">
        <f>Model!J983+Model!J984+Model!J986</f>
        <v>-1413</v>
      </c>
      <c r="K97" s="198">
        <f>Model!K983+Model!K984+Model!K986</f>
        <v>-3511</v>
      </c>
      <c r="L97" s="199">
        <f>Model!L983+Model!L984+Model!L986</f>
        <v>-1390</v>
      </c>
      <c r="M97" s="199">
        <f>Model!M983+Model!M984+Model!M986</f>
        <v>-1062</v>
      </c>
      <c r="N97" s="199">
        <f>Model!N983+Model!N984+Model!N986</f>
        <v>-1061</v>
      </c>
      <c r="O97" s="199">
        <f>Model!O983+Model!O984+Model!O986</f>
        <v>-1004</v>
      </c>
      <c r="P97" s="198">
        <f>Model!P983+Model!P984+Model!P986</f>
        <v>-4517</v>
      </c>
      <c r="Q97" s="199">
        <f>Model!Q983+Model!Q984+Model!Q986</f>
        <v>-476</v>
      </c>
      <c r="R97" s="199">
        <f>Model!R983+Model!R984+Model!R986</f>
        <v>-1526</v>
      </c>
      <c r="S97" s="199">
        <f>Model!S983+Model!S984+Model!S986</f>
        <v>-1447</v>
      </c>
      <c r="T97" s="199">
        <f>Model!T983+Model!T984+Model!T986</f>
        <v>-1000</v>
      </c>
      <c r="U97" s="198">
        <f>Model!U983+Model!U984+Model!U986</f>
        <v>-4449</v>
      </c>
      <c r="V97" s="199">
        <f>Model!V983+Model!V984+Model!V986</f>
        <v>-870</v>
      </c>
      <c r="W97" s="199">
        <f>Model!W983+Model!W984+Model!W986</f>
        <v>-573</v>
      </c>
      <c r="X97" s="199">
        <f>Model!X983+Model!X984+Model!X986</f>
        <v>-645</v>
      </c>
      <c r="Y97" s="199">
        <f>Model!Y983+Model!Y984+Model!Y986</f>
        <v>-861</v>
      </c>
      <c r="Z97" s="198">
        <f>Model!Z983+Model!Z984+Model!Z986</f>
        <v>-2949</v>
      </c>
      <c r="AA97" s="199">
        <f>Model!AA983+Model!AA984+Model!AA986</f>
        <v>-375</v>
      </c>
      <c r="AB97" s="199">
        <f>Model!AB983+Model!AB984+Model!AB986</f>
        <v>-313</v>
      </c>
      <c r="AC97" s="199">
        <f>Model!AC983+Model!AC984+Model!AC986</f>
        <v>-294</v>
      </c>
      <c r="AD97" s="199">
        <f>Model!AD983+Model!AD984+Model!AD986</f>
        <v>-352</v>
      </c>
      <c r="AE97" s="198">
        <f>Model!AE983+Model!AE984+Model!AE986</f>
        <v>-1334</v>
      </c>
      <c r="AF97" s="199">
        <f>Model!AF983+Model!AF984+Model!AF986</f>
        <v>-718</v>
      </c>
      <c r="AG97" s="199">
        <f>Model!AG983+Model!AG984+Model!AG986</f>
        <v>-1514</v>
      </c>
      <c r="AH97" s="199">
        <f>Model!AH983+Model!AH984+Model!AH986</f>
        <v>-968</v>
      </c>
      <c r="AI97" s="199">
        <f>Model!AI983+Model!AI984+Model!AI986</f>
        <v>-1185</v>
      </c>
      <c r="AJ97" s="198">
        <f>Model!AJ983+Model!AJ984+Model!AJ986</f>
        <v>-4385</v>
      </c>
      <c r="AK97" s="199">
        <f>Model!AK983+Model!AK984+Model!AK986</f>
        <v>-486</v>
      </c>
      <c r="AL97" s="199">
        <f>Model!AL983+Model!AL984+Model!AL986</f>
        <v>-250</v>
      </c>
      <c r="AM97" s="199">
        <f>Model!AM983+Model!AM984+Model!AM986</f>
        <v>-70</v>
      </c>
      <c r="AN97" s="199">
        <f>Model!AN983+Model!AN984+Model!AN986</f>
        <v>-54</v>
      </c>
      <c r="AO97" s="198">
        <f>Model!AO983+Model!AO984+Model!AO986</f>
        <v>-860</v>
      </c>
      <c r="AP97" s="199">
        <f>Model!AP983+Model!AP984+Model!AP986</f>
        <v>-216</v>
      </c>
      <c r="AQ97" s="199">
        <f>Model!AQ983+Model!AQ984+Model!AQ986</f>
        <v>86</v>
      </c>
      <c r="AR97" s="199">
        <f>Model!AR983+Model!AR984+Model!AR986</f>
        <v>89</v>
      </c>
      <c r="AS97" s="199">
        <f>Model!AS983+Model!AS984+Model!AS986</f>
        <v>102</v>
      </c>
      <c r="AT97" s="198">
        <f>Model!AT983+Model!AT984+Model!AT986</f>
        <v>61</v>
      </c>
      <c r="AU97" s="852">
        <f>Model!AU983+Model!AU984+Model!AU986</f>
        <v>62</v>
      </c>
      <c r="AV97" s="199">
        <f>Model!AV983+Model!AV984+Model!AV986</f>
        <v>-500</v>
      </c>
      <c r="AW97" s="199">
        <f>Model!AW983+Model!AW984+Model!AW986</f>
        <v>-500</v>
      </c>
      <c r="AX97" s="199">
        <f>Model!AX983+Model!AX984+Model!AX986</f>
        <v>-500</v>
      </c>
      <c r="AY97" s="198">
        <f>Model!AY983+Model!AY984+Model!AY986</f>
        <v>-1438</v>
      </c>
      <c r="AZ97" s="199">
        <f>Model!AZ983+Model!AZ984+Model!AZ986</f>
        <v>-500</v>
      </c>
      <c r="BA97" s="199">
        <f>Model!BA983+Model!BA984+Model!BA986</f>
        <v>-500</v>
      </c>
      <c r="BB97" s="199">
        <f>Model!BB983+Model!BB984+Model!BB986</f>
        <v>-500</v>
      </c>
      <c r="BC97" s="199">
        <f>Model!BC983+Model!BC984+Model!BC986</f>
        <v>-500</v>
      </c>
      <c r="BD97" s="198">
        <f>Model!BD983+Model!BD984+Model!BD986</f>
        <v>-2000</v>
      </c>
      <c r="BE97" s="198">
        <f>Model!BE983+Model!BE984+Model!BE986</f>
        <v>-2000</v>
      </c>
      <c r="BF97" s="198">
        <f>Model!BF983+Model!BF984+Model!BF986</f>
        <v>-2000</v>
      </c>
      <c r="BG97" s="198">
        <f>Model!BG983+Model!BG984+Model!BG986</f>
        <v>-2000</v>
      </c>
      <c r="BH97" s="199"/>
    </row>
    <row r="98" spans="1:60" s="157" customFormat="1" x14ac:dyDescent="0.35">
      <c r="A98" s="308" t="s">
        <v>304</v>
      </c>
      <c r="B98" s="309"/>
      <c r="C98" s="198">
        <f>Model!C980+Model!C981+Model!C982</f>
        <v>-1014</v>
      </c>
      <c r="D98" s="198">
        <f>Model!D980+Model!D981+Model!D982</f>
        <v>-472</v>
      </c>
      <c r="E98" s="198">
        <f>Model!E980+Model!E981+Model!E982</f>
        <v>-307</v>
      </c>
      <c r="F98" s="198">
        <f>Model!F980+Model!F981+Model!F982</f>
        <v>722</v>
      </c>
      <c r="G98" s="199">
        <f>Model!G980+Model!G981+Model!G982</f>
        <v>-9</v>
      </c>
      <c r="H98" s="199">
        <f>Model!H980+Model!H981+Model!H982</f>
        <v>-4</v>
      </c>
      <c r="I98" s="199">
        <f>Model!I980+Model!I981+Model!I982</f>
        <v>-221</v>
      </c>
      <c r="J98" s="199">
        <f>Model!J980+Model!J981+Model!J982</f>
        <v>197</v>
      </c>
      <c r="K98" s="198">
        <f>Model!K980+Model!K981+Model!K982</f>
        <v>-37</v>
      </c>
      <c r="L98" s="199">
        <f>Model!L980+Model!L981+Model!L982</f>
        <v>574</v>
      </c>
      <c r="M98" s="199">
        <f>Model!M980+Model!M981+Model!M982</f>
        <v>447</v>
      </c>
      <c r="N98" s="199">
        <f>Model!N980+Model!N981+Model!N982</f>
        <v>427</v>
      </c>
      <c r="O98" s="199">
        <f>Model!O980+Model!O981+Model!O982</f>
        <v>-438</v>
      </c>
      <c r="P98" s="198">
        <f>Model!P980+Model!P981+Model!P982</f>
        <v>1010</v>
      </c>
      <c r="Q98" s="199">
        <f>Model!Q980+Model!Q981+Model!Q982</f>
        <v>-4</v>
      </c>
      <c r="R98" s="199">
        <f>Model!R980+Model!R981+Model!R982</f>
        <v>1880</v>
      </c>
      <c r="S98" s="199">
        <f>Model!S980+Model!S981+Model!S982</f>
        <v>1911</v>
      </c>
      <c r="T98" s="199">
        <f>Model!T980+Model!T981+Model!T982</f>
        <v>-305</v>
      </c>
      <c r="U98" s="198">
        <f>Model!U980+Model!U981+Model!U982</f>
        <v>3482</v>
      </c>
      <c r="V98" s="199">
        <f>Model!V980+Model!V981+Model!V982</f>
        <v>138</v>
      </c>
      <c r="W98" s="199">
        <f>Model!W980+Model!W981+Model!W982</f>
        <v>637</v>
      </c>
      <c r="X98" s="199">
        <f>Model!X980+Model!X981+Model!X982</f>
        <v>567</v>
      </c>
      <c r="Y98" s="199">
        <f>Model!Y980+Model!Y981+Model!Y982</f>
        <v>-299</v>
      </c>
      <c r="Z98" s="198">
        <f>Model!Z980+Model!Z981+Model!Z982</f>
        <v>1043</v>
      </c>
      <c r="AA98" s="199">
        <f>Model!AA980+Model!AA981+Model!AA982</f>
        <v>-68</v>
      </c>
      <c r="AB98" s="199">
        <f>Model!AB980+Model!AB981+Model!AB982</f>
        <v>-695</v>
      </c>
      <c r="AC98" s="199">
        <f>Model!AC980+Model!AC981+Model!AC982</f>
        <v>173</v>
      </c>
      <c r="AD98" s="199">
        <f>Model!AD980+Model!AD981+Model!AD982</f>
        <v>2193</v>
      </c>
      <c r="AE98" s="198">
        <f>Model!AE980+Model!AE981+Model!AE982</f>
        <v>1603</v>
      </c>
      <c r="AF98" s="199">
        <f>Model!AF980+Model!AF981+Model!AF982</f>
        <v>1581</v>
      </c>
      <c r="AG98" s="199">
        <f>Model!AG980+Model!AG981+Model!AG982</f>
        <v>-807</v>
      </c>
      <c r="AH98" s="199">
        <f>Model!AH980+Model!AH981+Model!AH982</f>
        <v>319</v>
      </c>
      <c r="AI98" s="199">
        <f>Model!AI980+Model!AI981+Model!AI982</f>
        <v>-160</v>
      </c>
      <c r="AJ98" s="198">
        <f>Model!AJ980+Model!AJ981+Model!AJ982</f>
        <v>933</v>
      </c>
      <c r="AK98" s="199">
        <f>Model!AK980+Model!AK981+Model!AK982</f>
        <v>1591</v>
      </c>
      <c r="AL98" s="199">
        <f>Model!AL980+Model!AL981+Model!AL982</f>
        <v>-638</v>
      </c>
      <c r="AM98" s="199">
        <f>Model!AM980+Model!AM981+Model!AM982</f>
        <v>3826</v>
      </c>
      <c r="AN98" s="199">
        <f>Model!AN980+Model!AN981+Model!AN982</f>
        <v>-1530</v>
      </c>
      <c r="AO98" s="198">
        <f>Model!AO980+Model!AO981+Model!AO982</f>
        <v>3249</v>
      </c>
      <c r="AP98" s="199">
        <f>Model!AP980+Model!AP981+Model!AP982</f>
        <v>2207</v>
      </c>
      <c r="AQ98" s="199">
        <f>Model!AQ980+Model!AQ981+Model!AQ982</f>
        <v>-1740</v>
      </c>
      <c r="AR98" s="199">
        <f>Model!AR980+Model!AR981+Model!AR982</f>
        <v>-1337</v>
      </c>
      <c r="AS98" s="199">
        <f>Model!AS980+Model!AS981+Model!AS982</f>
        <v>-1005</v>
      </c>
      <c r="AT98" s="198">
        <f>Model!AT980+Model!AT981+Model!AT982</f>
        <v>-1875</v>
      </c>
      <c r="AU98" s="852">
        <f>Model!AU980+Model!AU981+Model!AU982</f>
        <v>-444</v>
      </c>
      <c r="AV98" s="199">
        <f>Model!AV980+Model!AV981+Model!AV982</f>
        <v>0</v>
      </c>
      <c r="AW98" s="199">
        <f>Model!AW980+Model!AW981+Model!AW982</f>
        <v>0</v>
      </c>
      <c r="AX98" s="199">
        <f>Model!AX980+Model!AX981+Model!AX982</f>
        <v>0</v>
      </c>
      <c r="AY98" s="198">
        <f>Model!AY980+Model!AY981+Model!AY982</f>
        <v>-444</v>
      </c>
      <c r="AZ98" s="199">
        <f>Model!AZ980+Model!AZ981+Model!AZ982</f>
        <v>0</v>
      </c>
      <c r="BA98" s="199">
        <f>Model!BA980+Model!BA981+Model!BA982</f>
        <v>0</v>
      </c>
      <c r="BB98" s="199">
        <f>Model!BB980+Model!BB981+Model!BB982</f>
        <v>0</v>
      </c>
      <c r="BC98" s="199">
        <f>Model!BC980+Model!BC981+Model!BC982</f>
        <v>0</v>
      </c>
      <c r="BD98" s="198">
        <f>Model!BD980+Model!BD981+Model!BD982</f>
        <v>0</v>
      </c>
      <c r="BE98" s="198">
        <f>Model!BE980+Model!BE981+Model!BE982</f>
        <v>0</v>
      </c>
      <c r="BF98" s="198">
        <f>Model!BF980+Model!BF981+Model!BF982</f>
        <v>0</v>
      </c>
      <c r="BG98" s="198">
        <f>Model!BG980+Model!BG981+Model!BG982</f>
        <v>0</v>
      </c>
      <c r="BH98" s="199"/>
    </row>
    <row r="99" spans="1:60" s="157" customFormat="1" x14ac:dyDescent="0.35">
      <c r="A99" s="498" t="s">
        <v>295</v>
      </c>
      <c r="B99" s="499"/>
      <c r="C99" s="500">
        <f>Model!C976+Model!C988+Model!C991+Model!C972+Model!C973+Model!C974</f>
        <v>-840</v>
      </c>
      <c r="D99" s="500">
        <f>Model!D976+Model!D988+Model!D991+Model!D972+Model!D973+Model!D974</f>
        <v>166</v>
      </c>
      <c r="E99" s="500">
        <f>Model!E976+Model!E988+Model!E991+Model!E972+Model!E973+Model!E974</f>
        <v>-861</v>
      </c>
      <c r="F99" s="500">
        <f>Model!F976+Model!F988+Model!F991+Model!F972+Model!F973+Model!F974</f>
        <v>-104</v>
      </c>
      <c r="G99" s="462">
        <f>Model!G976+Model!G988+Model!G991+Model!G972+Model!G973+Model!G974</f>
        <v>-153</v>
      </c>
      <c r="H99" s="462">
        <f>Model!H976+Model!H988+Model!H991+Model!H972+Model!H973+Model!H974</f>
        <v>-39</v>
      </c>
      <c r="I99" s="462">
        <f>Model!I976+Model!I988+Model!I991+Model!I972+Model!I973+Model!I974</f>
        <v>492</v>
      </c>
      <c r="J99" s="462">
        <f>Model!J976+Model!J988+Model!J991+Model!J972+Model!J973+Model!J974</f>
        <v>388</v>
      </c>
      <c r="K99" s="500">
        <f>Model!K976+Model!K988+Model!K991+Model!K972+Model!K973+Model!K974</f>
        <v>688</v>
      </c>
      <c r="L99" s="462">
        <f>Model!L976+Model!L988+Model!L991+Model!L972+Model!L973+Model!L974</f>
        <v>-47</v>
      </c>
      <c r="M99" s="462">
        <f>Model!M976+Model!M988+Model!M991+Model!M972+Model!M973+Model!M974</f>
        <v>102</v>
      </c>
      <c r="N99" s="462">
        <f>Model!N976+Model!N988+Model!N991+Model!N972+Model!N973+Model!N974</f>
        <v>267</v>
      </c>
      <c r="O99" s="462">
        <f>Model!O976+Model!O988+Model!O991+Model!O972+Model!O973+Model!O974</f>
        <v>404</v>
      </c>
      <c r="P99" s="500">
        <f>Model!P976+Model!P988+Model!P991+Model!P972+Model!P973+Model!P974</f>
        <v>726</v>
      </c>
      <c r="Q99" s="462">
        <f>Model!Q976+Model!Q988+Model!Q991+Model!Q972+Model!Q973+Model!Q974</f>
        <v>364</v>
      </c>
      <c r="R99" s="462">
        <f>Model!R976+Model!R988+Model!R991+Model!R972+Model!R973+Model!R974</f>
        <v>509</v>
      </c>
      <c r="S99" s="462">
        <f>Model!S976+Model!S988+Model!S991+Model!S972+Model!S973+Model!S974</f>
        <v>237</v>
      </c>
      <c r="T99" s="462">
        <f>Model!T976+Model!T988+Model!T991+Model!T972+Model!T973+Model!T974</f>
        <v>118</v>
      </c>
      <c r="U99" s="500">
        <f>Model!U976+Model!U988+Model!U991+Model!U972+Model!U973+Model!U974</f>
        <v>1228</v>
      </c>
      <c r="V99" s="462">
        <f>Model!V976+Model!V988+Model!V991+Model!V972+Model!V973+Model!V974</f>
        <v>-73</v>
      </c>
      <c r="W99" s="462">
        <f>Model!W976+Model!W988+Model!W991+Model!W972+Model!W973+Model!W974</f>
        <v>-3</v>
      </c>
      <c r="X99" s="462">
        <f>Model!X976+Model!X988+Model!X991+Model!X972+Model!X973+Model!X974</f>
        <v>-180</v>
      </c>
      <c r="Y99" s="462">
        <f>Model!Y976+Model!Y988+Model!Y991+Model!Y972+Model!Y973+Model!Y974</f>
        <v>14</v>
      </c>
      <c r="Z99" s="500">
        <f>Model!Z976+Model!Z988+Model!Z991+Model!Z972+Model!Z973+Model!Z974</f>
        <v>-242</v>
      </c>
      <c r="AA99" s="462">
        <f>Model!AA976+Model!AA988+Model!AA991+Model!AA972+Model!AA973+Model!AA974</f>
        <v>165</v>
      </c>
      <c r="AB99" s="462">
        <f>Model!AB976+Model!AB988+Model!AB991+Model!AB972+Model!AB973+Model!AB974</f>
        <v>29</v>
      </c>
      <c r="AC99" s="462">
        <f>Model!AC976+Model!AC988+Model!AC991+Model!AC972+Model!AC973+Model!AC974</f>
        <v>-419</v>
      </c>
      <c r="AD99" s="462">
        <f>Model!AD976+Model!AD988+Model!AD991+Model!AD972+Model!AD973+Model!AD974</f>
        <v>-544</v>
      </c>
      <c r="AE99" s="500">
        <f>Model!AE976+Model!AE988+Model!AE991+Model!AE972+Model!AE973+Model!AE974</f>
        <v>-769</v>
      </c>
      <c r="AF99" s="462">
        <f>Model!AF976+Model!AF988+Model!AF991+Model!AF972+Model!AF973+Model!AF974</f>
        <v>423</v>
      </c>
      <c r="AG99" s="462">
        <f>Model!AG976+Model!AG988+Model!AG991+Model!AG972+Model!AG973+Model!AG974</f>
        <v>107</v>
      </c>
      <c r="AH99" s="462">
        <f>Model!AH976+Model!AH988+Model!AH991+Model!AH972+Model!AH973+Model!AH974</f>
        <v>18</v>
      </c>
      <c r="AI99" s="462">
        <f>Model!AI976+Model!AI988+Model!AI991+Model!AI972+Model!AI973+Model!AI974</f>
        <v>-86</v>
      </c>
      <c r="AJ99" s="500">
        <f>Model!AJ976+Model!AJ988+Model!AJ991+Model!AJ972+Model!AJ973+Model!AJ974</f>
        <v>462</v>
      </c>
      <c r="AK99" s="462">
        <f>Model!AK976+Model!AK988+Model!AK991+Model!AK972+Model!AK973+Model!AK974</f>
        <v>-150</v>
      </c>
      <c r="AL99" s="462">
        <f>Model!AL976+Model!AL988+Model!AL991+Model!AL972+Model!AL973+Model!AL974</f>
        <v>386</v>
      </c>
      <c r="AM99" s="462">
        <f>Model!AM976+Model!AM988+Model!AM991+Model!AM972+Model!AM973+Model!AM974</f>
        <v>-37</v>
      </c>
      <c r="AN99" s="462">
        <f>Model!AN976+Model!AN988+Model!AN991+Model!AN972+Model!AN973+Model!AN974</f>
        <v>-518</v>
      </c>
      <c r="AO99" s="500">
        <f>Model!AO976+Model!AO988+Model!AO991+Model!AO972+Model!AO973+Model!AO974</f>
        <v>-319</v>
      </c>
      <c r="AP99" s="462">
        <f>Model!AP976+Model!AP988+Model!AP991+Model!AP972+Model!AP973+Model!AP974</f>
        <v>-193</v>
      </c>
      <c r="AQ99" s="462">
        <f>Model!AQ976+Model!AQ988+Model!AQ991+Model!AQ972+Model!AQ973+Model!AQ974</f>
        <v>444</v>
      </c>
      <c r="AR99" s="462">
        <f>Model!AR976+Model!AR988+Model!AR991+Model!AR972+Model!AR973+Model!AR974</f>
        <v>-131</v>
      </c>
      <c r="AS99" s="462">
        <f>Model!AS976+Model!AS988+Model!AS991+Model!AS972+Model!AS973+Model!AS974</f>
        <v>72</v>
      </c>
      <c r="AT99" s="500">
        <f>Model!AT976+Model!AT988+Model!AT991+Model!AT972+Model!AT973+Model!AT974</f>
        <v>192</v>
      </c>
      <c r="AU99" s="853">
        <f>Model!AU976+Model!AU988+Model!AU991+Model!AU972+Model!AU973+Model!AU974</f>
        <v>-136</v>
      </c>
      <c r="AV99" s="462">
        <f>Model!AV976+Model!AV988+Model!AV991+Model!AV972+Model!AV973+Model!AV974</f>
        <v>0</v>
      </c>
      <c r="AW99" s="462">
        <f>Model!AW976+Model!AW988+Model!AW991+Model!AW972+Model!AW973+Model!AW974</f>
        <v>0</v>
      </c>
      <c r="AX99" s="462">
        <f>Model!AX976+Model!AX988+Model!AX991+Model!AX972+Model!AX973+Model!AX974</f>
        <v>0</v>
      </c>
      <c r="AY99" s="500">
        <f>Model!AY976+Model!AY988+Model!AY991+Model!AY972+Model!AY973+Model!AY974</f>
        <v>-136</v>
      </c>
      <c r="AZ99" s="462">
        <f>Model!AZ976+Model!AZ988+Model!AZ991+Model!AZ972+Model!AZ973+Model!AZ974</f>
        <v>0</v>
      </c>
      <c r="BA99" s="462">
        <f>Model!BA976+Model!BA988+Model!BA991+Model!BA972+Model!BA973+Model!BA974</f>
        <v>0</v>
      </c>
      <c r="BB99" s="462">
        <f>Model!BB976+Model!BB988+Model!BB991+Model!BB972+Model!BB973+Model!BB974</f>
        <v>0</v>
      </c>
      <c r="BC99" s="462">
        <f>Model!BC976+Model!BC988+Model!BC991+Model!BC972+Model!BC973+Model!BC974</f>
        <v>0</v>
      </c>
      <c r="BD99" s="500">
        <f>Model!BD976+Model!BD988+Model!BD991+Model!BD972+Model!BD973+Model!BD974</f>
        <v>0</v>
      </c>
      <c r="BE99" s="500">
        <f>Model!BE976+Model!BE988+Model!BE991+Model!BE972+Model!BE973+Model!BE974</f>
        <v>0</v>
      </c>
      <c r="BF99" s="500">
        <f>Model!BF976+Model!BF988+Model!BF991+Model!BF972+Model!BF973+Model!BF974</f>
        <v>0</v>
      </c>
      <c r="BG99" s="500">
        <f>Model!BG976+Model!BG988+Model!BG991+Model!BG972+Model!BG973+Model!BG974</f>
        <v>0</v>
      </c>
      <c r="BH99" s="199"/>
    </row>
    <row r="100" spans="1:60" s="156" customFormat="1" x14ac:dyDescent="0.35">
      <c r="A100" s="306" t="s">
        <v>305</v>
      </c>
      <c r="B100" s="307"/>
      <c r="C100" s="196">
        <f t="shared" ref="C100:AH100" ca="1" si="139">SUM(C93:C99)</f>
        <v>1191</v>
      </c>
      <c r="D100" s="196">
        <f t="shared" ca="1" si="139"/>
        <v>337</v>
      </c>
      <c r="E100" s="196">
        <f t="shared" ca="1" si="139"/>
        <v>-1158</v>
      </c>
      <c r="F100" s="196">
        <f t="shared" ca="1" si="139"/>
        <v>664</v>
      </c>
      <c r="G100" s="197">
        <f t="shared" ca="1" si="139"/>
        <v>45</v>
      </c>
      <c r="H100" s="197">
        <f t="shared" ca="1" si="139"/>
        <v>14</v>
      </c>
      <c r="I100" s="197">
        <f t="shared" ca="1" si="139"/>
        <v>-602</v>
      </c>
      <c r="J100" s="197">
        <f t="shared" ca="1" si="139"/>
        <v>241</v>
      </c>
      <c r="K100" s="196">
        <f t="shared" ca="1" si="139"/>
        <v>-302</v>
      </c>
      <c r="L100" s="197">
        <f t="shared" ca="1" si="139"/>
        <v>-627</v>
      </c>
      <c r="M100" s="197">
        <f t="shared" ca="1" si="139"/>
        <v>171</v>
      </c>
      <c r="N100" s="197">
        <f t="shared" ca="1" si="139"/>
        <v>-196</v>
      </c>
      <c r="O100" s="197">
        <f t="shared" ca="1" si="139"/>
        <v>-32</v>
      </c>
      <c r="P100" s="196">
        <f t="shared" ca="1" si="139"/>
        <v>-684</v>
      </c>
      <c r="Q100" s="197">
        <f t="shared" ca="1" si="139"/>
        <v>-106</v>
      </c>
      <c r="R100" s="197">
        <f t="shared" ca="1" si="139"/>
        <v>1192</v>
      </c>
      <c r="S100" s="197">
        <f t="shared" ca="1" si="139"/>
        <v>-1378</v>
      </c>
      <c r="T100" s="197">
        <f t="shared" ca="1" si="139"/>
        <v>193</v>
      </c>
      <c r="U100" s="196">
        <f t="shared" ca="1" si="139"/>
        <v>-99</v>
      </c>
      <c r="V100" s="197">
        <f t="shared" ca="1" si="139"/>
        <v>-461</v>
      </c>
      <c r="W100" s="197">
        <f t="shared" ca="1" si="139"/>
        <v>351</v>
      </c>
      <c r="X100" s="197">
        <f t="shared" ca="1" si="139"/>
        <v>620</v>
      </c>
      <c r="Y100" s="197">
        <f t="shared" ca="1" si="139"/>
        <v>90</v>
      </c>
      <c r="Z100" s="196">
        <f t="shared" ca="1" si="139"/>
        <v>600</v>
      </c>
      <c r="AA100" s="197">
        <f t="shared" ca="1" si="139"/>
        <v>-225</v>
      </c>
      <c r="AB100" s="197">
        <f t="shared" ca="1" si="139"/>
        <v>481</v>
      </c>
      <c r="AC100" s="197">
        <f t="shared" ca="1" si="139"/>
        <v>177</v>
      </c>
      <c r="AD100" s="197">
        <f t="shared" ca="1" si="139"/>
        <v>222</v>
      </c>
      <c r="AE100" s="196">
        <f t="shared" ca="1" si="139"/>
        <v>655</v>
      </c>
      <c r="AF100" s="197">
        <f t="shared" ca="1" si="139"/>
        <v>438</v>
      </c>
      <c r="AG100" s="197">
        <f t="shared" ca="1" si="139"/>
        <v>-690</v>
      </c>
      <c r="AH100" s="197">
        <f t="shared" ca="1" si="139"/>
        <v>384</v>
      </c>
      <c r="AI100" s="197">
        <f t="shared" ref="AI100:AX100" ca="1" si="140">SUM(AI93:AI99)</f>
        <v>-332</v>
      </c>
      <c r="AJ100" s="196">
        <f t="shared" ca="1" si="140"/>
        <v>-200</v>
      </c>
      <c r="AK100" s="197">
        <f t="shared" ca="1" si="140"/>
        <v>85</v>
      </c>
      <c r="AL100" s="197">
        <f t="shared" ca="1" si="140"/>
        <v>-89</v>
      </c>
      <c r="AM100" s="197">
        <f t="shared" ca="1" si="140"/>
        <v>4882</v>
      </c>
      <c r="AN100" s="197">
        <f t="shared" ca="1" si="140"/>
        <v>-5378</v>
      </c>
      <c r="AO100" s="196">
        <f t="shared" ca="1" si="140"/>
        <v>-500</v>
      </c>
      <c r="AP100" s="197">
        <f t="shared" ref="AP100:AR100" ca="1" si="141">SUM(AP93:AP99)</f>
        <v>1900</v>
      </c>
      <c r="AQ100" s="197">
        <f t="shared" ca="1" si="141"/>
        <v>-34</v>
      </c>
      <c r="AR100" s="197">
        <f t="shared" ca="1" si="141"/>
        <v>-98</v>
      </c>
      <c r="AS100" s="197">
        <f ca="1">SUM(AS93:AS99)</f>
        <v>513</v>
      </c>
      <c r="AT100" s="196">
        <f ca="1">SUM(AT93:AT99)</f>
        <v>2281</v>
      </c>
      <c r="AU100" s="851">
        <f ca="1">SUM(AU93:AU99)</f>
        <v>2</v>
      </c>
      <c r="AV100" s="197">
        <f t="shared" ca="1" si="140"/>
        <v>-644.21583564870537</v>
      </c>
      <c r="AW100" s="197">
        <f t="shared" ca="1" si="140"/>
        <v>518.46233945966094</v>
      </c>
      <c r="AX100" s="197">
        <f t="shared" ca="1" si="140"/>
        <v>325.72296630625181</v>
      </c>
      <c r="AY100" s="196">
        <f ca="1">SUM(AY93:AY99)</f>
        <v>201.96947011720704</v>
      </c>
      <c r="AZ100" s="197">
        <f t="shared" ref="AZ100:BG100" ca="1" si="142">SUM(AZ93:AZ99)</f>
        <v>254.63934829223433</v>
      </c>
      <c r="BA100" s="197">
        <f t="shared" ca="1" si="142"/>
        <v>-428.22716478849964</v>
      </c>
      <c r="BB100" s="197">
        <f t="shared" ca="1" si="142"/>
        <v>584.72191186878536</v>
      </c>
      <c r="BC100" s="197">
        <f t="shared" ca="1" si="142"/>
        <v>472.48352327196642</v>
      </c>
      <c r="BD100" s="196">
        <f t="shared" ca="1" si="142"/>
        <v>883.61761864448545</v>
      </c>
      <c r="BE100" s="196">
        <f t="shared" ca="1" si="142"/>
        <v>1590.8053981916414</v>
      </c>
      <c r="BF100" s="196">
        <f t="shared" ca="1" si="142"/>
        <v>2317.1425521034707</v>
      </c>
      <c r="BG100" s="196">
        <f t="shared" ca="1" si="142"/>
        <v>3100.2483739134304</v>
      </c>
      <c r="BH100" s="251"/>
    </row>
    <row r="101" spans="1:60" s="146" customFormat="1" x14ac:dyDescent="0.35">
      <c r="A101" s="303"/>
      <c r="B101" s="310"/>
      <c r="C101" s="904"/>
      <c r="D101" s="904"/>
      <c r="E101" s="904"/>
      <c r="F101" s="904"/>
      <c r="G101" s="905"/>
      <c r="H101" s="905"/>
      <c r="I101" s="905"/>
      <c r="J101" s="905"/>
      <c r="K101" s="904"/>
      <c r="L101" s="905"/>
      <c r="M101" s="905"/>
      <c r="N101" s="905"/>
      <c r="O101" s="905"/>
      <c r="P101" s="904"/>
      <c r="Q101" s="905"/>
      <c r="R101" s="905"/>
      <c r="S101" s="905"/>
      <c r="T101" s="905"/>
      <c r="U101" s="904"/>
      <c r="V101" s="905"/>
      <c r="W101" s="905"/>
      <c r="X101" s="905"/>
      <c r="Y101" s="905"/>
      <c r="Z101" s="904"/>
      <c r="AA101" s="905"/>
      <c r="AB101" s="905"/>
      <c r="AC101" s="905"/>
      <c r="AD101" s="905"/>
      <c r="AE101" s="904"/>
      <c r="AF101" s="905"/>
      <c r="AG101" s="905"/>
      <c r="AH101" s="905"/>
      <c r="AI101" s="905"/>
      <c r="AJ101" s="904"/>
      <c r="AK101" s="905"/>
      <c r="AL101" s="905"/>
      <c r="AM101" s="905"/>
      <c r="AN101" s="905"/>
      <c r="AO101" s="904"/>
      <c r="AP101" s="905"/>
      <c r="AQ101" s="905"/>
      <c r="AR101" s="905"/>
      <c r="AS101" s="905"/>
      <c r="AT101" s="904"/>
      <c r="AU101" s="906"/>
      <c r="AV101" s="905"/>
      <c r="AW101" s="905"/>
      <c r="AX101" s="905"/>
      <c r="AY101" s="904"/>
      <c r="AZ101" s="905"/>
      <c r="BA101" s="905"/>
      <c r="BB101" s="905"/>
      <c r="BC101" s="905"/>
      <c r="BD101" s="904"/>
      <c r="BE101" s="904"/>
      <c r="BF101" s="904"/>
      <c r="BG101" s="904"/>
      <c r="BH101" s="844"/>
    </row>
    <row r="102" spans="1:60" s="144" customFormat="1" x14ac:dyDescent="0.35">
      <c r="A102" s="323" t="s">
        <v>306</v>
      </c>
      <c r="B102" s="324"/>
      <c r="C102" s="195">
        <f t="shared" ref="C102:AH102" si="143">INDEX(SP_CFA_CFO_BeforeWC,0,COLUMN())/INDEX(SP_CS_ShareCount,0,COLUMN())</f>
        <v>6.7015706806282722</v>
      </c>
      <c r="D102" s="195">
        <f t="shared" si="143"/>
        <v>6.9441764300482429</v>
      </c>
      <c r="E102" s="195">
        <f t="shared" si="143"/>
        <v>8.2656467315716267</v>
      </c>
      <c r="F102" s="195">
        <f t="shared" si="143"/>
        <v>7.8160102374520122</v>
      </c>
      <c r="G102" s="204">
        <f t="shared" si="143"/>
        <v>2.3970944309927358</v>
      </c>
      <c r="H102" s="204">
        <f t="shared" si="143"/>
        <v>2.2714919181805175</v>
      </c>
      <c r="I102" s="204">
        <f t="shared" si="143"/>
        <v>2.0988725065047702</v>
      </c>
      <c r="J102" s="204">
        <f t="shared" si="143"/>
        <v>2.0857184793776606</v>
      </c>
      <c r="K102" s="195">
        <f t="shared" si="143"/>
        <v>8.8581314878892723</v>
      </c>
      <c r="L102" s="204">
        <f t="shared" si="143"/>
        <v>2.4002965159377316</v>
      </c>
      <c r="M102" s="204">
        <f t="shared" si="143"/>
        <v>2.6436954559133312</v>
      </c>
      <c r="N102" s="204">
        <f t="shared" si="143"/>
        <v>2.6158990728074176</v>
      </c>
      <c r="O102" s="204">
        <f t="shared" si="143"/>
        <v>2.2307574128130283</v>
      </c>
      <c r="P102" s="195">
        <f t="shared" si="143"/>
        <v>9.8927492447129914</v>
      </c>
      <c r="Q102" s="204">
        <f t="shared" si="143"/>
        <v>2.5631546518792359</v>
      </c>
      <c r="R102" s="204">
        <f t="shared" si="143"/>
        <v>3.0699844479004668</v>
      </c>
      <c r="S102" s="204">
        <f t="shared" si="143"/>
        <v>2.9990494296577945</v>
      </c>
      <c r="T102" s="204">
        <f t="shared" si="143"/>
        <v>2.4800127918132397</v>
      </c>
      <c r="U102" s="195">
        <f t="shared" si="143"/>
        <v>11.114249843063401</v>
      </c>
      <c r="V102" s="204">
        <f t="shared" si="143"/>
        <v>2.8054080154514729</v>
      </c>
      <c r="W102" s="204">
        <f t="shared" si="143"/>
        <v>2.6252214527299085</v>
      </c>
      <c r="X102" s="204">
        <f t="shared" si="143"/>
        <v>2.6179702650290886</v>
      </c>
      <c r="Y102" s="204">
        <f t="shared" si="143"/>
        <v>2.7891821440208537</v>
      </c>
      <c r="Z102" s="195">
        <f t="shared" si="143"/>
        <v>10.837239372878615</v>
      </c>
      <c r="AA102" s="204">
        <f t="shared" si="143"/>
        <v>2.6650326797385619</v>
      </c>
      <c r="AB102" s="204">
        <f t="shared" si="143"/>
        <v>2.5750652741514362</v>
      </c>
      <c r="AC102" s="204">
        <f t="shared" si="143"/>
        <v>3.1499918393993798</v>
      </c>
      <c r="AD102" s="204">
        <f t="shared" si="143"/>
        <v>0.79230518421910667</v>
      </c>
      <c r="AE102" s="195">
        <f t="shared" si="143"/>
        <v>9.1806756977313526</v>
      </c>
      <c r="AF102" s="204">
        <f t="shared" si="143"/>
        <v>1.4525869103966051</v>
      </c>
      <c r="AG102" s="204">
        <f t="shared" si="143"/>
        <v>3.243958953988745</v>
      </c>
      <c r="AH102" s="204">
        <f t="shared" si="143"/>
        <v>3.240307486631016</v>
      </c>
      <c r="AI102" s="204">
        <f t="shared" ref="AI102:AY102" si="144">INDEX(SP_CFA_CFO_BeforeWC,0,COLUMN())/INDEX(SP_CS_ShareCount,0,COLUMN())</f>
        <v>3.0408369895376306</v>
      </c>
      <c r="AJ102" s="195">
        <f t="shared" si="144"/>
        <v>10.948504983388704</v>
      </c>
      <c r="AK102" s="204">
        <f t="shared" si="144"/>
        <v>2.3109600679694138</v>
      </c>
      <c r="AL102" s="204">
        <f t="shared" si="144"/>
        <v>3.0165500767787066</v>
      </c>
      <c r="AM102" s="204">
        <f t="shared" si="144"/>
        <v>3.293310463121784</v>
      </c>
      <c r="AN102" s="204">
        <f t="shared" si="144"/>
        <v>2.2824781191007379</v>
      </c>
      <c r="AO102" s="195">
        <f t="shared" si="144"/>
        <v>10.900700734917107</v>
      </c>
      <c r="AP102" s="204">
        <f t="shared" si="144"/>
        <v>3.3361994840928633</v>
      </c>
      <c r="AQ102" s="204">
        <f t="shared" si="144"/>
        <v>2.6119146005509646</v>
      </c>
      <c r="AR102" s="204">
        <f>INDEX(SP_CFA_CFO_BeforeWC,0,COLUMN())/INDEX(SP_CS_ShareCount,0,COLUMN())</f>
        <v>3.2572115384615388</v>
      </c>
      <c r="AS102" s="204">
        <f>INDEX(SP_CFA_CFO_BeforeWC,0,COLUMN())/INDEX(SP_CS_ShareCount,0,COLUMN())</f>
        <v>3.2585616438356166</v>
      </c>
      <c r="AT102" s="195">
        <f>INDEX(SP_CFA_CFO_BeforeWC,0,COLUMN())/INDEX(SP_CS_ShareCount,0,COLUMN())</f>
        <v>12.464788732394366</v>
      </c>
      <c r="AU102" s="860">
        <f t="shared" si="144"/>
        <v>3.8103360054579571</v>
      </c>
      <c r="AV102" s="204">
        <f t="shared" ca="1" si="144"/>
        <v>2.9953488520721923</v>
      </c>
      <c r="AW102" s="204">
        <f t="shared" ca="1" si="144"/>
        <v>3.4816638208960895</v>
      </c>
      <c r="AX102" s="204">
        <f t="shared" ca="1" si="144"/>
        <v>3.641595925256528</v>
      </c>
      <c r="AY102" s="195">
        <f t="shared" ca="1" si="144"/>
        <v>13.928988644934686</v>
      </c>
      <c r="AZ102" s="204">
        <f t="shared" ref="AZ102:BG102" ca="1" si="145">INDEX(SP_CFA_CFO_BeforeWC,0,COLUMN())/INDEX(SP_CS_ShareCount,0,COLUMN())</f>
        <v>3.9752826710725899</v>
      </c>
      <c r="BA102" s="204">
        <f t="shared" ca="1" si="145"/>
        <v>3.4424006422308482</v>
      </c>
      <c r="BB102" s="204">
        <f t="shared" ca="1" si="145"/>
        <v>3.6540307759840065</v>
      </c>
      <c r="BC102" s="204">
        <f t="shared" ca="1" si="145"/>
        <v>3.9883603572939257</v>
      </c>
      <c r="BD102" s="195">
        <f t="shared" ca="1" si="145"/>
        <v>15.059560319419715</v>
      </c>
      <c r="BE102" s="195">
        <f t="shared" ca="1" si="145"/>
        <v>16.551119764853055</v>
      </c>
      <c r="BF102" s="195">
        <f t="shared" ca="1" si="145"/>
        <v>18.075760469199285</v>
      </c>
      <c r="BG102" s="195">
        <f t="shared" ca="1" si="145"/>
        <v>19.734283331709634</v>
      </c>
      <c r="BH102" s="204"/>
    </row>
    <row r="103" spans="1:60" s="144" customFormat="1" x14ac:dyDescent="0.35">
      <c r="A103" s="323" t="s">
        <v>307</v>
      </c>
      <c r="B103" s="324"/>
      <c r="C103" s="195">
        <f t="shared" ref="C103:AH103" si="146">INDEX(SP_CFA_FCF_PreDiv,0,COLUMN())/INDEX(SP_CS_ShareCount,0,COLUMN())</f>
        <v>5.4238007641149002</v>
      </c>
      <c r="D103" s="195">
        <f t="shared" si="146"/>
        <v>5.4403859407305308</v>
      </c>
      <c r="E103" s="195">
        <f t="shared" si="146"/>
        <v>6.3477051460361613</v>
      </c>
      <c r="F103" s="195">
        <f t="shared" si="146"/>
        <v>5.7059576283236177</v>
      </c>
      <c r="G103" s="204">
        <f t="shared" si="146"/>
        <v>1.9356217063096424</v>
      </c>
      <c r="H103" s="204">
        <f t="shared" si="146"/>
        <v>1.7079101702188528</v>
      </c>
      <c r="I103" s="204">
        <f t="shared" si="146"/>
        <v>1.5148886961549581</v>
      </c>
      <c r="J103" s="204">
        <f t="shared" si="146"/>
        <v>1.288712755027154</v>
      </c>
      <c r="K103" s="195">
        <f t="shared" si="146"/>
        <v>6.4576124567474045</v>
      </c>
      <c r="L103" s="204">
        <f t="shared" si="146"/>
        <v>1.9659006671608599</v>
      </c>
      <c r="M103" s="204">
        <f t="shared" si="146"/>
        <v>2.1306048751128497</v>
      </c>
      <c r="N103" s="204">
        <f t="shared" si="146"/>
        <v>2.0550235598115214</v>
      </c>
      <c r="O103" s="204">
        <f t="shared" si="146"/>
        <v>1.4779536027039484</v>
      </c>
      <c r="P103" s="195">
        <f t="shared" si="146"/>
        <v>7.6374622356495472</v>
      </c>
      <c r="Q103" s="204">
        <f t="shared" si="146"/>
        <v>2.114910659272951</v>
      </c>
      <c r="R103" s="204">
        <f t="shared" si="146"/>
        <v>2.4945567651632969</v>
      </c>
      <c r="S103" s="204">
        <f t="shared" si="146"/>
        <v>2.4382129277566538</v>
      </c>
      <c r="T103" s="204">
        <f t="shared" si="146"/>
        <v>1.7668692037096259</v>
      </c>
      <c r="U103" s="195">
        <f t="shared" si="146"/>
        <v>8.8214061519146263</v>
      </c>
      <c r="V103" s="204">
        <f t="shared" si="146"/>
        <v>2.3000160952840818</v>
      </c>
      <c r="W103" s="204">
        <f t="shared" si="146"/>
        <v>2.1050088581091964</v>
      </c>
      <c r="X103" s="204">
        <f t="shared" si="146"/>
        <v>2.0572074983839692</v>
      </c>
      <c r="Y103" s="204">
        <f t="shared" si="146"/>
        <v>2.0788530465949822</v>
      </c>
      <c r="Z103" s="195">
        <f t="shared" si="146"/>
        <v>8.5421044124777747</v>
      </c>
      <c r="AA103" s="204">
        <f t="shared" si="146"/>
        <v>2.1960784313725492</v>
      </c>
      <c r="AB103" s="204">
        <f t="shared" si="146"/>
        <v>2.0822454308093996</v>
      </c>
      <c r="AC103" s="204">
        <f t="shared" si="146"/>
        <v>2.6195527990860126</v>
      </c>
      <c r="AD103" s="204">
        <f t="shared" si="146"/>
        <v>4.401695467883926E-2</v>
      </c>
      <c r="AE103" s="195">
        <f t="shared" si="146"/>
        <v>6.9397747674228816</v>
      </c>
      <c r="AF103" s="204">
        <f t="shared" si="146"/>
        <v>0.95642239268810181</v>
      </c>
      <c r="AG103" s="204">
        <f t="shared" si="146"/>
        <v>2.6398543528632903</v>
      </c>
      <c r="AH103" s="204">
        <f t="shared" si="146"/>
        <v>2.6102941176470589</v>
      </c>
      <c r="AI103" s="204">
        <f t="shared" ref="AI103:AY103" si="147">INDEX(SP_CFA_FCF_PreDiv,0,COLUMN())/INDEX(SP_CS_ShareCount,0,COLUMN())</f>
        <v>2.1447856901788729</v>
      </c>
      <c r="AJ103" s="195">
        <f t="shared" si="147"/>
        <v>8.3289036544850497</v>
      </c>
      <c r="AK103" s="204">
        <f t="shared" si="147"/>
        <v>1.6465590484282073</v>
      </c>
      <c r="AL103" s="204">
        <f t="shared" si="147"/>
        <v>2.298242620713189</v>
      </c>
      <c r="AM103" s="204">
        <f t="shared" si="147"/>
        <v>2.6946826758147511</v>
      </c>
      <c r="AN103" s="204">
        <f t="shared" si="147"/>
        <v>1.3591899776900633</v>
      </c>
      <c r="AO103" s="195">
        <f t="shared" si="147"/>
        <v>7.9969236028029398</v>
      </c>
      <c r="AP103" s="204">
        <f t="shared" si="147"/>
        <v>2.7652622527944968</v>
      </c>
      <c r="AQ103" s="204">
        <f t="shared" si="147"/>
        <v>1.9593663911845731</v>
      </c>
      <c r="AR103" s="204">
        <f>INDEX(SP_CFA_FCF_PreDiv,0,COLUMN())/INDEX(SP_CS_ShareCount,0,COLUMN())</f>
        <v>2.6253434065934065</v>
      </c>
      <c r="AS103" s="204">
        <f>INDEX(SP_CFA_FCF_PreDiv,0,COLUMN())/INDEX(SP_CS_ShareCount,0,COLUMN())</f>
        <v>2.5359589041095889</v>
      </c>
      <c r="AT103" s="195">
        <f>INDEX(SP_CFA_FCF_PreDiv,0,COLUMN())/INDEX(SP_CS_ShareCount,0,COLUMN())</f>
        <v>9.8866368945379595</v>
      </c>
      <c r="AU103" s="860">
        <f t="shared" si="147"/>
        <v>3.2815964523281598</v>
      </c>
      <c r="AV103" s="204">
        <f t="shared" ca="1" si="147"/>
        <v>2.1816062720092826</v>
      </c>
      <c r="AW103" s="204">
        <f t="shared" ca="1" si="147"/>
        <v>2.6643123766276613</v>
      </c>
      <c r="AX103" s="204">
        <f t="shared" ca="1" si="147"/>
        <v>2.8206034643104667</v>
      </c>
      <c r="AY103" s="195">
        <f t="shared" ca="1" si="147"/>
        <v>10.950110456882767</v>
      </c>
      <c r="AZ103" s="204">
        <f t="shared" ref="AZ103:BG103" ca="1" si="148">INDEX(SP_CFA_FCF_PreDiv,0,COLUMN())/INDEX(SP_CS_ShareCount,0,COLUMN())</f>
        <v>3.1509456364139843</v>
      </c>
      <c r="BA103" s="204">
        <f t="shared" ca="1" si="148"/>
        <v>2.6146916720246267</v>
      </c>
      <c r="BB103" s="204">
        <f t="shared" ca="1" si="148"/>
        <v>2.8229221712467418</v>
      </c>
      <c r="BC103" s="204">
        <f t="shared" ca="1" si="148"/>
        <v>3.153824076331937</v>
      </c>
      <c r="BD103" s="195">
        <f t="shared" ca="1" si="148"/>
        <v>11.741939104175248</v>
      </c>
      <c r="BE103" s="195">
        <f t="shared" ca="1" si="148"/>
        <v>13.162083526321346</v>
      </c>
      <c r="BF103" s="195">
        <f t="shared" ca="1" si="148"/>
        <v>14.639018961313941</v>
      </c>
      <c r="BG103" s="195">
        <f t="shared" ca="1" si="148"/>
        <v>16.253040685263525</v>
      </c>
      <c r="BH103" s="204"/>
    </row>
    <row r="104" spans="1:60" s="144" customFormat="1" x14ac:dyDescent="0.35">
      <c r="A104" s="323" t="s">
        <v>98</v>
      </c>
      <c r="B104" s="324"/>
      <c r="C104" s="195">
        <f t="shared" ref="C104:AH104" si="149">INDEX(MO_CFSum_DPS,0,COLUMN())</f>
        <v>2.04</v>
      </c>
      <c r="D104" s="195">
        <f t="shared" si="149"/>
        <v>2.1</v>
      </c>
      <c r="E104" s="195">
        <f t="shared" si="149"/>
        <v>2.2000000000000002</v>
      </c>
      <c r="F104" s="195">
        <f t="shared" si="149"/>
        <v>2.36</v>
      </c>
      <c r="G104" s="204">
        <f t="shared" si="149"/>
        <v>0.63500000000000001</v>
      </c>
      <c r="H104" s="204">
        <f t="shared" si="149"/>
        <v>0.63500000000000001</v>
      </c>
      <c r="I104" s="204">
        <f t="shared" si="149"/>
        <v>0.63500000000000001</v>
      </c>
      <c r="J104" s="204">
        <f t="shared" si="149"/>
        <v>0.63500000000000001</v>
      </c>
      <c r="K104" s="195">
        <f t="shared" si="149"/>
        <v>2.54</v>
      </c>
      <c r="L104" s="204">
        <f t="shared" si="149"/>
        <v>0.85499999999999998</v>
      </c>
      <c r="M104" s="204">
        <f t="shared" si="149"/>
        <v>0.85499999999999998</v>
      </c>
      <c r="N104" s="204">
        <f t="shared" si="149"/>
        <v>0.85499999999999998</v>
      </c>
      <c r="O104" s="204">
        <f t="shared" si="149"/>
        <v>0.85499999999999998</v>
      </c>
      <c r="P104" s="195">
        <f t="shared" si="149"/>
        <v>3.42</v>
      </c>
      <c r="Q104" s="204">
        <f t="shared" si="149"/>
        <v>1.0249999999999999</v>
      </c>
      <c r="R104" s="204">
        <f t="shared" si="149"/>
        <v>1.0249999999999999</v>
      </c>
      <c r="S104" s="204">
        <f t="shared" si="149"/>
        <v>1.0249999999999999</v>
      </c>
      <c r="T104" s="204">
        <f t="shared" si="149"/>
        <v>1.0249999999999999</v>
      </c>
      <c r="U104" s="195">
        <f t="shared" si="149"/>
        <v>4.0999999999999996</v>
      </c>
      <c r="V104" s="204">
        <f t="shared" si="149"/>
        <v>1.1100000000000001</v>
      </c>
      <c r="W104" s="204">
        <f t="shared" si="149"/>
        <v>1.1100000000000001</v>
      </c>
      <c r="X104" s="204">
        <f t="shared" si="149"/>
        <v>1.1100000000000001</v>
      </c>
      <c r="Y104" s="204">
        <f t="shared" si="149"/>
        <v>1.1100000000000001</v>
      </c>
      <c r="Z104" s="195">
        <f t="shared" si="149"/>
        <v>4.4400000000000004</v>
      </c>
      <c r="AA104" s="204">
        <f t="shared" si="149"/>
        <v>1.175</v>
      </c>
      <c r="AB104" s="204">
        <f t="shared" si="149"/>
        <v>1.175</v>
      </c>
      <c r="AC104" s="204">
        <f t="shared" si="149"/>
        <v>1.175</v>
      </c>
      <c r="AD104" s="204">
        <f t="shared" si="149"/>
        <v>1.175</v>
      </c>
      <c r="AE104" s="195">
        <f t="shared" si="149"/>
        <v>4.7</v>
      </c>
      <c r="AF104" s="204">
        <f t="shared" si="149"/>
        <v>1.36</v>
      </c>
      <c r="AG104" s="204">
        <f t="shared" si="149"/>
        <v>1.36</v>
      </c>
      <c r="AH104" s="204">
        <f t="shared" si="149"/>
        <v>1.36</v>
      </c>
      <c r="AI104" s="204">
        <f t="shared" ref="AI104:AY104" si="150">INDEX(MO_CFSum_DPS,0,COLUMN())</f>
        <v>1.36</v>
      </c>
      <c r="AJ104" s="195">
        <f t="shared" si="150"/>
        <v>5.44</v>
      </c>
      <c r="AK104" s="204">
        <f t="shared" si="150"/>
        <v>1.44</v>
      </c>
      <c r="AL104" s="204">
        <f t="shared" si="150"/>
        <v>1.44</v>
      </c>
      <c r="AM104" s="204">
        <f t="shared" si="150"/>
        <v>1.44</v>
      </c>
      <c r="AN104" s="204">
        <f t="shared" si="150"/>
        <v>1.44</v>
      </c>
      <c r="AO104" s="195">
        <f t="shared" si="150"/>
        <v>5.76</v>
      </c>
      <c r="AP104" s="204">
        <f t="shared" si="150"/>
        <v>1.47</v>
      </c>
      <c r="AQ104" s="204">
        <f t="shared" si="150"/>
        <v>1.47</v>
      </c>
      <c r="AR104" s="204">
        <f>INDEX(MO_CFSum_DPS,0,COLUMN())</f>
        <v>1.47</v>
      </c>
      <c r="AS104" s="204">
        <f>INDEX(MO_CFSum_DPS,0,COLUMN())</f>
        <v>1.47</v>
      </c>
      <c r="AT104" s="195">
        <f>INDEX(MO_CFSum_DPS,0,COLUMN())</f>
        <v>5.88</v>
      </c>
      <c r="AU104" s="860">
        <f t="shared" si="150"/>
        <v>1.48</v>
      </c>
      <c r="AV104" s="204">
        <f t="shared" si="150"/>
        <v>1.48</v>
      </c>
      <c r="AW104" s="204">
        <f t="shared" si="150"/>
        <v>1.48</v>
      </c>
      <c r="AX104" s="204">
        <f t="shared" si="150"/>
        <v>1.48</v>
      </c>
      <c r="AY104" s="195">
        <f t="shared" si="150"/>
        <v>5.92</v>
      </c>
      <c r="AZ104" s="204">
        <f t="shared" ref="AZ104:BG104" si="151">INDEX(MO_CFSum_DPS,0,COLUMN())</f>
        <v>1.48</v>
      </c>
      <c r="BA104" s="204">
        <f t="shared" si="151"/>
        <v>1.48</v>
      </c>
      <c r="BB104" s="204">
        <f t="shared" si="151"/>
        <v>1.48</v>
      </c>
      <c r="BC104" s="204">
        <f t="shared" si="151"/>
        <v>1.48</v>
      </c>
      <c r="BD104" s="195">
        <f t="shared" si="151"/>
        <v>5.92</v>
      </c>
      <c r="BE104" s="195">
        <f t="shared" si="151"/>
        <v>5.92</v>
      </c>
      <c r="BF104" s="195">
        <f t="shared" si="151"/>
        <v>5.92</v>
      </c>
      <c r="BG104" s="195">
        <f t="shared" si="151"/>
        <v>5.92</v>
      </c>
      <c r="BH104" s="204"/>
    </row>
    <row r="105" spans="1:60" s="149" customFormat="1" x14ac:dyDescent="0.35">
      <c r="A105" s="331" t="s">
        <v>308</v>
      </c>
      <c r="B105" s="332"/>
      <c r="C105" s="213">
        <f t="shared" ref="C105:AH105" si="152">C104/C103</f>
        <v>0.37612001043569004</v>
      </c>
      <c r="D105" s="213">
        <f t="shared" si="152"/>
        <v>0.3860020268558399</v>
      </c>
      <c r="E105" s="213">
        <f t="shared" si="152"/>
        <v>0.34658194566170031</v>
      </c>
      <c r="F105" s="213">
        <f t="shared" si="152"/>
        <v>0.41360279092947916</v>
      </c>
      <c r="G105" s="214">
        <f t="shared" si="152"/>
        <v>0.32805997056659308</v>
      </c>
      <c r="H105" s="214">
        <f t="shared" si="152"/>
        <v>0.37179941373534336</v>
      </c>
      <c r="I105" s="214">
        <f t="shared" si="152"/>
        <v>0.41917270992366412</v>
      </c>
      <c r="J105" s="214">
        <f t="shared" si="152"/>
        <v>0.4927397494305239</v>
      </c>
      <c r="K105" s="213">
        <f t="shared" si="152"/>
        <v>0.39333422638981919</v>
      </c>
      <c r="L105" s="214">
        <f t="shared" si="152"/>
        <v>0.43491515837104072</v>
      </c>
      <c r="M105" s="214">
        <f t="shared" si="152"/>
        <v>0.40129449152542374</v>
      </c>
      <c r="N105" s="214">
        <f t="shared" si="152"/>
        <v>0.41605362426035503</v>
      </c>
      <c r="O105" s="214">
        <f t="shared" si="152"/>
        <v>0.5785025987525988</v>
      </c>
      <c r="P105" s="213">
        <f t="shared" si="152"/>
        <v>0.4477927215189873</v>
      </c>
      <c r="Q105" s="214">
        <f t="shared" si="152"/>
        <v>0.48465404224326297</v>
      </c>
      <c r="R105" s="214">
        <f t="shared" si="152"/>
        <v>0.41089463840398999</v>
      </c>
      <c r="S105" s="214">
        <f t="shared" si="152"/>
        <v>0.42038986354775831</v>
      </c>
      <c r="T105" s="214">
        <f t="shared" si="152"/>
        <v>0.58012217194570126</v>
      </c>
      <c r="U105" s="213">
        <f t="shared" si="152"/>
        <v>0.46477850916207075</v>
      </c>
      <c r="V105" s="214">
        <f t="shared" si="152"/>
        <v>0.48260531840447868</v>
      </c>
      <c r="W105" s="214">
        <f t="shared" si="152"/>
        <v>0.5273136954858455</v>
      </c>
      <c r="X105" s="214">
        <f t="shared" si="152"/>
        <v>0.53956637863315005</v>
      </c>
      <c r="Y105" s="214">
        <f t="shared" si="152"/>
        <v>0.53394827586206894</v>
      </c>
      <c r="Z105" s="213">
        <f t="shared" si="152"/>
        <v>0.51977824030274378</v>
      </c>
      <c r="AA105" s="214">
        <f t="shared" si="152"/>
        <v>0.53504464285714282</v>
      </c>
      <c r="AB105" s="214">
        <f t="shared" si="152"/>
        <v>0.56429467084639495</v>
      </c>
      <c r="AC105" s="214">
        <f t="shared" si="152"/>
        <v>0.44854984423676014</v>
      </c>
      <c r="AD105" s="214">
        <f t="shared" si="152"/>
        <v>26.694259259259258</v>
      </c>
      <c r="AE105" s="213">
        <f t="shared" si="152"/>
        <v>0.67725540921919103</v>
      </c>
      <c r="AF105" s="214">
        <f t="shared" si="152"/>
        <v>1.4219658703071674</v>
      </c>
      <c r="AG105" s="214">
        <f t="shared" si="152"/>
        <v>0.5151799373040753</v>
      </c>
      <c r="AH105" s="214">
        <f t="shared" si="152"/>
        <v>0.52101408450704223</v>
      </c>
      <c r="AI105" s="214">
        <f t="shared" ref="AI105:AY105" si="153">AI104/AI103</f>
        <v>0.63409598741148698</v>
      </c>
      <c r="AJ105" s="213">
        <f t="shared" si="153"/>
        <v>0.65314718787395298</v>
      </c>
      <c r="AK105" s="214">
        <f t="shared" si="153"/>
        <v>0.87455108359133127</v>
      </c>
      <c r="AL105" s="214">
        <f t="shared" si="153"/>
        <v>0.62656570155902003</v>
      </c>
      <c r="AM105" s="214">
        <f t="shared" si="153"/>
        <v>0.53438574156588159</v>
      </c>
      <c r="AN105" s="214">
        <f t="shared" si="153"/>
        <v>1.0594545454545456</v>
      </c>
      <c r="AO105" s="213">
        <f t="shared" si="153"/>
        <v>0.72027698226116688</v>
      </c>
      <c r="AP105" s="214">
        <f t="shared" si="153"/>
        <v>0.53159514925373141</v>
      </c>
      <c r="AQ105" s="214">
        <f t="shared" si="153"/>
        <v>0.75024253075571168</v>
      </c>
      <c r="AR105" s="214">
        <f>AR104/AR103</f>
        <v>0.55992674950948329</v>
      </c>
      <c r="AS105" s="214">
        <f>AS104/AS103</f>
        <v>0.57966239027683997</v>
      </c>
      <c r="AT105" s="213">
        <f>AT104/AT103</f>
        <v>0.59474218207088259</v>
      </c>
      <c r="AU105" s="866">
        <f t="shared" ref="AU105" si="154">AU104/AU103</f>
        <v>0.45099999999999996</v>
      </c>
      <c r="AV105" s="214">
        <f t="shared" ca="1" si="153"/>
        <v>0.67839922308112188</v>
      </c>
      <c r="AW105" s="214">
        <f t="shared" ca="1" si="153"/>
        <v>0.55549041958559753</v>
      </c>
      <c r="AX105" s="214">
        <f t="shared" ca="1" si="153"/>
        <v>0.5247104099270492</v>
      </c>
      <c r="AY105" s="213">
        <f t="shared" ca="1" si="153"/>
        <v>0.5406338158241083</v>
      </c>
      <c r="AZ105" s="214">
        <f t="shared" ref="AZ105:BG105" ca="1" si="155">AZ104/AZ103</f>
        <v>0.46970026486536037</v>
      </c>
      <c r="BA105" s="214">
        <f t="shared" ca="1" si="155"/>
        <v>0.56603232260039127</v>
      </c>
      <c r="BB105" s="214">
        <f t="shared" ca="1" si="155"/>
        <v>0.52427942047950937</v>
      </c>
      <c r="BC105" s="214">
        <f t="shared" ca="1" si="155"/>
        <v>0.46927157767192829</v>
      </c>
      <c r="BD105" s="213">
        <f t="shared" ca="1" si="155"/>
        <v>0.50417566872706243</v>
      </c>
      <c r="BE105" s="213">
        <f t="shared" ca="1" si="155"/>
        <v>0.44977681445048334</v>
      </c>
      <c r="BF105" s="213">
        <f t="shared" ca="1" si="155"/>
        <v>0.40439868379463073</v>
      </c>
      <c r="BG105" s="213">
        <f t="shared" ca="1" si="155"/>
        <v>0.36423953613600479</v>
      </c>
      <c r="BH105" s="369"/>
    </row>
    <row r="106" spans="1:60" s="149" customFormat="1" x14ac:dyDescent="0.35">
      <c r="A106" s="331" t="s">
        <v>309</v>
      </c>
      <c r="B106" s="332"/>
      <c r="C106" s="213">
        <f t="shared" ref="C106:AH106" si="156">C104/C77</f>
        <v>0.45150892577513319</v>
      </c>
      <c r="D106" s="213">
        <f t="shared" si="156"/>
        <v>0.37296205630354956</v>
      </c>
      <c r="E106" s="213">
        <f t="shared" si="156"/>
        <v>0.36932056969413962</v>
      </c>
      <c r="F106" s="213">
        <f t="shared" si="156"/>
        <v>0.37348964896489645</v>
      </c>
      <c r="G106" s="214">
        <f t="shared" si="156"/>
        <v>0.39489238263950399</v>
      </c>
      <c r="H106" s="214">
        <f t="shared" si="156"/>
        <v>0.37086758563074351</v>
      </c>
      <c r="I106" s="214">
        <f t="shared" si="156"/>
        <v>0.35714878048780485</v>
      </c>
      <c r="J106" s="214">
        <f t="shared" si="156"/>
        <v>0.39222620126926566</v>
      </c>
      <c r="K106" s="213">
        <f t="shared" si="156"/>
        <v>0.37813779781068901</v>
      </c>
      <c r="L106" s="214">
        <f t="shared" si="156"/>
        <v>0.47779411764705881</v>
      </c>
      <c r="M106" s="214">
        <f t="shared" si="156"/>
        <v>0.44848697711128649</v>
      </c>
      <c r="N106" s="214">
        <f t="shared" si="156"/>
        <v>0.43169953952417495</v>
      </c>
      <c r="O106" s="214">
        <f t="shared" si="156"/>
        <v>0.4720267175572519</v>
      </c>
      <c r="P106" s="213">
        <f t="shared" si="156"/>
        <v>0.45682808716707024</v>
      </c>
      <c r="Q106" s="214">
        <f t="shared" si="156"/>
        <v>0.5549874895746455</v>
      </c>
      <c r="R106" s="214">
        <f t="shared" si="156"/>
        <v>0.50698076923076918</v>
      </c>
      <c r="S106" s="214">
        <f t="shared" si="156"/>
        <v>0.49921296296296297</v>
      </c>
      <c r="T106" s="214">
        <f t="shared" si="156"/>
        <v>0.61756743737957598</v>
      </c>
      <c r="U106" s="213">
        <f t="shared" si="156"/>
        <v>0.54055865921787705</v>
      </c>
      <c r="V106" s="214">
        <f t="shared" si="156"/>
        <v>0.54089647058823531</v>
      </c>
      <c r="W106" s="214">
        <f t="shared" si="156"/>
        <v>0.53384895429899315</v>
      </c>
      <c r="X106" s="214">
        <f t="shared" si="156"/>
        <v>0.51683069977426632</v>
      </c>
      <c r="Y106" s="214">
        <f t="shared" si="156"/>
        <v>0.58988571428571435</v>
      </c>
      <c r="Z106" s="213">
        <f t="shared" si="156"/>
        <v>0.54396594059405956</v>
      </c>
      <c r="AA106" s="214">
        <f t="shared" si="156"/>
        <v>0.5435374149659864</v>
      </c>
      <c r="AB106" s="214">
        <f t="shared" si="156"/>
        <v>0.45485786481364493</v>
      </c>
      <c r="AC106" s="214">
        <f t="shared" si="156"/>
        <v>0.50379461161651518</v>
      </c>
      <c r="AD106" s="214">
        <f t="shared" si="156"/>
        <v>0.56089105058365762</v>
      </c>
      <c r="AE106" s="213">
        <f t="shared" si="156"/>
        <v>0.51240035587188615</v>
      </c>
      <c r="AF106" s="214">
        <f t="shared" si="156"/>
        <v>0.54497841726618712</v>
      </c>
      <c r="AG106" s="214">
        <f t="shared" si="156"/>
        <v>0.44249434571890151</v>
      </c>
      <c r="AH106" s="214">
        <f t="shared" si="156"/>
        <v>0.52742968243681143</v>
      </c>
      <c r="AI106" s="214">
        <f t="shared" ref="AI106:AY106" si="157">AI104/AI77</f>
        <v>0.58999707174231331</v>
      </c>
      <c r="AJ106" s="213">
        <f t="shared" si="157"/>
        <v>0.52023510722795874</v>
      </c>
      <c r="AK106" s="214">
        <f t="shared" si="157"/>
        <v>0.64788990825688075</v>
      </c>
      <c r="AL106" s="214">
        <f t="shared" si="157"/>
        <v>0.6773547351524879</v>
      </c>
      <c r="AM106" s="214">
        <f t="shared" si="157"/>
        <v>0.55819148936170204</v>
      </c>
      <c r="AN106" s="214">
        <f t="shared" si="157"/>
        <v>0.73928458149779741</v>
      </c>
      <c r="AO106" s="213">
        <f t="shared" si="157"/>
        <v>0.64898440207972263</v>
      </c>
      <c r="AP106" s="214">
        <f t="shared" si="157"/>
        <v>0.68166267942583736</v>
      </c>
      <c r="AQ106" s="214">
        <f t="shared" si="157"/>
        <v>0.82730232558139527</v>
      </c>
      <c r="AR106" s="214">
        <f>AR104/AR77</f>
        <v>0.60589384288747339</v>
      </c>
      <c r="AS106" s="214">
        <f>AS104/AS77</f>
        <v>0.61805615550755943</v>
      </c>
      <c r="AT106" s="213">
        <f>AT104/AT77</f>
        <v>0.67282547169811324</v>
      </c>
      <c r="AU106" s="866">
        <f t="shared" ref="AU106" si="158">AU104/AU77</f>
        <v>0.53431280788177338</v>
      </c>
      <c r="AV106" s="214">
        <f t="shared" si="157"/>
        <v>0.69557388695659328</v>
      </c>
      <c r="AW106" s="214">
        <f t="shared" si="157"/>
        <v>0.56955346818270125</v>
      </c>
      <c r="AX106" s="214">
        <f t="shared" si="157"/>
        <v>0.53799421777330358</v>
      </c>
      <c r="AY106" s="213">
        <f t="shared" si="157"/>
        <v>0.57777390882653556</v>
      </c>
      <c r="AZ106" s="214">
        <f t="shared" ref="AZ106:BG106" ca="1" si="159">AZ104/AZ77</f>
        <v>0.50524466813597857</v>
      </c>
      <c r="BA106" s="214">
        <f t="shared" ca="1" si="159"/>
        <v>0.58036225481812265</v>
      </c>
      <c r="BB106" s="214">
        <f t="shared" ca="1" si="159"/>
        <v>0.53755231720050967</v>
      </c>
      <c r="BC106" s="214">
        <f t="shared" ca="1" si="159"/>
        <v>0.48115187077754668</v>
      </c>
      <c r="BD106" s="213">
        <f t="shared" ca="1" si="159"/>
        <v>0.52355745559020106</v>
      </c>
      <c r="BE106" s="213">
        <f t="shared" ca="1" si="159"/>
        <v>0.46653764254375774</v>
      </c>
      <c r="BF106" s="213">
        <f t="shared" ca="1" si="159"/>
        <v>0.41903764431665153</v>
      </c>
      <c r="BG106" s="213">
        <f t="shared" ca="1" si="159"/>
        <v>0.37707398662469094</v>
      </c>
      <c r="BH106" s="369"/>
    </row>
    <row r="107" spans="1:60" s="144" customFormat="1" x14ac:dyDescent="0.35">
      <c r="A107" s="323"/>
      <c r="B107" s="324"/>
      <c r="C107" s="195"/>
      <c r="D107" s="195"/>
      <c r="E107" s="195"/>
      <c r="F107" s="195"/>
      <c r="G107" s="204"/>
      <c r="H107" s="204"/>
      <c r="I107" s="204"/>
      <c r="J107" s="204"/>
      <c r="K107" s="195"/>
      <c r="L107" s="204"/>
      <c r="M107" s="204"/>
      <c r="N107" s="204"/>
      <c r="O107" s="204"/>
      <c r="P107" s="195"/>
      <c r="Q107" s="204"/>
      <c r="R107" s="204"/>
      <c r="S107" s="204"/>
      <c r="T107" s="204"/>
      <c r="U107" s="195"/>
      <c r="V107" s="204"/>
      <c r="W107" s="204"/>
      <c r="X107" s="204"/>
      <c r="Y107" s="204"/>
      <c r="Z107" s="195"/>
      <c r="AA107" s="204"/>
      <c r="AB107" s="204"/>
      <c r="AC107" s="204"/>
      <c r="AD107" s="204"/>
      <c r="AE107" s="195"/>
      <c r="AF107" s="204"/>
      <c r="AG107" s="204"/>
      <c r="AH107" s="204"/>
      <c r="AI107" s="204"/>
      <c r="AJ107" s="195"/>
      <c r="AK107" s="204"/>
      <c r="AL107" s="204"/>
      <c r="AM107" s="204"/>
      <c r="AN107" s="204"/>
      <c r="AO107" s="195"/>
      <c r="AP107" s="204"/>
      <c r="AQ107" s="204"/>
      <c r="AR107" s="204"/>
      <c r="AS107" s="204"/>
      <c r="AT107" s="195"/>
      <c r="AU107" s="860"/>
      <c r="AV107" s="204"/>
      <c r="AW107" s="204"/>
      <c r="AX107" s="204"/>
      <c r="AY107" s="195"/>
      <c r="AZ107" s="204"/>
      <c r="BA107" s="204"/>
      <c r="BB107" s="204"/>
      <c r="BC107" s="204"/>
      <c r="BD107" s="195"/>
      <c r="BE107" s="195"/>
      <c r="BF107" s="195"/>
      <c r="BG107" s="195"/>
      <c r="BH107" s="204"/>
    </row>
    <row r="108" spans="1:60" x14ac:dyDescent="0.35">
      <c r="A108" s="193" t="s">
        <v>310</v>
      </c>
      <c r="B108" s="845"/>
      <c r="C108" s="907"/>
      <c r="D108" s="907"/>
      <c r="E108" s="907"/>
      <c r="F108" s="907"/>
      <c r="G108" s="907"/>
      <c r="H108" s="907"/>
      <c r="I108" s="907"/>
      <c r="J108" s="907"/>
      <c r="K108" s="907"/>
      <c r="L108" s="907"/>
      <c r="M108" s="907"/>
      <c r="N108" s="907"/>
      <c r="O108" s="907"/>
      <c r="P108" s="907"/>
      <c r="Q108" s="907"/>
      <c r="R108" s="907"/>
      <c r="S108" s="907"/>
      <c r="T108" s="907"/>
      <c r="U108" s="907"/>
      <c r="V108" s="907"/>
      <c r="W108" s="907"/>
      <c r="X108" s="907"/>
      <c r="Y108" s="907"/>
      <c r="Z108" s="907"/>
      <c r="AA108" s="907"/>
      <c r="AB108" s="907"/>
      <c r="AC108" s="907"/>
      <c r="AD108" s="907"/>
      <c r="AE108" s="907"/>
      <c r="AF108" s="907"/>
      <c r="AG108" s="907"/>
      <c r="AH108" s="907"/>
      <c r="AI108" s="907"/>
      <c r="AJ108" s="907"/>
      <c r="AK108" s="907"/>
      <c r="AL108" s="907"/>
      <c r="AM108" s="907"/>
      <c r="AN108" s="907"/>
      <c r="AO108" s="907"/>
      <c r="AP108" s="907"/>
      <c r="AQ108" s="907"/>
      <c r="AR108" s="907"/>
      <c r="AS108" s="907"/>
      <c r="AT108" s="907"/>
      <c r="AU108" s="908"/>
      <c r="AV108" s="907"/>
      <c r="AW108" s="907"/>
      <c r="AX108" s="907"/>
      <c r="AY108" s="907"/>
      <c r="AZ108" s="907"/>
      <c r="BA108" s="907"/>
      <c r="BB108" s="907"/>
      <c r="BC108" s="907"/>
      <c r="BD108" s="907"/>
      <c r="BE108" s="907"/>
      <c r="BF108" s="907"/>
      <c r="BG108" s="907"/>
      <c r="BH108" s="846"/>
    </row>
    <row r="109" spans="1:60" s="150" customFormat="1" x14ac:dyDescent="0.35">
      <c r="A109" s="333" t="s">
        <v>106</v>
      </c>
      <c r="B109" s="334"/>
      <c r="C109" s="571">
        <f>INDEX(MO_BSS_Debt_Net,0,COLUMN())/INDEX(SP_BSR_EBITDA_LTM,0,COLUMN())</f>
        <v>0.1843912242505443</v>
      </c>
      <c r="D109" s="571">
        <f>INDEX(MO_BSS_Debt_Net,0,COLUMN())/INDEX(SP_BSR_EBITDA_LTM,0,COLUMN())</f>
        <v>6.1665245808468314E-2</v>
      </c>
      <c r="E109" s="571">
        <f>INDEX(MO_BSS_Debt_Net,0,COLUMN())/INDEX(SP_BSR_EBITDA_LTM,0,COLUMN())</f>
        <v>7.9579174534664149E-2</v>
      </c>
      <c r="F109" s="571">
        <f>INDEX(MO_BSS_Debt_Net,0,COLUMN())/INDEX(SP_BSR_EBITDA_LTM,0,COLUMN())</f>
        <v>3.9634538669411919E-2</v>
      </c>
      <c r="G109" s="215"/>
      <c r="H109" s="215"/>
      <c r="I109" s="215"/>
      <c r="J109" s="215">
        <f t="shared" ref="J109:AY109" si="160">INDEX(MO_BSS_Debt_Net,0,COLUMN())/INDEX(SP_BSR_EBITDA_LTM,0,COLUMN())</f>
        <v>0.15167351001617518</v>
      </c>
      <c r="K109" s="571">
        <f t="shared" si="160"/>
        <v>0.15167351001617518</v>
      </c>
      <c r="L109" s="215">
        <f t="shared" si="160"/>
        <v>0.29589951976357592</v>
      </c>
      <c r="M109" s="215">
        <f t="shared" si="160"/>
        <v>0.33261026753434564</v>
      </c>
      <c r="N109" s="215">
        <f t="shared" si="160"/>
        <v>0.41844809259477972</v>
      </c>
      <c r="O109" s="215">
        <f t="shared" si="160"/>
        <v>0.40500994966639353</v>
      </c>
      <c r="P109" s="571">
        <f t="shared" si="160"/>
        <v>0.40500994966639353</v>
      </c>
      <c r="Q109" s="215">
        <f t="shared" si="160"/>
        <v>0.44102504095483269</v>
      </c>
      <c r="R109" s="215">
        <f t="shared" si="160"/>
        <v>0.58936120244246126</v>
      </c>
      <c r="S109" s="215">
        <f t="shared" si="160"/>
        <v>1.1160546139359699</v>
      </c>
      <c r="T109" s="215">
        <f t="shared" si="160"/>
        <v>1.058584894404009</v>
      </c>
      <c r="U109" s="571">
        <f t="shared" si="160"/>
        <v>1.058584894404009</v>
      </c>
      <c r="V109" s="215">
        <f t="shared" si="160"/>
        <v>1.1365894039735098</v>
      </c>
      <c r="W109" s="216">
        <f t="shared" si="160"/>
        <v>1.1606302916274693</v>
      </c>
      <c r="X109" s="216">
        <f t="shared" si="160"/>
        <v>1.1329432416617906</v>
      </c>
      <c r="Y109" s="216">
        <f t="shared" si="160"/>
        <v>1.0296654018627114</v>
      </c>
      <c r="Z109" s="571">
        <f t="shared" si="160"/>
        <v>1.0296654018627114</v>
      </c>
      <c r="AA109" s="216">
        <f t="shared" si="160"/>
        <v>1.0740867972060002</v>
      </c>
      <c r="AB109" s="216">
        <f t="shared" si="160"/>
        <v>0.93978304184193051</v>
      </c>
      <c r="AC109" s="216">
        <f t="shared" si="160"/>
        <v>0.89963922597572976</v>
      </c>
      <c r="AD109" s="216">
        <f t="shared" si="160"/>
        <v>1.0632308358596796</v>
      </c>
      <c r="AE109" s="571">
        <f t="shared" si="160"/>
        <v>1.0632308358596796</v>
      </c>
      <c r="AF109" s="216">
        <f t="shared" si="160"/>
        <v>1.2379576107899808</v>
      </c>
      <c r="AG109" s="216">
        <f t="shared" si="160"/>
        <v>1.1817518248175183</v>
      </c>
      <c r="AH109" s="216">
        <f t="shared" si="160"/>
        <v>1.1824352548036758</v>
      </c>
      <c r="AI109" s="216">
        <f t="shared" si="160"/>
        <v>1.1873436196830691</v>
      </c>
      <c r="AJ109" s="571">
        <f t="shared" si="160"/>
        <v>1.1873436196830691</v>
      </c>
      <c r="AK109" s="216">
        <f t="shared" si="160"/>
        <v>1.4619001816821631</v>
      </c>
      <c r="AL109" s="216">
        <f t="shared" si="160"/>
        <v>1.5812341113935753</v>
      </c>
      <c r="AM109" s="216">
        <f t="shared" si="160"/>
        <v>1.4594373759775885</v>
      </c>
      <c r="AN109" s="216">
        <f t="shared" si="160"/>
        <v>2.224123588829471</v>
      </c>
      <c r="AO109" s="571">
        <f t="shared" si="160"/>
        <v>2.224123588829471</v>
      </c>
      <c r="AP109" s="216">
        <f t="shared" si="160"/>
        <v>2.22412166941759</v>
      </c>
      <c r="AQ109" s="216">
        <f t="shared" si="160"/>
        <v>2.0653901734104045</v>
      </c>
      <c r="AR109" s="216">
        <f>INDEX(MO_BSS_Debt_Net,0,COLUMN())/INDEX(SP_BSR_EBITDA_LTM,0,COLUMN())</f>
        <v>1.8898929845422117</v>
      </c>
      <c r="AS109" s="216">
        <f>INDEX(MO_BSS_Debt_Net,0,COLUMN())/INDEX(SP_BSR_EBITDA_LTM,0,COLUMN())</f>
        <v>1.6701313535122786</v>
      </c>
      <c r="AT109" s="571">
        <f>INDEX(MO_BSS_Debt_Net,0,COLUMN())/INDEX(SP_BSR_EBITDA_LTM,0,COLUMN())</f>
        <v>1.6701313535122786</v>
      </c>
      <c r="AU109" s="867">
        <f t="shared" si="160"/>
        <v>1.5318446815531845</v>
      </c>
      <c r="AV109" s="216">
        <f t="shared" si="160"/>
        <v>1.564675248616638</v>
      </c>
      <c r="AW109" s="216">
        <f t="shared" si="160"/>
        <v>1.4973099273711046</v>
      </c>
      <c r="AX109" s="216">
        <f t="shared" si="160"/>
        <v>1.4293881023880151</v>
      </c>
      <c r="AY109" s="571">
        <f t="shared" si="160"/>
        <v>1.4293881023880151</v>
      </c>
      <c r="AZ109" s="216">
        <f t="shared" ref="AZ109:BG109" ca="1" si="161">INDEX(MO_BSS_Debt_Net,0,COLUMN())/INDEX(SP_BSR_EBITDA_LTM,0,COLUMN())</f>
        <v>1.3700911737692207</v>
      </c>
      <c r="BA109" s="216">
        <f t="shared" ca="1" si="161"/>
        <v>1.3745524752063152</v>
      </c>
      <c r="BB109" s="216">
        <f t="shared" ca="1" si="161"/>
        <v>1.3064884138374901</v>
      </c>
      <c r="BC109" s="216">
        <f t="shared" ca="1" si="161"/>
        <v>1.2358335325577712</v>
      </c>
      <c r="BD109" s="571">
        <f t="shared" ca="1" si="161"/>
        <v>1.2358335325577712</v>
      </c>
      <c r="BE109" s="571">
        <f t="shared" ca="1" si="161"/>
        <v>1.0050036098205168</v>
      </c>
      <c r="BF109" s="571">
        <f t="shared" ca="1" si="161"/>
        <v>0.74035827604664739</v>
      </c>
      <c r="BG109" s="571">
        <f t="shared" ca="1" si="161"/>
        <v>0.44830866777279643</v>
      </c>
      <c r="BH109" s="216"/>
    </row>
    <row r="110" spans="1:60" s="150" customFormat="1" x14ac:dyDescent="0.35">
      <c r="A110" s="333" t="s">
        <v>107</v>
      </c>
      <c r="B110" s="334"/>
      <c r="C110" s="571">
        <f>INDEX(MO_BSS_Debt_Net,0,COLUMN())/INDEX(SP_BSR_CashFlow_LTM,0,COLUMN())</f>
        <v>0.23247466216216217</v>
      </c>
      <c r="D110" s="571">
        <f>INDEX(MO_BSS_Debt_Net,0,COLUMN())/INDEX(SP_BSR_CashFlow_LTM,0,COLUMN())</f>
        <v>8.614529575228265E-2</v>
      </c>
      <c r="E110" s="571">
        <f>INDEX(MO_BSS_Debt_Net,0,COLUMN())/INDEX(SP_BSR_CashFlow_LTM,0,COLUMN())</f>
        <v>9.9276459700487971E-2</v>
      </c>
      <c r="F110" s="571">
        <f>INDEX(MO_BSS_Debt_Net,0,COLUMN())/INDEX(SP_BSR_CashFlow_LTM,0,COLUMN())</f>
        <v>5.603056212479534E-2</v>
      </c>
      <c r="G110" s="215"/>
      <c r="H110" s="215"/>
      <c r="I110" s="215"/>
      <c r="J110" s="215">
        <f t="shared" ref="J110:AY110" si="162">INDEX(MO_BSS_Debt_Net,0,COLUMN())/INDEX(SP_BSR_CashFlow_LTM,0,COLUMN())</f>
        <v>0.19840494791666666</v>
      </c>
      <c r="K110" s="571">
        <f t="shared" si="162"/>
        <v>0.19840494791666666</v>
      </c>
      <c r="L110" s="215">
        <f t="shared" si="162"/>
        <v>0.39523026315789472</v>
      </c>
      <c r="M110" s="215">
        <f t="shared" si="162"/>
        <v>0.44167066730676907</v>
      </c>
      <c r="N110" s="215">
        <f t="shared" si="162"/>
        <v>0.54357164774470701</v>
      </c>
      <c r="O110" s="215">
        <f t="shared" si="162"/>
        <v>0.52832493510459611</v>
      </c>
      <c r="P110" s="571">
        <f t="shared" si="162"/>
        <v>0.52832493510459611</v>
      </c>
      <c r="Q110" s="215">
        <f t="shared" si="162"/>
        <v>0.5715802244464665</v>
      </c>
      <c r="R110" s="215">
        <f t="shared" si="162"/>
        <v>0.73689619732785205</v>
      </c>
      <c r="S110" s="215">
        <f t="shared" si="162"/>
        <v>1.3578691106974079</v>
      </c>
      <c r="T110" s="215">
        <f t="shared" si="162"/>
        <v>1.2527534594747247</v>
      </c>
      <c r="U110" s="571">
        <f t="shared" si="162"/>
        <v>1.2527534594747247</v>
      </c>
      <c r="V110" s="215">
        <f t="shared" si="162"/>
        <v>1.3421309872922775</v>
      </c>
      <c r="W110" s="216">
        <f t="shared" si="162"/>
        <v>1.4478509608332111</v>
      </c>
      <c r="X110" s="216">
        <f t="shared" si="162"/>
        <v>1.4793704156479217</v>
      </c>
      <c r="Y110" s="216">
        <f t="shared" si="162"/>
        <v>1.3355704697986577</v>
      </c>
      <c r="Z110" s="571">
        <f t="shared" si="162"/>
        <v>1.3355704697986577</v>
      </c>
      <c r="AA110" s="216">
        <f t="shared" si="162"/>
        <v>1.4227210677991811</v>
      </c>
      <c r="AB110" s="216">
        <f t="shared" si="162"/>
        <v>1.2979666717627274</v>
      </c>
      <c r="AC110" s="216">
        <f t="shared" si="162"/>
        <v>1.2011385199240987</v>
      </c>
      <c r="AD110" s="216">
        <f t="shared" si="162"/>
        <v>1.7457777777777779</v>
      </c>
      <c r="AE110" s="571">
        <f t="shared" si="162"/>
        <v>1.7457777777777779</v>
      </c>
      <c r="AF110" s="216">
        <f t="shared" si="162"/>
        <v>2.367936117936118</v>
      </c>
      <c r="AG110" s="216">
        <f t="shared" si="162"/>
        <v>2.1521078617546525</v>
      </c>
      <c r="AH110" s="216">
        <f t="shared" si="162"/>
        <v>2.1465402843601895</v>
      </c>
      <c r="AI110" s="216">
        <f t="shared" si="162"/>
        <v>1.7279623729327871</v>
      </c>
      <c r="AJ110" s="571">
        <f t="shared" si="162"/>
        <v>1.7279623729327871</v>
      </c>
      <c r="AK110" s="216">
        <f t="shared" si="162"/>
        <v>1.9372610111882169</v>
      </c>
      <c r="AL110" s="216">
        <f t="shared" si="162"/>
        <v>1.9921385936817586</v>
      </c>
      <c r="AM110" s="216">
        <f t="shared" si="162"/>
        <v>1.8252554744525546</v>
      </c>
      <c r="AN110" s="216">
        <f t="shared" si="162"/>
        <v>2.9344622138601442</v>
      </c>
      <c r="AO110" s="571">
        <f t="shared" si="162"/>
        <v>2.9344622138601442</v>
      </c>
      <c r="AP110" s="216">
        <f t="shared" si="162"/>
        <v>2.711267605633803</v>
      </c>
      <c r="AQ110" s="216">
        <f t="shared" si="162"/>
        <v>2.5571790666467868</v>
      </c>
      <c r="AR110" s="216">
        <f>INDEX(MO_BSS_Debt_Net,0,COLUMN())/INDEX(SP_BSR_CashFlow_LTM,0,COLUMN())</f>
        <v>2.3779174147217237</v>
      </c>
      <c r="AS110" s="216">
        <f>INDEX(MO_BSS_Debt_Net,0,COLUMN())/INDEX(SP_BSR_CashFlow_LTM,0,COLUMN())</f>
        <v>2.0148821827201324</v>
      </c>
      <c r="AT110" s="571">
        <f>INDEX(MO_BSS_Debt_Net,0,COLUMN())/INDEX(SP_BSR_CashFlow_LTM,0,COLUMN())</f>
        <v>2.0148821827201324</v>
      </c>
      <c r="AU110" s="867">
        <f t="shared" si="162"/>
        <v>1.844259038537942</v>
      </c>
      <c r="AV110" s="216">
        <f t="shared" si="162"/>
        <v>1.8721880777183888</v>
      </c>
      <c r="AW110" s="216">
        <f t="shared" si="162"/>
        <v>1.7767225272337852</v>
      </c>
      <c r="AX110" s="216">
        <f t="shared" si="162"/>
        <v>1.6919153925121102</v>
      </c>
      <c r="AY110" s="571">
        <f t="shared" si="162"/>
        <v>1.6919153925121102</v>
      </c>
      <c r="AZ110" s="216">
        <f t="shared" ref="AZ110:BG110" ca="1" si="163">INDEX(MO_BSS_Debt_Net,0,COLUMN())/INDEX(SP_BSR_CashFlow_LTM,0,COLUMN())</f>
        <v>1.6490149280720572</v>
      </c>
      <c r="BA110" s="216">
        <f t="shared" ca="1" si="163"/>
        <v>1.6554249228580344</v>
      </c>
      <c r="BB110" s="216">
        <f t="shared" ca="1" si="163"/>
        <v>1.5735997348696336</v>
      </c>
      <c r="BC110" s="216">
        <f t="shared" ca="1" si="163"/>
        <v>1.4890440157389317</v>
      </c>
      <c r="BD110" s="571">
        <f t="shared" ca="1" si="163"/>
        <v>1.4890440157389317</v>
      </c>
      <c r="BE110" s="571">
        <f t="shared" ca="1" si="163"/>
        <v>1.2125783360949716</v>
      </c>
      <c r="BF110" s="571">
        <f t="shared" ca="1" si="163"/>
        <v>0.8940570653442691</v>
      </c>
      <c r="BG110" s="571">
        <f t="shared" ca="1" si="163"/>
        <v>0.5416788548019954</v>
      </c>
      <c r="BH110" s="216"/>
    </row>
    <row r="111" spans="1:60" s="151" customFormat="1" x14ac:dyDescent="0.35">
      <c r="A111" s="335" t="s">
        <v>311</v>
      </c>
      <c r="B111" s="336"/>
      <c r="C111" s="572">
        <f>INDEX(MO_BSS_Debt_Net,0,COLUMN())/SUM(INDEX(MO_BS_SE,0,COLUMN()),INDEX(MO_BSS_Debt,0,COLUMN()),IFERROR(INDEX(MO_BSS_OL,0,COLUMN()),0))</f>
        <v>5.9597271841506982E-2</v>
      </c>
      <c r="D111" s="572">
        <f>INDEX(MO_BSS_Debt_Net,0,COLUMN())/SUM(INDEX(MO_BS_SE,0,COLUMN()),INDEX(MO_BSS_Debt,0,COLUMN()),IFERROR(INDEX(MO_BSS_OL,0,COLUMN()),0))</f>
        <v>2.0554108453705897E-2</v>
      </c>
      <c r="E111" s="572">
        <f>INDEX(MO_BSS_Debt_Net,0,COLUMN())/SUM(INDEX(MO_BS_SE,0,COLUMN()),INDEX(MO_BSS_Debt,0,COLUMN()),IFERROR(INDEX(MO_BSS_OL,0,COLUMN()),0))</f>
        <v>2.8660254541921695E-2</v>
      </c>
      <c r="F111" s="572">
        <f>INDEX(MO_BSS_Debt_Net,0,COLUMN())/SUM(INDEX(MO_BS_SE,0,COLUMN()),INDEX(MO_BSS_Debt,0,COLUMN()),IFERROR(INDEX(MO_BSS_OL,0,COLUMN()),0))</f>
        <v>1.3064133016627079E-2</v>
      </c>
      <c r="G111" s="217"/>
      <c r="H111" s="217"/>
      <c r="I111" s="217"/>
      <c r="J111" s="217">
        <f t="shared" ref="J111:AY111" si="164">INDEX(MO_BSS_Debt_Net,0,COLUMN())/SUM(INDEX(MO_BS_SE,0,COLUMN()),INDEX(MO_BSS_Debt,0,COLUMN()),IFERROR(INDEX(MO_BSS_OL,0,COLUMN()),0))</f>
        <v>5.1848071115647994E-2</v>
      </c>
      <c r="K111" s="572">
        <f t="shared" si="164"/>
        <v>5.1848071115647994E-2</v>
      </c>
      <c r="L111" s="217">
        <f t="shared" si="164"/>
        <v>0.10002081165452653</v>
      </c>
      <c r="M111" s="217">
        <f t="shared" si="164"/>
        <v>0.11345418670612899</v>
      </c>
      <c r="N111" s="217">
        <f t="shared" si="164"/>
        <v>0.15065697155249394</v>
      </c>
      <c r="O111" s="217">
        <f t="shared" si="164"/>
        <v>0.17369477911646586</v>
      </c>
      <c r="P111" s="572">
        <f t="shared" si="164"/>
        <v>0.17369477911646586</v>
      </c>
      <c r="Q111" s="217">
        <f t="shared" si="164"/>
        <v>0.18378193875560755</v>
      </c>
      <c r="R111" s="217">
        <f t="shared" si="164"/>
        <v>0.23225358630263768</v>
      </c>
      <c r="S111" s="217">
        <f t="shared" si="164"/>
        <v>0.40453944280899357</v>
      </c>
      <c r="T111" s="217">
        <f t="shared" si="164"/>
        <v>0.39422350588758054</v>
      </c>
      <c r="U111" s="572">
        <f t="shared" si="164"/>
        <v>0.39422350588758054</v>
      </c>
      <c r="V111" s="217">
        <f t="shared" si="164"/>
        <v>0.42020811472542846</v>
      </c>
      <c r="W111" s="217">
        <f t="shared" si="164"/>
        <v>0.4174597132343611</v>
      </c>
      <c r="X111" s="217">
        <f t="shared" si="164"/>
        <v>0.3973648565447605</v>
      </c>
      <c r="Y111" s="217">
        <f t="shared" si="164"/>
        <v>0.40800984144341168</v>
      </c>
      <c r="Z111" s="572">
        <f t="shared" si="164"/>
        <v>0.40800984144341168</v>
      </c>
      <c r="AA111" s="217">
        <f t="shared" si="164"/>
        <v>0.41321585903083702</v>
      </c>
      <c r="AB111" s="217">
        <f t="shared" si="164"/>
        <v>0.37087192032150967</v>
      </c>
      <c r="AC111" s="217">
        <f t="shared" si="164"/>
        <v>0.34562560376328277</v>
      </c>
      <c r="AD111" s="217">
        <f t="shared" si="164"/>
        <v>0.38491690185010974</v>
      </c>
      <c r="AE111" s="572">
        <f t="shared" si="164"/>
        <v>0.38491690185010974</v>
      </c>
      <c r="AF111" s="217">
        <f t="shared" si="164"/>
        <v>0.4341705146976011</v>
      </c>
      <c r="AG111" s="217">
        <f t="shared" si="164"/>
        <v>0.45543321009484006</v>
      </c>
      <c r="AH111" s="217">
        <f t="shared" si="164"/>
        <v>0.45122340001594008</v>
      </c>
      <c r="AI111" s="217">
        <f t="shared" si="164"/>
        <v>0.46641821607011219</v>
      </c>
      <c r="AJ111" s="572">
        <f t="shared" si="164"/>
        <v>0.46641821607011219</v>
      </c>
      <c r="AK111" s="217">
        <f t="shared" si="164"/>
        <v>0.50928925127517777</v>
      </c>
      <c r="AL111" s="217">
        <f t="shared" si="164"/>
        <v>0.5114558026537096</v>
      </c>
      <c r="AM111" s="217">
        <f t="shared" si="164"/>
        <v>0.40376542013821609</v>
      </c>
      <c r="AN111" s="217">
        <f t="shared" si="164"/>
        <v>0.59929554915145689</v>
      </c>
      <c r="AO111" s="572">
        <f t="shared" si="164"/>
        <v>0.59929554915145689</v>
      </c>
      <c r="AP111" s="217">
        <f t="shared" si="164"/>
        <v>0.56331929887425725</v>
      </c>
      <c r="AQ111" s="217">
        <f t="shared" si="164"/>
        <v>0.52814559339779521</v>
      </c>
      <c r="AR111" s="217">
        <f>INDEX(MO_BSS_Debt_Net,0,COLUMN())/SUM(INDEX(MO_BS_SE,0,COLUMN()),INDEX(MO_BSS_Debt,0,COLUMN()),IFERROR(INDEX(MO_BSS_OL,0,COLUMN()),0))</f>
        <v>0.49154167310963354</v>
      </c>
      <c r="AS111" s="217">
        <f>INDEX(MO_BSS_Debt_Net,0,COLUMN())/SUM(INDEX(MO_BS_SE,0,COLUMN()),INDEX(MO_BSS_Debt,0,COLUMN()),IFERROR(INDEX(MO_BSS_OL,0,COLUMN()),0))</f>
        <v>0.44952041318248892</v>
      </c>
      <c r="AT111" s="572">
        <f>INDEX(MO_BSS_Debt_Net,0,COLUMN())/SUM(INDEX(MO_BS_SE,0,COLUMN()),INDEX(MO_BSS_Debt,0,COLUMN()),IFERROR(INDEX(MO_BSS_OL,0,COLUMN()),0))</f>
        <v>0.44953423309865648</v>
      </c>
      <c r="AU111" s="868">
        <f t="shared" si="164"/>
        <v>0.42427566036011333</v>
      </c>
      <c r="AV111" s="217">
        <f t="shared" ca="1" si="164"/>
        <v>0.44476057043257472</v>
      </c>
      <c r="AW111" s="217">
        <f t="shared" ca="1" si="164"/>
        <v>0.42622020734622285</v>
      </c>
      <c r="AX111" s="217">
        <f t="shared" ca="1" si="164"/>
        <v>0.41266134778141711</v>
      </c>
      <c r="AY111" s="572">
        <f t="shared" ca="1" si="164"/>
        <v>0.41266134778141711</v>
      </c>
      <c r="AZ111" s="217">
        <f t="shared" ref="AZ111:BG111" ca="1" si="165">INDEX(MO_BSS_Debt_Net,0,COLUMN())/SUM(INDEX(MO_BS_SE,0,COLUMN()),INDEX(MO_BSS_Debt,0,COLUMN()),IFERROR(INDEX(MO_BSS_OL,0,COLUMN()),0))</f>
        <v>0.39925997619735576</v>
      </c>
      <c r="BA111" s="217">
        <f t="shared" ca="1" si="165"/>
        <v>0.40985376253896505</v>
      </c>
      <c r="BB111" s="217">
        <f t="shared" ca="1" si="165"/>
        <v>0.38932597527660662</v>
      </c>
      <c r="BC111" s="217">
        <f t="shared" ca="1" si="165"/>
        <v>0.3704524525773143</v>
      </c>
      <c r="BD111" s="572">
        <f t="shared" ca="1" si="165"/>
        <v>0.3704524525773143</v>
      </c>
      <c r="BE111" s="572">
        <f t="shared" ca="1" si="165"/>
        <v>0.30590642912993593</v>
      </c>
      <c r="BF111" s="572">
        <f t="shared" ca="1" si="165"/>
        <v>0.22540086519078489</v>
      </c>
      <c r="BG111" s="572">
        <f t="shared" ca="1" si="165"/>
        <v>0.13475463447605898</v>
      </c>
      <c r="BH111" s="370"/>
    </row>
    <row r="112" spans="1:60" s="156" customFormat="1" hidden="1" outlineLevel="1" x14ac:dyDescent="0.35">
      <c r="A112" s="321" t="s">
        <v>312</v>
      </c>
      <c r="B112" s="337"/>
      <c r="C112" s="198">
        <f>C74</f>
        <v>5971</v>
      </c>
      <c r="D112" s="198">
        <f>D74</f>
        <v>7038</v>
      </c>
      <c r="E112" s="198">
        <f>E74</f>
        <v>7414</v>
      </c>
      <c r="F112" s="198">
        <f>F74</f>
        <v>7771</v>
      </c>
      <c r="G112" s="199"/>
      <c r="H112" s="199"/>
      <c r="I112" s="199"/>
      <c r="J112" s="199">
        <f>SUM(J74,I74,H74,G74)</f>
        <v>8037</v>
      </c>
      <c r="K112" s="198">
        <f>K74</f>
        <v>8037</v>
      </c>
      <c r="L112" s="199">
        <f>SUM(L74,J74,I74,H74)</f>
        <v>8121</v>
      </c>
      <c r="M112" s="199">
        <f>SUM(M74,L74,J74,I74)</f>
        <v>8298</v>
      </c>
      <c r="N112" s="199">
        <f>SUM(N74,M74,L74,J74)</f>
        <v>8467</v>
      </c>
      <c r="O112" s="199">
        <f>SUM(O74,N74,M74,L74)</f>
        <v>8543</v>
      </c>
      <c r="P112" s="198">
        <f>P74</f>
        <v>8543</v>
      </c>
      <c r="Q112" s="199">
        <f>SUM(Q74,O74,N74,M74)</f>
        <v>8546</v>
      </c>
      <c r="R112" s="199">
        <f>SUM(R74,Q74,O74,N74)</f>
        <v>8516</v>
      </c>
      <c r="S112" s="199">
        <f>SUM(S74,R74,Q74,O74)</f>
        <v>8496</v>
      </c>
      <c r="T112" s="199">
        <f>SUM(T74,S74,R74,Q74)</f>
        <v>8381</v>
      </c>
      <c r="U112" s="198">
        <f>U74</f>
        <v>8381</v>
      </c>
      <c r="V112" s="199">
        <f>SUM(V74,T74,S74,R74)</f>
        <v>8456</v>
      </c>
      <c r="W112" s="199">
        <f>SUM(W74,V74,T74,S74)</f>
        <v>8504</v>
      </c>
      <c r="X112" s="199">
        <f>SUM(X74,W74,V74,T74)</f>
        <v>8545</v>
      </c>
      <c r="Y112" s="199">
        <f>SUM(Y74,X74,W74,V74)</f>
        <v>8697</v>
      </c>
      <c r="Z112" s="198">
        <f>Z74</f>
        <v>8697</v>
      </c>
      <c r="AA112" s="199">
        <f>SUM(AA74,Y74,X74,W74)</f>
        <v>8733</v>
      </c>
      <c r="AB112" s="199">
        <f>SUM(AB74,AA74,Y74,X74)</f>
        <v>9034</v>
      </c>
      <c r="AC112" s="199">
        <f>SUM(AC74,AB74,AA74,Y74)</f>
        <v>9147</v>
      </c>
      <c r="AD112" s="199">
        <f>SUM(AD74,AC74,AB74,AA74)</f>
        <v>9236</v>
      </c>
      <c r="AE112" s="198">
        <f>AE74</f>
        <v>9236</v>
      </c>
      <c r="AF112" s="199">
        <f>SUM(AF74,AD74,AC74,AB74)</f>
        <v>9342</v>
      </c>
      <c r="AG112" s="199">
        <f>SUM(AG74,AF74,AD74,AC74)</f>
        <v>9590</v>
      </c>
      <c r="AH112" s="199">
        <f>SUM(AH74,AG74,AF74,AD74)</f>
        <v>9576</v>
      </c>
      <c r="AI112" s="199">
        <f>SUM(AI74,AH74,AG74,AF74)</f>
        <v>9592</v>
      </c>
      <c r="AJ112" s="198">
        <f>AJ74</f>
        <v>9592</v>
      </c>
      <c r="AK112" s="199">
        <f>SUM(AK74,AI74,AH74,AG74)</f>
        <v>9357</v>
      </c>
      <c r="AL112" s="199">
        <f>SUM(AL74,AK74,AI74,AH74)</f>
        <v>8654</v>
      </c>
      <c r="AM112" s="199">
        <f>SUM(AM74,AL74,AK74,AI74)</f>
        <v>8567</v>
      </c>
      <c r="AN112" s="199">
        <f>SUM(AN74,AM74,AL74,AK74)</f>
        <v>8415</v>
      </c>
      <c r="AO112" s="198">
        <f>AO74</f>
        <v>8415</v>
      </c>
      <c r="AP112" s="199">
        <f>SUM(AP74,AN74,AM74,AL74)</f>
        <v>8482</v>
      </c>
      <c r="AQ112" s="199">
        <f>SUM(AQ74,AP74,AN74,AM74)</f>
        <v>8304</v>
      </c>
      <c r="AR112" s="199">
        <f>SUM(AR74,AQ74,AP74,AN74)</f>
        <v>8410</v>
      </c>
      <c r="AS112" s="199">
        <f>SUM(AS74,AR74,AQ74,AP74)</f>
        <v>8755</v>
      </c>
      <c r="AT112" s="198">
        <f>AT74</f>
        <v>8755</v>
      </c>
      <c r="AU112" s="852">
        <f>SUM(AU74,AS74,AR74,AQ74)</f>
        <v>9091</v>
      </c>
      <c r="AV112" s="199">
        <f>SUM(AV74,AU74,AS74,AR74)</f>
        <v>9311.9743847999998</v>
      </c>
      <c r="AW112" s="199">
        <f>SUM(AW74,AV74,AU74,AS74)</f>
        <v>9384.6659528</v>
      </c>
      <c r="AX112" s="199">
        <f>SUM(AX74,AW74,AV74,AU74)</f>
        <v>9602.7317612000006</v>
      </c>
      <c r="AY112" s="198">
        <f>AY74</f>
        <v>9602.7317612000006</v>
      </c>
      <c r="AZ112" s="199">
        <f>SUM(AZ74,AX74,AW74,AV74)</f>
        <v>9832.4778960000003</v>
      </c>
      <c r="BA112" s="199">
        <f>SUM(BA74,AZ74,AX74,AW74)</f>
        <v>10112.104555552001</v>
      </c>
      <c r="BB112" s="199">
        <f>SUM(BB74,BA74,AZ74,AX74)</f>
        <v>10191.362046144</v>
      </c>
      <c r="BC112" s="199">
        <f>SUM(BC74,BB74,BA74,AZ74)</f>
        <v>10391.701287356002</v>
      </c>
      <c r="BD112" s="198">
        <f>BD74</f>
        <v>10391.701287356002</v>
      </c>
      <c r="BE112" s="198">
        <f>BE74</f>
        <v>11195.589153213179</v>
      </c>
      <c r="BF112" s="198">
        <f>BF74</f>
        <v>12067.758610940777</v>
      </c>
      <c r="BG112" s="198">
        <f>BG74</f>
        <v>13013.838469852113</v>
      </c>
      <c r="BH112" s="251"/>
    </row>
    <row r="113" spans="1:60" s="156" customFormat="1" hidden="1" outlineLevel="1" x14ac:dyDescent="0.35">
      <c r="A113" s="321" t="s">
        <v>313</v>
      </c>
      <c r="B113" s="337"/>
      <c r="C113" s="198">
        <f>C89</f>
        <v>4736</v>
      </c>
      <c r="D113" s="198">
        <f>D89</f>
        <v>5038</v>
      </c>
      <c r="E113" s="198">
        <f>E89</f>
        <v>5943</v>
      </c>
      <c r="F113" s="198">
        <f>F89</f>
        <v>5497</v>
      </c>
      <c r="G113" s="199"/>
      <c r="H113" s="199"/>
      <c r="I113" s="199"/>
      <c r="J113" s="199">
        <f>SUM(J89,I89,H89,G89)</f>
        <v>6144</v>
      </c>
      <c r="K113" s="198">
        <f>K89</f>
        <v>6144</v>
      </c>
      <c r="L113" s="199">
        <f>SUM(L89,J89,I89,H89)</f>
        <v>6080</v>
      </c>
      <c r="M113" s="199">
        <f>SUM(M89,L89,J89,I89)</f>
        <v>6249</v>
      </c>
      <c r="N113" s="199">
        <f>SUM(N89,M89,L89,J89)</f>
        <v>6518</v>
      </c>
      <c r="O113" s="199">
        <f>SUM(O89,N89,M89,L89)</f>
        <v>6549</v>
      </c>
      <c r="P113" s="198">
        <f>P89</f>
        <v>6549</v>
      </c>
      <c r="Q113" s="199">
        <f>SUM(Q89,O89,N89,M89)</f>
        <v>6594</v>
      </c>
      <c r="R113" s="199">
        <f>SUM(R89,Q89,O89,N89)</f>
        <v>6811</v>
      </c>
      <c r="S113" s="199">
        <f>SUM(S89,R89,Q89,O89)</f>
        <v>6983</v>
      </c>
      <c r="T113" s="199">
        <f>SUM(T89,S89,R89,Q89)</f>
        <v>7082</v>
      </c>
      <c r="U113" s="198">
        <f>U89</f>
        <v>7082</v>
      </c>
      <c r="V113" s="199">
        <f>SUM(V89,T89,S89,R89)</f>
        <v>7161</v>
      </c>
      <c r="W113" s="199">
        <f>SUM(W89,V89,T89,S89)</f>
        <v>6817</v>
      </c>
      <c r="X113" s="199">
        <f>SUM(X89,W89,V89,T89)</f>
        <v>6544</v>
      </c>
      <c r="Y113" s="199">
        <f>SUM(Y89,X89,W89,V89)</f>
        <v>6705</v>
      </c>
      <c r="Z113" s="198">
        <f>Z89</f>
        <v>6705</v>
      </c>
      <c r="AA113" s="199">
        <f>SUM(AA89,Y89,X89,W89)</f>
        <v>6593</v>
      </c>
      <c r="AB113" s="199">
        <f>SUM(AB89,AA89,Y89,X89)</f>
        <v>6541</v>
      </c>
      <c r="AC113" s="199">
        <f>SUM(AC89,AB89,AA89,Y89)</f>
        <v>6851</v>
      </c>
      <c r="AD113" s="199">
        <f>SUM(AD89,AC89,AB89,AA89)</f>
        <v>5625</v>
      </c>
      <c r="AE113" s="198">
        <f>AE89</f>
        <v>5625</v>
      </c>
      <c r="AF113" s="199">
        <f>SUM(AF89,AD89,AC89,AB89)</f>
        <v>4884</v>
      </c>
      <c r="AG113" s="199">
        <f>SUM(AG89,AF89,AD89,AC89)</f>
        <v>5266</v>
      </c>
      <c r="AH113" s="199">
        <f>SUM(AH89,AG89,AF89,AD89)</f>
        <v>5275</v>
      </c>
      <c r="AI113" s="199">
        <f>SUM(AI89,AH89,AG89,AF89)</f>
        <v>6591</v>
      </c>
      <c r="AJ113" s="198">
        <f>AJ89</f>
        <v>6591</v>
      </c>
      <c r="AK113" s="199">
        <f>SUM(AK89,AI89,AH89,AG89)</f>
        <v>7061</v>
      </c>
      <c r="AL113" s="199">
        <f>SUM(AL89,AK89,AI89,AH89)</f>
        <v>6869</v>
      </c>
      <c r="AM113" s="199">
        <f>SUM(AM89,AL89,AK89,AI89)</f>
        <v>6850</v>
      </c>
      <c r="AN113" s="199">
        <f>SUM(AN89,AM89,AL89,AK89)</f>
        <v>6378</v>
      </c>
      <c r="AO113" s="198">
        <f>AO89</f>
        <v>6378</v>
      </c>
      <c r="AP113" s="199">
        <f>SUM(AP89,AN89,AM89,AL89)</f>
        <v>6958</v>
      </c>
      <c r="AQ113" s="199">
        <f>SUM(AQ89,AP89,AN89,AM89)</f>
        <v>6707</v>
      </c>
      <c r="AR113" s="199">
        <f>SUM(AR89,AQ89,AP89,AN89)</f>
        <v>6684</v>
      </c>
      <c r="AS113" s="199">
        <f>SUM(AS89,AR89,AQ89,AP89)</f>
        <v>7257</v>
      </c>
      <c r="AT113" s="198">
        <f>AT89</f>
        <v>7257</v>
      </c>
      <c r="AU113" s="852">
        <f>SUM(AU89,AS89,AR89,AQ89)</f>
        <v>7551</v>
      </c>
      <c r="AV113" s="199">
        <f>SUM(AV89,AU89,AS89,AR89)</f>
        <v>7782.4530607016986</v>
      </c>
      <c r="AW113" s="199">
        <f>SUM(AW89,AV89,AU89,AS89)</f>
        <v>7908.8058381668079</v>
      </c>
      <c r="AX113" s="199">
        <f>SUM(AX89,AW89,AV89,AU89)</f>
        <v>8112.7168596195306</v>
      </c>
      <c r="AY113" s="198">
        <f>AY89</f>
        <v>8112.7168596195306</v>
      </c>
      <c r="AZ113" s="199">
        <f>SUM(AZ89,AX89,AW89,AV89)</f>
        <v>8169.3567185232278</v>
      </c>
      <c r="BA113" s="199">
        <f ca="1">SUM(BA89,AZ89,AX89,AW89)</f>
        <v>8396.4051491878254</v>
      </c>
      <c r="BB113" s="199">
        <f ca="1">SUM(BB89,BA89,AZ89,AX89)</f>
        <v>8461.4251893054352</v>
      </c>
      <c r="BC113" s="199">
        <f ca="1">SUM(BC89,BB89,BA89,AZ89)</f>
        <v>8624.6026144937787</v>
      </c>
      <c r="BD113" s="198">
        <f ca="1">BD89</f>
        <v>8624.6026144937787</v>
      </c>
      <c r="BE113" s="198">
        <f ca="1">BE89</f>
        <v>9279.0768052823114</v>
      </c>
      <c r="BF113" s="198">
        <f ca="1">BF89</f>
        <v>9993.1708022494713</v>
      </c>
      <c r="BG113" s="198">
        <f ca="1">BG89</f>
        <v>10770.619039878158</v>
      </c>
      <c r="BH113" s="251"/>
    </row>
    <row r="114" spans="1:60" collapsed="1" x14ac:dyDescent="0.35">
      <c r="A114" s="303"/>
      <c r="B114" s="310"/>
      <c r="C114" s="904"/>
      <c r="D114" s="904"/>
      <c r="E114" s="904"/>
      <c r="F114" s="904"/>
      <c r="G114" s="905"/>
      <c r="H114" s="905"/>
      <c r="I114" s="905"/>
      <c r="J114" s="905"/>
      <c r="K114" s="904"/>
      <c r="L114" s="905"/>
      <c r="M114" s="905"/>
      <c r="N114" s="905"/>
      <c r="O114" s="905"/>
      <c r="P114" s="904"/>
      <c r="Q114" s="905"/>
      <c r="R114" s="905"/>
      <c r="S114" s="905"/>
      <c r="T114" s="905"/>
      <c r="U114" s="904"/>
      <c r="V114" s="905"/>
      <c r="W114" s="905"/>
      <c r="X114" s="905"/>
      <c r="Y114" s="905"/>
      <c r="Z114" s="904"/>
      <c r="AA114" s="905"/>
      <c r="AB114" s="905"/>
      <c r="AC114" s="905"/>
      <c r="AD114" s="905"/>
      <c r="AE114" s="904"/>
      <c r="AF114" s="905"/>
      <c r="AG114" s="905"/>
      <c r="AH114" s="905"/>
      <c r="AI114" s="905"/>
      <c r="AJ114" s="904"/>
      <c r="AK114" s="905"/>
      <c r="AL114" s="905"/>
      <c r="AM114" s="905"/>
      <c r="AN114" s="905"/>
      <c r="AO114" s="904"/>
      <c r="AP114" s="905"/>
      <c r="AQ114" s="905"/>
      <c r="AR114" s="905"/>
      <c r="AS114" s="905"/>
      <c r="AT114" s="904"/>
      <c r="AU114" s="906"/>
      <c r="AV114" s="905"/>
      <c r="AW114" s="905"/>
      <c r="AX114" s="905"/>
      <c r="AY114" s="904"/>
      <c r="AZ114" s="905"/>
      <c r="BA114" s="905"/>
      <c r="BB114" s="905"/>
      <c r="BC114" s="905"/>
      <c r="BD114" s="904"/>
      <c r="BE114" s="904"/>
      <c r="BF114" s="904"/>
      <c r="BG114" s="904"/>
      <c r="BH114" s="844"/>
    </row>
    <row r="115" spans="1:60" x14ac:dyDescent="0.35">
      <c r="A115" s="193" t="s">
        <v>314</v>
      </c>
      <c r="B115" s="845"/>
      <c r="C115" s="907"/>
      <c r="D115" s="907"/>
      <c r="E115" s="907"/>
      <c r="F115" s="907"/>
      <c r="G115" s="907"/>
      <c r="H115" s="907"/>
      <c r="I115" s="907"/>
      <c r="J115" s="907"/>
      <c r="K115" s="907"/>
      <c r="L115" s="907"/>
      <c r="M115" s="907"/>
      <c r="N115" s="907"/>
      <c r="O115" s="907"/>
      <c r="P115" s="907"/>
      <c r="Q115" s="907"/>
      <c r="R115" s="907"/>
      <c r="S115" s="907"/>
      <c r="T115" s="907"/>
      <c r="U115" s="907"/>
      <c r="V115" s="907"/>
      <c r="W115" s="907"/>
      <c r="X115" s="907"/>
      <c r="Y115" s="907"/>
      <c r="Z115" s="907"/>
      <c r="AA115" s="907"/>
      <c r="AB115" s="907"/>
      <c r="AC115" s="907"/>
      <c r="AD115" s="907"/>
      <c r="AE115" s="907"/>
      <c r="AF115" s="907"/>
      <c r="AG115" s="907"/>
      <c r="AH115" s="907"/>
      <c r="AI115" s="907"/>
      <c r="AJ115" s="907"/>
      <c r="AK115" s="907"/>
      <c r="AL115" s="907"/>
      <c r="AM115" s="907"/>
      <c r="AN115" s="907"/>
      <c r="AO115" s="907"/>
      <c r="AP115" s="907"/>
      <c r="AQ115" s="907"/>
      <c r="AR115" s="907"/>
      <c r="AS115" s="907"/>
      <c r="AT115" s="907"/>
      <c r="AU115" s="908"/>
      <c r="AV115" s="907"/>
      <c r="AW115" s="907"/>
      <c r="AX115" s="907"/>
      <c r="AY115" s="907"/>
      <c r="AZ115" s="907"/>
      <c r="BA115" s="907"/>
      <c r="BB115" s="907"/>
      <c r="BC115" s="907"/>
      <c r="BD115" s="907"/>
      <c r="BE115" s="907"/>
      <c r="BF115" s="907"/>
      <c r="BG115" s="907"/>
      <c r="BH115" s="846"/>
    </row>
    <row r="116" spans="1:60" s="252" customFormat="1" hidden="1" outlineLevel="1" x14ac:dyDescent="0.35">
      <c r="A116" s="308" t="s">
        <v>315</v>
      </c>
      <c r="B116" s="309"/>
      <c r="C116" s="198">
        <f t="shared" ref="C116:AH116" si="166">INDEX(SP_NGF_NI,0,COLUMN())</f>
        <v>3193</v>
      </c>
      <c r="D116" s="198">
        <f t="shared" si="166"/>
        <v>4085</v>
      </c>
      <c r="E116" s="198">
        <f t="shared" si="166"/>
        <v>4283</v>
      </c>
      <c r="F116" s="198">
        <f t="shared" si="166"/>
        <v>4444</v>
      </c>
      <c r="G116" s="199">
        <f t="shared" si="166"/>
        <v>1129</v>
      </c>
      <c r="H116" s="199">
        <f t="shared" si="166"/>
        <v>1197</v>
      </c>
      <c r="I116" s="199">
        <f t="shared" si="166"/>
        <v>1230</v>
      </c>
      <c r="J116" s="199">
        <f t="shared" si="166"/>
        <v>1103</v>
      </c>
      <c r="K116" s="198">
        <f t="shared" si="166"/>
        <v>4659</v>
      </c>
      <c r="L116" s="199">
        <f t="shared" si="166"/>
        <v>1207</v>
      </c>
      <c r="M116" s="199">
        <f t="shared" si="166"/>
        <v>1267</v>
      </c>
      <c r="N116" s="199">
        <f t="shared" si="166"/>
        <v>1303</v>
      </c>
      <c r="O116" s="199">
        <f t="shared" si="166"/>
        <v>1179</v>
      </c>
      <c r="P116" s="198">
        <f t="shared" si="166"/>
        <v>4956</v>
      </c>
      <c r="Q116" s="199">
        <f t="shared" si="166"/>
        <v>1199</v>
      </c>
      <c r="R116" s="199">
        <f t="shared" si="166"/>
        <v>1300</v>
      </c>
      <c r="S116" s="199">
        <f t="shared" si="166"/>
        <v>1296</v>
      </c>
      <c r="T116" s="199">
        <f t="shared" si="166"/>
        <v>1038</v>
      </c>
      <c r="U116" s="198">
        <f t="shared" si="166"/>
        <v>4833</v>
      </c>
      <c r="V116" s="199">
        <f t="shared" si="166"/>
        <v>1275</v>
      </c>
      <c r="W116" s="199">
        <f t="shared" si="166"/>
        <v>1291</v>
      </c>
      <c r="X116" s="199">
        <f t="shared" si="166"/>
        <v>1329</v>
      </c>
      <c r="Y116" s="199">
        <f t="shared" si="166"/>
        <v>1155</v>
      </c>
      <c r="Z116" s="198">
        <f t="shared" si="166"/>
        <v>5050</v>
      </c>
      <c r="AA116" s="199">
        <f t="shared" si="166"/>
        <v>1323</v>
      </c>
      <c r="AB116" s="199">
        <f t="shared" si="166"/>
        <v>1583</v>
      </c>
      <c r="AC116" s="199">
        <f t="shared" si="166"/>
        <v>1429</v>
      </c>
      <c r="AD116" s="199">
        <f t="shared" si="166"/>
        <v>1285</v>
      </c>
      <c r="AE116" s="198">
        <f t="shared" si="166"/>
        <v>5620</v>
      </c>
      <c r="AF116" s="199">
        <f t="shared" si="166"/>
        <v>1529</v>
      </c>
      <c r="AG116" s="199">
        <f t="shared" si="166"/>
        <v>1857</v>
      </c>
      <c r="AH116" s="199">
        <f t="shared" si="166"/>
        <v>1543</v>
      </c>
      <c r="AI116" s="199">
        <f t="shared" ref="AI116:AY116" si="167">INDEX(SP_NGF_NI,0,COLUMN())</f>
        <v>1366</v>
      </c>
      <c r="AJ116" s="198">
        <f t="shared" si="167"/>
        <v>6295</v>
      </c>
      <c r="AK116" s="199">
        <f t="shared" si="167"/>
        <v>1308</v>
      </c>
      <c r="AL116" s="199">
        <f t="shared" si="167"/>
        <v>1246</v>
      </c>
      <c r="AM116" s="199">
        <f t="shared" si="167"/>
        <v>1504</v>
      </c>
      <c r="AN116" s="199">
        <f t="shared" si="167"/>
        <v>1135</v>
      </c>
      <c r="AO116" s="198">
        <f t="shared" si="167"/>
        <v>5193</v>
      </c>
      <c r="AP116" s="199">
        <f t="shared" si="167"/>
        <v>1254</v>
      </c>
      <c r="AQ116" s="199">
        <f t="shared" si="167"/>
        <v>1032</v>
      </c>
      <c r="AR116" s="199">
        <f>INDEX(SP_NGF_NI,0,COLUMN())</f>
        <v>1413</v>
      </c>
      <c r="AS116" s="199">
        <f>INDEX(SP_NGF_NI,0,COLUMN())</f>
        <v>1389</v>
      </c>
      <c r="AT116" s="198">
        <f>INDEX(SP_NGF_NI,0,COLUMN())</f>
        <v>5088</v>
      </c>
      <c r="AU116" s="852">
        <f t="shared" si="167"/>
        <v>1624</v>
      </c>
      <c r="AV116" s="199">
        <f t="shared" si="167"/>
        <v>1242.0097752522743</v>
      </c>
      <c r="AW116" s="199">
        <f t="shared" si="167"/>
        <v>1510.1218446881926</v>
      </c>
      <c r="AX116" s="199">
        <f t="shared" si="167"/>
        <v>1591.6169221575942</v>
      </c>
      <c r="AY116" s="198">
        <f t="shared" si="167"/>
        <v>5967.7485420980611</v>
      </c>
      <c r="AZ116" s="199">
        <f t="shared" ref="AZ116:BG116" si="168">INDEX(SP_NGF_NI,0,COLUMN())</f>
        <v>1687.9080105357048</v>
      </c>
      <c r="BA116" s="199">
        <f t="shared" ca="1" si="168"/>
        <v>1463.4520718263889</v>
      </c>
      <c r="BB116" s="199">
        <f t="shared" ca="1" si="168"/>
        <v>1573.5364517164776</v>
      </c>
      <c r="BC116" s="199">
        <f t="shared" ca="1" si="168"/>
        <v>1750.7652751190656</v>
      </c>
      <c r="BD116" s="198">
        <f t="shared" ca="1" si="168"/>
        <v>6475.6618091976379</v>
      </c>
      <c r="BE116" s="198">
        <f t="shared" ca="1" si="168"/>
        <v>7113.9761434234888</v>
      </c>
      <c r="BF116" s="198">
        <f t="shared" ca="1" si="168"/>
        <v>7810.4381898482488</v>
      </c>
      <c r="BG116" s="198">
        <f t="shared" ca="1" si="168"/>
        <v>8568.6901746959811</v>
      </c>
      <c r="BH116" s="199"/>
    </row>
    <row r="117" spans="1:60" s="252" customFormat="1" hidden="1" outlineLevel="1" x14ac:dyDescent="0.35">
      <c r="A117" s="308" t="s">
        <v>316</v>
      </c>
      <c r="B117" s="309"/>
      <c r="C117" s="198">
        <f>C116</f>
        <v>3193</v>
      </c>
      <c r="D117" s="198">
        <f>D116</f>
        <v>4085</v>
      </c>
      <c r="E117" s="198">
        <f>E116</f>
        <v>4283</v>
      </c>
      <c r="F117" s="198">
        <f>F116</f>
        <v>4444</v>
      </c>
      <c r="G117" s="199"/>
      <c r="H117" s="199"/>
      <c r="I117" s="199"/>
      <c r="J117" s="199">
        <f>SUM(J116,I116,H116,G116)</f>
        <v>4659</v>
      </c>
      <c r="K117" s="198">
        <f>K116</f>
        <v>4659</v>
      </c>
      <c r="L117" s="199">
        <f>SUM(L116,J116,I116,H116)</f>
        <v>4737</v>
      </c>
      <c r="M117" s="199">
        <f>SUM(M116,L116,J116,I116)</f>
        <v>4807</v>
      </c>
      <c r="N117" s="199">
        <f>SUM(N116,M116,L116,J116)</f>
        <v>4880</v>
      </c>
      <c r="O117" s="199">
        <f>SUM(O116,N116,M116,L116)</f>
        <v>4956</v>
      </c>
      <c r="P117" s="198">
        <f>P116</f>
        <v>4956</v>
      </c>
      <c r="Q117" s="199">
        <f>SUM(Q116,O116,N116,M116)</f>
        <v>4948</v>
      </c>
      <c r="R117" s="199">
        <f>SUM(R116,Q116,O116,N116)</f>
        <v>4981</v>
      </c>
      <c r="S117" s="199">
        <f>SUM(S116,R116,Q116,O116)</f>
        <v>4974</v>
      </c>
      <c r="T117" s="199">
        <f>SUM(T116,S116,R116,Q116)</f>
        <v>4833</v>
      </c>
      <c r="U117" s="198">
        <f>U116</f>
        <v>4833</v>
      </c>
      <c r="V117" s="199">
        <f>SUM(V116,T116,S116,R116)</f>
        <v>4909</v>
      </c>
      <c r="W117" s="199">
        <f>SUM(W116,V116,T116,S116)</f>
        <v>4900</v>
      </c>
      <c r="X117" s="199">
        <f>SUM(X116,W116,V116,T116)</f>
        <v>4933</v>
      </c>
      <c r="Y117" s="199">
        <f>SUM(Y116,X116,W116,V116)</f>
        <v>5050</v>
      </c>
      <c r="Z117" s="198">
        <f>Z116</f>
        <v>5050</v>
      </c>
      <c r="AA117" s="199">
        <f>SUM(AA116,Y116,X116,W116)</f>
        <v>5098</v>
      </c>
      <c r="AB117" s="199">
        <f>SUM(AB116,AA116,Y116,X116)</f>
        <v>5390</v>
      </c>
      <c r="AC117" s="199">
        <f>SUM(AC116,AB116,AA116,Y116)</f>
        <v>5490</v>
      </c>
      <c r="AD117" s="199">
        <f>SUM(AD116,AC116,AB116,AA116)</f>
        <v>5620</v>
      </c>
      <c r="AE117" s="198">
        <f>AE116</f>
        <v>5620</v>
      </c>
      <c r="AF117" s="199">
        <f>SUM(AF116,AD116,AC116,AB116)</f>
        <v>5826</v>
      </c>
      <c r="AG117" s="199">
        <f>SUM(AG116,AF116,AD116,AC116)</f>
        <v>6100</v>
      </c>
      <c r="AH117" s="199">
        <f>SUM(AH116,AG116,AF116,AD116)</f>
        <v>6214</v>
      </c>
      <c r="AI117" s="199">
        <f>SUM(AI116,AH116,AG116,AF116)</f>
        <v>6295</v>
      </c>
      <c r="AJ117" s="198">
        <f>AJ116</f>
        <v>6295</v>
      </c>
      <c r="AK117" s="199">
        <f>SUM(AK116,AI116,AH116,AG116)</f>
        <v>6074</v>
      </c>
      <c r="AL117" s="199">
        <f>SUM(AL116,AK116,AI116,AH116)</f>
        <v>5463</v>
      </c>
      <c r="AM117" s="199">
        <f>SUM(AM116,AL116,AK116,AI116)</f>
        <v>5424</v>
      </c>
      <c r="AN117" s="199">
        <f>SUM(AN116,AM116,AL116,AK116)</f>
        <v>5193</v>
      </c>
      <c r="AO117" s="198">
        <f>AO116</f>
        <v>5193</v>
      </c>
      <c r="AP117" s="199">
        <f>SUM(AP116,AN116,AM116,AL116)</f>
        <v>5139</v>
      </c>
      <c r="AQ117" s="199">
        <f>SUM(AQ116,AP116,AN116,AM116)</f>
        <v>4925</v>
      </c>
      <c r="AR117" s="199">
        <f>SUM(AR116,AQ116,AP116,AN116)</f>
        <v>4834</v>
      </c>
      <c r="AS117" s="199">
        <f>SUM(AS116,AR116,AQ116,AP116)</f>
        <v>5088</v>
      </c>
      <c r="AT117" s="198">
        <f>AT116</f>
        <v>5088</v>
      </c>
      <c r="AU117" s="852">
        <f>SUM(AU116,AS116,AR116,AQ116)</f>
        <v>5458</v>
      </c>
      <c r="AV117" s="199">
        <f>SUM(AV116,AU116,AS116,AR116)</f>
        <v>5668.0097752522743</v>
      </c>
      <c r="AW117" s="199">
        <f>SUM(AW116,AV116,AU116,AS116)</f>
        <v>5765.1316199404664</v>
      </c>
      <c r="AX117" s="199">
        <f>SUM(AX116,AW116,AV116,AU116)</f>
        <v>5967.7485420980611</v>
      </c>
      <c r="AY117" s="198">
        <f>AY116</f>
        <v>5967.7485420980611</v>
      </c>
      <c r="AZ117" s="199">
        <f>SUM(AZ116,AX116,AW116,AV116)</f>
        <v>6031.6565526337654</v>
      </c>
      <c r="BA117" s="199">
        <f ca="1">SUM(BA116,AZ116,AX116,AW116)</f>
        <v>6253.0988492078795</v>
      </c>
      <c r="BB117" s="199">
        <f ca="1">SUM(BB116,BA116,AZ116,AX116)</f>
        <v>6316.5134562361654</v>
      </c>
      <c r="BC117" s="199">
        <f ca="1">SUM(BC116,BB116,BA116,AZ116)</f>
        <v>6475.6618091976361</v>
      </c>
      <c r="BD117" s="198">
        <f ca="1">BD116</f>
        <v>6475.6618091976379</v>
      </c>
      <c r="BE117" s="198">
        <f ca="1">BE116</f>
        <v>7113.9761434234888</v>
      </c>
      <c r="BF117" s="198">
        <f ca="1">BF116</f>
        <v>7810.4381898482488</v>
      </c>
      <c r="BG117" s="198">
        <f ca="1">BG116</f>
        <v>8568.6901746959811</v>
      </c>
      <c r="BH117" s="199"/>
    </row>
    <row r="118" spans="1:60" s="252" customFormat="1" hidden="1" outlineLevel="1" x14ac:dyDescent="0.35">
      <c r="A118" s="308" t="s">
        <v>317</v>
      </c>
      <c r="B118" s="309"/>
      <c r="C118" s="198">
        <f t="shared" ref="C118:AH118" si="169">INDEX(MO_BS_SE,0,COLUMN())</f>
        <v>12764</v>
      </c>
      <c r="D118" s="198">
        <f t="shared" si="169"/>
        <v>15663</v>
      </c>
      <c r="E118" s="198">
        <f t="shared" si="169"/>
        <v>15420</v>
      </c>
      <c r="F118" s="198">
        <f t="shared" si="169"/>
        <v>17575</v>
      </c>
      <c r="G118" s="199">
        <f t="shared" si="169"/>
        <v>18082</v>
      </c>
      <c r="H118" s="199">
        <f t="shared" si="169"/>
        <v>17876</v>
      </c>
      <c r="I118" s="199">
        <f t="shared" si="169"/>
        <v>17796</v>
      </c>
      <c r="J118" s="199">
        <f t="shared" si="169"/>
        <v>17502</v>
      </c>
      <c r="K118" s="198">
        <f t="shared" si="169"/>
        <v>17502</v>
      </c>
      <c r="L118" s="199">
        <f t="shared" si="169"/>
        <v>17448</v>
      </c>
      <c r="M118" s="199">
        <f t="shared" si="169"/>
        <v>17354</v>
      </c>
      <c r="N118" s="199">
        <f t="shared" si="169"/>
        <v>16173</v>
      </c>
      <c r="O118" s="199">
        <f t="shared" si="169"/>
        <v>13109</v>
      </c>
      <c r="P118" s="198">
        <f t="shared" si="169"/>
        <v>13109</v>
      </c>
      <c r="Q118" s="199">
        <f t="shared" si="169"/>
        <v>13917</v>
      </c>
      <c r="R118" s="199">
        <f t="shared" si="169"/>
        <v>13093</v>
      </c>
      <c r="S118" s="199">
        <f t="shared" si="169"/>
        <v>12186</v>
      </c>
      <c r="T118" s="199">
        <f t="shared" si="169"/>
        <v>11708</v>
      </c>
      <c r="U118" s="198">
        <f t="shared" si="169"/>
        <v>11708</v>
      </c>
      <c r="V118" s="199">
        <f t="shared" si="169"/>
        <v>11733</v>
      </c>
      <c r="W118" s="199">
        <f t="shared" si="169"/>
        <v>11894</v>
      </c>
      <c r="X118" s="199">
        <f t="shared" si="169"/>
        <v>12002</v>
      </c>
      <c r="Y118" s="199">
        <f t="shared" si="169"/>
        <v>10298</v>
      </c>
      <c r="Z118" s="198">
        <f t="shared" si="169"/>
        <v>10298</v>
      </c>
      <c r="AA118" s="199">
        <f t="shared" si="169"/>
        <v>10989</v>
      </c>
      <c r="AB118" s="199">
        <f t="shared" si="169"/>
        <v>11591</v>
      </c>
      <c r="AC118" s="199">
        <f t="shared" si="169"/>
        <v>12146</v>
      </c>
      <c r="AD118" s="199">
        <f t="shared" si="169"/>
        <v>11563</v>
      </c>
      <c r="AE118" s="198">
        <f t="shared" si="169"/>
        <v>11563</v>
      </c>
      <c r="AF118" s="199">
        <f t="shared" si="169"/>
        <v>10977</v>
      </c>
      <c r="AG118" s="199">
        <f t="shared" si="169"/>
        <v>10365</v>
      </c>
      <c r="AH118" s="199">
        <f t="shared" si="169"/>
        <v>10248</v>
      </c>
      <c r="AI118" s="199">
        <f t="shared" ref="AI118:AY118" si="170">INDEX(MO_BS_SE,0,COLUMN())</f>
        <v>9796</v>
      </c>
      <c r="AJ118" s="198">
        <f t="shared" si="170"/>
        <v>9796</v>
      </c>
      <c r="AK118" s="199">
        <f t="shared" si="170"/>
        <v>9703</v>
      </c>
      <c r="AL118" s="199">
        <f t="shared" si="170"/>
        <v>10083</v>
      </c>
      <c r="AM118" s="199">
        <f t="shared" si="170"/>
        <v>10702</v>
      </c>
      <c r="AN118" s="199">
        <f t="shared" si="170"/>
        <v>10063</v>
      </c>
      <c r="AO118" s="198">
        <f t="shared" si="170"/>
        <v>10063</v>
      </c>
      <c r="AP118" s="199">
        <f t="shared" si="170"/>
        <v>10147</v>
      </c>
      <c r="AQ118" s="199">
        <f t="shared" si="170"/>
        <v>10857</v>
      </c>
      <c r="AR118" s="199">
        <f>INDEX(MO_BS_SE,0,COLUMN())</f>
        <v>11880</v>
      </c>
      <c r="AS118" s="199">
        <f>INDEX(MO_BS_SE,0,COLUMN())</f>
        <v>12868</v>
      </c>
      <c r="AT118" s="198">
        <f>INDEX(MO_BS_SE,0,COLUMN())</f>
        <v>12867</v>
      </c>
      <c r="AU118" s="852">
        <f t="shared" si="170"/>
        <v>13760</v>
      </c>
      <c r="AV118" s="199">
        <f t="shared" ca="1" si="170"/>
        <v>13696.684208241961</v>
      </c>
      <c r="AW118" s="199">
        <f t="shared" ca="1" si="170"/>
        <v>13905.294918909531</v>
      </c>
      <c r="AX118" s="199">
        <f t="shared" ca="1" si="170"/>
        <v>14199.215140036191</v>
      </c>
      <c r="AY118" s="198">
        <f t="shared" ca="1" si="170"/>
        <v>14199.215140036191</v>
      </c>
      <c r="AZ118" s="199">
        <f t="shared" ref="AZ118:BG118" ca="1" si="171">INDEX(MO_BS_SE,0,COLUMN())</f>
        <v>14677.900627944728</v>
      </c>
      <c r="BA118" s="199">
        <f t="shared" ca="1" si="171"/>
        <v>14850.604355547701</v>
      </c>
      <c r="BB118" s="199">
        <f t="shared" ca="1" si="171"/>
        <v>15136.866641444518</v>
      </c>
      <c r="BC118" s="199">
        <f t="shared" ca="1" si="171"/>
        <v>15603.83192914768</v>
      </c>
      <c r="BD118" s="198">
        <f t="shared" ca="1" si="171"/>
        <v>15603.83192914768</v>
      </c>
      <c r="BE118" s="198">
        <f t="shared" ca="1" si="171"/>
        <v>17718.206413505839</v>
      </c>
      <c r="BF118" s="198">
        <f t="shared" ca="1" si="171"/>
        <v>20575.112983199266</v>
      </c>
      <c r="BG118" s="198">
        <f t="shared" ca="1" si="171"/>
        <v>24232.108993570815</v>
      </c>
      <c r="BH118" s="199"/>
    </row>
    <row r="119" spans="1:60" s="157" customFormat="1" hidden="1" outlineLevel="1" x14ac:dyDescent="0.35">
      <c r="A119" s="308" t="s">
        <v>318</v>
      </c>
      <c r="B119" s="309"/>
      <c r="C119" s="198">
        <f>C118</f>
        <v>12764</v>
      </c>
      <c r="D119" s="198">
        <f>AVERAGE(D118,C118)</f>
        <v>14213.5</v>
      </c>
      <c r="E119" s="198">
        <f>AVERAGE(E118,D118)</f>
        <v>15541.5</v>
      </c>
      <c r="F119" s="198">
        <f>AVERAGE(F118,E118)</f>
        <v>16497.5</v>
      </c>
      <c r="G119" s="199"/>
      <c r="H119" s="199"/>
      <c r="I119" s="199"/>
      <c r="J119" s="199">
        <f>AVERAGE(J118,I118,H118,G118)</f>
        <v>17814</v>
      </c>
      <c r="K119" s="198">
        <f>AVERAGE(K118,F118)</f>
        <v>17538.5</v>
      </c>
      <c r="L119" s="199">
        <f>AVERAGE(L118,J118,I118,H118)</f>
        <v>17655.5</v>
      </c>
      <c r="M119" s="199">
        <f>AVERAGE(M118,L118,J118,I118)</f>
        <v>17525</v>
      </c>
      <c r="N119" s="199">
        <f>AVERAGE(N118,M118,L118,J118)</f>
        <v>17119.25</v>
      </c>
      <c r="O119" s="199">
        <f>AVERAGE(O118,N118,M118,L118)</f>
        <v>16021</v>
      </c>
      <c r="P119" s="198">
        <f>AVERAGE(P118,K118)</f>
        <v>15305.5</v>
      </c>
      <c r="Q119" s="199">
        <f>AVERAGE(Q118,O118,N118,M118)</f>
        <v>15138.25</v>
      </c>
      <c r="R119" s="199">
        <f>AVERAGE(R118,Q118,O118,N118)</f>
        <v>14073</v>
      </c>
      <c r="S119" s="199">
        <f>AVERAGE(S118,R118,Q118,O118)</f>
        <v>13076.25</v>
      </c>
      <c r="T119" s="199">
        <f>AVERAGE(T118,S118,R118,Q118)</f>
        <v>12726</v>
      </c>
      <c r="U119" s="198">
        <f>AVERAGE(U118,P118)</f>
        <v>12408.5</v>
      </c>
      <c r="V119" s="199">
        <f>AVERAGE(V118,T118,S118,R118)</f>
        <v>12180</v>
      </c>
      <c r="W119" s="199">
        <f>AVERAGE(W118,V118,T118,S118)</f>
        <v>11880.25</v>
      </c>
      <c r="X119" s="199">
        <f>AVERAGE(X118,W118,V118,T118)</f>
        <v>11834.25</v>
      </c>
      <c r="Y119" s="199">
        <f>AVERAGE(Y118,X118,W118,V118)</f>
        <v>11481.75</v>
      </c>
      <c r="Z119" s="198">
        <f>AVERAGE(Z118,U118)</f>
        <v>11003</v>
      </c>
      <c r="AA119" s="199">
        <f>AVERAGE(AA118,Y118,X118,W118)</f>
        <v>11295.75</v>
      </c>
      <c r="AB119" s="199">
        <f>AVERAGE(AB118,AA118,Y118,X118)</f>
        <v>11220</v>
      </c>
      <c r="AC119" s="199">
        <f>AVERAGE(AC118,AB118,AA118,Y118)</f>
        <v>11256</v>
      </c>
      <c r="AD119" s="199">
        <f>AVERAGE(AD118,AC118,AB118,AA118)</f>
        <v>11572.25</v>
      </c>
      <c r="AE119" s="198">
        <f>AVERAGE(AE118,Z118)</f>
        <v>10930.5</v>
      </c>
      <c r="AF119" s="199">
        <f>AVERAGE(AF118,AD118,AC118,AB118)</f>
        <v>11569.25</v>
      </c>
      <c r="AG119" s="199">
        <f>AVERAGE(AG118,AF118,AD118,AC118)</f>
        <v>11262.75</v>
      </c>
      <c r="AH119" s="199">
        <f>AVERAGE(AH118,AG118,AF118,AD118)</f>
        <v>10788.25</v>
      </c>
      <c r="AI119" s="199">
        <f>AVERAGE(AI118,AH118,AG118,AF118)</f>
        <v>10346.5</v>
      </c>
      <c r="AJ119" s="198">
        <f>AVERAGE(AJ118,AE118)</f>
        <v>10679.5</v>
      </c>
      <c r="AK119" s="199">
        <f>AVERAGE(AK118,AI118,AH118,AG118)</f>
        <v>10028</v>
      </c>
      <c r="AL119" s="199">
        <f>AVERAGE(AL118,AK118,AI118,AH118)</f>
        <v>9957.5</v>
      </c>
      <c r="AM119" s="199">
        <f>AVERAGE(AM118,AL118,AK118,AI118)</f>
        <v>10071</v>
      </c>
      <c r="AN119" s="199">
        <f>AVERAGE(AN118,AM118,AL118,AK118)</f>
        <v>10137.75</v>
      </c>
      <c r="AO119" s="198">
        <f>AVERAGE(AO118,AJ118)</f>
        <v>9929.5</v>
      </c>
      <c r="AP119" s="199">
        <f>AVERAGE(AP118,AN118,AM118,AL118)</f>
        <v>10248.75</v>
      </c>
      <c r="AQ119" s="199">
        <f>AVERAGE(AQ118,AP118,AN118,AM118)</f>
        <v>10442.25</v>
      </c>
      <c r="AR119" s="199">
        <f>AVERAGE(AR118,AQ118,AP118,AN118)</f>
        <v>10736.75</v>
      </c>
      <c r="AS119" s="199">
        <f>AVERAGE(AS118,AR118,AQ118,AP118)</f>
        <v>11438</v>
      </c>
      <c r="AT119" s="198">
        <f>AVERAGE(AT118,AO118)</f>
        <v>11465</v>
      </c>
      <c r="AU119" s="852">
        <f>AVERAGE(AU118,AS118,AR118,AQ118)</f>
        <v>12341.25</v>
      </c>
      <c r="AV119" s="199">
        <f ca="1">AVERAGE(AV118,AU118,AS118,AR118)</f>
        <v>13051.17105206049</v>
      </c>
      <c r="AW119" s="199">
        <f ca="1">AVERAGE(AW118,AV118,AU118,AS118)</f>
        <v>13557.494781787873</v>
      </c>
      <c r="AX119" s="199">
        <f ca="1">AVERAGE(AX118,AW118,AV118,AU118)</f>
        <v>13890.298566796921</v>
      </c>
      <c r="AY119" s="198">
        <f ca="1">AVERAGE(AY118,AT118)</f>
        <v>13533.107570018095</v>
      </c>
      <c r="AZ119" s="199">
        <f ca="1">AVERAGE(AZ118,AX118,AW118,AV118)</f>
        <v>14119.773723783102</v>
      </c>
      <c r="BA119" s="199">
        <f ca="1">AVERAGE(BA118,AZ118,AX118,AW118)</f>
        <v>14408.253760609537</v>
      </c>
      <c r="BB119" s="199">
        <f ca="1">AVERAGE(BB118,BA118,AZ118,AX118)</f>
        <v>14716.146691243284</v>
      </c>
      <c r="BC119" s="199">
        <f ca="1">AVERAGE(BC118,BB118,BA118,AZ118)</f>
        <v>15067.300888521157</v>
      </c>
      <c r="BD119" s="198">
        <f ca="1">AVERAGE(BD118,AY118)</f>
        <v>14901.523534591935</v>
      </c>
      <c r="BE119" s="198">
        <f ca="1">AVERAGE(BE118,BD118)</f>
        <v>16661.01917132676</v>
      </c>
      <c r="BF119" s="198">
        <f ca="1">AVERAGE(BF118,BE118)</f>
        <v>19146.659698352552</v>
      </c>
      <c r="BG119" s="198">
        <f ca="1">AVERAGE(BG118,BF118)</f>
        <v>22403.61098838504</v>
      </c>
      <c r="BH119" s="199"/>
    </row>
    <row r="120" spans="1:60" s="148" customFormat="1" collapsed="1" x14ac:dyDescent="0.35">
      <c r="A120" s="329" t="s">
        <v>319</v>
      </c>
      <c r="B120" s="330"/>
      <c r="C120" s="211">
        <f>IF(C119&lt;0,"NMF",IF(ABS(C117/C119)&gt;1,"NMF",C117/C119))</f>
        <v>0.25015669069257285</v>
      </c>
      <c r="D120" s="211">
        <f>IF(D119&lt;0,"NMF",IF(ABS(D117/D119)&gt;1,"NMF",D117/D119))</f>
        <v>0.28740282126147676</v>
      </c>
      <c r="E120" s="211">
        <f>IF(E119&lt;0,"NMF",IF(ABS(E117/E119)&gt;1,"NMF",E117/E119))</f>
        <v>0.2755847247691664</v>
      </c>
      <c r="F120" s="211">
        <f>IF(F119&lt;0,"NMF",IF(ABS(F117/F119)&gt;1,"NMF",F117/F119))</f>
        <v>0.26937414759812095</v>
      </c>
      <c r="G120" s="212"/>
      <c r="H120" s="212"/>
      <c r="I120" s="212"/>
      <c r="J120" s="212"/>
      <c r="K120" s="211">
        <f t="shared" ref="K120:AY120" si="172">IF(K119&lt;0,"NMF",IF(ABS(K117/K119)&gt;1,"NMF",K117/K119))</f>
        <v>0.26564415428913535</v>
      </c>
      <c r="L120" s="212">
        <f t="shared" si="172"/>
        <v>0.26830166237149894</v>
      </c>
      <c r="M120" s="212">
        <f t="shared" si="172"/>
        <v>0.27429386590584881</v>
      </c>
      <c r="N120" s="212">
        <f t="shared" si="172"/>
        <v>0.28505921696335995</v>
      </c>
      <c r="O120" s="212">
        <f t="shared" si="172"/>
        <v>0.30934398601835089</v>
      </c>
      <c r="P120" s="211">
        <f t="shared" si="172"/>
        <v>0.32380516807683513</v>
      </c>
      <c r="Q120" s="212">
        <f t="shared" si="172"/>
        <v>0.326854160817796</v>
      </c>
      <c r="R120" s="212">
        <f t="shared" si="172"/>
        <v>0.35394016911816956</v>
      </c>
      <c r="S120" s="212">
        <f t="shared" si="172"/>
        <v>0.38038428448523087</v>
      </c>
      <c r="T120" s="212">
        <f t="shared" si="172"/>
        <v>0.37977369165487979</v>
      </c>
      <c r="U120" s="211">
        <f t="shared" si="172"/>
        <v>0.38949107466655919</v>
      </c>
      <c r="V120" s="212">
        <f t="shared" si="172"/>
        <v>0.40303776683087028</v>
      </c>
      <c r="W120" s="212">
        <f t="shared" si="172"/>
        <v>0.41244923297068664</v>
      </c>
      <c r="X120" s="212">
        <f t="shared" si="172"/>
        <v>0.41684094894057505</v>
      </c>
      <c r="Y120" s="212">
        <f t="shared" si="172"/>
        <v>0.43982842336751804</v>
      </c>
      <c r="Z120" s="211">
        <f t="shared" si="172"/>
        <v>0.45896573661728618</v>
      </c>
      <c r="AA120" s="212">
        <f t="shared" si="172"/>
        <v>0.45132018679591884</v>
      </c>
      <c r="AB120" s="212">
        <f t="shared" si="172"/>
        <v>0.48039215686274511</v>
      </c>
      <c r="AC120" s="212">
        <f t="shared" si="172"/>
        <v>0.48773987206823027</v>
      </c>
      <c r="AD120" s="212">
        <f t="shared" si="172"/>
        <v>0.48564453757912246</v>
      </c>
      <c r="AE120" s="211">
        <f t="shared" si="172"/>
        <v>0.51415763231325196</v>
      </c>
      <c r="AF120" s="212">
        <f t="shared" si="172"/>
        <v>0.50357629059792119</v>
      </c>
      <c r="AG120" s="212">
        <f t="shared" si="172"/>
        <v>0.54160839936960337</v>
      </c>
      <c r="AH120" s="212">
        <f t="shared" si="172"/>
        <v>0.57599703380993206</v>
      </c>
      <c r="AI120" s="212">
        <f t="shared" si="172"/>
        <v>0.60841830570724398</v>
      </c>
      <c r="AJ120" s="211">
        <f t="shared" si="172"/>
        <v>0.58944707149211106</v>
      </c>
      <c r="AK120" s="212">
        <f t="shared" si="172"/>
        <v>0.60570402871958517</v>
      </c>
      <c r="AL120" s="212">
        <f t="shared" si="172"/>
        <v>0.54863168465980416</v>
      </c>
      <c r="AM120" s="212">
        <f t="shared" si="172"/>
        <v>0.53857610962168601</v>
      </c>
      <c r="AN120" s="212">
        <f t="shared" si="172"/>
        <v>0.51224384108899901</v>
      </c>
      <c r="AO120" s="211">
        <f t="shared" si="172"/>
        <v>0.52298705876428819</v>
      </c>
      <c r="AP120" s="212">
        <f t="shared" si="172"/>
        <v>0.50142700329308454</v>
      </c>
      <c r="AQ120" s="212">
        <f t="shared" si="172"/>
        <v>0.47164164811223636</v>
      </c>
      <c r="AR120" s="212">
        <f>IF(AR119&lt;0,"NMF",IF(ABS(AR117/AR119)&gt;1,"NMF",AR117/AR119))</f>
        <v>0.45022935245768042</v>
      </c>
      <c r="AS120" s="212">
        <f>IF(AS119&lt;0,"NMF",IF(ABS(AS117/AS119)&gt;1,"NMF",AS117/AS119))</f>
        <v>0.44483301276446929</v>
      </c>
      <c r="AT120" s="211">
        <f>IF(AT119&lt;0,"NMF",IF(ABS(AT117/AT119)&gt;1,"NMF",AT117/AT119))</f>
        <v>0.44378543392935021</v>
      </c>
      <c r="AU120" s="865">
        <f t="shared" ref="AU120" si="173">IF(AU119&lt;0,"NMF",IF(ABS(AU117/AU119)&gt;1,"NMF",AU117/AU119))</f>
        <v>0.44225665957662313</v>
      </c>
      <c r="AV120" s="212">
        <f t="shared" ca="1" si="172"/>
        <v>0.43429127950609625</v>
      </c>
      <c r="AW120" s="212">
        <f t="shared" ca="1" si="172"/>
        <v>0.42523576167515215</v>
      </c>
      <c r="AX120" s="212">
        <f t="shared" ca="1" si="172"/>
        <v>0.42963428852157592</v>
      </c>
      <c r="AY120" s="211">
        <f t="shared" ca="1" si="172"/>
        <v>0.44097399737805243</v>
      </c>
      <c r="AZ120" s="212">
        <f t="shared" ref="AZ120:BG120" ca="1" si="174">IF(AZ119&lt;0,"NMF",IF(ABS(AZ117/AZ119)&gt;1,"NMF",AZ117/AZ119))</f>
        <v>0.42717798957883774</v>
      </c>
      <c r="BA120" s="212">
        <f t="shared" ca="1" si="174"/>
        <v>0.43399421977860442</v>
      </c>
      <c r="BB120" s="212">
        <f t="shared" ca="1" si="174"/>
        <v>0.42922332786983919</v>
      </c>
      <c r="BC120" s="212">
        <f t="shared" ca="1" si="174"/>
        <v>0.42978247113463047</v>
      </c>
      <c r="BD120" s="211">
        <f t="shared" ca="1" si="174"/>
        <v>0.43456374069169751</v>
      </c>
      <c r="BE120" s="211">
        <f t="shared" ca="1" si="174"/>
        <v>0.42698325176088159</v>
      </c>
      <c r="BF120" s="211">
        <f t="shared" ca="1" si="174"/>
        <v>0.40792693414404224</v>
      </c>
      <c r="BG120" s="211">
        <f t="shared" ca="1" si="174"/>
        <v>0.38246915549186894</v>
      </c>
      <c r="BH120" s="368"/>
    </row>
    <row r="121" spans="1:60" s="157" customFormat="1" hidden="1" outlineLevel="1" x14ac:dyDescent="0.35">
      <c r="A121" s="308" t="s">
        <v>404</v>
      </c>
      <c r="B121" s="309"/>
      <c r="C121" s="198">
        <f t="shared" ref="C121:AH121" si="175">INDEX(SP_GF_NI,0,COLUMN())+INDEX(SP_GF_IE,0,COLUMN())*(1-INDEX(SP_GF_Tax,0,COLUMN())/INDEX(SP_GF_EBT,0,COLUMN()))+INDEX(SP_GF_NCI,0,COLUMN())</f>
        <v>3371.4628670120896</v>
      </c>
      <c r="D121" s="198">
        <f t="shared" si="175"/>
        <v>4280.9094700260639</v>
      </c>
      <c r="E121" s="198">
        <f t="shared" si="175"/>
        <v>4463.1978113082405</v>
      </c>
      <c r="F121" s="198">
        <f t="shared" si="175"/>
        <v>4604.7572035899857</v>
      </c>
      <c r="G121" s="199">
        <f t="shared" si="175"/>
        <v>1167.5708101422388</v>
      </c>
      <c r="H121" s="199">
        <f t="shared" si="175"/>
        <v>1235.5032914422502</v>
      </c>
      <c r="I121" s="199">
        <f t="shared" si="175"/>
        <v>1261.687062937063</v>
      </c>
      <c r="J121" s="199">
        <f t="shared" si="175"/>
        <v>1131.0423620025674</v>
      </c>
      <c r="K121" s="198">
        <f t="shared" si="175"/>
        <v>4795.8223102712591</v>
      </c>
      <c r="L121" s="199">
        <f t="shared" si="175"/>
        <v>1245.3199052132702</v>
      </c>
      <c r="M121" s="199">
        <f t="shared" si="175"/>
        <v>1308.3780219780219</v>
      </c>
      <c r="N121" s="199">
        <f t="shared" si="175"/>
        <v>1325.6441489361703</v>
      </c>
      <c r="O121" s="199">
        <f t="shared" si="175"/>
        <v>1196.2747252747254</v>
      </c>
      <c r="P121" s="198">
        <f t="shared" si="175"/>
        <v>5075.5380017079424</v>
      </c>
      <c r="Q121" s="199">
        <f t="shared" si="175"/>
        <v>1220.0411039342337</v>
      </c>
      <c r="R121" s="199">
        <f t="shared" si="175"/>
        <v>1323.1346578366447</v>
      </c>
      <c r="S121" s="199">
        <f t="shared" si="175"/>
        <v>1319.809214092141</v>
      </c>
      <c r="T121" s="199">
        <f t="shared" si="175"/>
        <v>1065.2768284347233</v>
      </c>
      <c r="U121" s="198">
        <f t="shared" si="175"/>
        <v>4928.2699692217502</v>
      </c>
      <c r="V121" s="199">
        <f t="shared" si="175"/>
        <v>1308.7422680412371</v>
      </c>
      <c r="W121" s="199">
        <f t="shared" si="175"/>
        <v>1314.8435967302453</v>
      </c>
      <c r="X121" s="199">
        <f t="shared" si="175"/>
        <v>1361.0225563909773</v>
      </c>
      <c r="Y121" s="199">
        <f t="shared" si="175"/>
        <v>1195.4906832298136</v>
      </c>
      <c r="Z121" s="198">
        <f t="shared" si="175"/>
        <v>5179.9140791152704</v>
      </c>
      <c r="AA121" s="199">
        <f t="shared" si="175"/>
        <v>1354.2452504317789</v>
      </c>
      <c r="AB121" s="199">
        <f t="shared" si="175"/>
        <v>1616.0784313725489</v>
      </c>
      <c r="AC121" s="199">
        <f t="shared" si="175"/>
        <v>1464.5733600400602</v>
      </c>
      <c r="AD121" s="199">
        <f t="shared" si="175"/>
        <v>571.78528708133967</v>
      </c>
      <c r="AE121" s="198">
        <f t="shared" si="175"/>
        <v>5044.4594594594591</v>
      </c>
      <c r="AF121" s="199">
        <f t="shared" si="175"/>
        <v>644.30673575129538</v>
      </c>
      <c r="AG121" s="199">
        <f t="shared" si="175"/>
        <v>1919.0485106382978</v>
      </c>
      <c r="AH121" s="199">
        <f t="shared" si="175"/>
        <v>1601.0737913486005</v>
      </c>
      <c r="AI121" s="199">
        <f t="shared" ref="AI121:AY121" si="176">INDEX(SP_GF_NI,0,COLUMN())+INDEX(SP_GF_IE,0,COLUMN())*(1-INDEX(SP_GF_Tax,0,COLUMN())/INDEX(SP_GF_EBT,0,COLUMN()))+INDEX(SP_GF_NCI,0,COLUMN())</f>
        <v>1409.3912790697675</v>
      </c>
      <c r="AJ121" s="198">
        <f t="shared" si="176"/>
        <v>5577.52</v>
      </c>
      <c r="AK121" s="199">
        <f t="shared" si="176"/>
        <v>961.94485294117646</v>
      </c>
      <c r="AL121" s="199">
        <f t="shared" si="176"/>
        <v>1203.740663900415</v>
      </c>
      <c r="AM121" s="199">
        <f t="shared" si="176"/>
        <v>1655.0417090539165</v>
      </c>
      <c r="AN121" s="199">
        <f t="shared" si="176"/>
        <v>1056.4356435643565</v>
      </c>
      <c r="AO121" s="198">
        <f t="shared" si="176"/>
        <v>4877.1988795518209</v>
      </c>
      <c r="AP121" s="199">
        <f t="shared" si="176"/>
        <v>1387.3133375877474</v>
      </c>
      <c r="AQ121" s="199">
        <f t="shared" si="176"/>
        <v>1388.1270718232045</v>
      </c>
      <c r="AR121" s="199">
        <f>INDEX(SP_GF_NI,0,COLUMN())+INDEX(SP_GF_IE,0,COLUMN())*(1-INDEX(SP_GF_Tax,0,COLUMN())/INDEX(SP_GF_EBT,0,COLUMN()))+INDEX(SP_GF_NCI,0,COLUMN())</f>
        <v>1513.6282548476454</v>
      </c>
      <c r="AS121" s="199">
        <f>INDEX(SP_GF_NI,0,COLUMN())+INDEX(SP_GF_IE,0,COLUMN())*(1-INDEX(SP_GF_Tax,0,COLUMN())/INDEX(SP_GF_EBT,0,COLUMN()))+INDEX(SP_GF_NCI,0,COLUMN())</f>
        <v>1500.86783625731</v>
      </c>
      <c r="AT121" s="198">
        <f>INDEX(SP_GF_NI,0,COLUMN())+INDEX(SP_GF_IE,0,COLUMN())*(1-INDEX(SP_GF_Tax,0,COLUMN())/INDEX(SP_GF_EBT,0,COLUMN()))+INDEX(SP_GF_NCI,0,COLUMN())</f>
        <v>5789.8030099836087</v>
      </c>
      <c r="AU121" s="852">
        <f t="shared" si="176"/>
        <v>1734.0066838046273</v>
      </c>
      <c r="AV121" s="199">
        <f t="shared" si="176"/>
        <v>1339.8197639920008</v>
      </c>
      <c r="AW121" s="199">
        <f t="shared" si="176"/>
        <v>1609.7763387200002</v>
      </c>
      <c r="AX121" s="199">
        <f t="shared" si="176"/>
        <v>1690.6519886359999</v>
      </c>
      <c r="AY121" s="198">
        <f t="shared" si="176"/>
        <v>6374.4166054541802</v>
      </c>
      <c r="AZ121" s="199">
        <f t="shared" ref="AZ121:BG121" si="177">INDEX(SP_GF_NI,0,COLUMN())+INDEX(SP_GF_IE,0,COLUMN())*(1-INDEX(SP_GF_Tax,0,COLUMN())/INDEX(SP_GF_EBT,0,COLUMN()))+INDEX(SP_GF_NCI,0,COLUMN())</f>
        <v>1784.4094464920011</v>
      </c>
      <c r="BA121" s="199">
        <f t="shared" ca="1" si="177"/>
        <v>1560.724825038081</v>
      </c>
      <c r="BB121" s="199">
        <f t="shared" ca="1" si="177"/>
        <v>1672.3897562876803</v>
      </c>
      <c r="BC121" s="199">
        <f t="shared" ca="1" si="177"/>
        <v>1848.91998919348</v>
      </c>
      <c r="BD121" s="198">
        <f t="shared" ca="1" si="177"/>
        <v>6866.4440170112384</v>
      </c>
      <c r="BE121" s="198">
        <f t="shared" ca="1" si="177"/>
        <v>7501.5154310384123</v>
      </c>
      <c r="BF121" s="198">
        <f t="shared" ca="1" si="177"/>
        <v>8190.5293026432128</v>
      </c>
      <c r="BG121" s="198">
        <f t="shared" ca="1" si="177"/>
        <v>8937.9323911831652</v>
      </c>
      <c r="BH121" s="199"/>
    </row>
    <row r="122" spans="1:60" s="157" customFormat="1" hidden="1" outlineLevel="1" x14ac:dyDescent="0.35">
      <c r="A122" s="308" t="s">
        <v>320</v>
      </c>
      <c r="B122" s="309"/>
      <c r="C122" s="198">
        <f>C121</f>
        <v>3371.4628670120896</v>
      </c>
      <c r="D122" s="198">
        <f>D121</f>
        <v>4280.9094700260639</v>
      </c>
      <c r="E122" s="198">
        <f>E121</f>
        <v>4463.1978113082405</v>
      </c>
      <c r="F122" s="198">
        <f>F121</f>
        <v>4604.7572035899857</v>
      </c>
      <c r="G122" s="199"/>
      <c r="H122" s="199"/>
      <c r="I122" s="199"/>
      <c r="J122" s="199">
        <f>SUM(J121,I121,H121,G121)</f>
        <v>4795.8035265241197</v>
      </c>
      <c r="K122" s="198">
        <f>K121</f>
        <v>4795.8223102712591</v>
      </c>
      <c r="L122" s="199">
        <f>SUM(L121,J121,I121,H121)</f>
        <v>4873.5526215951504</v>
      </c>
      <c r="M122" s="199">
        <f>SUM(M121,L121,J121,I121)</f>
        <v>4946.4273521309233</v>
      </c>
      <c r="N122" s="199">
        <f>SUM(N121,M121,L121,J121)</f>
        <v>5010.3844381300305</v>
      </c>
      <c r="O122" s="199">
        <f>SUM(O121,N121,M121,L121)</f>
        <v>5075.6168014021878</v>
      </c>
      <c r="P122" s="198">
        <f>P121</f>
        <v>5075.5380017079424</v>
      </c>
      <c r="Q122" s="199">
        <f>SUM(Q121,O121,N121,M121)</f>
        <v>5050.3380001231517</v>
      </c>
      <c r="R122" s="199">
        <f>SUM(R121,Q121,O121,N121)</f>
        <v>5065.0946359817735</v>
      </c>
      <c r="S122" s="199">
        <f>SUM(S121,R121,Q121,O121)</f>
        <v>5059.2597011377438</v>
      </c>
      <c r="T122" s="199">
        <f>SUM(T121,S121,R121,Q121)</f>
        <v>4928.2618042977429</v>
      </c>
      <c r="U122" s="198">
        <f>U121</f>
        <v>4928.2699692217502</v>
      </c>
      <c r="V122" s="199">
        <f>SUM(V121,T121,S121,R121)</f>
        <v>5016.9629684047459</v>
      </c>
      <c r="W122" s="199">
        <f>SUM(W121,V121,T121,S121)</f>
        <v>5008.671907298346</v>
      </c>
      <c r="X122" s="199">
        <f>SUM(X121,W121,V121,T121)</f>
        <v>5049.8852495971832</v>
      </c>
      <c r="Y122" s="199">
        <f>SUM(Y121,X121,W121,V121)</f>
        <v>5180.0991043922731</v>
      </c>
      <c r="Z122" s="198">
        <f>Z121</f>
        <v>5179.9140791152704</v>
      </c>
      <c r="AA122" s="199">
        <f>SUM(AA121,Y121,X121,W121)</f>
        <v>5225.6020867828156</v>
      </c>
      <c r="AB122" s="199">
        <f>SUM(AB121,AA121,Y121,X121)</f>
        <v>5526.8369214251188</v>
      </c>
      <c r="AC122" s="199">
        <f>SUM(AC121,AB121,AA121,Y121)</f>
        <v>5630.3877250742016</v>
      </c>
      <c r="AD122" s="199">
        <f>SUM(AD121,AC121,AB121,AA121)</f>
        <v>5006.6823289257281</v>
      </c>
      <c r="AE122" s="198">
        <f>AE121</f>
        <v>5044.4594594594591</v>
      </c>
      <c r="AF122" s="199">
        <f>SUM(AF121,AD121,AC121,AB121)</f>
        <v>4296.7438142452438</v>
      </c>
      <c r="AG122" s="199">
        <f>SUM(AG121,AF121,AD121,AC121)</f>
        <v>4599.7138935109924</v>
      </c>
      <c r="AH122" s="199">
        <f>SUM(AH121,AG121,AF121,AD121)</f>
        <v>4736.2143248195334</v>
      </c>
      <c r="AI122" s="199">
        <f>SUM(AI121,AH121,AG121,AF121)</f>
        <v>5573.8203168079608</v>
      </c>
      <c r="AJ122" s="198">
        <f>AJ121</f>
        <v>5577.52</v>
      </c>
      <c r="AK122" s="199">
        <f>SUM(AK121,AI121,AH121,AG121)</f>
        <v>5891.4584339978419</v>
      </c>
      <c r="AL122" s="199">
        <f>SUM(AL121,AK121,AI121,AH121)</f>
        <v>5176.1505872599591</v>
      </c>
      <c r="AM122" s="199">
        <f>SUM(AM121,AL121,AK121,AI121)</f>
        <v>5230.1185049652759</v>
      </c>
      <c r="AN122" s="199">
        <f>SUM(AN121,AM121,AL121,AK121)</f>
        <v>4877.1628694598649</v>
      </c>
      <c r="AO122" s="198">
        <f>AO121</f>
        <v>4877.1988795518209</v>
      </c>
      <c r="AP122" s="199">
        <f>SUM(AP121,AN121,AM121,AL121)</f>
        <v>5302.5313541064352</v>
      </c>
      <c r="AQ122" s="199">
        <f>SUM(AQ121,AP121,AN121,AM121)</f>
        <v>5486.9177620292248</v>
      </c>
      <c r="AR122" s="199">
        <f>SUM(AR121,AQ121,AP121,AN121)</f>
        <v>5345.5043078229537</v>
      </c>
      <c r="AS122" s="199">
        <f>SUM(AS121,AR121,AQ121,AP121)</f>
        <v>5789.936500515907</v>
      </c>
      <c r="AT122" s="198">
        <f>AT121</f>
        <v>5789.8030099836087</v>
      </c>
      <c r="AU122" s="852">
        <f>SUM(AU121,AS121,AR121,AQ121)</f>
        <v>6136.629846732787</v>
      </c>
      <c r="AV122" s="199">
        <f>SUM(AV121,AU121,AS121,AR121)</f>
        <v>6088.3225389015834</v>
      </c>
      <c r="AW122" s="199">
        <f>SUM(AW121,AV121,AU121,AS121)</f>
        <v>6184.4706227739389</v>
      </c>
      <c r="AX122" s="199">
        <f>SUM(AX121,AW121,AV121,AU121)</f>
        <v>6374.254775152629</v>
      </c>
      <c r="AY122" s="198">
        <f>AY121</f>
        <v>6374.4166054541802</v>
      </c>
      <c r="AZ122" s="199">
        <f>SUM(AZ121,AX121,AW121,AV121)</f>
        <v>6424.6575378400021</v>
      </c>
      <c r="BA122" s="199">
        <f ca="1">SUM(BA121,AZ121,AX121,AW121)</f>
        <v>6645.562598886082</v>
      </c>
      <c r="BB122" s="199">
        <f ca="1">SUM(BB121,BA121,AZ121,AX121)</f>
        <v>6708.1760164537627</v>
      </c>
      <c r="BC122" s="199">
        <f ca="1">SUM(BC121,BB121,BA121,AZ121)</f>
        <v>6866.4440170112421</v>
      </c>
      <c r="BD122" s="198">
        <f ca="1">BD121</f>
        <v>6866.4440170112384</v>
      </c>
      <c r="BE122" s="198">
        <f ca="1">BE121</f>
        <v>7501.5154310384123</v>
      </c>
      <c r="BF122" s="198">
        <f ca="1">BF121</f>
        <v>8190.5293026432128</v>
      </c>
      <c r="BG122" s="198">
        <f ca="1">BG121</f>
        <v>8937.9323911831652</v>
      </c>
      <c r="BH122" s="199"/>
    </row>
    <row r="123" spans="1:60" s="157" customFormat="1" hidden="1" outlineLevel="1" x14ac:dyDescent="0.35">
      <c r="A123" s="308" t="s">
        <v>188</v>
      </c>
      <c r="B123" s="309"/>
      <c r="C123" s="198">
        <f t="shared" ref="C123:AH123" si="178">INDEX(MO_BS_TA,0,COLUMN())</f>
        <v>27250</v>
      </c>
      <c r="D123" s="198">
        <f t="shared" si="178"/>
        <v>30156</v>
      </c>
      <c r="E123" s="198">
        <f t="shared" si="178"/>
        <v>31616</v>
      </c>
      <c r="F123" s="198">
        <f t="shared" si="178"/>
        <v>33876</v>
      </c>
      <c r="G123" s="199">
        <f t="shared" si="178"/>
        <v>34029</v>
      </c>
      <c r="H123" s="199">
        <f t="shared" si="178"/>
        <v>34130</v>
      </c>
      <c r="I123" s="199">
        <f t="shared" si="178"/>
        <v>33604</v>
      </c>
      <c r="J123" s="199">
        <f t="shared" si="178"/>
        <v>33550</v>
      </c>
      <c r="K123" s="198">
        <f t="shared" si="178"/>
        <v>33550</v>
      </c>
      <c r="L123" s="199">
        <f t="shared" si="178"/>
        <v>33547</v>
      </c>
      <c r="M123" s="199">
        <f t="shared" si="178"/>
        <v>33970</v>
      </c>
      <c r="N123" s="199">
        <f t="shared" si="178"/>
        <v>32776</v>
      </c>
      <c r="O123" s="199">
        <f t="shared" si="178"/>
        <v>31209</v>
      </c>
      <c r="P123" s="198">
        <f t="shared" si="178"/>
        <v>31209</v>
      </c>
      <c r="Q123" s="199">
        <f t="shared" si="178"/>
        <v>30643</v>
      </c>
      <c r="R123" s="199">
        <f t="shared" si="178"/>
        <v>31388</v>
      </c>
      <c r="S123" s="199">
        <f t="shared" si="178"/>
        <v>33258</v>
      </c>
      <c r="T123" s="199">
        <f t="shared" si="178"/>
        <v>32718</v>
      </c>
      <c r="U123" s="198">
        <f t="shared" si="178"/>
        <v>32718</v>
      </c>
      <c r="V123" s="199">
        <f t="shared" si="178"/>
        <v>32982</v>
      </c>
      <c r="W123" s="199">
        <f t="shared" si="178"/>
        <v>33235</v>
      </c>
      <c r="X123" s="199">
        <f t="shared" si="178"/>
        <v>34051</v>
      </c>
      <c r="Y123" s="199">
        <f t="shared" si="178"/>
        <v>32906</v>
      </c>
      <c r="Z123" s="198">
        <f t="shared" si="178"/>
        <v>32906</v>
      </c>
      <c r="AA123" s="199">
        <f t="shared" si="178"/>
        <v>33292</v>
      </c>
      <c r="AB123" s="199">
        <f t="shared" si="178"/>
        <v>33957</v>
      </c>
      <c r="AC123" s="199">
        <f t="shared" si="178"/>
        <v>35237</v>
      </c>
      <c r="AD123" s="199">
        <f t="shared" si="178"/>
        <v>37987</v>
      </c>
      <c r="AE123" s="198">
        <f t="shared" si="178"/>
        <v>37987</v>
      </c>
      <c r="AF123" s="199">
        <f t="shared" si="178"/>
        <v>38575</v>
      </c>
      <c r="AG123" s="199">
        <f t="shared" si="178"/>
        <v>36778</v>
      </c>
      <c r="AH123" s="199">
        <f t="shared" si="178"/>
        <v>37275</v>
      </c>
      <c r="AI123" s="199">
        <f t="shared" ref="AI123:AY123" si="179">INDEX(MO_BS_TA,0,COLUMN())</f>
        <v>36500</v>
      </c>
      <c r="AJ123" s="198">
        <f t="shared" si="179"/>
        <v>36500</v>
      </c>
      <c r="AK123" s="199">
        <f t="shared" si="179"/>
        <v>39140</v>
      </c>
      <c r="AL123" s="199">
        <f t="shared" si="179"/>
        <v>38969</v>
      </c>
      <c r="AM123" s="199">
        <f t="shared" si="179"/>
        <v>42550</v>
      </c>
      <c r="AN123" s="199">
        <f t="shared" si="179"/>
        <v>44659</v>
      </c>
      <c r="AO123" s="198">
        <f t="shared" si="179"/>
        <v>44659</v>
      </c>
      <c r="AP123" s="199">
        <f t="shared" si="179"/>
        <v>46212</v>
      </c>
      <c r="AQ123" s="199">
        <f t="shared" si="179"/>
        <v>45079</v>
      </c>
      <c r="AR123" s="199">
        <f>INDEX(MO_BS_TA,0,COLUMN())</f>
        <v>45390</v>
      </c>
      <c r="AS123" s="199">
        <f>INDEX(MO_BS_TA,0,COLUMN())</f>
        <v>47344</v>
      </c>
      <c r="AT123" s="198">
        <f>INDEX(MO_BS_TA,0,COLUMN())</f>
        <v>47344</v>
      </c>
      <c r="AU123" s="852">
        <f t="shared" si="179"/>
        <v>47180</v>
      </c>
      <c r="AV123" s="199">
        <f t="shared" si="179"/>
        <v>46585.362301205823</v>
      </c>
      <c r="AW123" s="199">
        <f t="shared" si="179"/>
        <v>47081.677101616202</v>
      </c>
      <c r="AX123" s="199">
        <f t="shared" si="179"/>
        <v>47784.355127573835</v>
      </c>
      <c r="AY123" s="198">
        <f t="shared" si="179"/>
        <v>47784.355127573835</v>
      </c>
      <c r="AZ123" s="199">
        <f t="shared" ref="AZ123:BG123" ca="1" si="180">INDEX(MO_BS_TA,0,COLUMN())</f>
        <v>48406.160818257747</v>
      </c>
      <c r="BA123" s="199">
        <f t="shared" ca="1" si="180"/>
        <v>48018.411188175916</v>
      </c>
      <c r="BB123" s="199">
        <f t="shared" ca="1" si="180"/>
        <v>48618.325427471726</v>
      </c>
      <c r="BC123" s="199">
        <f t="shared" ca="1" si="180"/>
        <v>49532.978964207068</v>
      </c>
      <c r="BD123" s="198">
        <f t="shared" ca="1" si="180"/>
        <v>49532.978964207068</v>
      </c>
      <c r="BE123" s="198">
        <f t="shared" ca="1" si="180"/>
        <v>52014.475027202294</v>
      </c>
      <c r="BF123" s="198">
        <f t="shared" ca="1" si="180"/>
        <v>55268.695607425921</v>
      </c>
      <c r="BG123" s="198">
        <f t="shared" ca="1" si="180"/>
        <v>59355.636066487554</v>
      </c>
      <c r="BH123" s="199"/>
    </row>
    <row r="124" spans="1:60" s="157" customFormat="1" hidden="1" outlineLevel="1" x14ac:dyDescent="0.35">
      <c r="A124" s="308" t="s">
        <v>321</v>
      </c>
      <c r="B124" s="309"/>
      <c r="C124" s="198">
        <f>C123</f>
        <v>27250</v>
      </c>
      <c r="D124" s="198">
        <f>AVERAGE(D123,C123)</f>
        <v>28703</v>
      </c>
      <c r="E124" s="198">
        <f>AVERAGE(E123,D123)</f>
        <v>30886</v>
      </c>
      <c r="F124" s="198">
        <f>AVERAGE(F123,E123)</f>
        <v>32746</v>
      </c>
      <c r="G124" s="199"/>
      <c r="H124" s="199"/>
      <c r="I124" s="199"/>
      <c r="J124" s="199">
        <f>AVERAGE(J123,I123,H123,G123)</f>
        <v>33828.25</v>
      </c>
      <c r="K124" s="198">
        <f>AVERAGE(K123,F123)</f>
        <v>33713</v>
      </c>
      <c r="L124" s="199">
        <f>AVERAGE(L123,J123,I123,H123)</f>
        <v>33707.75</v>
      </c>
      <c r="M124" s="199">
        <f>AVERAGE(M123,L123,J123,I123)</f>
        <v>33667.75</v>
      </c>
      <c r="N124" s="199">
        <f>AVERAGE(N123,M123,L123,J123)</f>
        <v>33460.75</v>
      </c>
      <c r="O124" s="199">
        <f>AVERAGE(O123,N123,M123,L123)</f>
        <v>32875.5</v>
      </c>
      <c r="P124" s="198">
        <f>AVERAGE(P123,K123)</f>
        <v>32379.5</v>
      </c>
      <c r="Q124" s="199">
        <f>AVERAGE(Q123,O123,N123,M123)</f>
        <v>32149.5</v>
      </c>
      <c r="R124" s="199">
        <f>AVERAGE(R123,Q123,O123,N123)</f>
        <v>31504</v>
      </c>
      <c r="S124" s="199">
        <f>AVERAGE(S123,R123,Q123,O123)</f>
        <v>31624.5</v>
      </c>
      <c r="T124" s="199">
        <f>AVERAGE(T123,S123,R123,Q123)</f>
        <v>32001.75</v>
      </c>
      <c r="U124" s="198">
        <f>AVERAGE(U123,P123)</f>
        <v>31963.5</v>
      </c>
      <c r="V124" s="199">
        <f>AVERAGE(V123,T123,S123,R123)</f>
        <v>32586.5</v>
      </c>
      <c r="W124" s="199">
        <f>AVERAGE(W123,V123,T123,S123)</f>
        <v>33048.25</v>
      </c>
      <c r="X124" s="199">
        <f>AVERAGE(X123,W123,V123,T123)</f>
        <v>33246.5</v>
      </c>
      <c r="Y124" s="199">
        <f>AVERAGE(Y123,X123,W123,V123)</f>
        <v>33293.5</v>
      </c>
      <c r="Z124" s="198">
        <f>AVERAGE(Z123,U123)</f>
        <v>32812</v>
      </c>
      <c r="AA124" s="199">
        <f>AVERAGE(AA123,Y123,X123,W123)</f>
        <v>33371</v>
      </c>
      <c r="AB124" s="199">
        <f>AVERAGE(AB123,AA123,Y123,X123)</f>
        <v>33551.5</v>
      </c>
      <c r="AC124" s="199">
        <f>AVERAGE(AC123,AB123,AA123,Y123)</f>
        <v>33848</v>
      </c>
      <c r="AD124" s="199">
        <f>AVERAGE(AD123,AC123,AB123,AA123)</f>
        <v>35118.25</v>
      </c>
      <c r="AE124" s="198">
        <f>AVERAGE(AE123,Z123)</f>
        <v>35446.5</v>
      </c>
      <c r="AF124" s="199">
        <f>AVERAGE(AF123,AD123,AC123,AB123)</f>
        <v>36439</v>
      </c>
      <c r="AG124" s="199">
        <f>AVERAGE(AG123,AF123,AD123,AC123)</f>
        <v>37144.25</v>
      </c>
      <c r="AH124" s="199">
        <f>AVERAGE(AH123,AG123,AF123,AD123)</f>
        <v>37653.75</v>
      </c>
      <c r="AI124" s="199">
        <f>AVERAGE(AI123,AH123,AG123,AF123)</f>
        <v>37282</v>
      </c>
      <c r="AJ124" s="198">
        <f>AVERAGE(AJ123,AE123)</f>
        <v>37243.5</v>
      </c>
      <c r="AK124" s="199">
        <f>AVERAGE(AK123,AI123,AH123,AG123)</f>
        <v>37423.25</v>
      </c>
      <c r="AL124" s="199">
        <f>AVERAGE(AL123,AK123,AI123,AH123)</f>
        <v>37971</v>
      </c>
      <c r="AM124" s="199">
        <f>AVERAGE(AM123,AL123,AK123,AI123)</f>
        <v>39289.75</v>
      </c>
      <c r="AN124" s="199">
        <f>AVERAGE(AN123,AM123,AL123,AK123)</f>
        <v>41329.5</v>
      </c>
      <c r="AO124" s="198">
        <f>AVERAGE(AO123,AJ123)</f>
        <v>40579.5</v>
      </c>
      <c r="AP124" s="199">
        <f>AVERAGE(AP123,AN123,AM123,AL123)</f>
        <v>43097.5</v>
      </c>
      <c r="AQ124" s="199">
        <f>AVERAGE(AQ123,AP123,AN123,AM123)</f>
        <v>44625</v>
      </c>
      <c r="AR124" s="199">
        <f>AVERAGE(AR123,AQ123,AP123,AN123)</f>
        <v>45335</v>
      </c>
      <c r="AS124" s="199">
        <f>AVERAGE(AS123,AR123,AQ123,AP123)</f>
        <v>46006.25</v>
      </c>
      <c r="AT124" s="198">
        <f>AVERAGE(AT123,AO123)</f>
        <v>46001.5</v>
      </c>
      <c r="AU124" s="852">
        <f>AVERAGE(AU123,AS123,AR123,AQ123)</f>
        <v>46248.25</v>
      </c>
      <c r="AV124" s="199">
        <f>AVERAGE(AV123,AU123,AS123,AR123)</f>
        <v>46624.840575301452</v>
      </c>
      <c r="AW124" s="199">
        <f>AVERAGE(AW123,AV123,AU123,AS123)</f>
        <v>47047.759850705508</v>
      </c>
      <c r="AX124" s="199">
        <f>AVERAGE(AX123,AW123,AV123,AU123)</f>
        <v>47157.848632598965</v>
      </c>
      <c r="AY124" s="198">
        <f>AVERAGE(AY123,AT123)</f>
        <v>47564.177563786914</v>
      </c>
      <c r="AZ124" s="199">
        <f ca="1">AVERAGE(AZ123,AX123,AW123,AV123)</f>
        <v>47464.388837163395</v>
      </c>
      <c r="BA124" s="199">
        <f ca="1">AVERAGE(BA123,AZ123,AX123,AW123)</f>
        <v>47822.651058905925</v>
      </c>
      <c r="BB124" s="199">
        <f ca="1">AVERAGE(BB123,BA123,AZ123,AX123)</f>
        <v>48206.813140369806</v>
      </c>
      <c r="BC124" s="199">
        <f ca="1">AVERAGE(BC123,BB123,BA123,AZ123)</f>
        <v>48643.96909952812</v>
      </c>
      <c r="BD124" s="198">
        <f ca="1">AVERAGE(BD123,AY123)</f>
        <v>48658.667045890455</v>
      </c>
      <c r="BE124" s="198">
        <f ca="1">AVERAGE(BE123,BD123)</f>
        <v>50773.726995704681</v>
      </c>
      <c r="BF124" s="198">
        <f ca="1">AVERAGE(BF123,BE123)</f>
        <v>53641.585317314108</v>
      </c>
      <c r="BG124" s="198">
        <f ca="1">AVERAGE(BG123,BF123)</f>
        <v>57312.165836956738</v>
      </c>
      <c r="BH124" s="199"/>
    </row>
    <row r="125" spans="1:60" s="148" customFormat="1" collapsed="1" x14ac:dyDescent="0.35">
      <c r="A125" s="329" t="s">
        <v>405</v>
      </c>
      <c r="B125" s="330"/>
      <c r="C125" s="211">
        <f>IF(C124&lt;0,"NMF",IF(ABS(C122/C124)&gt;1,"NMF",C122/C124))</f>
        <v>0.12372340796374641</v>
      </c>
      <c r="D125" s="211">
        <f>IF(D124&lt;0,"NMF",IF(ABS(D122/D124)&gt;1,"NMF",D122/D124))</f>
        <v>0.14914501864007471</v>
      </c>
      <c r="E125" s="211">
        <f>IF(E124&lt;0,"NMF",IF(ABS(E122/E124)&gt;1,"NMF",E122/E124))</f>
        <v>0.14450553037972674</v>
      </c>
      <c r="F125" s="211">
        <f>IF(F124&lt;0,"NMF",IF(ABS(F122/F124)&gt;1,"NMF",F122/F124))</f>
        <v>0.14062044840866017</v>
      </c>
      <c r="G125" s="212"/>
      <c r="H125" s="212"/>
      <c r="I125" s="212"/>
      <c r="J125" s="212"/>
      <c r="K125" s="211">
        <f t="shared" ref="K125:AY125" si="181">IF(K124&lt;0,"NMF",IF(ABS(K122/K124)&gt;1,"NMF",K122/K124))</f>
        <v>0.14225439178569865</v>
      </c>
      <c r="L125" s="212">
        <f t="shared" si="181"/>
        <v>0.14458255509771939</v>
      </c>
      <c r="M125" s="212">
        <f t="shared" si="181"/>
        <v>0.14691885712977326</v>
      </c>
      <c r="N125" s="212">
        <f t="shared" si="181"/>
        <v>0.14973915522306078</v>
      </c>
      <c r="O125" s="212">
        <f t="shared" si="181"/>
        <v>0.15438903747173999</v>
      </c>
      <c r="P125" s="211">
        <f t="shared" si="181"/>
        <v>0.156751586704796</v>
      </c>
      <c r="Q125" s="212">
        <f t="shared" si="181"/>
        <v>0.15708916157710545</v>
      </c>
      <c r="R125" s="212">
        <f t="shared" si="181"/>
        <v>0.16077623908017311</v>
      </c>
      <c r="S125" s="212">
        <f t="shared" si="181"/>
        <v>0.15997912065448447</v>
      </c>
      <c r="T125" s="212">
        <f t="shared" si="181"/>
        <v>0.15399975952245559</v>
      </c>
      <c r="U125" s="211">
        <f t="shared" si="181"/>
        <v>0.1541843030087991</v>
      </c>
      <c r="V125" s="212">
        <f t="shared" si="181"/>
        <v>0.15395832533118764</v>
      </c>
      <c r="W125" s="212">
        <f t="shared" si="181"/>
        <v>0.15155634284109887</v>
      </c>
      <c r="X125" s="212">
        <f t="shared" si="181"/>
        <v>0.15189223676468752</v>
      </c>
      <c r="Y125" s="212">
        <f t="shared" si="181"/>
        <v>0.15558890186950225</v>
      </c>
      <c r="Z125" s="211">
        <f t="shared" si="181"/>
        <v>0.1578664537094743</v>
      </c>
      <c r="AA125" s="212">
        <f t="shared" si="181"/>
        <v>0.15659111464393682</v>
      </c>
      <c r="AB125" s="212">
        <f t="shared" si="181"/>
        <v>0.16472696962654781</v>
      </c>
      <c r="AC125" s="212">
        <f t="shared" si="181"/>
        <v>0.16634329133402864</v>
      </c>
      <c r="AD125" s="212">
        <f t="shared" si="181"/>
        <v>0.14256639578924712</v>
      </c>
      <c r="AE125" s="211">
        <f t="shared" si="181"/>
        <v>0.14231191963831294</v>
      </c>
      <c r="AF125" s="212">
        <f t="shared" si="181"/>
        <v>0.11791607382873415</v>
      </c>
      <c r="AG125" s="212">
        <f t="shared" si="181"/>
        <v>0.12383380721137167</v>
      </c>
      <c r="AH125" s="212">
        <f t="shared" si="181"/>
        <v>0.12578333698023525</v>
      </c>
      <c r="AI125" s="212">
        <f t="shared" si="181"/>
        <v>0.14950432693546378</v>
      </c>
      <c r="AJ125" s="211">
        <f t="shared" si="181"/>
        <v>0.14975821284250945</v>
      </c>
      <c r="AK125" s="212">
        <f t="shared" si="181"/>
        <v>0.15742776038953971</v>
      </c>
      <c r="AL125" s="212">
        <f t="shared" si="181"/>
        <v>0.13631852169444994</v>
      </c>
      <c r="AM125" s="212">
        <f t="shared" si="181"/>
        <v>0.13311661451053458</v>
      </c>
      <c r="AN125" s="212">
        <f t="shared" si="181"/>
        <v>0.11800682005492118</v>
      </c>
      <c r="AO125" s="211">
        <f t="shared" si="181"/>
        <v>0.12018873765206128</v>
      </c>
      <c r="AP125" s="212">
        <f t="shared" si="181"/>
        <v>0.12303570634274459</v>
      </c>
      <c r="AQ125" s="212">
        <f t="shared" si="181"/>
        <v>0.12295614032558487</v>
      </c>
      <c r="AR125" s="212">
        <f>IF(AR124&lt;0,"NMF",IF(ABS(AR122/AR124)&gt;1,"NMF",AR122/AR124))</f>
        <v>0.11791120123134341</v>
      </c>
      <c r="AS125" s="212">
        <f>IF(AS124&lt;0,"NMF",IF(ABS(AS122/AS124)&gt;1,"NMF",AS122/AS124))</f>
        <v>0.12585108546156026</v>
      </c>
      <c r="AT125" s="211">
        <f>IF(AT124&lt;0,"NMF",IF(ABS(AT122/AT124)&gt;1,"NMF",AT122/AT124))</f>
        <v>0.12586117865686139</v>
      </c>
      <c r="AU125" s="865">
        <f t="shared" ref="AU125" si="182">IF(AU124&lt;0,"NMF",IF(ABS(AU122/AU124)&gt;1,"NMF",AU122/AU124))</f>
        <v>0.13268890923943688</v>
      </c>
      <c r="AV125" s="212">
        <f t="shared" si="181"/>
        <v>0.13058109076145016</v>
      </c>
      <c r="AW125" s="212">
        <f t="shared" si="181"/>
        <v>0.1314509052588016</v>
      </c>
      <c r="AX125" s="212">
        <f t="shared" si="181"/>
        <v>0.13516848117507796</v>
      </c>
      <c r="AY125" s="211">
        <f t="shared" si="181"/>
        <v>0.13401717283780715</v>
      </c>
      <c r="AZ125" s="212">
        <f t="shared" ref="AZ125:BG125" ca="1" si="183">IF(AZ124&lt;0,"NMF",IF(ABS(AZ122/AZ124)&gt;1,"NMF",AZ122/AZ124))</f>
        <v>0.1353574268043595</v>
      </c>
      <c r="BA125" s="212">
        <f t="shared" ca="1" si="183"/>
        <v>0.13896265580718975</v>
      </c>
      <c r="BB125" s="212">
        <f t="shared" ca="1" si="183"/>
        <v>0.13915410663884226</v>
      </c>
      <c r="BC125" s="212">
        <f t="shared" ca="1" si="183"/>
        <v>0.14115714947031022</v>
      </c>
      <c r="BD125" s="211">
        <f t="shared" ca="1" si="183"/>
        <v>0.14111451122439153</v>
      </c>
      <c r="BE125" s="211">
        <f t="shared" ca="1" si="183"/>
        <v>0.14774403761364652</v>
      </c>
      <c r="BF125" s="211">
        <f t="shared" ca="1" si="183"/>
        <v>0.15268991872989113</v>
      </c>
      <c r="BG125" s="211">
        <f t="shared" ca="1" si="183"/>
        <v>0.15595174707949525</v>
      </c>
      <c r="BH125" s="368"/>
    </row>
    <row r="126" spans="1:60" s="157" customFormat="1" hidden="1" outlineLevel="1" x14ac:dyDescent="0.35">
      <c r="A126" s="308" t="s">
        <v>322</v>
      </c>
      <c r="B126" s="309"/>
      <c r="C126" s="198">
        <f t="shared" ref="C126:AH126" si="184">INDEX(MO_BSS_Debt_Net,0,COLUMN())+INDEX(MO_BSS_Cash,0,COLUMN())</f>
        <v>5710</v>
      </c>
      <c r="D126" s="198">
        <f t="shared" si="184"/>
        <v>5452</v>
      </c>
      <c r="E126" s="198">
        <f t="shared" si="184"/>
        <v>5166</v>
      </c>
      <c r="F126" s="198">
        <f t="shared" si="184"/>
        <v>6001</v>
      </c>
      <c r="G126" s="199">
        <f t="shared" si="184"/>
        <v>5936</v>
      </c>
      <c r="H126" s="199">
        <f t="shared" si="184"/>
        <v>5946</v>
      </c>
      <c r="I126" s="199">
        <f t="shared" si="184"/>
        <v>5777</v>
      </c>
      <c r="J126" s="199">
        <f t="shared" si="184"/>
        <v>6009</v>
      </c>
      <c r="K126" s="198">
        <f t="shared" si="184"/>
        <v>6009</v>
      </c>
      <c r="L126" s="199">
        <f t="shared" si="184"/>
        <v>6577</v>
      </c>
      <c r="M126" s="199">
        <f t="shared" si="184"/>
        <v>6973</v>
      </c>
      <c r="N126" s="199">
        <f t="shared" si="184"/>
        <v>7344</v>
      </c>
      <c r="O126" s="199">
        <f t="shared" si="184"/>
        <v>6811</v>
      </c>
      <c r="P126" s="198">
        <f t="shared" si="184"/>
        <v>6811</v>
      </c>
      <c r="Q126" s="199">
        <f t="shared" si="184"/>
        <v>6591</v>
      </c>
      <c r="R126" s="199">
        <f t="shared" si="184"/>
        <v>8517</v>
      </c>
      <c r="S126" s="199">
        <f t="shared" si="184"/>
        <v>11253</v>
      </c>
      <c r="T126" s="199">
        <f t="shared" si="184"/>
        <v>10797</v>
      </c>
      <c r="U126" s="198">
        <f t="shared" si="184"/>
        <v>10797</v>
      </c>
      <c r="V126" s="199">
        <f t="shared" si="184"/>
        <v>11139</v>
      </c>
      <c r="W126" s="199">
        <f t="shared" si="184"/>
        <v>11749</v>
      </c>
      <c r="X126" s="199">
        <f t="shared" si="184"/>
        <v>12361</v>
      </c>
      <c r="Y126" s="199">
        <f t="shared" si="184"/>
        <v>11650</v>
      </c>
      <c r="Z126" s="198">
        <f t="shared" si="184"/>
        <v>11650</v>
      </c>
      <c r="AA126" s="199">
        <f t="shared" si="184"/>
        <v>11711</v>
      </c>
      <c r="AB126" s="199">
        <f t="shared" si="184"/>
        <v>11301</v>
      </c>
      <c r="AC126" s="199">
        <f t="shared" si="184"/>
        <v>11663</v>
      </c>
      <c r="AD126" s="199">
        <f t="shared" si="184"/>
        <v>13949</v>
      </c>
      <c r="AE126" s="198">
        <f t="shared" si="184"/>
        <v>13949</v>
      </c>
      <c r="AF126" s="199">
        <f t="shared" si="184"/>
        <v>15660</v>
      </c>
      <c r="AG126" s="199">
        <f t="shared" si="184"/>
        <v>14519</v>
      </c>
      <c r="AH126" s="199">
        <f t="shared" si="184"/>
        <v>14846</v>
      </c>
      <c r="AI126" s="199">
        <f t="shared" ref="AI126:AY126" si="185">INDEX(MO_BSS_Debt_Net,0,COLUMN())+INDEX(MO_BSS_Cash,0,COLUMN())</f>
        <v>14622</v>
      </c>
      <c r="AJ126" s="198">
        <f t="shared" si="185"/>
        <v>14622</v>
      </c>
      <c r="AK126" s="199">
        <f t="shared" si="185"/>
        <v>17156</v>
      </c>
      <c r="AL126" s="199">
        <f t="shared" si="185"/>
        <v>16672</v>
      </c>
      <c r="AM126" s="199">
        <f t="shared" si="185"/>
        <v>20264</v>
      </c>
      <c r="AN126" s="199">
        <f t="shared" si="185"/>
        <v>21167</v>
      </c>
      <c r="AO126" s="198">
        <f t="shared" si="185"/>
        <v>21167</v>
      </c>
      <c r="AP126" s="199">
        <f t="shared" si="185"/>
        <v>23342</v>
      </c>
      <c r="AQ126" s="199">
        <f t="shared" si="185"/>
        <v>21617</v>
      </c>
      <c r="AR126" s="199">
        <f t="shared" si="185"/>
        <v>20455</v>
      </c>
      <c r="AS126" s="199">
        <f>INDEX(MO_BSS_Debt_Net,0,COLUMN())+INDEX(MO_BSS_Cash,0,COLUMN())</f>
        <v>19660</v>
      </c>
      <c r="AT126" s="198">
        <f>INDEX(MO_BSS_Debt_Net,0,COLUMN())+INDEX(MO_BSS_Cash,0,COLUMN())</f>
        <v>19660</v>
      </c>
      <c r="AU126" s="852">
        <f t="shared" si="185"/>
        <v>19063</v>
      </c>
      <c r="AV126" s="199">
        <f t="shared" si="185"/>
        <v>19063</v>
      </c>
      <c r="AW126" s="199">
        <f t="shared" si="185"/>
        <v>19063</v>
      </c>
      <c r="AX126" s="199">
        <f t="shared" si="185"/>
        <v>19063</v>
      </c>
      <c r="AY126" s="198">
        <f t="shared" si="185"/>
        <v>19063</v>
      </c>
      <c r="AZ126" s="199">
        <f t="shared" ref="AZ126:BG126" ca="1" si="186">INDEX(MO_BSS_Debt_Net,0,COLUMN())+INDEX(MO_BSS_Cash,0,COLUMN())</f>
        <v>19063</v>
      </c>
      <c r="BA126" s="199">
        <f t="shared" ca="1" si="186"/>
        <v>19063</v>
      </c>
      <c r="BB126" s="199">
        <f t="shared" ca="1" si="186"/>
        <v>19063</v>
      </c>
      <c r="BC126" s="199">
        <f t="shared" ca="1" si="186"/>
        <v>19063</v>
      </c>
      <c r="BD126" s="198">
        <f t="shared" ca="1" si="186"/>
        <v>19063</v>
      </c>
      <c r="BE126" s="198">
        <f t="shared" ca="1" si="186"/>
        <v>19063</v>
      </c>
      <c r="BF126" s="198">
        <f t="shared" ca="1" si="186"/>
        <v>19063</v>
      </c>
      <c r="BG126" s="198">
        <f t="shared" ca="1" si="186"/>
        <v>19063</v>
      </c>
      <c r="BH126" s="199"/>
    </row>
    <row r="127" spans="1:60" s="157" customFormat="1" hidden="1" outlineLevel="1" x14ac:dyDescent="0.35">
      <c r="A127" s="308" t="s">
        <v>323</v>
      </c>
      <c r="B127" s="309"/>
      <c r="C127" s="198">
        <f>C126</f>
        <v>5710</v>
      </c>
      <c r="D127" s="198">
        <f>AVERAGE(D126,C126)</f>
        <v>5581</v>
      </c>
      <c r="E127" s="198">
        <f>AVERAGE(E126,D126)</f>
        <v>5309</v>
      </c>
      <c r="F127" s="198">
        <f>AVERAGE(F126,E126)</f>
        <v>5583.5</v>
      </c>
      <c r="G127" s="199"/>
      <c r="H127" s="199"/>
      <c r="I127" s="199"/>
      <c r="J127" s="199">
        <f>AVERAGE(J126,I126,H126,G126)</f>
        <v>5917</v>
      </c>
      <c r="K127" s="198">
        <f>AVERAGE(K126,F126)</f>
        <v>6005</v>
      </c>
      <c r="L127" s="199">
        <f>AVERAGE(L126,J126,I126,H126)</f>
        <v>6077.25</v>
      </c>
      <c r="M127" s="199">
        <f>AVERAGE(M126,L126,J126,I126)</f>
        <v>6334</v>
      </c>
      <c r="N127" s="199">
        <f>AVERAGE(N126,M126,L126,J126)</f>
        <v>6725.75</v>
      </c>
      <c r="O127" s="199">
        <f>AVERAGE(O126,N126,M126,L126)</f>
        <v>6926.25</v>
      </c>
      <c r="P127" s="198">
        <f>AVERAGE(P126,K126)</f>
        <v>6410</v>
      </c>
      <c r="Q127" s="199">
        <f>AVERAGE(Q126,O126,N126,M126)</f>
        <v>6929.75</v>
      </c>
      <c r="R127" s="199">
        <f>AVERAGE(R126,Q126,O126,N126)</f>
        <v>7315.75</v>
      </c>
      <c r="S127" s="199">
        <f>AVERAGE(S126,R126,Q126,O126)</f>
        <v>8293</v>
      </c>
      <c r="T127" s="199">
        <f>AVERAGE(T126,S126,R126,Q126)</f>
        <v>9289.5</v>
      </c>
      <c r="U127" s="198">
        <f>AVERAGE(U126,P126)</f>
        <v>8804</v>
      </c>
      <c r="V127" s="199">
        <f>AVERAGE(V126,T126,S126,R126)</f>
        <v>10426.5</v>
      </c>
      <c r="W127" s="199">
        <f>AVERAGE(W126,V126,T126,S126)</f>
        <v>11234.5</v>
      </c>
      <c r="X127" s="199">
        <f>AVERAGE(X126,W126,V126,T126)</f>
        <v>11511.5</v>
      </c>
      <c r="Y127" s="199">
        <f>AVERAGE(Y126,X126,W126,V126)</f>
        <v>11724.75</v>
      </c>
      <c r="Z127" s="198">
        <f>AVERAGE(Z126,U126)</f>
        <v>11223.5</v>
      </c>
      <c r="AA127" s="199">
        <f>AVERAGE(AA126,Y126,X126,W126)</f>
        <v>11867.75</v>
      </c>
      <c r="AB127" s="199">
        <f>AVERAGE(AB126,AA126,Y126,X126)</f>
        <v>11755.75</v>
      </c>
      <c r="AC127" s="199">
        <f>AVERAGE(AC126,AB126,AA126,Y126)</f>
        <v>11581.25</v>
      </c>
      <c r="AD127" s="199">
        <f>AVERAGE(AD126,AC126,AB126,AA126)</f>
        <v>12156</v>
      </c>
      <c r="AE127" s="198">
        <f>AVERAGE(AE126,Z126)</f>
        <v>12799.5</v>
      </c>
      <c r="AF127" s="199">
        <f>AVERAGE(AF126,AD126,AC126,AB126)</f>
        <v>13143.25</v>
      </c>
      <c r="AG127" s="199">
        <f>AVERAGE(AG126,AF126,AD126,AC126)</f>
        <v>13947.75</v>
      </c>
      <c r="AH127" s="199">
        <f>AVERAGE(AH126,AG126,AF126,AD126)</f>
        <v>14743.5</v>
      </c>
      <c r="AI127" s="199">
        <f>AVERAGE(AI126,AH126,AG126,AF126)</f>
        <v>14911.75</v>
      </c>
      <c r="AJ127" s="198">
        <f>AVERAGE(AJ126,AE126)</f>
        <v>14285.5</v>
      </c>
      <c r="AK127" s="199">
        <f>AVERAGE(AK126,AI126,AH126,AG126)</f>
        <v>15285.75</v>
      </c>
      <c r="AL127" s="199">
        <f>AVERAGE(AL126,AK126,AI126,AH126)</f>
        <v>15824</v>
      </c>
      <c r="AM127" s="199">
        <f>AVERAGE(AM126,AL126,AK126,AI126)</f>
        <v>17178.5</v>
      </c>
      <c r="AN127" s="199">
        <f>AVERAGE(AN126,AM126,AL126,AK126)</f>
        <v>18814.75</v>
      </c>
      <c r="AO127" s="198">
        <f>AVERAGE(AO126,AJ126)</f>
        <v>17894.5</v>
      </c>
      <c r="AP127" s="199">
        <f>AVERAGE(AP126,AN126,AM126,AL126)</f>
        <v>20361.25</v>
      </c>
      <c r="AQ127" s="199">
        <f>AVERAGE(AQ126,AP126,AN126,AM126)</f>
        <v>21597.5</v>
      </c>
      <c r="AR127" s="199">
        <f>AVERAGE(AR126,AQ126,AP126,AN126)</f>
        <v>21645.25</v>
      </c>
      <c r="AS127" s="199">
        <f>AVERAGE(AS126,AR126,AQ126,AP126)</f>
        <v>21268.5</v>
      </c>
      <c r="AT127" s="198">
        <f>AVERAGE(AT126,AO126)</f>
        <v>20413.5</v>
      </c>
      <c r="AU127" s="852">
        <f>AVERAGE(AU126,AS126,AR126,AQ126)</f>
        <v>20198.75</v>
      </c>
      <c r="AV127" s="199">
        <f>AVERAGE(AV126,AU126,AS126,AR126)</f>
        <v>19560.25</v>
      </c>
      <c r="AW127" s="199">
        <f>AVERAGE(AW126,AV126,AU126,AS126)</f>
        <v>19212.25</v>
      </c>
      <c r="AX127" s="199">
        <f>AVERAGE(AX126,AW126,AV126,AU126)</f>
        <v>19063</v>
      </c>
      <c r="AY127" s="198">
        <f>AVERAGE(AY126,AT126)</f>
        <v>19361.5</v>
      </c>
      <c r="AZ127" s="199">
        <f ca="1">AVERAGE(AZ126,AX126,AW126,AV126)</f>
        <v>19063</v>
      </c>
      <c r="BA127" s="199">
        <f ca="1">AVERAGE(BA126,AZ126,AX126,AW126)</f>
        <v>19063</v>
      </c>
      <c r="BB127" s="199">
        <f ca="1">AVERAGE(BB126,BA126,AZ126,AX126)</f>
        <v>19063</v>
      </c>
      <c r="BC127" s="199">
        <f ca="1">AVERAGE(BC126,BB126,BA126,AZ126)</f>
        <v>19063</v>
      </c>
      <c r="BD127" s="198">
        <f ca="1">AVERAGE(BD126,AY126)</f>
        <v>19063</v>
      </c>
      <c r="BE127" s="198">
        <f ca="1">AVERAGE(BE126,BD126)</f>
        <v>19063</v>
      </c>
      <c r="BF127" s="198">
        <f ca="1">AVERAGE(BF126,BE126)</f>
        <v>19063</v>
      </c>
      <c r="BG127" s="198">
        <f ca="1">AVERAGE(BG126,BF126)</f>
        <v>19063</v>
      </c>
      <c r="BH127" s="199"/>
    </row>
    <row r="128" spans="1:60" s="157" customFormat="1" hidden="1" outlineLevel="1" x14ac:dyDescent="0.35">
      <c r="A128" s="308" t="s">
        <v>324</v>
      </c>
      <c r="B128" s="309"/>
      <c r="C128" s="198">
        <f t="shared" ref="C128:AH128" si="187">SUM(INDEX(SP_BSR_Debt_Avg,0,COLUMN()),INDEX(SP_BSR_SE_Avg,0,COLUMN()))</f>
        <v>18474</v>
      </c>
      <c r="D128" s="198">
        <f t="shared" si="187"/>
        <v>19794.5</v>
      </c>
      <c r="E128" s="198">
        <f t="shared" si="187"/>
        <v>20850.5</v>
      </c>
      <c r="F128" s="198">
        <f t="shared" si="187"/>
        <v>22081</v>
      </c>
      <c r="G128" s="199">
        <f t="shared" si="187"/>
        <v>0</v>
      </c>
      <c r="H128" s="199">
        <f t="shared" si="187"/>
        <v>0</v>
      </c>
      <c r="I128" s="199">
        <f t="shared" si="187"/>
        <v>0</v>
      </c>
      <c r="J128" s="199">
        <f t="shared" si="187"/>
        <v>23731</v>
      </c>
      <c r="K128" s="198">
        <f t="shared" si="187"/>
        <v>23543.5</v>
      </c>
      <c r="L128" s="199">
        <f t="shared" si="187"/>
        <v>23732.75</v>
      </c>
      <c r="M128" s="199">
        <f t="shared" si="187"/>
        <v>23859</v>
      </c>
      <c r="N128" s="199">
        <f t="shared" si="187"/>
        <v>23845</v>
      </c>
      <c r="O128" s="199">
        <f t="shared" si="187"/>
        <v>22947.25</v>
      </c>
      <c r="P128" s="198">
        <f t="shared" si="187"/>
        <v>21715.5</v>
      </c>
      <c r="Q128" s="199">
        <f t="shared" si="187"/>
        <v>22068</v>
      </c>
      <c r="R128" s="199">
        <f t="shared" si="187"/>
        <v>21388.75</v>
      </c>
      <c r="S128" s="199">
        <f t="shared" si="187"/>
        <v>21369.25</v>
      </c>
      <c r="T128" s="199">
        <f t="shared" si="187"/>
        <v>22015.5</v>
      </c>
      <c r="U128" s="198">
        <f t="shared" si="187"/>
        <v>21212.5</v>
      </c>
      <c r="V128" s="199">
        <f t="shared" si="187"/>
        <v>22606.5</v>
      </c>
      <c r="W128" s="199">
        <f t="shared" si="187"/>
        <v>23114.75</v>
      </c>
      <c r="X128" s="199">
        <f t="shared" si="187"/>
        <v>23345.75</v>
      </c>
      <c r="Y128" s="199">
        <f t="shared" si="187"/>
        <v>23206.5</v>
      </c>
      <c r="Z128" s="198">
        <f t="shared" si="187"/>
        <v>22226.5</v>
      </c>
      <c r="AA128" s="199">
        <f t="shared" si="187"/>
        <v>23163.5</v>
      </c>
      <c r="AB128" s="199">
        <f t="shared" si="187"/>
        <v>22975.75</v>
      </c>
      <c r="AC128" s="199">
        <f t="shared" si="187"/>
        <v>22837.25</v>
      </c>
      <c r="AD128" s="199">
        <f t="shared" si="187"/>
        <v>23728.25</v>
      </c>
      <c r="AE128" s="198">
        <f t="shared" si="187"/>
        <v>23730</v>
      </c>
      <c r="AF128" s="199">
        <f t="shared" si="187"/>
        <v>24712.5</v>
      </c>
      <c r="AG128" s="199">
        <f t="shared" si="187"/>
        <v>25210.5</v>
      </c>
      <c r="AH128" s="199">
        <f t="shared" si="187"/>
        <v>25531.75</v>
      </c>
      <c r="AI128" s="199">
        <f t="shared" ref="AI128:AY128" si="188">SUM(INDEX(SP_BSR_Debt_Avg,0,COLUMN()),INDEX(SP_BSR_SE_Avg,0,COLUMN()))</f>
        <v>25258.25</v>
      </c>
      <c r="AJ128" s="198">
        <f t="shared" si="188"/>
        <v>24965</v>
      </c>
      <c r="AK128" s="199">
        <f t="shared" si="188"/>
        <v>25313.75</v>
      </c>
      <c r="AL128" s="199">
        <f t="shared" si="188"/>
        <v>25781.5</v>
      </c>
      <c r="AM128" s="199">
        <f t="shared" si="188"/>
        <v>27249.5</v>
      </c>
      <c r="AN128" s="199">
        <f t="shared" si="188"/>
        <v>28952.5</v>
      </c>
      <c r="AO128" s="198">
        <f t="shared" si="188"/>
        <v>27824</v>
      </c>
      <c r="AP128" s="199">
        <f t="shared" si="188"/>
        <v>30610</v>
      </c>
      <c r="AQ128" s="199">
        <f t="shared" si="188"/>
        <v>32039.75</v>
      </c>
      <c r="AR128" s="199">
        <f>SUM(INDEX(SP_BSR_Debt_Avg,0,COLUMN()),INDEX(SP_BSR_SE_Avg,0,COLUMN()))</f>
        <v>32382</v>
      </c>
      <c r="AS128" s="199">
        <f>SUM(INDEX(SP_BSR_Debt_Avg,0,COLUMN()),INDEX(SP_BSR_SE_Avg,0,COLUMN()))</f>
        <v>32706.5</v>
      </c>
      <c r="AT128" s="198">
        <f>SUM(INDEX(SP_BSR_Debt_Avg,0,COLUMN()),INDEX(SP_BSR_SE_Avg,0,COLUMN()))</f>
        <v>31878.5</v>
      </c>
      <c r="AU128" s="852">
        <f t="shared" si="188"/>
        <v>32540</v>
      </c>
      <c r="AV128" s="199">
        <f t="shared" ca="1" si="188"/>
        <v>32611.42105206049</v>
      </c>
      <c r="AW128" s="199">
        <f t="shared" ca="1" si="188"/>
        <v>32769.744781787871</v>
      </c>
      <c r="AX128" s="199">
        <f t="shared" ca="1" si="188"/>
        <v>32953.298566796919</v>
      </c>
      <c r="AY128" s="198">
        <f t="shared" ca="1" si="188"/>
        <v>32894.607570018095</v>
      </c>
      <c r="AZ128" s="199">
        <f t="shared" ref="AZ128:BG128" ca="1" si="189">SUM(INDEX(SP_BSR_Debt_Avg,0,COLUMN()),INDEX(SP_BSR_SE_Avg,0,COLUMN()))</f>
        <v>33182.773723783102</v>
      </c>
      <c r="BA128" s="199">
        <f t="shared" ca="1" si="189"/>
        <v>33471.253760609536</v>
      </c>
      <c r="BB128" s="199">
        <f t="shared" ca="1" si="189"/>
        <v>33779.146691243281</v>
      </c>
      <c r="BC128" s="199">
        <f t="shared" ca="1" si="189"/>
        <v>34130.30088852116</v>
      </c>
      <c r="BD128" s="198">
        <f t="shared" ca="1" si="189"/>
        <v>33964.523534591935</v>
      </c>
      <c r="BE128" s="198">
        <f t="shared" ca="1" si="189"/>
        <v>35724.019171326756</v>
      </c>
      <c r="BF128" s="198">
        <f t="shared" ca="1" si="189"/>
        <v>38209.659698352552</v>
      </c>
      <c r="BG128" s="198">
        <f t="shared" ca="1" si="189"/>
        <v>41466.610988385044</v>
      </c>
      <c r="BH128" s="199"/>
    </row>
    <row r="129" spans="1:60" s="148" customFormat="1" collapsed="1" x14ac:dyDescent="0.35">
      <c r="A129" s="329" t="s">
        <v>325</v>
      </c>
      <c r="B129" s="330"/>
      <c r="C129" s="211">
        <f>IF(C128&lt;0,"NMF",IF(ABS(C122/C128)&gt;1,"NMF",C122/C128))</f>
        <v>0.18249771933593642</v>
      </c>
      <c r="D129" s="211">
        <f>IF(D128&lt;0,"NMF",IF(ABS(D122/D128)&gt;1,"NMF",D122/D128))</f>
        <v>0.21626762333102953</v>
      </c>
      <c r="E129" s="211">
        <f>IF(E128&lt;0,"NMF",IF(ABS(E122/E128)&gt;1,"NMF",E122/E128))</f>
        <v>0.21405711188260429</v>
      </c>
      <c r="F129" s="211">
        <f>IF(F128&lt;0,"NMF",IF(ABS(F122/F128)&gt;1,"NMF",F122/F128))</f>
        <v>0.20853934167791249</v>
      </c>
      <c r="G129" s="212"/>
      <c r="H129" s="212"/>
      <c r="I129" s="212"/>
      <c r="J129" s="212">
        <f t="shared" ref="J129:AY129" si="190">IF(J128&lt;0,"NMF",IF(ABS(J122/J128)&gt;1,"NMF",J122/J128))</f>
        <v>0.20209024173124265</v>
      </c>
      <c r="K129" s="211">
        <f t="shared" si="190"/>
        <v>0.2037004825226181</v>
      </c>
      <c r="L129" s="212">
        <f t="shared" si="190"/>
        <v>0.20535136558532621</v>
      </c>
      <c r="M129" s="212">
        <f t="shared" si="190"/>
        <v>0.20731913961737389</v>
      </c>
      <c r="N129" s="212">
        <f t="shared" si="190"/>
        <v>0.21012306303753536</v>
      </c>
      <c r="O129" s="212">
        <f t="shared" si="190"/>
        <v>0.22118627728386572</v>
      </c>
      <c r="P129" s="211">
        <f t="shared" si="190"/>
        <v>0.23372881129644457</v>
      </c>
      <c r="Q129" s="212">
        <f t="shared" si="190"/>
        <v>0.22885345296914772</v>
      </c>
      <c r="R129" s="212">
        <f t="shared" si="190"/>
        <v>0.23681115707938863</v>
      </c>
      <c r="S129" s="212">
        <f t="shared" si="190"/>
        <v>0.23675420059841801</v>
      </c>
      <c r="T129" s="212">
        <f t="shared" si="190"/>
        <v>0.22385418474700747</v>
      </c>
      <c r="U129" s="211">
        <f t="shared" si="190"/>
        <v>0.23232857839583973</v>
      </c>
      <c r="V129" s="212">
        <f t="shared" si="190"/>
        <v>0.22192568369295318</v>
      </c>
      <c r="W129" s="212">
        <f t="shared" si="190"/>
        <v>0.21668726277802469</v>
      </c>
      <c r="X129" s="212">
        <f t="shared" si="190"/>
        <v>0.21630854650620276</v>
      </c>
      <c r="Y129" s="212">
        <f t="shared" si="190"/>
        <v>0.22321759439778827</v>
      </c>
      <c r="Z129" s="211">
        <f t="shared" si="190"/>
        <v>0.23305127119048299</v>
      </c>
      <c r="AA129" s="212">
        <f t="shared" si="190"/>
        <v>0.22559639462010558</v>
      </c>
      <c r="AB129" s="212">
        <f t="shared" si="190"/>
        <v>0.24055088175250508</v>
      </c>
      <c r="AC129" s="212">
        <f t="shared" si="190"/>
        <v>0.24654403332600036</v>
      </c>
      <c r="AD129" s="212">
        <f t="shared" si="190"/>
        <v>0.21100090941918295</v>
      </c>
      <c r="AE129" s="211">
        <f t="shared" si="190"/>
        <v>0.21257730549765946</v>
      </c>
      <c r="AF129" s="212">
        <f t="shared" si="190"/>
        <v>0.17386924893253389</v>
      </c>
      <c r="AG129" s="212">
        <f t="shared" si="190"/>
        <v>0.18245230731286538</v>
      </c>
      <c r="AH129" s="212">
        <f t="shared" si="190"/>
        <v>0.18550292576182728</v>
      </c>
      <c r="AI129" s="212">
        <f t="shared" si="190"/>
        <v>0.22067325791802522</v>
      </c>
      <c r="AJ129" s="211">
        <f t="shared" si="190"/>
        <v>0.22341357901061487</v>
      </c>
      <c r="AK129" s="212">
        <f t="shared" si="190"/>
        <v>0.23273748196129937</v>
      </c>
      <c r="AL129" s="212">
        <f t="shared" si="190"/>
        <v>0.20076995470628006</v>
      </c>
      <c r="AM129" s="212">
        <f t="shared" si="190"/>
        <v>0.19193447604415773</v>
      </c>
      <c r="AN129" s="212">
        <f t="shared" si="190"/>
        <v>0.16845394592729004</v>
      </c>
      <c r="AO129" s="211">
        <f t="shared" si="190"/>
        <v>0.17528748129499069</v>
      </c>
      <c r="AP129" s="212">
        <f t="shared" si="190"/>
        <v>0.17322872767417299</v>
      </c>
      <c r="AQ129" s="212">
        <f t="shared" si="190"/>
        <v>0.17125345116704171</v>
      </c>
      <c r="AR129" s="212">
        <f>IF(AR128&lt;0,"NMF",IF(ABS(AR122/AR128)&gt;1,"NMF",AR122/AR128))</f>
        <v>0.16507640997538614</v>
      </c>
      <c r="AS129" s="212">
        <f>IF(AS128&lt;0,"NMF",IF(ABS(AS122/AS128)&gt;1,"NMF",AS122/AS128))</f>
        <v>0.17702708943225068</v>
      </c>
      <c r="AT129" s="211">
        <f>IF(AT128&lt;0,"NMF",IF(ABS(AT122/AT128)&gt;1,"NMF",AT122/AT128))</f>
        <v>0.18162093605356616</v>
      </c>
      <c r="AU129" s="865">
        <f t="shared" ref="AU129" si="191">IF(AU128&lt;0,"NMF",IF(ABS(AU122/AU128)&gt;1,"NMF",AU122/AU128))</f>
        <v>0.18858727248717846</v>
      </c>
      <c r="AV129" s="212">
        <f t="shared" ca="1" si="190"/>
        <v>0.18669295426231983</v>
      </c>
      <c r="AW129" s="212">
        <f t="shared" ca="1" si="190"/>
        <v>0.18872501644294232</v>
      </c>
      <c r="AX129" s="212">
        <f t="shared" ca="1" si="190"/>
        <v>0.19343298098768177</v>
      </c>
      <c r="AY129" s="211">
        <f t="shared" ca="1" si="190"/>
        <v>0.19378302634818981</v>
      </c>
      <c r="AZ129" s="212">
        <f t="shared" ref="AZ129:BG129" ca="1" si="192">IF(AZ128&lt;0,"NMF",IF(ABS(AZ122/AZ128)&gt;1,"NMF",AZ122/AZ128))</f>
        <v>0.19361424066955726</v>
      </c>
      <c r="BA129" s="212">
        <f t="shared" ca="1" si="192"/>
        <v>0.19854537408177034</v>
      </c>
      <c r="BB129" s="212">
        <f t="shared" ca="1" si="192"/>
        <v>0.19858926804070967</v>
      </c>
      <c r="BC129" s="212">
        <f t="shared" ca="1" si="192"/>
        <v>0.20118322541131162</v>
      </c>
      <c r="BD129" s="211">
        <f t="shared" ca="1" si="192"/>
        <v>0.20216518008909953</v>
      </c>
      <c r="BE129" s="211">
        <f t="shared" ca="1" si="192"/>
        <v>0.20998520337429918</v>
      </c>
      <c r="BF129" s="211">
        <f t="shared" ca="1" si="192"/>
        <v>0.21435755689277589</v>
      </c>
      <c r="BG129" s="211">
        <f t="shared" ca="1" si="192"/>
        <v>0.21554528277429555</v>
      </c>
      <c r="BH129" s="368"/>
    </row>
    <row r="130" spans="1:60" s="157" customFormat="1" hidden="1" outlineLevel="1" x14ac:dyDescent="0.35">
      <c r="A130" s="308" t="s">
        <v>68</v>
      </c>
      <c r="B130" s="309"/>
      <c r="C130" s="198">
        <f t="shared" ref="C130:AH130" si="193">INDEX(MO_RIS_EBIT,0,COLUMN())</f>
        <v>4814</v>
      </c>
      <c r="D130" s="198">
        <f t="shared" si="193"/>
        <v>5918</v>
      </c>
      <c r="E130" s="198">
        <f t="shared" si="193"/>
        <v>6178</v>
      </c>
      <c r="F130" s="198">
        <f t="shared" si="193"/>
        <v>6483</v>
      </c>
      <c r="G130" s="199">
        <f t="shared" si="193"/>
        <v>1646</v>
      </c>
      <c r="H130" s="199">
        <f t="shared" si="193"/>
        <v>1702</v>
      </c>
      <c r="I130" s="199">
        <f t="shared" si="193"/>
        <v>1739</v>
      </c>
      <c r="J130" s="199">
        <f t="shared" si="193"/>
        <v>1579</v>
      </c>
      <c r="K130" s="198">
        <f t="shared" si="193"/>
        <v>6666</v>
      </c>
      <c r="L130" s="199">
        <f t="shared" si="193"/>
        <v>1716</v>
      </c>
      <c r="M130" s="199">
        <f t="shared" si="193"/>
        <v>1856</v>
      </c>
      <c r="N130" s="199">
        <f t="shared" si="193"/>
        <v>1901</v>
      </c>
      <c r="O130" s="199">
        <f t="shared" si="193"/>
        <v>1662</v>
      </c>
      <c r="P130" s="198">
        <f t="shared" si="193"/>
        <v>7135</v>
      </c>
      <c r="Q130" s="199">
        <f t="shared" si="193"/>
        <v>1730</v>
      </c>
      <c r="R130" s="199">
        <f t="shared" si="193"/>
        <v>1840</v>
      </c>
      <c r="S130" s="199">
        <f t="shared" si="193"/>
        <v>1876</v>
      </c>
      <c r="T130" s="199">
        <f t="shared" si="193"/>
        <v>1500</v>
      </c>
      <c r="U130" s="198">
        <f t="shared" si="193"/>
        <v>6946</v>
      </c>
      <c r="V130" s="199">
        <f t="shared" si="193"/>
        <v>1788</v>
      </c>
      <c r="W130" s="199">
        <f t="shared" si="193"/>
        <v>1866</v>
      </c>
      <c r="X130" s="199">
        <f t="shared" si="193"/>
        <v>1904</v>
      </c>
      <c r="Y130" s="199">
        <f t="shared" si="193"/>
        <v>1665</v>
      </c>
      <c r="Z130" s="198">
        <f t="shared" si="193"/>
        <v>7223</v>
      </c>
      <c r="AA130" s="199">
        <f t="shared" si="193"/>
        <v>1742</v>
      </c>
      <c r="AB130" s="199">
        <f t="shared" si="193"/>
        <v>2153</v>
      </c>
      <c r="AC130" s="199">
        <f t="shared" si="193"/>
        <v>2008</v>
      </c>
      <c r="AD130" s="199">
        <f t="shared" si="193"/>
        <v>1789</v>
      </c>
      <c r="AE130" s="198">
        <f t="shared" si="193"/>
        <v>7692</v>
      </c>
      <c r="AF130" s="199">
        <f t="shared" si="193"/>
        <v>1007</v>
      </c>
      <c r="AG130" s="199">
        <f t="shared" si="193"/>
        <v>2401</v>
      </c>
      <c r="AH130" s="199">
        <f t="shared" si="193"/>
        <v>2016</v>
      </c>
      <c r="AI130" s="199">
        <f t="shared" ref="AI130:AY130" si="194">INDEX(MO_RIS_EBIT,0,COLUMN())</f>
        <v>1783</v>
      </c>
      <c r="AJ130" s="198">
        <f t="shared" si="194"/>
        <v>7207</v>
      </c>
      <c r="AK130" s="199">
        <f t="shared" si="194"/>
        <v>1136</v>
      </c>
      <c r="AL130" s="199">
        <f t="shared" si="194"/>
        <v>1702</v>
      </c>
      <c r="AM130" s="199">
        <f t="shared" si="194"/>
        <v>2011</v>
      </c>
      <c r="AN130" s="199">
        <f t="shared" si="194"/>
        <v>1325</v>
      </c>
      <c r="AO130" s="198">
        <f t="shared" si="194"/>
        <v>6174</v>
      </c>
      <c r="AP130" s="199">
        <f t="shared" si="194"/>
        <v>1663</v>
      </c>
      <c r="AQ130" s="199">
        <f t="shared" si="194"/>
        <v>1740</v>
      </c>
      <c r="AR130" s="199">
        <f>INDEX(MO_RIS_EBIT,0,COLUMN())</f>
        <v>1909</v>
      </c>
      <c r="AS130" s="199">
        <f>INDEX(MO_RIS_EBIT,0,COLUMN())</f>
        <v>1849</v>
      </c>
      <c r="AT130" s="198">
        <f>INDEX(MO_RIS_EBIT,0,COLUMN())</f>
        <v>7161</v>
      </c>
      <c r="AU130" s="852">
        <f t="shared" si="194"/>
        <v>1994</v>
      </c>
      <c r="AV130" s="199">
        <f t="shared" si="194"/>
        <v>1695.9743848000003</v>
      </c>
      <c r="AW130" s="199">
        <f t="shared" si="194"/>
        <v>2037.691568</v>
      </c>
      <c r="AX130" s="199">
        <f t="shared" si="194"/>
        <v>2140.0658084000002</v>
      </c>
      <c r="AY130" s="198">
        <f t="shared" si="194"/>
        <v>7867.7317612000006</v>
      </c>
      <c r="AZ130" s="199">
        <f t="shared" ref="AZ130:BG130" si="195">INDEX(MO_RIS_EBIT,0,COLUMN())</f>
        <v>2258.7461348000006</v>
      </c>
      <c r="BA130" s="199">
        <f t="shared" si="195"/>
        <v>1975.6010443520001</v>
      </c>
      <c r="BB130" s="199">
        <f t="shared" si="195"/>
        <v>2116.9490585920003</v>
      </c>
      <c r="BC130" s="199">
        <f t="shared" si="195"/>
        <v>2340.4050496119999</v>
      </c>
      <c r="BD130" s="198">
        <f t="shared" si="195"/>
        <v>8691.7012873560016</v>
      </c>
      <c r="BE130" s="198">
        <f t="shared" si="195"/>
        <v>9495.5891532131791</v>
      </c>
      <c r="BF130" s="198">
        <f t="shared" si="195"/>
        <v>10367.758610940777</v>
      </c>
      <c r="BG130" s="198">
        <f t="shared" si="195"/>
        <v>11313.838469852113</v>
      </c>
      <c r="BH130" s="199"/>
    </row>
    <row r="131" spans="1:60" s="157" customFormat="1" hidden="1" outlineLevel="1" x14ac:dyDescent="0.35">
      <c r="A131" s="308" t="s">
        <v>326</v>
      </c>
      <c r="B131" s="309"/>
      <c r="C131" s="198">
        <f>C130</f>
        <v>4814</v>
      </c>
      <c r="D131" s="198">
        <f>D130</f>
        <v>5918</v>
      </c>
      <c r="E131" s="198">
        <f>E130</f>
        <v>6178</v>
      </c>
      <c r="F131" s="198">
        <f>F130</f>
        <v>6483</v>
      </c>
      <c r="G131" s="199"/>
      <c r="H131" s="199"/>
      <c r="I131" s="199"/>
      <c r="J131" s="199">
        <f>SUM(J130,I130,H130,G130)</f>
        <v>6666</v>
      </c>
      <c r="K131" s="198">
        <f>K130</f>
        <v>6666</v>
      </c>
      <c r="L131" s="199">
        <f>SUM(L130,J130,I130,H130)</f>
        <v>6736</v>
      </c>
      <c r="M131" s="199">
        <f>SUM(M130,L130,J130,I130)</f>
        <v>6890</v>
      </c>
      <c r="N131" s="199">
        <f>SUM(N130,M130,L130,J130)</f>
        <v>7052</v>
      </c>
      <c r="O131" s="199">
        <f>SUM(O130,N130,M130,L130)</f>
        <v>7135</v>
      </c>
      <c r="P131" s="198">
        <f>P130</f>
        <v>7135</v>
      </c>
      <c r="Q131" s="199">
        <f>SUM(Q130,O130,N130,M130)</f>
        <v>7149</v>
      </c>
      <c r="R131" s="199">
        <f>SUM(R130,Q130,O130,N130)</f>
        <v>7133</v>
      </c>
      <c r="S131" s="199">
        <f>SUM(S130,R130,Q130,O130)</f>
        <v>7108</v>
      </c>
      <c r="T131" s="199">
        <f>SUM(T130,S130,R130,Q130)</f>
        <v>6946</v>
      </c>
      <c r="U131" s="198">
        <f>U130</f>
        <v>6946</v>
      </c>
      <c r="V131" s="199">
        <f>SUM(V130,T130,S130,R130)</f>
        <v>7004</v>
      </c>
      <c r="W131" s="199">
        <f>SUM(W130,V130,T130,S130)</f>
        <v>7030</v>
      </c>
      <c r="X131" s="199">
        <f>SUM(X130,W130,V130,T130)</f>
        <v>7058</v>
      </c>
      <c r="Y131" s="199">
        <f>SUM(Y130,X130,W130,V130)</f>
        <v>7223</v>
      </c>
      <c r="Z131" s="198">
        <f>Z130</f>
        <v>7223</v>
      </c>
      <c r="AA131" s="199">
        <f>SUM(AA130,Y130,X130,W130)</f>
        <v>7177</v>
      </c>
      <c r="AB131" s="199">
        <f>SUM(AB130,AA130,Y130,X130)</f>
        <v>7464</v>
      </c>
      <c r="AC131" s="199">
        <f>SUM(AC130,AB130,AA130,Y130)</f>
        <v>7568</v>
      </c>
      <c r="AD131" s="199">
        <f>SUM(AD130,AC130,AB130,AA130)</f>
        <v>7692</v>
      </c>
      <c r="AE131" s="198">
        <f>AE130</f>
        <v>7692</v>
      </c>
      <c r="AF131" s="199">
        <f>SUM(AF130,AD130,AC130,AB130)</f>
        <v>6957</v>
      </c>
      <c r="AG131" s="199">
        <f>SUM(AG130,AF130,AD130,AC130)</f>
        <v>7205</v>
      </c>
      <c r="AH131" s="199">
        <f>SUM(AH130,AG130,AF130,AD130)</f>
        <v>7213</v>
      </c>
      <c r="AI131" s="199">
        <f>SUM(AI130,AH130,AG130,AF130)</f>
        <v>7207</v>
      </c>
      <c r="AJ131" s="198">
        <f>AJ130</f>
        <v>7207</v>
      </c>
      <c r="AK131" s="199">
        <f>SUM(AK130,AI130,AH130,AG130)</f>
        <v>7336</v>
      </c>
      <c r="AL131" s="199">
        <f>SUM(AL130,AK130,AI130,AH130)</f>
        <v>6637</v>
      </c>
      <c r="AM131" s="199">
        <f>SUM(AM130,AL130,AK130,AI130)</f>
        <v>6632</v>
      </c>
      <c r="AN131" s="199">
        <f>SUM(AN130,AM130,AL130,AK130)</f>
        <v>6174</v>
      </c>
      <c r="AO131" s="198">
        <f>AO130</f>
        <v>6174</v>
      </c>
      <c r="AP131" s="199">
        <f>SUM(AP130,AN130,AM130,AL130)</f>
        <v>6701</v>
      </c>
      <c r="AQ131" s="199">
        <f>SUM(AQ130,AP130,AN130,AM130)</f>
        <v>6739</v>
      </c>
      <c r="AR131" s="199">
        <f>SUM(AR130,AQ130,AP130,AN130)</f>
        <v>6637</v>
      </c>
      <c r="AS131" s="199">
        <f>SUM(AS130,AR130,AQ130,AP130)</f>
        <v>7161</v>
      </c>
      <c r="AT131" s="198">
        <f>AT130</f>
        <v>7161</v>
      </c>
      <c r="AU131" s="852">
        <f>SUM(AU130,AS130,AR130,AQ130)</f>
        <v>7492</v>
      </c>
      <c r="AV131" s="199">
        <f>SUM(AV130,AU130,AS130,AR130)</f>
        <v>7447.9743847999998</v>
      </c>
      <c r="AW131" s="199">
        <f>SUM(AW130,AV130,AU130,AS130)</f>
        <v>7576.6659528</v>
      </c>
      <c r="AX131" s="199">
        <f>SUM(AX130,AW130,AV130,AU130)</f>
        <v>7867.7317612000006</v>
      </c>
      <c r="AY131" s="198">
        <f>AY130</f>
        <v>7867.7317612000006</v>
      </c>
      <c r="AZ131" s="199">
        <f>SUM(AZ130,AX130,AW130,AV130)</f>
        <v>8132.4778960000003</v>
      </c>
      <c r="BA131" s="199">
        <f>SUM(BA130,AZ130,AX130,AW130)</f>
        <v>8412.1045555520013</v>
      </c>
      <c r="BB131" s="199">
        <f>SUM(BB130,BA130,AZ130,AX130)</f>
        <v>8491.3620461440005</v>
      </c>
      <c r="BC131" s="199">
        <f>SUM(BC130,BB130,BA130,AZ130)</f>
        <v>8691.7012873560016</v>
      </c>
      <c r="BD131" s="198">
        <f>BD130</f>
        <v>8691.7012873560016</v>
      </c>
      <c r="BE131" s="198">
        <f>BE130</f>
        <v>9495.5891532131791</v>
      </c>
      <c r="BF131" s="198">
        <f>BF130</f>
        <v>10367.758610940777</v>
      </c>
      <c r="BG131" s="198">
        <f>BG130</f>
        <v>11313.838469852113</v>
      </c>
      <c r="BH131" s="199"/>
    </row>
    <row r="132" spans="1:60" s="157" customFormat="1" hidden="1" outlineLevel="1" x14ac:dyDescent="0.35">
      <c r="A132" s="308" t="s">
        <v>189</v>
      </c>
      <c r="B132" s="309"/>
      <c r="C132" s="198">
        <f t="shared" ref="C132:AH132" si="196">INDEX(MO_BS_CL,0,COLUMN())</f>
        <v>4897</v>
      </c>
      <c r="D132" s="198">
        <f t="shared" si="196"/>
        <v>6089</v>
      </c>
      <c r="E132" s="198">
        <f t="shared" si="196"/>
        <v>5441</v>
      </c>
      <c r="F132" s="198">
        <f t="shared" si="196"/>
        <v>6200</v>
      </c>
      <c r="G132" s="199">
        <f t="shared" si="196"/>
        <v>5937</v>
      </c>
      <c r="H132" s="199">
        <f t="shared" si="196"/>
        <v>6335</v>
      </c>
      <c r="I132" s="199">
        <f t="shared" si="196"/>
        <v>7439</v>
      </c>
      <c r="J132" s="199">
        <f t="shared" si="196"/>
        <v>7498</v>
      </c>
      <c r="K132" s="198">
        <f t="shared" si="196"/>
        <v>7498</v>
      </c>
      <c r="L132" s="199">
        <f t="shared" si="196"/>
        <v>7450</v>
      </c>
      <c r="M132" s="199">
        <f t="shared" si="196"/>
        <v>7040</v>
      </c>
      <c r="N132" s="199">
        <f t="shared" si="196"/>
        <v>7705</v>
      </c>
      <c r="O132" s="199">
        <f t="shared" si="196"/>
        <v>5964</v>
      </c>
      <c r="P132" s="198">
        <f t="shared" si="196"/>
        <v>5964</v>
      </c>
      <c r="Q132" s="199">
        <f t="shared" si="196"/>
        <v>5082</v>
      </c>
      <c r="R132" s="199">
        <f t="shared" si="196"/>
        <v>5095</v>
      </c>
      <c r="S132" s="199">
        <f t="shared" si="196"/>
        <v>7032</v>
      </c>
      <c r="T132" s="199">
        <f t="shared" si="196"/>
        <v>7118</v>
      </c>
      <c r="U132" s="198">
        <f t="shared" si="196"/>
        <v>7118</v>
      </c>
      <c r="V132" s="199">
        <f t="shared" si="196"/>
        <v>7178</v>
      </c>
      <c r="W132" s="199">
        <f t="shared" si="196"/>
        <v>7254</v>
      </c>
      <c r="X132" s="199">
        <f t="shared" si="196"/>
        <v>6400</v>
      </c>
      <c r="Y132" s="199">
        <f t="shared" si="196"/>
        <v>6219</v>
      </c>
      <c r="Z132" s="198">
        <f t="shared" si="196"/>
        <v>6219</v>
      </c>
      <c r="AA132" s="199">
        <f t="shared" si="196"/>
        <v>5995</v>
      </c>
      <c r="AB132" s="199">
        <f t="shared" si="196"/>
        <v>5697</v>
      </c>
      <c r="AC132" s="199">
        <f t="shared" si="196"/>
        <v>6598</v>
      </c>
      <c r="AD132" s="199">
        <f t="shared" si="196"/>
        <v>7687</v>
      </c>
      <c r="AE132" s="198">
        <f t="shared" si="196"/>
        <v>7687</v>
      </c>
      <c r="AF132" s="199">
        <f t="shared" si="196"/>
        <v>8959</v>
      </c>
      <c r="AG132" s="199">
        <f t="shared" si="196"/>
        <v>8902</v>
      </c>
      <c r="AH132" s="199">
        <f t="shared" si="196"/>
        <v>7336</v>
      </c>
      <c r="AI132" s="199">
        <f t="shared" ref="AI132:AY132" si="197">INDEX(MO_BS_CL,0,COLUMN())</f>
        <v>7244</v>
      </c>
      <c r="AJ132" s="198">
        <f t="shared" si="197"/>
        <v>7244</v>
      </c>
      <c r="AK132" s="199">
        <f t="shared" si="197"/>
        <v>7125</v>
      </c>
      <c r="AL132" s="199">
        <f t="shared" si="197"/>
        <v>7265</v>
      </c>
      <c r="AM132" s="199">
        <f t="shared" si="197"/>
        <v>7821</v>
      </c>
      <c r="AN132" s="199">
        <f t="shared" si="197"/>
        <v>9222</v>
      </c>
      <c r="AO132" s="198">
        <f t="shared" si="197"/>
        <v>9222</v>
      </c>
      <c r="AP132" s="199">
        <f t="shared" si="197"/>
        <v>9134</v>
      </c>
      <c r="AQ132" s="199">
        <f t="shared" si="197"/>
        <v>7282</v>
      </c>
      <c r="AR132" s="199">
        <f>INDEX(MO_BS_CL,0,COLUMN())</f>
        <v>7410</v>
      </c>
      <c r="AS132" s="199">
        <f>INDEX(MO_BS_CL,0,COLUMN())</f>
        <v>7948</v>
      </c>
      <c r="AT132" s="198">
        <f>INDEX(MO_BS_CL,0,COLUMN())</f>
        <v>7948</v>
      </c>
      <c r="AU132" s="852">
        <f t="shared" si="197"/>
        <v>8363</v>
      </c>
      <c r="AV132" s="199">
        <f t="shared" si="197"/>
        <v>7831.6780929638571</v>
      </c>
      <c r="AW132" s="199">
        <f t="shared" si="197"/>
        <v>8119.382182706664</v>
      </c>
      <c r="AX132" s="199">
        <f t="shared" si="197"/>
        <v>8528.1399875376264</v>
      </c>
      <c r="AY132" s="198">
        <f t="shared" si="197"/>
        <v>8528.1399875376264</v>
      </c>
      <c r="AZ132" s="199">
        <f t="shared" ref="AZ132:BG132" si="198">INDEX(MO_BS_CL,0,COLUMN())</f>
        <v>8671.2601903130071</v>
      </c>
      <c r="BA132" s="199">
        <f t="shared" ca="1" si="198"/>
        <v>8110.8068326282037</v>
      </c>
      <c r="BB132" s="199">
        <f t="shared" ca="1" si="198"/>
        <v>8424.4587860271968</v>
      </c>
      <c r="BC132" s="199">
        <f t="shared" ca="1" si="198"/>
        <v>8872.147035059379</v>
      </c>
      <c r="BD132" s="198">
        <f t="shared" si="198"/>
        <v>8872.147035059379</v>
      </c>
      <c r="BE132" s="198">
        <f t="shared" ca="1" si="198"/>
        <v>9239.2686136964458</v>
      </c>
      <c r="BF132" s="198">
        <f t="shared" ca="1" si="198"/>
        <v>9636.5826242266448</v>
      </c>
      <c r="BG132" s="198">
        <f t="shared" ca="1" si="198"/>
        <v>10066.527072916741</v>
      </c>
      <c r="BH132" s="199"/>
    </row>
    <row r="133" spans="1:60" s="157" customFormat="1" hidden="1" outlineLevel="1" x14ac:dyDescent="0.35">
      <c r="A133" s="308" t="s">
        <v>327</v>
      </c>
      <c r="B133" s="309"/>
      <c r="C133" s="198">
        <f>C132</f>
        <v>4897</v>
      </c>
      <c r="D133" s="198">
        <f>AVERAGE(D132,C132)</f>
        <v>5493</v>
      </c>
      <c r="E133" s="198">
        <f>AVERAGE(E132,D132)</f>
        <v>5765</v>
      </c>
      <c r="F133" s="198">
        <f>AVERAGE(F132,E132)</f>
        <v>5820.5</v>
      </c>
      <c r="G133" s="199"/>
      <c r="H133" s="199"/>
      <c r="I133" s="199"/>
      <c r="J133" s="199">
        <f>AVERAGE(J132,I132,H132,G132)</f>
        <v>6802.25</v>
      </c>
      <c r="K133" s="198">
        <f>AVERAGE(K132,F132)</f>
        <v>6849</v>
      </c>
      <c r="L133" s="199">
        <f>AVERAGE(L132,J132,I132,H132)</f>
        <v>7180.5</v>
      </c>
      <c r="M133" s="199">
        <f>AVERAGE(M132,L132,J132,I132)</f>
        <v>7356.75</v>
      </c>
      <c r="N133" s="199">
        <f>AVERAGE(N132,M132,L132,J132)</f>
        <v>7423.25</v>
      </c>
      <c r="O133" s="199">
        <f>AVERAGE(O132,N132,M132,L132)</f>
        <v>7039.75</v>
      </c>
      <c r="P133" s="198">
        <f>AVERAGE(P132,K132)</f>
        <v>6731</v>
      </c>
      <c r="Q133" s="199">
        <f>AVERAGE(Q132,O132,N132,M132)</f>
        <v>6447.75</v>
      </c>
      <c r="R133" s="199">
        <f>AVERAGE(R132,Q132,O132,N132)</f>
        <v>5961.5</v>
      </c>
      <c r="S133" s="199">
        <f>AVERAGE(S132,R132,Q132,O132)</f>
        <v>5793.25</v>
      </c>
      <c r="T133" s="199">
        <f>AVERAGE(T132,S132,R132,Q132)</f>
        <v>6081.75</v>
      </c>
      <c r="U133" s="198">
        <f>AVERAGE(U132,P132)</f>
        <v>6541</v>
      </c>
      <c r="V133" s="199">
        <f>AVERAGE(V132,T132,S132,R132)</f>
        <v>6605.75</v>
      </c>
      <c r="W133" s="199">
        <f>AVERAGE(W132,V132,T132,S132)</f>
        <v>7145.5</v>
      </c>
      <c r="X133" s="199">
        <f>AVERAGE(X132,W132,V132,T132)</f>
        <v>6987.5</v>
      </c>
      <c r="Y133" s="199">
        <f>AVERAGE(Y132,X132,W132,V132)</f>
        <v>6762.75</v>
      </c>
      <c r="Z133" s="198">
        <f>AVERAGE(Z132,U132)</f>
        <v>6668.5</v>
      </c>
      <c r="AA133" s="199">
        <f>AVERAGE(AA132,Y132,X132,W132)</f>
        <v>6467</v>
      </c>
      <c r="AB133" s="199">
        <f>AVERAGE(AB132,AA132,Y132,X132)</f>
        <v>6077.75</v>
      </c>
      <c r="AC133" s="199">
        <f>AVERAGE(AC132,AB132,AA132,Y132)</f>
        <v>6127.25</v>
      </c>
      <c r="AD133" s="199">
        <f>AVERAGE(AD132,AC132,AB132,AA132)</f>
        <v>6494.25</v>
      </c>
      <c r="AE133" s="198">
        <f>AVERAGE(AE132,Z132)</f>
        <v>6953</v>
      </c>
      <c r="AF133" s="199">
        <f>AVERAGE(AF132,AD132,AC132,AB132)</f>
        <v>7235.25</v>
      </c>
      <c r="AG133" s="199">
        <f>AVERAGE(AG132,AF132,AD132,AC132)</f>
        <v>8036.5</v>
      </c>
      <c r="AH133" s="199">
        <f>AVERAGE(AH132,AG132,AF132,AD132)</f>
        <v>8221</v>
      </c>
      <c r="AI133" s="199">
        <f>AVERAGE(AI132,AH132,AG132,AF132)</f>
        <v>8110.25</v>
      </c>
      <c r="AJ133" s="198">
        <f>AVERAGE(AJ132,AE132)</f>
        <v>7465.5</v>
      </c>
      <c r="AK133" s="199">
        <f>AVERAGE(AK132,AI132,AH132,AG132)</f>
        <v>7651.75</v>
      </c>
      <c r="AL133" s="199">
        <f>AVERAGE(AL132,AK132,AI132,AH132)</f>
        <v>7242.5</v>
      </c>
      <c r="AM133" s="199">
        <f>AVERAGE(AM132,AL132,AK132,AI132)</f>
        <v>7363.75</v>
      </c>
      <c r="AN133" s="199">
        <f>AVERAGE(AN132,AM132,AL132,AK132)</f>
        <v>7858.25</v>
      </c>
      <c r="AO133" s="198">
        <f>AVERAGE(AO132,AJ132)</f>
        <v>8233</v>
      </c>
      <c r="AP133" s="199">
        <f>AVERAGE(AP132,AN132,AM132,AL132)</f>
        <v>8360.5</v>
      </c>
      <c r="AQ133" s="199">
        <f>AVERAGE(AQ132,AP132,AN132,AM132)</f>
        <v>8364.75</v>
      </c>
      <c r="AR133" s="199">
        <f>AVERAGE(AR132,AQ132,AP132,AN132)</f>
        <v>8262</v>
      </c>
      <c r="AS133" s="199">
        <f>AVERAGE(AS132,AR132,AQ132,AP132)</f>
        <v>7943.5</v>
      </c>
      <c r="AT133" s="198">
        <f>AVERAGE(AT132,AO132)</f>
        <v>8585</v>
      </c>
      <c r="AU133" s="852">
        <f>AVERAGE(AU132,AS132,AR132,AQ132)</f>
        <v>7750.75</v>
      </c>
      <c r="AV133" s="199">
        <f>AVERAGE(AV132,AU132,AS132,AR132)</f>
        <v>7888.1695232409638</v>
      </c>
      <c r="AW133" s="199">
        <f>AVERAGE(AW132,AV132,AU132,AS132)</f>
        <v>8065.5150689176298</v>
      </c>
      <c r="AX133" s="199">
        <f>AVERAGE(AX132,AW132,AV132,AU132)</f>
        <v>8210.5500658020374</v>
      </c>
      <c r="AY133" s="198">
        <f>AVERAGE(AY132,AT132)</f>
        <v>8238.0699937688132</v>
      </c>
      <c r="AZ133" s="199">
        <f>AVERAGE(AZ132,AX132,AW132,AV132)</f>
        <v>8287.6151133802887</v>
      </c>
      <c r="BA133" s="199">
        <f ca="1">AVERAGE(BA132,AZ132,AX132,AW132)</f>
        <v>8357.3972982963751</v>
      </c>
      <c r="BB133" s="199">
        <f ca="1">AVERAGE(BB132,BA132,AZ132,AX132)</f>
        <v>8433.6664491265074</v>
      </c>
      <c r="BC133" s="199">
        <f ca="1">AVERAGE(BC132,BB132,BA132,AZ132)</f>
        <v>8519.6682110069469</v>
      </c>
      <c r="BD133" s="198">
        <f>AVERAGE(BD132,AY132)</f>
        <v>8700.1435112985018</v>
      </c>
      <c r="BE133" s="198">
        <f ca="1">AVERAGE(BE132,BD132)</f>
        <v>9055.7078243779124</v>
      </c>
      <c r="BF133" s="198">
        <f ca="1">AVERAGE(BF132,BE132)</f>
        <v>9437.9256189615444</v>
      </c>
      <c r="BG133" s="198">
        <f ca="1">AVERAGE(BG132,BF132)</f>
        <v>9851.5548485716936</v>
      </c>
      <c r="BH133" s="199"/>
    </row>
    <row r="134" spans="1:60" s="157" customFormat="1" hidden="1" outlineLevel="1" x14ac:dyDescent="0.35">
      <c r="A134" s="308" t="s">
        <v>328</v>
      </c>
      <c r="B134" s="309"/>
      <c r="C134" s="198">
        <f t="shared" ref="C134:AH134" si="199">INDEX(SP_BSR_TA_Avg,0,COLUMN())-INDEX(SP_BSR_CL_Avg,0,COLUMN())</f>
        <v>22353</v>
      </c>
      <c r="D134" s="198">
        <f t="shared" si="199"/>
        <v>23210</v>
      </c>
      <c r="E134" s="198">
        <f t="shared" si="199"/>
        <v>25121</v>
      </c>
      <c r="F134" s="198">
        <f t="shared" si="199"/>
        <v>26925.5</v>
      </c>
      <c r="G134" s="199">
        <f t="shared" si="199"/>
        <v>0</v>
      </c>
      <c r="H134" s="199">
        <f t="shared" si="199"/>
        <v>0</v>
      </c>
      <c r="I134" s="199">
        <f t="shared" si="199"/>
        <v>0</v>
      </c>
      <c r="J134" s="199">
        <f t="shared" si="199"/>
        <v>27026</v>
      </c>
      <c r="K134" s="198">
        <f t="shared" si="199"/>
        <v>26864</v>
      </c>
      <c r="L134" s="199">
        <f t="shared" si="199"/>
        <v>26527.25</v>
      </c>
      <c r="M134" s="199">
        <f t="shared" si="199"/>
        <v>26311</v>
      </c>
      <c r="N134" s="199">
        <f t="shared" si="199"/>
        <v>26037.5</v>
      </c>
      <c r="O134" s="199">
        <f t="shared" si="199"/>
        <v>25835.75</v>
      </c>
      <c r="P134" s="198">
        <f t="shared" si="199"/>
        <v>25648.5</v>
      </c>
      <c r="Q134" s="199">
        <f t="shared" si="199"/>
        <v>25701.75</v>
      </c>
      <c r="R134" s="199">
        <f t="shared" si="199"/>
        <v>25542.5</v>
      </c>
      <c r="S134" s="199">
        <f t="shared" si="199"/>
        <v>25831.25</v>
      </c>
      <c r="T134" s="199">
        <f t="shared" si="199"/>
        <v>25920</v>
      </c>
      <c r="U134" s="198">
        <f t="shared" si="199"/>
        <v>25422.5</v>
      </c>
      <c r="V134" s="199">
        <f t="shared" si="199"/>
        <v>25980.75</v>
      </c>
      <c r="W134" s="199">
        <f t="shared" si="199"/>
        <v>25902.75</v>
      </c>
      <c r="X134" s="199">
        <f t="shared" si="199"/>
        <v>26259</v>
      </c>
      <c r="Y134" s="199">
        <f t="shared" si="199"/>
        <v>26530.75</v>
      </c>
      <c r="Z134" s="198">
        <f t="shared" si="199"/>
        <v>26143.5</v>
      </c>
      <c r="AA134" s="199">
        <f t="shared" si="199"/>
        <v>26904</v>
      </c>
      <c r="AB134" s="199">
        <f t="shared" si="199"/>
        <v>27473.75</v>
      </c>
      <c r="AC134" s="199">
        <f t="shared" si="199"/>
        <v>27720.75</v>
      </c>
      <c r="AD134" s="199">
        <f t="shared" si="199"/>
        <v>28624</v>
      </c>
      <c r="AE134" s="198">
        <f t="shared" si="199"/>
        <v>28493.5</v>
      </c>
      <c r="AF134" s="199">
        <f t="shared" si="199"/>
        <v>29203.75</v>
      </c>
      <c r="AG134" s="199">
        <f t="shared" si="199"/>
        <v>29107.75</v>
      </c>
      <c r="AH134" s="199">
        <f t="shared" si="199"/>
        <v>29432.75</v>
      </c>
      <c r="AI134" s="199">
        <f t="shared" ref="AI134:AY134" si="200">INDEX(SP_BSR_TA_Avg,0,COLUMN())-INDEX(SP_BSR_CL_Avg,0,COLUMN())</f>
        <v>29171.75</v>
      </c>
      <c r="AJ134" s="198">
        <f t="shared" si="200"/>
        <v>29778</v>
      </c>
      <c r="AK134" s="199">
        <f t="shared" si="200"/>
        <v>29771.5</v>
      </c>
      <c r="AL134" s="199">
        <f t="shared" si="200"/>
        <v>30728.5</v>
      </c>
      <c r="AM134" s="199">
        <f t="shared" si="200"/>
        <v>31926</v>
      </c>
      <c r="AN134" s="199">
        <f t="shared" si="200"/>
        <v>33471.25</v>
      </c>
      <c r="AO134" s="198">
        <f t="shared" si="200"/>
        <v>32346.5</v>
      </c>
      <c r="AP134" s="199">
        <f t="shared" si="200"/>
        <v>34737</v>
      </c>
      <c r="AQ134" s="199">
        <f t="shared" si="200"/>
        <v>36260.25</v>
      </c>
      <c r="AR134" s="199">
        <f>INDEX(SP_BSR_TA_Avg,0,COLUMN())-INDEX(SP_BSR_CL_Avg,0,COLUMN())</f>
        <v>37073</v>
      </c>
      <c r="AS134" s="199">
        <f>INDEX(SP_BSR_TA_Avg,0,COLUMN())-INDEX(SP_BSR_CL_Avg,0,COLUMN())</f>
        <v>38062.75</v>
      </c>
      <c r="AT134" s="198">
        <f>INDEX(SP_BSR_TA_Avg,0,COLUMN())-INDEX(SP_BSR_CL_Avg,0,COLUMN())</f>
        <v>37416.5</v>
      </c>
      <c r="AU134" s="852">
        <f t="shared" si="200"/>
        <v>38497.5</v>
      </c>
      <c r="AV134" s="199">
        <f t="shared" si="200"/>
        <v>38736.67105206049</v>
      </c>
      <c r="AW134" s="199">
        <f t="shared" si="200"/>
        <v>38982.244781787878</v>
      </c>
      <c r="AX134" s="199">
        <f t="shared" si="200"/>
        <v>38947.298566796926</v>
      </c>
      <c r="AY134" s="198">
        <f t="shared" si="200"/>
        <v>39326.107570018103</v>
      </c>
      <c r="AZ134" s="199">
        <f t="shared" ref="AZ134:BG134" ca="1" si="201">INDEX(SP_BSR_TA_Avg,0,COLUMN())-INDEX(SP_BSR_CL_Avg,0,COLUMN())</f>
        <v>39176.773723783102</v>
      </c>
      <c r="BA134" s="199">
        <f t="shared" ca="1" si="201"/>
        <v>39465.25376060955</v>
      </c>
      <c r="BB134" s="199">
        <f t="shared" ca="1" si="201"/>
        <v>39773.146691243295</v>
      </c>
      <c r="BC134" s="199">
        <f t="shared" ca="1" si="201"/>
        <v>40124.300888521175</v>
      </c>
      <c r="BD134" s="198">
        <f t="shared" ca="1" si="201"/>
        <v>39958.52353459195</v>
      </c>
      <c r="BE134" s="198">
        <f t="shared" ca="1" si="201"/>
        <v>41718.01917132677</v>
      </c>
      <c r="BF134" s="198">
        <f t="shared" ca="1" si="201"/>
        <v>44203.659698352567</v>
      </c>
      <c r="BG134" s="198">
        <f t="shared" ca="1" si="201"/>
        <v>47460.610988385044</v>
      </c>
      <c r="BH134" s="199"/>
    </row>
    <row r="135" spans="1:60" s="148" customFormat="1" collapsed="1" x14ac:dyDescent="0.35">
      <c r="A135" s="329" t="s">
        <v>329</v>
      </c>
      <c r="B135" s="330"/>
      <c r="C135" s="211">
        <f>IF(C134&lt;0,"NMF",IF(ABS(C131/C134)&gt;1,"NMF",C131/C134))</f>
        <v>0.21536259115107592</v>
      </c>
      <c r="D135" s="211">
        <f>IF(D134&lt;0,"NMF",IF(ABS(D131/D134)&gt;1,"NMF",D131/D134))</f>
        <v>0.25497630331753557</v>
      </c>
      <c r="E135" s="211">
        <f>IF(E134&lt;0,"NMF",IF(ABS(E131/E134)&gt;1,"NMF",E131/E134))</f>
        <v>0.2459297002507862</v>
      </c>
      <c r="F135" s="211">
        <f>IF(F134&lt;0,"NMF",IF(ABS(F131/F134)&gt;1,"NMF",F131/F134))</f>
        <v>0.24077547306456704</v>
      </c>
      <c r="G135" s="212"/>
      <c r="H135" s="212"/>
      <c r="I135" s="212"/>
      <c r="J135" s="212">
        <f t="shared" ref="J135:AY135" si="202">IF(J134&lt;0,"NMF",IF(ABS(J131/J134)&gt;1,"NMF",J131/J134))</f>
        <v>0.24665137275216459</v>
      </c>
      <c r="K135" s="211">
        <f t="shared" si="202"/>
        <v>0.24813877307921381</v>
      </c>
      <c r="L135" s="212">
        <f t="shared" si="202"/>
        <v>0.25392756505103242</v>
      </c>
      <c r="M135" s="212">
        <f t="shared" si="202"/>
        <v>0.26186765991410438</v>
      </c>
      <c r="N135" s="212">
        <f t="shared" si="202"/>
        <v>0.27084013442150745</v>
      </c>
      <c r="O135" s="212">
        <f t="shared" si="202"/>
        <v>0.27616771334294532</v>
      </c>
      <c r="P135" s="211">
        <f t="shared" si="202"/>
        <v>0.27818390939041271</v>
      </c>
      <c r="Q135" s="212">
        <f t="shared" si="202"/>
        <v>0.27815226589629111</v>
      </c>
      <c r="R135" s="212">
        <f t="shared" si="202"/>
        <v>0.27926005676813154</v>
      </c>
      <c r="S135" s="212">
        <f t="shared" si="202"/>
        <v>0.27517057827244135</v>
      </c>
      <c r="T135" s="212">
        <f t="shared" si="202"/>
        <v>0.26797839506172838</v>
      </c>
      <c r="U135" s="211">
        <f t="shared" si="202"/>
        <v>0.27322253908938932</v>
      </c>
      <c r="V135" s="212">
        <f t="shared" si="202"/>
        <v>0.26958421138727712</v>
      </c>
      <c r="W135" s="212">
        <f t="shared" si="202"/>
        <v>0.27139975485228401</v>
      </c>
      <c r="X135" s="212">
        <f t="shared" si="202"/>
        <v>0.26878403594957917</v>
      </c>
      <c r="Y135" s="212">
        <f t="shared" si="202"/>
        <v>0.27225012485512096</v>
      </c>
      <c r="Z135" s="211">
        <f t="shared" si="202"/>
        <v>0.27628282364641304</v>
      </c>
      <c r="AA135" s="212">
        <f t="shared" si="202"/>
        <v>0.26676330657151354</v>
      </c>
      <c r="AB135" s="212">
        <f t="shared" si="202"/>
        <v>0.27167751035078941</v>
      </c>
      <c r="AC135" s="212">
        <f t="shared" si="202"/>
        <v>0.27300848642262565</v>
      </c>
      <c r="AD135" s="212">
        <f t="shared" si="202"/>
        <v>0.26872554499720513</v>
      </c>
      <c r="AE135" s="211">
        <f t="shared" si="202"/>
        <v>0.26995630582413532</v>
      </c>
      <c r="AF135" s="212">
        <f t="shared" si="202"/>
        <v>0.23822283097204983</v>
      </c>
      <c r="AG135" s="212">
        <f t="shared" si="202"/>
        <v>0.24752857915847154</v>
      </c>
      <c r="AH135" s="212">
        <f t="shared" si="202"/>
        <v>0.24506714459233336</v>
      </c>
      <c r="AI135" s="212">
        <f t="shared" si="202"/>
        <v>0.24705408485949593</v>
      </c>
      <c r="AJ135" s="211">
        <f t="shared" si="202"/>
        <v>0.24202431325139365</v>
      </c>
      <c r="AK135" s="212">
        <f t="shared" si="202"/>
        <v>0.24641015736526545</v>
      </c>
      <c r="AL135" s="212">
        <f t="shared" si="202"/>
        <v>0.21598841466391136</v>
      </c>
      <c r="AM135" s="212">
        <f t="shared" si="202"/>
        <v>0.20773037649564619</v>
      </c>
      <c r="AN135" s="212">
        <f t="shared" si="202"/>
        <v>0.18445680994883668</v>
      </c>
      <c r="AO135" s="211">
        <f t="shared" si="202"/>
        <v>0.19087072789946363</v>
      </c>
      <c r="AP135" s="212">
        <f t="shared" si="202"/>
        <v>0.19290669890894435</v>
      </c>
      <c r="AQ135" s="212">
        <f t="shared" si="202"/>
        <v>0.18585089733247839</v>
      </c>
      <c r="AR135" s="212">
        <f>IF(AR134&lt;0,"NMF",IF(ABS(AR131/AR134)&gt;1,"NMF",AR131/AR134))</f>
        <v>0.17902516656326706</v>
      </c>
      <c r="AS135" s="212">
        <f>IF(AS134&lt;0,"NMF",IF(ABS(AS131/AS134)&gt;1,"NMF",AS131/AS134))</f>
        <v>0.18813669532548227</v>
      </c>
      <c r="AT135" s="211">
        <f>IF(AT134&lt;0,"NMF",IF(ABS(AT131/AT134)&gt;1,"NMF",AT131/AT134))</f>
        <v>0.19138615316772012</v>
      </c>
      <c r="AU135" s="865">
        <f t="shared" ref="AU135" si="203">IF(AU134&lt;0,"NMF",IF(ABS(AU131/AU134)&gt;1,"NMF",AU131/AU134))</f>
        <v>0.19461003961296189</v>
      </c>
      <c r="AV135" s="212">
        <f t="shared" si="202"/>
        <v>0.192271926898164</v>
      </c>
      <c r="AW135" s="212">
        <f t="shared" si="202"/>
        <v>0.194361971590198</v>
      </c>
      <c r="AX135" s="212">
        <f t="shared" si="202"/>
        <v>0.20200969131931895</v>
      </c>
      <c r="AY135" s="211">
        <f t="shared" si="202"/>
        <v>0.20006383157020843</v>
      </c>
      <c r="AZ135" s="212">
        <f t="shared" ref="AZ135:BG135" ca="1" si="204">IF(AZ134&lt;0,"NMF",IF(ABS(AZ131/AZ134)&gt;1,"NMF",AZ131/AZ134))</f>
        <v>0.20758416589733128</v>
      </c>
      <c r="BA135" s="212">
        <f t="shared" ca="1" si="204"/>
        <v>0.21315217194797723</v>
      </c>
      <c r="BB135" s="212">
        <f t="shared" ca="1" si="204"/>
        <v>0.21349485149017672</v>
      </c>
      <c r="BC135" s="212">
        <f t="shared" ca="1" si="204"/>
        <v>0.21661938264057176</v>
      </c>
      <c r="BD135" s="211">
        <f t="shared" ca="1" si="204"/>
        <v>0.21751807921110067</v>
      </c>
      <c r="BE135" s="211">
        <f t="shared" ca="1" si="204"/>
        <v>0.22761361497574642</v>
      </c>
      <c r="BF135" s="211">
        <f t="shared" ca="1" si="204"/>
        <v>0.23454525443573565</v>
      </c>
      <c r="BG135" s="211">
        <f t="shared" ca="1" si="204"/>
        <v>0.23838375095130845</v>
      </c>
      <c r="BH135" s="368"/>
    </row>
    <row r="136" spans="1:60" x14ac:dyDescent="0.35">
      <c r="A136" s="303"/>
      <c r="B136" s="310"/>
      <c r="C136" s="904"/>
      <c r="D136" s="904"/>
      <c r="E136" s="904"/>
      <c r="F136" s="904"/>
      <c r="G136" s="905"/>
      <c r="H136" s="905"/>
      <c r="I136" s="905"/>
      <c r="J136" s="905"/>
      <c r="K136" s="904"/>
      <c r="L136" s="905"/>
      <c r="M136" s="905"/>
      <c r="N136" s="905"/>
      <c r="O136" s="905"/>
      <c r="P136" s="904"/>
      <c r="Q136" s="905"/>
      <c r="R136" s="905"/>
      <c r="S136" s="905"/>
      <c r="T136" s="905"/>
      <c r="U136" s="904"/>
      <c r="V136" s="905"/>
      <c r="W136" s="905"/>
      <c r="X136" s="905"/>
      <c r="Y136" s="905"/>
      <c r="Z136" s="904"/>
      <c r="AA136" s="905"/>
      <c r="AB136" s="905"/>
      <c r="AC136" s="905"/>
      <c r="AD136" s="905"/>
      <c r="AE136" s="904"/>
      <c r="AF136" s="905"/>
      <c r="AG136" s="905"/>
      <c r="AH136" s="905"/>
      <c r="AI136" s="905"/>
      <c r="AJ136" s="904"/>
      <c r="AK136" s="905"/>
      <c r="AL136" s="905"/>
      <c r="AM136" s="905"/>
      <c r="AN136" s="905"/>
      <c r="AO136" s="904"/>
      <c r="AP136" s="905"/>
      <c r="AQ136" s="905"/>
      <c r="AR136" s="905"/>
      <c r="AS136" s="905"/>
      <c r="AT136" s="904"/>
      <c r="AU136" s="906"/>
      <c r="AV136" s="905"/>
      <c r="AW136" s="905"/>
      <c r="AX136" s="905"/>
      <c r="AY136" s="904"/>
      <c r="AZ136" s="905"/>
      <c r="BA136" s="905"/>
      <c r="BB136" s="905"/>
      <c r="BC136" s="905"/>
      <c r="BD136" s="904"/>
      <c r="BE136" s="904"/>
      <c r="BF136" s="904"/>
      <c r="BG136" s="904"/>
      <c r="BH136" s="844"/>
    </row>
    <row r="137" spans="1:60" x14ac:dyDescent="0.35">
      <c r="A137" s="190" t="s">
        <v>330</v>
      </c>
      <c r="B137" s="845"/>
      <c r="C137" s="907"/>
      <c r="D137" s="907"/>
      <c r="E137" s="907"/>
      <c r="F137" s="907"/>
      <c r="G137" s="907"/>
      <c r="H137" s="907"/>
      <c r="I137" s="907"/>
      <c r="J137" s="907"/>
      <c r="K137" s="907"/>
      <c r="L137" s="907"/>
      <c r="M137" s="907"/>
      <c r="N137" s="907"/>
      <c r="O137" s="907"/>
      <c r="P137" s="907"/>
      <c r="Q137" s="907"/>
      <c r="R137" s="907"/>
      <c r="S137" s="907"/>
      <c r="T137" s="907"/>
      <c r="U137" s="907"/>
      <c r="V137" s="907"/>
      <c r="W137" s="907"/>
      <c r="X137" s="907"/>
      <c r="Y137" s="907"/>
      <c r="Z137" s="907"/>
      <c r="AA137" s="907"/>
      <c r="AB137" s="907"/>
      <c r="AC137" s="907"/>
      <c r="AD137" s="907"/>
      <c r="AE137" s="907"/>
      <c r="AF137" s="907"/>
      <c r="AG137" s="907"/>
      <c r="AH137" s="907"/>
      <c r="AI137" s="907"/>
      <c r="AJ137" s="907"/>
      <c r="AK137" s="907"/>
      <c r="AL137" s="907"/>
      <c r="AM137" s="907"/>
      <c r="AN137" s="907"/>
      <c r="AO137" s="907"/>
      <c r="AP137" s="907"/>
      <c r="AQ137" s="907"/>
      <c r="AR137" s="907"/>
      <c r="AS137" s="907"/>
      <c r="AT137" s="907"/>
      <c r="AU137" s="908"/>
      <c r="AV137" s="907"/>
      <c r="AW137" s="907"/>
      <c r="AX137" s="907"/>
      <c r="AY137" s="907"/>
      <c r="AZ137" s="907"/>
      <c r="BA137" s="907"/>
      <c r="BB137" s="907"/>
      <c r="BC137" s="907"/>
      <c r="BD137" s="907"/>
      <c r="BE137" s="907"/>
      <c r="BF137" s="907"/>
      <c r="BG137" s="907"/>
      <c r="BH137" s="846"/>
    </row>
    <row r="138" spans="1:60" s="147" customFormat="1" x14ac:dyDescent="0.35">
      <c r="A138" s="314" t="s">
        <v>331</v>
      </c>
      <c r="B138" s="315"/>
      <c r="C138" s="201"/>
      <c r="D138" s="201">
        <f>IF(OR(INDEX(SP_GF_Rev,0,COLUMN())&lt;=0,C54&lt;=0),"NMF",IF(ABS((INDEX(SP_GF_Rev,0,COLUMN())/INDEX(SP_CS_ShareCount,0,COLUMN()))/(C54/C5)-1)&gt;10,"NMF",(INDEX(SP_GF_Rev,0,COLUMN())/INDEX(SP_CS_ShareCount,0,COLUMN()))/(C54/C5)-1))</f>
        <v>0.12317187385483797</v>
      </c>
      <c r="E138" s="201">
        <f>IF(OR(INDEX(SP_GF_Rev,0,COLUMN())&lt;=0,D54&lt;=0),"NMF",IF(ABS((INDEX(SP_GF_Rev,0,COLUMN())/INDEX(SP_CS_ShareCount,0,COLUMN()))/(D54/D5)-1)&gt;10,"NMF",(INDEX(SP_GF_Rev,0,COLUMN())/INDEX(SP_CS_ShareCount,0,COLUMN()))/(D54/D5)-1))</f>
        <v>0.12064711289705188</v>
      </c>
      <c r="F138" s="201">
        <f>IF(OR(INDEX(SP_GF_Rev,0,COLUMN())&lt;=0,E54&lt;=0),"NMF",IF(ABS((INDEX(SP_GF_Rev,0,COLUMN())/INDEX(SP_CS_ShareCount,0,COLUMN()))/(E54/E5)-1)&gt;10,"NMF",(INDEX(SP_GF_Rev,0,COLUMN())/INDEX(SP_CS_ShareCount,0,COLUMN()))/(E54/E5)-1))</f>
        <v>3.2439193064294214E-2</v>
      </c>
      <c r="G138" s="202"/>
      <c r="H138" s="202"/>
      <c r="I138" s="202"/>
      <c r="J138" s="202"/>
      <c r="K138" s="201">
        <f t="shared" ref="K138:AY138" si="205">IF(OR(INDEX(SP_GF_Rev,0,COLUMN())&lt;=0,F54&lt;=0),"NMF",IF(ABS((INDEX(SP_GF_Rev,0,COLUMN())/INDEX(SP_CS_ShareCount,0,COLUMN()))/(F54/F5)-1)&gt;10,"NMF",(INDEX(SP_GF_Rev,0,COLUMN())/INDEX(SP_CS_ShareCount,0,COLUMN()))/(F54/F5)-1))</f>
        <v>4.6774047386083817E-2</v>
      </c>
      <c r="L138" s="202">
        <f t="shared" si="205"/>
        <v>6.778075066229583E-2</v>
      </c>
      <c r="M138" s="202">
        <f t="shared" si="205"/>
        <v>0.10374657568493295</v>
      </c>
      <c r="N138" s="202">
        <f t="shared" si="205"/>
        <v>8.0884282688244769E-2</v>
      </c>
      <c r="O138" s="202">
        <f t="shared" si="205"/>
        <v>6.7447816240533198E-2</v>
      </c>
      <c r="P138" s="201">
        <f t="shared" si="205"/>
        <v>7.9976289600394379E-2</v>
      </c>
      <c r="Q138" s="202">
        <f t="shared" si="205"/>
        <v>5.4044886772817158E-3</v>
      </c>
      <c r="R138" s="202">
        <f t="shared" si="205"/>
        <v>-2.3335108931616277E-2</v>
      </c>
      <c r="S138" s="202">
        <f t="shared" si="205"/>
        <v>-1.2139543772964112E-2</v>
      </c>
      <c r="T138" s="202">
        <f t="shared" si="205"/>
        <v>-1.5990678001316927E-2</v>
      </c>
      <c r="U138" s="201">
        <f t="shared" si="205"/>
        <v>-1.1587554070159434E-2</v>
      </c>
      <c r="V138" s="202">
        <f t="shared" si="205"/>
        <v>2.160298069878519E-2</v>
      </c>
      <c r="W138" s="202">
        <f t="shared" si="205"/>
        <v>3.2359789980272113E-2</v>
      </c>
      <c r="X138" s="202">
        <f t="shared" si="205"/>
        <v>1.9641985424875497E-2</v>
      </c>
      <c r="Y138" s="202">
        <f t="shared" si="205"/>
        <v>2.3226679760949054E-2</v>
      </c>
      <c r="Z138" s="201">
        <f t="shared" si="205"/>
        <v>2.4288215581029338E-2</v>
      </c>
      <c r="AA138" s="202">
        <f t="shared" si="205"/>
        <v>5.3014153427601185E-2</v>
      </c>
      <c r="AB138" s="202">
        <f t="shared" si="205"/>
        <v>3.278944170580389E-2</v>
      </c>
      <c r="AC138" s="202">
        <f t="shared" si="205"/>
        <v>7.0613553312667054E-2</v>
      </c>
      <c r="AD138" s="202">
        <f t="shared" si="205"/>
        <v>9.0900573506332405E-2</v>
      </c>
      <c r="AE138" s="201">
        <f t="shared" si="205"/>
        <v>6.170939455314417E-2</v>
      </c>
      <c r="AF138" s="202">
        <f t="shared" si="205"/>
        <v>7.5932663204844486E-2</v>
      </c>
      <c r="AG138" s="202">
        <f t="shared" si="205"/>
        <v>8.9554509809905092E-2</v>
      </c>
      <c r="AH138" s="202">
        <f t="shared" si="205"/>
        <v>2.1391192306585038E-2</v>
      </c>
      <c r="AI138" s="202">
        <f t="shared" si="205"/>
        <v>2.9269839070691139E-2</v>
      </c>
      <c r="AJ138" s="201">
        <f t="shared" si="205"/>
        <v>5.3396340152236155E-2</v>
      </c>
      <c r="AK138" s="202">
        <f t="shared" si="205"/>
        <v>-1.1072926098452562E-2</v>
      </c>
      <c r="AL138" s="202">
        <f t="shared" si="205"/>
        <v>3.9734988903641355E-3</v>
      </c>
      <c r="AM138" s="202">
        <f t="shared" si="205"/>
        <v>6.1436480456236175E-3</v>
      </c>
      <c r="AN138" s="202">
        <f t="shared" si="205"/>
        <v>3.8238498912907648E-2</v>
      </c>
      <c r="AO138" s="201">
        <f t="shared" si="205"/>
        <v>9.1321429623063555E-3</v>
      </c>
      <c r="AP138" s="202">
        <f t="shared" si="205"/>
        <v>3.9324113316731246E-2</v>
      </c>
      <c r="AQ138" s="202">
        <f t="shared" si="205"/>
        <v>-0.11375798909871726</v>
      </c>
      <c r="AR138" s="202">
        <f t="shared" si="205"/>
        <v>4.6002044195324165E-2</v>
      </c>
      <c r="AS138" s="202">
        <f>IF(OR(INDEX(SP_GF_Rev,0,COLUMN())&lt;=0,AN54&lt;=0),"NMF",IF(ABS((INDEX(SP_GF_Rev,0,COLUMN())/INDEX(SP_CS_ShareCount,0,COLUMN()))/(AN54/AN5)-1)&gt;10,"NMF",(INDEX(SP_GF_Rev,0,COLUMN())/INDEX(SP_CS_ShareCount,0,COLUMN()))/(AN54/AN5)-1))</f>
        <v>5.5837012310358203E-2</v>
      </c>
      <c r="AT138" s="201">
        <f>IF(OR(INDEX(SP_GF_Rev,0,COLUMN())&lt;=0,AO54&lt;=0),"NMF",IF(ABS((INDEX(SP_GF_Rev,0,COLUMN())/INDEX(SP_CS_ShareCount,0,COLUMN()))/(AO54/AO5)-1)&gt;10,"NMF",(INDEX(SP_GF_Rev,0,COLUMN())/INDEX(SP_CS_ShareCount,0,COLUMN()))/(AO54/AO5)-1))</f>
        <v>6.482198167236275E-3</v>
      </c>
      <c r="AU138" s="854">
        <f t="shared" si="205"/>
        <v>8.7125379340134312E-2</v>
      </c>
      <c r="AV138" s="202">
        <f t="shared" ca="1" si="205"/>
        <v>6.3242011803286147E-2</v>
      </c>
      <c r="AW138" s="202">
        <f t="shared" ca="1" si="205"/>
        <v>4.9635075741925938E-2</v>
      </c>
      <c r="AX138" s="202">
        <f t="shared" ca="1" si="205"/>
        <v>5.6353315697152739E-2</v>
      </c>
      <c r="AY138" s="201">
        <f t="shared" ca="1" si="205"/>
        <v>6.3676963082244908E-2</v>
      </c>
      <c r="AZ138" s="202">
        <f ca="1">IF(OR(INDEX(SP_GF_Rev,0,COLUMN())&lt;=0,AU54&lt;=0),"NMF",IF(ABS((INDEX(SP_GF_Rev,0,COLUMN())/INDEX(SP_CS_ShareCount,0,COLUMN()))/(AU54/AU5)-1)&gt;10,"NMF",(INDEX(SP_GF_Rev,0,COLUMN())/INDEX(SP_CS_ShareCount,0,COLUMN()))/(AU54/AU5)-1))</f>
        <v>9.0281445176718655E-2</v>
      </c>
      <c r="BA138" s="202">
        <f ca="1">IF(OR(INDEX(SP_GF_Rev,0,COLUMN())&lt;=0,AV54&lt;=0),"NMF",IF(ABS((INDEX(SP_GF_Rev,0,COLUMN())/INDEX(SP_CS_ShareCount,0,COLUMN()))/(AV54/AV5)-1)&gt;10,"NMF",(INDEX(SP_GF_Rev,0,COLUMN())/INDEX(SP_CS_ShareCount,0,COLUMN()))/(AV54/AV5)-1))</f>
        <v>8.2152860578000642E-2</v>
      </c>
      <c r="BB138" s="202">
        <f ca="1">IF(OR(INDEX(SP_GF_Rev,0,COLUMN())&lt;=0,AW54&lt;=0),"NMF",IF(ABS((INDEX(SP_GF_Rev,0,COLUMN())/INDEX(SP_CS_ShareCount,0,COLUMN()))/(AW54/AW5)-1)&gt;10,"NMF",(INDEX(SP_GF_Rev,0,COLUMN())/INDEX(SP_CS_ShareCount,0,COLUMN()))/(AW54/AW5)-1))</f>
        <v>8.2223796642213909E-2</v>
      </c>
      <c r="BC138" s="202">
        <f ca="1">IF(OR(INDEX(SP_GF_Rev,0,COLUMN())&lt;=0,AX54&lt;=0),"NMF",IF(ABS((INDEX(SP_GF_Rev,0,COLUMN())/INDEX(SP_CS_ShareCount,0,COLUMN()))/(AX54/AX5)-1)&gt;10,"NMF",(INDEX(SP_GF_Rev,0,COLUMN())/INDEX(SP_CS_ShareCount,0,COLUMN()))/(AX54/AX5)-1))</f>
        <v>8.1831131631466603E-2</v>
      </c>
      <c r="BD138" s="201">
        <f ca="1">IF(OR(INDEX(SP_GF_Rev,0,COLUMN())&lt;=0,AY54&lt;=0),"NMF",IF(ABS((INDEX(SP_GF_Rev,0,COLUMN())/INDEX(SP_CS_ShareCount,0,COLUMN()))/(AY54/AY5)-1)&gt;10,"NMF",(INDEX(SP_GF_Rev,0,COLUMN())/INDEX(SP_CS_ShareCount,0,COLUMN()))/(AY54/AY5)-1))</f>
        <v>8.4195925082652945E-2</v>
      </c>
      <c r="BE138" s="201">
        <f ca="1">IF(OR(INDEX(SP_GF_Rev,0,COLUMN())&lt;=0,BD54&lt;=0),"NMF",IF(ABS((INDEX(SP_GF_Rev,0,COLUMN())/INDEX(SP_CS_ShareCount,0,COLUMN()))/(BD54/BD5)-1)&gt;10,"NMF",(INDEX(SP_GF_Rev,0,COLUMN())/INDEX(SP_CS_ShareCount,0,COLUMN()))/(BD54/BD5)-1))</f>
        <v>8.7285380123978351E-2</v>
      </c>
      <c r="BF138" s="201">
        <f ca="1">IF(OR(INDEX(SP_GF_Rev,0,COLUMN())&lt;=0,BE54&lt;=0),"NMF",IF(ABS((INDEX(SP_GF_Rev,0,COLUMN())/INDEX(SP_CS_ShareCount,0,COLUMN()))/(BE54/BE5)-1)&gt;10,"NMF",(INDEX(SP_GF_Rev,0,COLUMN())/INDEX(SP_CS_ShareCount,0,COLUMN()))/(BE54/BE5)-1))</f>
        <v>7.9527140431776555E-2</v>
      </c>
      <c r="BG138" s="201">
        <f ca="1">IF(OR(INDEX(SP_GF_Rev,0,COLUMN())&lt;=0,BF54&lt;=0),"NMF",IF(ABS((INDEX(SP_GF_Rev,0,COLUMN())/INDEX(SP_CS_ShareCount,0,COLUMN()))/(BF54/BF5)-1)&gt;10,"NMF",(INDEX(SP_GF_Rev,0,COLUMN())/INDEX(SP_CS_ShareCount,0,COLUMN()))/(BF54/BF5)-1))</f>
        <v>7.8496734963396486E-2</v>
      </c>
      <c r="BH138" s="325"/>
    </row>
    <row r="139" spans="1:60" s="147" customFormat="1" x14ac:dyDescent="0.35">
      <c r="A139" s="314" t="s">
        <v>332</v>
      </c>
      <c r="B139" s="315"/>
      <c r="C139" s="201"/>
      <c r="D139" s="201">
        <f>IF(OR(INDEX(SP_NGF_EBITDA,0,COLUMN())&lt;=0,C74&lt;=0),"NMF",IF(ABS((INDEX(SP_NGF_EBITDA,0,COLUMN())/INDEX(SP_CS_ShareCount,0,COLUMN()))/(C74/C5)-1)&gt;10,"NMF",(INDEX(SP_NGF_EBITDA,0,COLUMN())/INDEX(SP_CS_ShareCount,0,COLUMN()))/(C74/C5)-1))</f>
        <v>0.14815326686381369</v>
      </c>
      <c r="E139" s="201">
        <f>IF(OR(INDEX(SP_NGF_EBITDA,0,COLUMN())&lt;=0,D74&lt;=0),"NMF",IF(ABS((INDEX(SP_NGF_EBITDA,0,COLUMN())/INDEX(SP_CS_ShareCount,0,COLUMN()))/(D74/D5)-1)&gt;10,"NMF",(INDEX(SP_NGF_EBITDA,0,COLUMN())/INDEX(SP_CS_ShareCount,0,COLUMN()))/(D74/D5)-1))</f>
        <v>6.2947575272877865E-2</v>
      </c>
      <c r="F139" s="201">
        <f>IF(OR(INDEX(SP_NGF_EBITDA,0,COLUMN())&lt;=0,E74&lt;=0),"NMF",IF(ABS((INDEX(SP_NGF_EBITDA,0,COLUMN())/INDEX(SP_CS_ShareCount,0,COLUMN()))/(E74/E5)-1)&gt;10,"NMF",(INDEX(SP_NGF_EBITDA,0,COLUMN())/INDEX(SP_CS_ShareCount,0,COLUMN()))/(E74/E5)-1))</f>
        <v>7.1550393802295886E-2</v>
      </c>
      <c r="G139" s="202"/>
      <c r="H139" s="202"/>
      <c r="I139" s="202"/>
      <c r="J139" s="202"/>
      <c r="K139" s="201">
        <f t="shared" ref="K139:AY139" si="206">IF(OR(INDEX(SP_NGF_EBITDA,0,COLUMN())&lt;=0,F74&lt;=0),"NMF",IF(ABS((INDEX(SP_NGF_EBITDA,0,COLUMN())/INDEX(SP_CS_ShareCount,0,COLUMN()))/(F74/F5)-1)&gt;10,"NMF",(INDEX(SP_NGF_EBITDA,0,COLUMN())/INDEX(SP_CS_ShareCount,0,COLUMN()))/(F74/F5)-1))</f>
        <v>4.8693538971751327E-2</v>
      </c>
      <c r="L139" s="202">
        <f t="shared" si="206"/>
        <v>8.5034846606859782E-2</v>
      </c>
      <c r="M139" s="202">
        <f t="shared" si="206"/>
        <v>0.14331408219678354</v>
      </c>
      <c r="N139" s="202">
        <f t="shared" si="206"/>
        <v>0.13688213260864512</v>
      </c>
      <c r="O139" s="202">
        <f t="shared" si="206"/>
        <v>8.7794204845420554E-2</v>
      </c>
      <c r="P139" s="201">
        <f t="shared" si="206"/>
        <v>0.11369823929883216</v>
      </c>
      <c r="Q139" s="202">
        <f t="shared" si="206"/>
        <v>4.0479711719062728E-2</v>
      </c>
      <c r="R139" s="202">
        <f t="shared" si="206"/>
        <v>1.9587216089890225E-2</v>
      </c>
      <c r="S139" s="202">
        <f t="shared" si="206"/>
        <v>3.3039603860050226E-2</v>
      </c>
      <c r="T139" s="202">
        <f t="shared" si="206"/>
        <v>-1.8713669374860631E-2</v>
      </c>
      <c r="U139" s="201">
        <f t="shared" si="206"/>
        <v>1.9219341554804981E-2</v>
      </c>
      <c r="V139" s="202">
        <f t="shared" si="206"/>
        <v>8.2783048095182776E-2</v>
      </c>
      <c r="W139" s="202">
        <f t="shared" si="206"/>
        <v>5.8353789872553019E-2</v>
      </c>
      <c r="X139" s="202">
        <f t="shared" si="206"/>
        <v>3.8784454925990142E-2</v>
      </c>
      <c r="Y139" s="202">
        <f t="shared" si="206"/>
        <v>0.10053946371051481</v>
      </c>
      <c r="Z139" s="201">
        <f t="shared" si="206"/>
        <v>6.8733149922125536E-2</v>
      </c>
      <c r="AA139" s="202">
        <f t="shared" si="206"/>
        <v>3.2242281240854487E-2</v>
      </c>
      <c r="AB139" s="202">
        <f t="shared" si="206"/>
        <v>0.14985718354904232</v>
      </c>
      <c r="AC139" s="202">
        <f t="shared" si="206"/>
        <v>6.0187015679846967E-2</v>
      </c>
      <c r="AD139" s="202">
        <f t="shared" si="206"/>
        <v>4.4116250016111636E-2</v>
      </c>
      <c r="AE139" s="201">
        <f t="shared" si="206"/>
        <v>7.2375022282840318E-2</v>
      </c>
      <c r="AF139" s="202">
        <f t="shared" si="206"/>
        <v>4.7425817145646532E-2</v>
      </c>
      <c r="AG139" s="202">
        <f t="shared" si="206"/>
        <v>0.11353490430782376</v>
      </c>
      <c r="AH139" s="202">
        <f t="shared" si="206"/>
        <v>1.7886761622888159E-2</v>
      </c>
      <c r="AI139" s="202">
        <f t="shared" si="206"/>
        <v>4.2845862929987488E-2</v>
      </c>
      <c r="AJ139" s="201">
        <f t="shared" si="206"/>
        <v>5.7004010020014206E-2</v>
      </c>
      <c r="AK139" s="202">
        <f t="shared" si="206"/>
        <v>-6.5905430045543389E-2</v>
      </c>
      <c r="AL139" s="202">
        <f t="shared" si="206"/>
        <v>-0.22971125206073018</v>
      </c>
      <c r="AM139" s="202">
        <f t="shared" si="206"/>
        <v>-1.1247543031759566E-2</v>
      </c>
      <c r="AN139" s="202">
        <f t="shared" si="206"/>
        <v>-5.4775427487607331E-2</v>
      </c>
      <c r="AO139" s="201">
        <f t="shared" si="206"/>
        <v>-9.7366716894626393E-2</v>
      </c>
      <c r="AP139" s="202">
        <f t="shared" si="206"/>
        <v>4.5098064698427587E-2</v>
      </c>
      <c r="AQ139" s="202">
        <f t="shared" si="206"/>
        <v>-7.731561392205355E-2</v>
      </c>
      <c r="AR139" s="202">
        <f t="shared" si="206"/>
        <v>4.7487839437270196E-2</v>
      </c>
      <c r="AS139" s="202">
        <f>IF(OR(INDEX(SP_NGF_EBITDA,0,COLUMN())&lt;=0,AN74&lt;=0),"NMF",IF(ABS((INDEX(SP_NGF_EBITDA,0,COLUMN())/INDEX(SP_CS_ShareCount,0,COLUMN()))/(AN74/AN5)-1)&gt;10,"NMF",(INDEX(SP_NGF_EBITDA,0,COLUMN())/INDEX(SP_CS_ShareCount,0,COLUMN()))/(AN74/AN5)-1))</f>
        <v>0.16971803881050485</v>
      </c>
      <c r="AT139" s="201">
        <f>IF(OR(INDEX(SP_NGF_EBITDA,0,COLUMN())&lt;=0,AO74&lt;=0),"NMF",IF(ABS((INDEX(SP_NGF_EBITDA,0,COLUMN())/INDEX(SP_CS_ShareCount,0,COLUMN()))/(AO74/AO5)-1)&gt;10,"NMF",(INDEX(SP_NGF_EBITDA,0,COLUMN())/INDEX(SP_CS_ShareCount,0,COLUMN()))/(AO74/AO5)-1))</f>
        <v>4.5586403367234629E-2</v>
      </c>
      <c r="AU139" s="854">
        <f t="shared" si="206"/>
        <v>0.14915451438632532</v>
      </c>
      <c r="AV139" s="202">
        <f t="shared" ca="1" si="206"/>
        <v>0.11071301856234239</v>
      </c>
      <c r="AW139" s="202">
        <f t="shared" ca="1" si="206"/>
        <v>3.2639452597560625E-2</v>
      </c>
      <c r="AX139" s="202">
        <f t="shared" ca="1" si="206"/>
        <v>0.10317351985084433</v>
      </c>
      <c r="AY139" s="201">
        <f t="shared" ca="1" si="206"/>
        <v>9.6387596365639316E-2</v>
      </c>
      <c r="AZ139" s="202">
        <f ca="1">IF(OR(INDEX(SP_NGF_EBITDA,0,COLUMN())&lt;=0,AU74&lt;=0),"NMF",IF(ABS((INDEX(SP_NGF_EBITDA,0,COLUMN())/INDEX(SP_CS_ShareCount,0,COLUMN()))/(AU74/AU5)-1)&gt;10,"NMF",(INDEX(SP_NGF_EBITDA,0,COLUMN())/INDEX(SP_CS_ShareCount,0,COLUMN()))/(AU74/AU5)-1))</f>
        <v>0.11275093989975704</v>
      </c>
      <c r="BA139" s="202">
        <f ca="1">IF(OR(INDEX(SP_NGF_EBITDA,0,COLUMN())&lt;=0,AV74&lt;=0),"NMF",IF(ABS((INDEX(SP_NGF_EBITDA,0,COLUMN())/INDEX(SP_CS_ShareCount,0,COLUMN()))/(AV74/AV5)-1)&gt;10,"NMF",(INDEX(SP_NGF_EBITDA,0,COLUMN())/INDEX(SP_CS_ShareCount,0,COLUMN()))/(AV74/AV5)-1))</f>
        <v>0.15126469701746759</v>
      </c>
      <c r="BB139" s="202">
        <f ca="1">IF(OR(INDEX(SP_NGF_EBITDA,0,COLUMN())&lt;=0,AW74&lt;=0),"NMF",IF(ABS((INDEX(SP_NGF_EBITDA,0,COLUMN())/INDEX(SP_CS_ShareCount,0,COLUMN()))/(AW74/AW5)-1)&gt;10,"NMF",(INDEX(SP_NGF_EBITDA,0,COLUMN())/INDEX(SP_CS_ShareCount,0,COLUMN()))/(AW74/AW5)-1))</f>
        <v>4.9556358060726113E-2</v>
      </c>
      <c r="BC139" s="202">
        <f ca="1">IF(OR(INDEX(SP_NGF_EBITDA,0,COLUMN())&lt;=0,AX74&lt;=0),"NMF",IF(ABS((INDEX(SP_NGF_EBITDA,0,COLUMN())/INDEX(SP_CS_ShareCount,0,COLUMN()))/(AX74/AX5)-1)&gt;10,"NMF",(INDEX(SP_NGF_EBITDA,0,COLUMN())/INDEX(SP_CS_ShareCount,0,COLUMN()))/(AX74/AX5)-1))</f>
        <v>9.5888306474495089E-2</v>
      </c>
      <c r="BD139" s="201">
        <f ca="1">IF(OR(INDEX(SP_NGF_EBITDA,0,COLUMN())&lt;=0,AY74&lt;=0),"NMF",IF(ABS((INDEX(SP_NGF_EBITDA,0,COLUMN())/INDEX(SP_CS_ShareCount,0,COLUMN()))/(AY74/AY5)-1)&gt;10,"NMF",(INDEX(SP_NGF_EBITDA,0,COLUMN())/INDEX(SP_CS_ShareCount,0,COLUMN()))/(AY74/AY5)-1))</f>
        <v>0.10055509820741548</v>
      </c>
      <c r="BE139" s="201">
        <f ca="1">IF(OR(INDEX(SP_NGF_EBITDA,0,COLUMN())&lt;=0,BD74&lt;=0),"NMF",IF(ABS((INDEX(SP_NGF_EBITDA,0,COLUMN())/INDEX(SP_CS_ShareCount,0,COLUMN()))/(BD74/BD5)-1)&gt;10,"NMF",(INDEX(SP_NGF_EBITDA,0,COLUMN())/INDEX(SP_CS_ShareCount,0,COLUMN()))/(BD74/BD5)-1))</f>
        <v>0.10054983125623007</v>
      </c>
      <c r="BF139" s="201">
        <f ca="1">IF(OR(INDEX(SP_NGF_EBITDA,0,COLUMN())&lt;=0,BE74&lt;=0),"NMF",IF(ABS((INDEX(SP_NGF_EBITDA,0,COLUMN())/INDEX(SP_CS_ShareCount,0,COLUMN()))/(BE74/BE5)-1)&gt;10,"NMF",(INDEX(SP_NGF_EBITDA,0,COLUMN())/INDEX(SP_CS_ShareCount,0,COLUMN()))/(BE74/BE5)-1))</f>
        <v>9.3075895317737301E-2</v>
      </c>
      <c r="BG139" s="201">
        <f ca="1">IF(OR(INDEX(SP_NGF_EBITDA,0,COLUMN())&lt;=0,BF74&lt;=0),"NMF",IF(ABS((INDEX(SP_NGF_EBITDA,0,COLUMN())/INDEX(SP_CS_ShareCount,0,COLUMN()))/(BF74/BF5)-1)&gt;10,"NMF",(INDEX(SP_NGF_EBITDA,0,COLUMN())/INDEX(SP_CS_ShareCount,0,COLUMN()))/(BF74/BF5)-1))</f>
        <v>9.2361095550904881E-2</v>
      </c>
      <c r="BH139" s="325"/>
    </row>
    <row r="140" spans="1:60" s="147" customFormat="1" x14ac:dyDescent="0.35">
      <c r="A140" s="314" t="s">
        <v>333</v>
      </c>
      <c r="B140" s="315"/>
      <c r="C140" s="201"/>
      <c r="D140" s="201">
        <f>IF(OR(INDEX(SP_NGF_NI,0,COLUMN())&lt;=0,C76&lt;=0),"NMF",IF(ABS((INDEX(SP_NGF_NI,0,COLUMN())/INDEX(SP_CS_ShareCount,0,COLUMN()))/(C76/C5)-1)&gt;10,"NMF",(INDEX(SP_NGF_NI,0,COLUMN())/INDEX(SP_CS_ShareCount,0,COLUMN()))/(C76/C5)-1))</f>
        <v>0.24620880919948318</v>
      </c>
      <c r="E140" s="201">
        <f>IF(OR(INDEX(SP_NGF_NI,0,COLUMN())&lt;=0,D76&lt;=0),"NMF",IF(ABS((INDEX(SP_NGF_NI,0,COLUMN())/INDEX(SP_CS_ShareCount,0,COLUMN()))/(D76/D5)-1)&gt;10,"NMF",(INDEX(SP_NGF_NI,0,COLUMN())/INDEX(SP_CS_ShareCount,0,COLUMN()))/(D76/D5)-1))</f>
        <v>5.7948531126632785E-2</v>
      </c>
      <c r="F140" s="201">
        <f>IF(OR(INDEX(SP_NGF_NI,0,COLUMN())&lt;=0,E76&lt;=0),"NMF",IF(ABS((INDEX(SP_NGF_NI,0,COLUMN())/INDEX(SP_CS_ShareCount,0,COLUMN()))/(E76/E5)-1)&gt;10,"NMF",(INDEX(SP_NGF_NI,0,COLUMN())/INDEX(SP_CS_ShareCount,0,COLUMN()))/(E76/E5)-1))</f>
        <v>6.0752951488926676E-2</v>
      </c>
      <c r="G140" s="202"/>
      <c r="H140" s="202"/>
      <c r="I140" s="202"/>
      <c r="J140" s="202"/>
      <c r="K140" s="201">
        <f t="shared" ref="K140:AY140" si="207">IF(OR(INDEX(SP_NGF_NI,0,COLUMN())&lt;=0,F76&lt;=0),"NMF",IF(ABS((INDEX(SP_NGF_NI,0,COLUMN())/INDEX(SP_CS_ShareCount,0,COLUMN()))/(F76/F5)-1)&gt;10,"NMF",(INDEX(SP_NGF_NI,0,COLUMN())/INDEX(SP_CS_ShareCount,0,COLUMN()))/(F76/F5)-1))</f>
        <v>6.3041436064021461E-2</v>
      </c>
      <c r="L140" s="202">
        <f t="shared" si="207"/>
        <v>0.11283390051745834</v>
      </c>
      <c r="M140" s="202">
        <f t="shared" si="207"/>
        <v>0.11342618256947401</v>
      </c>
      <c r="N140" s="202">
        <f t="shared" si="207"/>
        <v>0.11393532266376005</v>
      </c>
      <c r="O140" s="202">
        <f t="shared" si="207"/>
        <v>0.11882563887062303</v>
      </c>
      <c r="P140" s="201">
        <f t="shared" si="207"/>
        <v>0.11452466038833342</v>
      </c>
      <c r="Q140" s="202">
        <f t="shared" si="207"/>
        <v>3.2084737776811201E-2</v>
      </c>
      <c r="R140" s="202">
        <f t="shared" si="207"/>
        <v>6.0513256108832847E-2</v>
      </c>
      <c r="S140" s="202">
        <f t="shared" si="207"/>
        <v>3.6700915407264167E-2</v>
      </c>
      <c r="T140" s="202">
        <f t="shared" si="207"/>
        <v>-8.3695239118211084E-2</v>
      </c>
      <c r="U140" s="201">
        <f t="shared" si="207"/>
        <v>1.3135935212924554E-2</v>
      </c>
      <c r="V140" s="202">
        <f t="shared" si="207"/>
        <v>0.11113840642189765</v>
      </c>
      <c r="W140" s="202">
        <f t="shared" si="207"/>
        <v>2.8423999900888175E-2</v>
      </c>
      <c r="X140" s="202">
        <f t="shared" si="207"/>
        <v>4.6011994541406587E-2</v>
      </c>
      <c r="Y140" s="202">
        <f t="shared" si="207"/>
        <v>0.13374562330370643</v>
      </c>
      <c r="Z140" s="201">
        <f t="shared" si="207"/>
        <v>7.6143617045291379E-2</v>
      </c>
      <c r="AA140" s="202">
        <f t="shared" si="207"/>
        <v>5.3415224913494708E-2</v>
      </c>
      <c r="AB140" s="202">
        <f t="shared" si="207"/>
        <v>0.24238893787680538</v>
      </c>
      <c r="AC140" s="202">
        <f t="shared" si="207"/>
        <v>8.5949607155194618E-2</v>
      </c>
      <c r="AD140" s="202">
        <f t="shared" si="207"/>
        <v>0.1132796124644837</v>
      </c>
      <c r="AE140" s="201">
        <f t="shared" si="207"/>
        <v>0.12376932486785486</v>
      </c>
      <c r="AF140" s="202">
        <f t="shared" si="207"/>
        <v>0.15438635059050543</v>
      </c>
      <c r="AG140" s="202">
        <f t="shared" si="207"/>
        <v>0.18978646630880092</v>
      </c>
      <c r="AH140" s="202">
        <f t="shared" si="207"/>
        <v>0.10557953937348219</v>
      </c>
      <c r="AI140" s="202">
        <f t="shared" si="207"/>
        <v>0.10034708223734756</v>
      </c>
      <c r="AJ140" s="201">
        <f t="shared" si="207"/>
        <v>0.14001563589931543</v>
      </c>
      <c r="AK140" s="202">
        <f t="shared" si="207"/>
        <v>-0.10936107528590544</v>
      </c>
      <c r="AL140" s="202">
        <f t="shared" si="207"/>
        <v>-0.30830420079168475</v>
      </c>
      <c r="AM140" s="202">
        <f t="shared" si="207"/>
        <v>4.7200381516043777E-4</v>
      </c>
      <c r="AN140" s="202">
        <f t="shared" si="207"/>
        <v>-0.15499011141399888</v>
      </c>
      <c r="AO140" s="201">
        <f t="shared" si="207"/>
        <v>-0.15123203178102107</v>
      </c>
      <c r="AP140" s="202">
        <f t="shared" si="207"/>
        <v>-2.9743545244424907E-2</v>
      </c>
      <c r="AQ140" s="202">
        <f t="shared" si="207"/>
        <v>-0.16419152859398012</v>
      </c>
      <c r="AR140" s="202">
        <f t="shared" si="207"/>
        <v>-5.9537433145312124E-2</v>
      </c>
      <c r="AS140" s="202">
        <f>IF(OR(INDEX(SP_NGF_NI,0,COLUMN())&lt;=0,AN76&lt;=0),"NMF",IF(ABS((INDEX(SP_NGF_NI,0,COLUMN())/INDEX(SP_CS_ShareCount,0,COLUMN()))/(AN76/AN5)-1)&gt;10,"NMF",(INDEX(SP_NGF_NI,0,COLUMN())/INDEX(SP_CS_ShareCount,0,COLUMN()))/(AN76/AN5)-1))</f>
        <v>0.22106435942308855</v>
      </c>
      <c r="AT140" s="201">
        <f>IF(OR(INDEX(SP_NGF_NI,0,COLUMN())&lt;=0,AO76&lt;=0),"NMF",IF(ABS((INDEX(SP_NGF_NI,0,COLUMN())/INDEX(SP_CS_ShareCount,0,COLUMN()))/(AO76/AO5)-1)&gt;10,"NMF",(INDEX(SP_NGF_NI,0,COLUMN())/INDEX(SP_CS_ShareCount,0,COLUMN()))/(AO76/AO5)-1))</f>
        <v>-1.5339135743006493E-2</v>
      </c>
      <c r="AU140" s="854">
        <f t="shared" si="207"/>
        <v>0.2844532835196858</v>
      </c>
      <c r="AV140" s="202">
        <f t="shared" ca="1" si="207"/>
        <v>0.19747196980400417</v>
      </c>
      <c r="AW140" s="202">
        <f t="shared" ca="1" si="207"/>
        <v>7.1041796402785629E-2</v>
      </c>
      <c r="AX140" s="202">
        <f t="shared" ca="1" si="207"/>
        <v>0.15663068225144383</v>
      </c>
      <c r="AY140" s="201">
        <f t="shared" ca="1" si="207"/>
        <v>0.17243528199305791</v>
      </c>
      <c r="AZ140" s="202">
        <f ca="1">IF(OR(INDEX(SP_NGF_NI,0,COLUMN())&lt;=0,AU76&lt;=0),"NMF",IF(ABS((INDEX(SP_NGF_NI,0,COLUMN())/INDEX(SP_CS_ShareCount,0,COLUMN()))/(AU76/AU5)-1)&gt;10,"NMF",(INDEX(SP_NGF_NI,0,COLUMN())/INDEX(SP_CS_ShareCount,0,COLUMN()))/(AU76/AU5)-1))</f>
        <v>5.7532798620195447E-2</v>
      </c>
      <c r="BA140" s="202">
        <f ca="1">IF(OR(INDEX(SP_NGF_NI,0,COLUMN())&lt;=0,AV76&lt;=0),"NMF",IF(ABS((INDEX(SP_NGF_NI,0,COLUMN())/INDEX(SP_CS_ShareCount,0,COLUMN()))/(AV76/AV5)-1)&gt;10,"NMF",(INDEX(SP_NGF_NI,0,COLUMN())/INDEX(SP_CS_ShareCount,0,COLUMN()))/(AV76/AV5)-1))</f>
        <v>0.19851675601228802</v>
      </c>
      <c r="BB140" s="202">
        <f ca="1">IF(OR(INDEX(SP_NGF_NI,0,COLUMN())&lt;=0,AW76&lt;=0),"NMF",IF(ABS((INDEX(SP_NGF_NI,0,COLUMN())/INDEX(SP_CS_ShareCount,0,COLUMN()))/(AW76/AW5)-1)&gt;10,"NMF",(INDEX(SP_NGF_NI,0,COLUMN())/INDEX(SP_CS_ShareCount,0,COLUMN()))/(AW76/AW5)-1))</f>
        <v>5.9531230650904154E-2</v>
      </c>
      <c r="BC140" s="202">
        <f ca="1">IF(OR(INDEX(SP_NGF_NI,0,COLUMN())&lt;=0,AX76&lt;=0),"NMF",IF(ABS((INDEX(SP_NGF_NI,0,COLUMN())/INDEX(SP_CS_ShareCount,0,COLUMN()))/(AX76/AX5)-1)&gt;10,"NMF",(INDEX(SP_NGF_NI,0,COLUMN())/INDEX(SP_CS_ShareCount,0,COLUMN()))/(AX76/AX5)-1))</f>
        <v>0.1181380567094108</v>
      </c>
      <c r="BD140" s="201">
        <f ca="1">IF(OR(INDEX(SP_NGF_NI,0,COLUMN())&lt;=0,AY76&lt;=0),"NMF",IF(ABS((INDEX(SP_NGF_NI,0,COLUMN())/INDEX(SP_CS_ShareCount,0,COLUMN()))/(AY76/AY5)-1)&gt;10,"NMF",(INDEX(SP_NGF_NI,0,COLUMN())/INDEX(SP_CS_ShareCount,0,COLUMN()))/(AY76/AY5)-1))</f>
        <v>0.1035539703569246</v>
      </c>
      <c r="BE140" s="201">
        <f ca="1">IF(OR(INDEX(SP_NGF_NI,0,COLUMN())&lt;=0,BD76&lt;=0),"NMF",IF(ABS((INDEX(SP_NGF_NI,0,COLUMN())/INDEX(SP_CS_ShareCount,0,COLUMN()))/(BD76/BD5)-1)&gt;10,"NMF",(INDEX(SP_NGF_NI,0,COLUMN())/INDEX(SP_CS_ShareCount,0,COLUMN()))/(BD76/BD5)-1))</f>
        <v>0.12221910484124598</v>
      </c>
      <c r="BF140" s="201">
        <f ca="1">IF(OR(INDEX(SP_NGF_NI,0,COLUMN())&lt;=0,BE76&lt;=0),"NMF",IF(ABS((INDEX(SP_NGF_NI,0,COLUMN())/INDEX(SP_CS_ShareCount,0,COLUMN()))/(BE76/BE5)-1)&gt;10,"NMF",(INDEX(SP_NGF_NI,0,COLUMN())/INDEX(SP_CS_ShareCount,0,COLUMN()))/(BE76/BE5)-1))</f>
        <v>0.11335496672278023</v>
      </c>
      <c r="BG140" s="201">
        <f ca="1">IF(OR(INDEX(SP_NGF_NI,0,COLUMN())&lt;=0,BF76&lt;=0),"NMF",IF(ABS((INDEX(SP_NGF_NI,0,COLUMN())/INDEX(SP_CS_ShareCount,0,COLUMN()))/(BF76/BF5)-1)&gt;10,"NMF",(INDEX(SP_NGF_NI,0,COLUMN())/INDEX(SP_CS_ShareCount,0,COLUMN()))/(BF76/BF5)-1))</f>
        <v>0.11128759654727349</v>
      </c>
      <c r="BH140" s="325"/>
    </row>
    <row r="141" spans="1:60" s="147" customFormat="1" x14ac:dyDescent="0.35">
      <c r="A141" s="314" t="s">
        <v>334</v>
      </c>
      <c r="B141" s="315"/>
      <c r="C141" s="201"/>
      <c r="D141" s="201">
        <f>IF(OR(INDEX(SP_CFA_CFO_BeforeWC,0,COLUMN())&lt;=0,C89&lt;=0),"NMF",IF(ABS((INDEX(SP_CFA_CFO_BeforeWC,0,COLUMN())/INDEX(SP_CS_ShareCount,0,COLUMN()))/(C89/C5)-1)&gt;10,"NMF",(INDEX(SP_CFA_CFO_BeforeWC,0,COLUMN())/INDEX(SP_CS_ShareCount,0,COLUMN()))/(C89/C5)-1))</f>
        <v>3.6201326671261302E-2</v>
      </c>
      <c r="E141" s="201">
        <f>IF(OR(INDEX(SP_CFA_CFO_BeforeWC,0,COLUMN())&lt;=0,D89&lt;=0),"NMF",IF(ABS((INDEX(SP_CFA_CFO_BeforeWC,0,COLUMN())/INDEX(SP_CS_ShareCount,0,COLUMN()))/(D89/D5)-1)&gt;10,"NMF",(INDEX(SP_CFA_CFO_BeforeWC,0,COLUMN())/INDEX(SP_CS_ShareCount,0,COLUMN()))/(D89/D5)-1))</f>
        <v>0.19029906783549322</v>
      </c>
      <c r="F141" s="201">
        <f>IF(OR(INDEX(SP_CFA_CFO_BeforeWC,0,COLUMN())&lt;=0,E89&lt;=0),"NMF",IF(ABS((INDEX(SP_CFA_CFO_BeforeWC,0,COLUMN())/INDEX(SP_CS_ShareCount,0,COLUMN()))/(E89/E5)-1)&gt;10,"NMF",(INDEX(SP_CFA_CFO_BeforeWC,0,COLUMN())/INDEX(SP_CS_ShareCount,0,COLUMN()))/(E89/E5)-1))</f>
        <v>-5.4398222997139922E-2</v>
      </c>
      <c r="G141" s="202"/>
      <c r="H141" s="202"/>
      <c r="I141" s="202"/>
      <c r="J141" s="202"/>
      <c r="K141" s="201">
        <f t="shared" ref="K141:AY141" si="208">IF(OR(INDEX(SP_CFA_CFO_BeforeWC,0,COLUMN())&lt;=0,F89&lt;=0),"NMF",IF(ABS((INDEX(SP_CFA_CFO_BeforeWC,0,COLUMN())/INDEX(SP_CS_ShareCount,0,COLUMN()))/(F89/F5)-1)&gt;10,"NMF",(INDEX(SP_CFA_CFO_BeforeWC,0,COLUMN())/INDEX(SP_CS_ShareCount,0,COLUMN()))/(F89/F5)-1))</f>
        <v>0.13333161277651895</v>
      </c>
      <c r="L141" s="202">
        <f t="shared" si="208"/>
        <v>1.3358192750336784E-3</v>
      </c>
      <c r="M141" s="202">
        <f t="shared" si="208"/>
        <v>0.16385862294018261</v>
      </c>
      <c r="N141" s="202">
        <f t="shared" si="208"/>
        <v>0.24633538468882343</v>
      </c>
      <c r="O141" s="202">
        <f t="shared" si="208"/>
        <v>6.953907484132027E-2</v>
      </c>
      <c r="P141" s="201">
        <f t="shared" si="208"/>
        <v>0.11679864520392758</v>
      </c>
      <c r="Q141" s="202">
        <f t="shared" si="208"/>
        <v>6.7849173991689105E-2</v>
      </c>
      <c r="R141" s="202">
        <f t="shared" si="208"/>
        <v>0.16124738991158249</v>
      </c>
      <c r="S141" s="202">
        <f t="shared" si="208"/>
        <v>0.14646985460305806</v>
      </c>
      <c r="T141" s="202">
        <f t="shared" si="208"/>
        <v>0.11173576183969525</v>
      </c>
      <c r="U141" s="201">
        <f t="shared" si="208"/>
        <v>0.12347433136478414</v>
      </c>
      <c r="V141" s="202">
        <f t="shared" si="208"/>
        <v>9.4513752182149302E-2</v>
      </c>
      <c r="W141" s="202">
        <f t="shared" si="208"/>
        <v>-0.14487467370550611</v>
      </c>
      <c r="X141" s="202">
        <f t="shared" si="208"/>
        <v>-0.12706665013927054</v>
      </c>
      <c r="Y141" s="202">
        <f t="shared" si="208"/>
        <v>0.12466441835631326</v>
      </c>
      <c r="Z141" s="201">
        <f t="shared" si="208"/>
        <v>-2.4923901666442427E-2</v>
      </c>
      <c r="AA141" s="202">
        <f t="shared" si="208"/>
        <v>-5.0037404520041018E-2</v>
      </c>
      <c r="AB141" s="202">
        <f t="shared" si="208"/>
        <v>-1.9105503852376304E-2</v>
      </c>
      <c r="AC141" s="202">
        <f t="shared" si="208"/>
        <v>0.20321910507428154</v>
      </c>
      <c r="AD141" s="202">
        <f t="shared" si="208"/>
        <v>-0.71593637729340676</v>
      </c>
      <c r="AE141" s="201">
        <f t="shared" si="208"/>
        <v>-0.15285845575147083</v>
      </c>
      <c r="AF141" s="202">
        <f t="shared" si="208"/>
        <v>-0.45494592939134126</v>
      </c>
      <c r="AG141" s="202">
        <f t="shared" si="208"/>
        <v>0.25975795120678247</v>
      </c>
      <c r="AH141" s="202">
        <f t="shared" si="208"/>
        <v>2.8671708320634037E-2</v>
      </c>
      <c r="AI141" s="202">
        <f t="shared" si="208"/>
        <v>2.8379617477003753</v>
      </c>
      <c r="AJ141" s="201">
        <f t="shared" si="208"/>
        <v>0.192559822812846</v>
      </c>
      <c r="AK141" s="202">
        <f t="shared" si="208"/>
        <v>0.59092722881444937</v>
      </c>
      <c r="AL141" s="202">
        <f t="shared" si="208"/>
        <v>-7.0102267148114961E-2</v>
      </c>
      <c r="AM141" s="202">
        <f t="shared" si="208"/>
        <v>1.6357390991271537E-2</v>
      </c>
      <c r="AN141" s="202">
        <f t="shared" si="208"/>
        <v>-0.24939149091060075</v>
      </c>
      <c r="AO141" s="201">
        <f t="shared" si="208"/>
        <v>-4.3662809254894075E-3</v>
      </c>
      <c r="AP141" s="202">
        <f t="shared" si="208"/>
        <v>0.44364220322694847</v>
      </c>
      <c r="AQ141" s="202">
        <f t="shared" si="208"/>
        <v>-0.13413849129925315</v>
      </c>
      <c r="AR141" s="202">
        <f t="shared" si="208"/>
        <v>-1.0961288060897356E-2</v>
      </c>
      <c r="AS141" s="202">
        <f>IF(OR(INDEX(SP_CFA_CFO_BeforeWC,0,COLUMN())&lt;=0,AN89&lt;=0),"NMF",IF(ABS((INDEX(SP_CFA_CFO_BeforeWC,0,COLUMN())/INDEX(SP_CS_ShareCount,0,COLUMN()))/(AN89/AN5)-1)&gt;10,"NMF",(INDEX(SP_CFA_CFO_BeforeWC,0,COLUMN())/INDEX(SP_CS_ShareCount,0,COLUMN()))/(AN89/AN5)-1))</f>
        <v>0.42764200741579983</v>
      </c>
      <c r="AT141" s="201">
        <f>IF(OR(INDEX(SP_CFA_CFO_BeforeWC,0,COLUMN())&lt;=0,AO89&lt;=0),"NMF",IF(ABS((INDEX(SP_CFA_CFO_BeforeWC,0,COLUMN())/INDEX(SP_CS_ShareCount,0,COLUMN()))/(AO89/AO5)-1)&gt;10,"NMF",(INDEX(SP_CFA_CFO_BeforeWC,0,COLUMN())/INDEX(SP_CS_ShareCount,0,COLUMN()))/(AO89/AO5)-1))</f>
        <v>0.14348508738224264</v>
      </c>
      <c r="AU141" s="854">
        <f t="shared" si="208"/>
        <v>0.1421187562751558</v>
      </c>
      <c r="AV141" s="202">
        <f t="shared" ca="1" si="208"/>
        <v>0.14680198634378971</v>
      </c>
      <c r="AW141" s="202">
        <f t="shared" ca="1" si="208"/>
        <v>6.8909335419020668E-2</v>
      </c>
      <c r="AX141" s="202">
        <f t="shared" ca="1" si="208"/>
        <v>0.1175470416972213</v>
      </c>
      <c r="AY141" s="201">
        <f t="shared" ca="1" si="208"/>
        <v>0.1174668856388279</v>
      </c>
      <c r="AZ141" s="202">
        <f ca="1">IF(OR(INDEX(SP_CFA_CFO_BeforeWC,0,COLUMN())&lt;=0,AU89&lt;=0),"NMF",IF(ABS((INDEX(SP_CFA_CFO_BeforeWC,0,COLUMN())/INDEX(SP_CS_ShareCount,0,COLUMN()))/(AU89/AU5)-1)&gt;10,"NMF",(INDEX(SP_CFA_CFO_BeforeWC,0,COLUMN())/INDEX(SP_CS_ShareCount,0,COLUMN()))/(AU89/AU5)-1))</f>
        <v>4.3289270389373025E-2</v>
      </c>
      <c r="BA141" s="202">
        <f ca="1">IF(OR(INDEX(SP_CFA_CFO_BeforeWC,0,COLUMN())&lt;=0,AV89&lt;=0),"NMF",IF(ABS((INDEX(SP_CFA_CFO_BeforeWC,0,COLUMN())/INDEX(SP_CS_ShareCount,0,COLUMN()))/(AV89/AV5)-1)&gt;10,"NMF",(INDEX(SP_CFA_CFO_BeforeWC,0,COLUMN())/INDEX(SP_CS_ShareCount,0,COLUMN()))/(AV89/AV5)-1))</f>
        <v>0.14924865591177605</v>
      </c>
      <c r="BB141" s="202">
        <f ca="1">IF(OR(INDEX(SP_CFA_CFO_BeforeWC,0,COLUMN())&lt;=0,AW89&lt;=0),"NMF",IF(ABS((INDEX(SP_CFA_CFO_BeforeWC,0,COLUMN())/INDEX(SP_CS_ShareCount,0,COLUMN()))/(AW89/AW5)-1)&gt;10,"NMF",(INDEX(SP_CFA_CFO_BeforeWC,0,COLUMN())/INDEX(SP_CS_ShareCount,0,COLUMN()))/(AW89/AW5)-1))</f>
        <v>4.9507064425178937E-2</v>
      </c>
      <c r="BC141" s="202">
        <f ca="1">IF(OR(INDEX(SP_CFA_CFO_BeforeWC,0,COLUMN())&lt;=0,AX89&lt;=0),"NMF",IF(ABS((INDEX(SP_CFA_CFO_BeforeWC,0,COLUMN())/INDEX(SP_CS_ShareCount,0,COLUMN()))/(AX89/AX5)-1)&gt;10,"NMF",(INDEX(SP_CFA_CFO_BeforeWC,0,COLUMN())/INDEX(SP_CS_ShareCount,0,COLUMN()))/(AX89/AX5)-1))</f>
        <v>9.522320409916718E-2</v>
      </c>
      <c r="BD141" s="201">
        <f ca="1">IF(OR(INDEX(SP_CFA_CFO_BeforeWC,0,COLUMN())&lt;=0,AY89&lt;=0),"NMF",IF(ABS((INDEX(SP_CFA_CFO_BeforeWC,0,COLUMN())/INDEX(SP_CS_ShareCount,0,COLUMN()))/(AY89/AY5)-1)&gt;10,"NMF",(INDEX(SP_CFA_CFO_BeforeWC,0,COLUMN())/INDEX(SP_CS_ShareCount,0,COLUMN()))/(AY89/AY5)-1))</f>
        <v>8.1166817154105786E-2</v>
      </c>
      <c r="BE141" s="201">
        <f ca="1">IF(OR(INDEX(SP_CFA_CFO_BeforeWC,0,COLUMN())&lt;=0,BD89&lt;=0),"NMF",IF(ABS((INDEX(SP_CFA_CFO_BeforeWC,0,COLUMN())/INDEX(SP_CS_ShareCount,0,COLUMN()))/(BD89/BD5)-1)&gt;10,"NMF",(INDEX(SP_CFA_CFO_BeforeWC,0,COLUMN())/INDEX(SP_CS_ShareCount,0,COLUMN()))/(BD89/BD5)-1))</f>
        <v>9.9044023450667096E-2</v>
      </c>
      <c r="BF141" s="201">
        <f ca="1">IF(OR(INDEX(SP_CFA_CFO_BeforeWC,0,COLUMN())&lt;=0,BE89&lt;=0),"NMF",IF(ABS((INDEX(SP_CFA_CFO_BeforeWC,0,COLUMN())/INDEX(SP_CS_ShareCount,0,COLUMN()))/(BE89/BE5)-1)&gt;10,"NMF",(INDEX(SP_CFA_CFO_BeforeWC,0,COLUMN())/INDEX(SP_CS_ShareCount,0,COLUMN()))/(BE89/BE5)-1))</f>
        <v>9.21170728027636E-2</v>
      </c>
      <c r="BG141" s="201">
        <f ca="1">IF(OR(INDEX(SP_CFA_CFO_BeforeWC,0,COLUMN())&lt;=0,BF89&lt;=0),"NMF",IF(ABS((INDEX(SP_CFA_CFO_BeforeWC,0,COLUMN())/INDEX(SP_CS_ShareCount,0,COLUMN()))/(BF89/BF5)-1)&gt;10,"NMF",(INDEX(SP_CFA_CFO_BeforeWC,0,COLUMN())/INDEX(SP_CS_ShareCount,0,COLUMN()))/(BF89/BF5)-1))</f>
        <v>9.1753974353468326E-2</v>
      </c>
      <c r="BH141" s="325"/>
    </row>
    <row r="142" spans="1:60" s="147" customFormat="1" x14ac:dyDescent="0.35">
      <c r="A142" s="314" t="s">
        <v>335</v>
      </c>
      <c r="B142" s="315"/>
      <c r="C142" s="201"/>
      <c r="D142" s="201">
        <f>IF(OR(INDEX(SP_CFA_FCF_PreDiv,0,COLUMN())&lt;=0,C91&lt;=0),"NMF",IF(ABS((INDEX(SP_CFA_FCF_PreDiv,0,COLUMN())/INDEX(SP_CS_ShareCount,0,COLUMN()))/(C91/C5)-1)&gt;10,"NMF",(INDEX(SP_CFA_FCF_PreDiv,0,COLUMN())/INDEX(SP_CS_ShareCount,0,COLUMN()))/(C91/C5)-1))</f>
        <v>3.0578513734063062E-3</v>
      </c>
      <c r="E142" s="201">
        <f>IF(OR(INDEX(SP_CFA_FCF_PreDiv,0,COLUMN())&lt;=0,D91&lt;=0),"NMF",IF(ABS((INDEX(SP_CFA_FCF_PreDiv,0,COLUMN())/INDEX(SP_CS_ShareCount,0,COLUMN()))/(D91/D5)-1)&gt;10,"NMF",(INDEX(SP_CFA_FCF_PreDiv,0,COLUMN())/INDEX(SP_CS_ShareCount,0,COLUMN()))/(D91/D5)-1))</f>
        <v>0.16677478678723956</v>
      </c>
      <c r="F142" s="201">
        <f>IF(OR(INDEX(SP_CFA_FCF_PreDiv,0,COLUMN())&lt;=0,E91&lt;=0),"NMF",IF(ABS((INDEX(SP_CFA_FCF_PreDiv,0,COLUMN())/INDEX(SP_CS_ShareCount,0,COLUMN()))/(E91/E5)-1)&gt;10,"NMF",(INDEX(SP_CFA_FCF_PreDiv,0,COLUMN())/INDEX(SP_CS_ShareCount,0,COLUMN()))/(E91/E5)-1))</f>
        <v>-0.1010991378692635</v>
      </c>
      <c r="G142" s="202"/>
      <c r="H142" s="202"/>
      <c r="I142" s="202"/>
      <c r="J142" s="202"/>
      <c r="K142" s="201">
        <f t="shared" ref="K142:AY142" si="209">IF(OR(INDEX(SP_CFA_FCF_PreDiv,0,COLUMN())&lt;=0,F91&lt;=0),"NMF",IF(ABS((INDEX(SP_CFA_FCF_PreDiv,0,COLUMN())/INDEX(SP_CS_ShareCount,0,COLUMN()))/(F91/F5)-1)&gt;10,"NMF",(INDEX(SP_CFA_FCF_PreDiv,0,COLUMN())/INDEX(SP_CS_ShareCount,0,COLUMN()))/(F91/F5)-1))</f>
        <v>0.13173158256427842</v>
      </c>
      <c r="L142" s="202">
        <f t="shared" si="209"/>
        <v>1.5643015756909406E-2</v>
      </c>
      <c r="M142" s="202">
        <f t="shared" si="209"/>
        <v>0.24749235191908969</v>
      </c>
      <c r="N142" s="202">
        <f t="shared" si="209"/>
        <v>0.35655085751680393</v>
      </c>
      <c r="O142" s="202">
        <f t="shared" si="209"/>
        <v>0.14684486278154907</v>
      </c>
      <c r="P142" s="201">
        <f t="shared" si="209"/>
        <v>0.18270681103963526</v>
      </c>
      <c r="Q142" s="202">
        <f t="shared" si="209"/>
        <v>7.5797314992160914E-2</v>
      </c>
      <c r="R142" s="202">
        <f t="shared" si="209"/>
        <v>0.17082092240644586</v>
      </c>
      <c r="S142" s="202">
        <f t="shared" si="209"/>
        <v>0.18646470796679182</v>
      </c>
      <c r="T142" s="202">
        <f t="shared" si="209"/>
        <v>0.1954835391835712</v>
      </c>
      <c r="U142" s="201">
        <f t="shared" si="209"/>
        <v>0.1550179732135053</v>
      </c>
      <c r="V142" s="202">
        <f t="shared" si="209"/>
        <v>8.7523997857557267E-2</v>
      </c>
      <c r="W142" s="202">
        <f t="shared" si="209"/>
        <v>-0.15615916722929346</v>
      </c>
      <c r="X142" s="202">
        <f t="shared" si="209"/>
        <v>-0.15626421508774435</v>
      </c>
      <c r="Y142" s="202">
        <f t="shared" si="209"/>
        <v>0.17657438492353106</v>
      </c>
      <c r="Z142" s="201">
        <f t="shared" si="209"/>
        <v>-3.1661816112642183E-2</v>
      </c>
      <c r="AA142" s="202">
        <f t="shared" si="209"/>
        <v>-4.5189972420038638E-2</v>
      </c>
      <c r="AB142" s="202">
        <f t="shared" si="209"/>
        <v>-1.0813934208449782E-2</v>
      </c>
      <c r="AC142" s="202">
        <f t="shared" si="209"/>
        <v>0.27335370940646064</v>
      </c>
      <c r="AD142" s="202">
        <f t="shared" si="209"/>
        <v>-0.97882632697345495</v>
      </c>
      <c r="AE142" s="201">
        <f t="shared" si="209"/>
        <v>-0.18758019893953881</v>
      </c>
      <c r="AF142" s="202">
        <f t="shared" si="209"/>
        <v>-0.56448623190095371</v>
      </c>
      <c r="AG142" s="202">
        <f t="shared" si="209"/>
        <v>0.26779212181396872</v>
      </c>
      <c r="AH142" s="202">
        <f t="shared" si="209"/>
        <v>-3.5344511636429266E-3</v>
      </c>
      <c r="AI142" s="202" t="str">
        <f t="shared" si="209"/>
        <v>NMF</v>
      </c>
      <c r="AJ142" s="201">
        <f t="shared" si="209"/>
        <v>0.20016916018414643</v>
      </c>
      <c r="AK142" s="202">
        <f t="shared" si="209"/>
        <v>0.72158144875761554</v>
      </c>
      <c r="AL142" s="202">
        <f t="shared" si="209"/>
        <v>-0.12940552261134242</v>
      </c>
      <c r="AM142" s="202">
        <f t="shared" si="209"/>
        <v>3.2329137776918593E-2</v>
      </c>
      <c r="AN142" s="202">
        <f t="shared" si="209"/>
        <v>-0.3662816831006046</v>
      </c>
      <c r="AO142" s="201">
        <f t="shared" si="209"/>
        <v>-3.9858793600444753E-2</v>
      </c>
      <c r="AP142" s="202">
        <f t="shared" si="209"/>
        <v>0.67941881916363389</v>
      </c>
      <c r="AQ142" s="202">
        <f t="shared" si="209"/>
        <v>-0.1474501545113005</v>
      </c>
      <c r="AR142" s="202">
        <f t="shared" si="209"/>
        <v>-2.573188666839199E-2</v>
      </c>
      <c r="AS142" s="202">
        <f>IF(OR(INDEX(SP_CFA_FCF_PreDiv,0,COLUMN())&lt;=0,AN91&lt;=0),"NMF",IF(ABS((INDEX(SP_CFA_FCF_PreDiv,0,COLUMN())/INDEX(SP_CS_ShareCount,0,COLUMN()))/(AN91/AN5)-1)&gt;10,"NMF",(INDEX(SP_CFA_FCF_PreDiv,0,COLUMN())/INDEX(SP_CS_ShareCount,0,COLUMN()))/(AN91/AN5)-1))</f>
        <v>0.86578693614224456</v>
      </c>
      <c r="AT142" s="201">
        <f>IF(OR(INDEX(SP_CFA_FCF_PreDiv,0,COLUMN())&lt;=0,AO91&lt;=0),"NMF",IF(ABS((INDEX(SP_CFA_FCF_PreDiv,0,COLUMN())/INDEX(SP_CS_ShareCount,0,COLUMN()))/(AO91/AO5)-1)&gt;10,"NMF",(INDEX(SP_CFA_FCF_PreDiv,0,COLUMN())/INDEX(SP_CS_ShareCount,0,COLUMN()))/(AO91/AO5)-1))</f>
        <v>0.23630503248432566</v>
      </c>
      <c r="AU142" s="854">
        <f t="shared" si="209"/>
        <v>0.18672160262986637</v>
      </c>
      <c r="AV142" s="202">
        <f t="shared" ca="1" si="209"/>
        <v>0.11342436096923669</v>
      </c>
      <c r="AW142" s="202">
        <f t="shared" ca="1" si="209"/>
        <v>1.4843380083682245E-2</v>
      </c>
      <c r="AX142" s="202">
        <f t="shared" ca="1" si="209"/>
        <v>0.11224336472472163</v>
      </c>
      <c r="AY142" s="201">
        <f t="shared" ca="1" si="209"/>
        <v>0.10756676650402142</v>
      </c>
      <c r="AZ142" s="202">
        <f ca="1">IF(OR(INDEX(SP_CFA_FCF_PreDiv,0,COLUMN())&lt;=0,AU91&lt;=0),"NMF",IF(ABS((INDEX(SP_CFA_FCF_PreDiv,0,COLUMN())/INDEX(SP_CS_ShareCount,0,COLUMN()))/(AU91/AU5)-1)&gt;10,"NMF",(INDEX(SP_CFA_FCF_PreDiv,0,COLUMN())/INDEX(SP_CS_ShareCount,0,COLUMN()))/(AU91/AU5)-1))</f>
        <v>-3.9813187822495322E-2</v>
      </c>
      <c r="BA142" s="202">
        <f ca="1">IF(OR(INDEX(SP_CFA_FCF_PreDiv,0,COLUMN())&lt;=0,AV91&lt;=0),"NMF",IF(ABS((INDEX(SP_CFA_FCF_PreDiv,0,COLUMN())/INDEX(SP_CS_ShareCount,0,COLUMN()))/(AV91/AV5)-1)&gt;10,"NMF",(INDEX(SP_CFA_FCF_PreDiv,0,COLUMN())/INDEX(SP_CS_ShareCount,0,COLUMN()))/(AV91/AV5)-1))</f>
        <v>0.19851675601228802</v>
      </c>
      <c r="BB142" s="202">
        <f ca="1">IF(OR(INDEX(SP_CFA_FCF_PreDiv,0,COLUMN())&lt;=0,AW91&lt;=0),"NMF",IF(ABS((INDEX(SP_CFA_FCF_PreDiv,0,COLUMN())/INDEX(SP_CS_ShareCount,0,COLUMN()))/(AW91/AW5)-1)&gt;10,"NMF",(INDEX(SP_CFA_FCF_PreDiv,0,COLUMN())/INDEX(SP_CS_ShareCount,0,COLUMN()))/(AW91/AW5)-1))</f>
        <v>5.9531230650904376E-2</v>
      </c>
      <c r="BC142" s="202">
        <f ca="1">IF(OR(INDEX(SP_CFA_FCF_PreDiv,0,COLUMN())&lt;=0,AX91&lt;=0),"NMF",IF(ABS((INDEX(SP_CFA_FCF_PreDiv,0,COLUMN())/INDEX(SP_CS_ShareCount,0,COLUMN()))/(AX91/AX5)-1)&gt;10,"NMF",(INDEX(SP_CFA_FCF_PreDiv,0,COLUMN())/INDEX(SP_CS_ShareCount,0,COLUMN()))/(AX91/AX5)-1))</f>
        <v>0.1181380567094108</v>
      </c>
      <c r="BD142" s="201">
        <f ca="1">IF(OR(INDEX(SP_CFA_FCF_PreDiv,0,COLUMN())&lt;=0,AY91&lt;=0),"NMF",IF(ABS((INDEX(SP_CFA_FCF_PreDiv,0,COLUMN())/INDEX(SP_CS_ShareCount,0,COLUMN()))/(AY91/AY5)-1)&gt;10,"NMF",(INDEX(SP_CFA_FCF_PreDiv,0,COLUMN())/INDEX(SP_CS_ShareCount,0,COLUMN()))/(AY91/AY5)-1))</f>
        <v>7.2312389031178537E-2</v>
      </c>
      <c r="BE142" s="201">
        <f ca="1">IF(OR(INDEX(SP_CFA_FCF_PreDiv,0,COLUMN())&lt;=0,BD91&lt;=0),"NMF",IF(ABS((INDEX(SP_CFA_FCF_PreDiv,0,COLUMN())/INDEX(SP_CS_ShareCount,0,COLUMN()))/(BD91/BD5)-1)&gt;10,"NMF",(INDEX(SP_CFA_FCF_PreDiv,0,COLUMN())/INDEX(SP_CS_ShareCount,0,COLUMN()))/(BD91/BD5)-1))</f>
        <v>0.12094632833184393</v>
      </c>
      <c r="BF142" s="201">
        <f ca="1">IF(OR(INDEX(SP_CFA_FCF_PreDiv,0,COLUMN())&lt;=0,BE91&lt;=0),"NMF",IF(ABS((INDEX(SP_CFA_FCF_PreDiv,0,COLUMN())/INDEX(SP_CS_ShareCount,0,COLUMN()))/(BE91/BE5)-1)&gt;10,"NMF",(INDEX(SP_CFA_FCF_PreDiv,0,COLUMN())/INDEX(SP_CS_ShareCount,0,COLUMN()))/(BE91/BE5)-1))</f>
        <v>0.1122113707939203</v>
      </c>
      <c r="BG142" s="201">
        <f ca="1">IF(OR(INDEX(SP_CFA_FCF_PreDiv,0,COLUMN())&lt;=0,BF91&lt;=0),"NMF",IF(ABS((INDEX(SP_CFA_FCF_PreDiv,0,COLUMN())/INDEX(SP_CS_ShareCount,0,COLUMN()))/(BF91/BF5)-1)&gt;10,"NMF",(INDEX(SP_CFA_FCF_PreDiv,0,COLUMN())/INDEX(SP_CS_ShareCount,0,COLUMN()))/(BF91/BF5)-1))</f>
        <v>0.11025477378060011</v>
      </c>
      <c r="BH142" s="325"/>
    </row>
    <row r="143" spans="1:60" x14ac:dyDescent="0.35">
      <c r="A143" s="303"/>
      <c r="B143" s="310"/>
      <c r="C143" s="904"/>
      <c r="D143" s="904"/>
      <c r="E143" s="904"/>
      <c r="F143" s="904"/>
      <c r="G143" s="905"/>
      <c r="H143" s="905"/>
      <c r="I143" s="905"/>
      <c r="J143" s="905"/>
      <c r="K143" s="904"/>
      <c r="L143" s="905"/>
      <c r="M143" s="905"/>
      <c r="N143" s="905"/>
      <c r="O143" s="905"/>
      <c r="P143" s="904"/>
      <c r="Q143" s="905"/>
      <c r="R143" s="905"/>
      <c r="S143" s="905"/>
      <c r="T143" s="905"/>
      <c r="U143" s="904"/>
      <c r="V143" s="905"/>
      <c r="W143" s="905"/>
      <c r="X143" s="905"/>
      <c r="Y143" s="905"/>
      <c r="Z143" s="904"/>
      <c r="AA143" s="905"/>
      <c r="AB143" s="905"/>
      <c r="AC143" s="905"/>
      <c r="AD143" s="905"/>
      <c r="AE143" s="904"/>
      <c r="AF143" s="905"/>
      <c r="AG143" s="905"/>
      <c r="AH143" s="905"/>
      <c r="AI143" s="905"/>
      <c r="AJ143" s="904"/>
      <c r="AK143" s="905"/>
      <c r="AL143" s="905"/>
      <c r="AM143" s="905"/>
      <c r="AN143" s="905"/>
      <c r="AO143" s="904"/>
      <c r="AP143" s="905"/>
      <c r="AQ143" s="905"/>
      <c r="AR143" s="905"/>
      <c r="AS143" s="905"/>
      <c r="AT143" s="904"/>
      <c r="AU143" s="906"/>
      <c r="AV143" s="905"/>
      <c r="AW143" s="905"/>
      <c r="AX143" s="905"/>
      <c r="AY143" s="904"/>
      <c r="AZ143" s="905"/>
      <c r="BA143" s="905"/>
      <c r="BB143" s="905"/>
      <c r="BC143" s="905"/>
      <c r="BD143" s="904"/>
      <c r="BE143" s="904"/>
      <c r="BF143" s="904"/>
      <c r="BG143" s="904"/>
      <c r="BH143" s="844"/>
    </row>
    <row r="144" spans="1:60" x14ac:dyDescent="0.35">
      <c r="A144" s="190" t="s">
        <v>336</v>
      </c>
      <c r="B144" s="845"/>
      <c r="C144" s="907"/>
      <c r="D144" s="907"/>
      <c r="E144" s="907"/>
      <c r="F144" s="907"/>
      <c r="G144" s="907"/>
      <c r="H144" s="907"/>
      <c r="I144" s="907"/>
      <c r="J144" s="907"/>
      <c r="K144" s="907"/>
      <c r="L144" s="907"/>
      <c r="M144" s="907"/>
      <c r="N144" s="907"/>
      <c r="O144" s="907"/>
      <c r="P144" s="907"/>
      <c r="Q144" s="907"/>
      <c r="R144" s="907"/>
      <c r="S144" s="907"/>
      <c r="T144" s="907"/>
      <c r="U144" s="907"/>
      <c r="V144" s="907"/>
      <c r="W144" s="907"/>
      <c r="X144" s="907"/>
      <c r="Y144" s="907"/>
      <c r="Z144" s="907"/>
      <c r="AA144" s="907"/>
      <c r="AB144" s="907"/>
      <c r="AC144" s="907"/>
      <c r="AD144" s="907"/>
      <c r="AE144" s="907"/>
      <c r="AF144" s="907"/>
      <c r="AG144" s="907"/>
      <c r="AH144" s="907"/>
      <c r="AI144" s="907"/>
      <c r="AJ144" s="907"/>
      <c r="AK144" s="907"/>
      <c r="AL144" s="907"/>
      <c r="AM144" s="907"/>
      <c r="AN144" s="907"/>
      <c r="AO144" s="907"/>
      <c r="AP144" s="907"/>
      <c r="AQ144" s="907"/>
      <c r="AR144" s="907"/>
      <c r="AS144" s="907"/>
      <c r="AT144" s="907"/>
      <c r="AU144" s="908"/>
      <c r="AV144" s="907"/>
      <c r="AW144" s="907"/>
      <c r="AX144" s="907"/>
      <c r="AY144" s="907"/>
      <c r="AZ144" s="907"/>
      <c r="BA144" s="907"/>
      <c r="BB144" s="907"/>
      <c r="BC144" s="907"/>
      <c r="BD144" s="907"/>
      <c r="BE144" s="907"/>
      <c r="BF144" s="907"/>
      <c r="BG144" s="907"/>
      <c r="BH144" s="846"/>
    </row>
    <row r="145" spans="1:60" s="152" customFormat="1" x14ac:dyDescent="0.35">
      <c r="A145" s="338" t="str">
        <f>"P/E - "&amp;SP.ValuationToggle</f>
        <v>P/E - Avg</v>
      </c>
      <c r="B145" s="339"/>
      <c r="C145" s="218">
        <f ca="1">INDEX(SP_CS_StockPrice,0,COLUMN())/INDEX(SP_NGF_EPS,0,COLUMN())</f>
        <v>13.849870302223616</v>
      </c>
      <c r="D145" s="218">
        <f ca="1">INDEX(SP_CS_StockPrice,0,COLUMN())/INDEX(SP_NGF_EPS,0,COLUMN())</f>
        <v>14.670506884944921</v>
      </c>
      <c r="E145" s="218">
        <f ca="1">INDEX(SP_CS_StockPrice,0,COLUMN())/INDEX(SP_NGF_EPS,0,COLUMN())</f>
        <v>14.469812047630164</v>
      </c>
      <c r="F145" s="218">
        <f ca="1">INDEX(SP_CS_StockPrice,0,COLUMN())/INDEX(SP_NGF_EPS,0,COLUMN())</f>
        <v>13.975792754275426</v>
      </c>
      <c r="G145" s="219"/>
      <c r="H145" s="219"/>
      <c r="I145" s="219"/>
      <c r="J145" s="219"/>
      <c r="K145" s="218">
        <f ca="1">INDEX(SP_CS_StockPrice,0,COLUMN())/INDEX(SP_NGF_EPS,0,COLUMN())</f>
        <v>16.832714745653576</v>
      </c>
      <c r="L145" s="219"/>
      <c r="M145" s="219"/>
      <c r="N145" s="219"/>
      <c r="O145" s="219"/>
      <c r="P145" s="218">
        <f ca="1">INDEX(SP_CS_StockPrice,0,COLUMN())/INDEX(SP_NGF_EPS,0,COLUMN())</f>
        <v>18.792565072639228</v>
      </c>
      <c r="Q145" s="219"/>
      <c r="R145" s="219"/>
      <c r="S145" s="219"/>
      <c r="T145" s="219"/>
      <c r="U145" s="218">
        <f ca="1">INDEX(SP_CS_StockPrice,0,COLUMN())/INDEX(SP_NGF_EPS,0,COLUMN())</f>
        <v>20.443335195530729</v>
      </c>
      <c r="V145" s="219"/>
      <c r="W145" s="220"/>
      <c r="X145" s="220"/>
      <c r="Y145" s="220"/>
      <c r="Z145" s="218">
        <f ca="1">INDEX(SP_CS_StockPrice,0,COLUMN())/INDEX(SP_NGF_EPS,0,COLUMN())</f>
        <v>20.523381633663369</v>
      </c>
      <c r="AA145" s="220"/>
      <c r="AB145" s="220"/>
      <c r="AC145" s="220"/>
      <c r="AD145" s="220"/>
      <c r="AE145" s="218">
        <f ca="1">INDEX(SP_CS_StockPrice,0,COLUMN())/INDEX(SP_NGF_EPS,0,COLUMN())</f>
        <v>22.299227402135234</v>
      </c>
      <c r="AF145" s="220"/>
      <c r="AG145" s="220"/>
      <c r="AH145" s="220"/>
      <c r="AI145" s="220"/>
      <c r="AJ145" s="218">
        <f ca="1">INDEX(SP_CS_StockPrice,0,COLUMN())/INDEX(SP_NGF_EPS,0,COLUMN())</f>
        <v>19.912037096032066</v>
      </c>
      <c r="AK145" s="220"/>
      <c r="AL145" s="220"/>
      <c r="AM145" s="220"/>
      <c r="AN145" s="220"/>
      <c r="AO145" s="218">
        <f ca="1">INDEX(SP_CS_StockPrice,0,COLUMN())/INDEX(SP_NGF_EPS,0,COLUMN())</f>
        <v>20.255357958974098</v>
      </c>
      <c r="AP145" s="220"/>
      <c r="AQ145" s="220"/>
      <c r="AR145" s="220"/>
      <c r="AS145" s="220"/>
      <c r="AT145" s="218">
        <f ca="1">INDEX(SP_CS_StockPrice,0,COLUMN())/INDEX(SP_NGF_EPS,0,COLUMN())</f>
        <v>18.276978027817123</v>
      </c>
      <c r="AU145" s="869"/>
      <c r="AV145" s="220"/>
      <c r="AW145" s="220"/>
      <c r="AX145" s="220"/>
      <c r="AY145" s="218">
        <f ca="1">INDEX(SP_CS_StockPrice,0,COLUMN())/INDEX(SP_NGF_EPS,0,COLUMN())</f>
        <v>19.122169249389042</v>
      </c>
      <c r="AZ145" s="220"/>
      <c r="BA145" s="220"/>
      <c r="BB145" s="220"/>
      <c r="BC145" s="220"/>
      <c r="BD145" s="218">
        <f ca="1">INDEX(SP_CS_StockPrice,0,COLUMN())/INDEX(SP_NGF_EPS,0,COLUMN())</f>
        <v>17.327806127329069</v>
      </c>
      <c r="BE145" s="218">
        <f ca="1">INDEX(SP_CS_StockPrice,0,COLUMN())/INDEX(SP_NGF_EPS,0,COLUMN())</f>
        <v>15.440662213445686</v>
      </c>
      <c r="BF145" s="218">
        <f ca="1">INDEX(SP_CS_StockPrice,0,COLUMN())/INDEX(SP_NGF_EPS,0,COLUMN())</f>
        <v>13.868588792392151</v>
      </c>
      <c r="BG145" s="218">
        <f ca="1">INDEX(SP_CS_StockPrice,0,COLUMN())/INDEX(SP_NGF_EPS,0,COLUMN())</f>
        <v>12.479747668813463</v>
      </c>
      <c r="BH145" s="220"/>
    </row>
    <row r="146" spans="1:60" s="152" customFormat="1" x14ac:dyDescent="0.35">
      <c r="A146" s="338" t="str">
        <f>"EV/EBITDA - "&amp;SP.ValuationToggle</f>
        <v>EV/EBITDA - Avg</v>
      </c>
      <c r="B146" s="339"/>
      <c r="C146" s="218">
        <f ca="1">INDEX(SP_CS_EV,0,COLUMN())/INDEX(SP_NGF_EBITDA,0,COLUMN())</f>
        <v>8.053698856975382</v>
      </c>
      <c r="D146" s="218">
        <f ca="1">INDEX(SP_CS_EV,0,COLUMN())/INDEX(SP_NGF_EBITDA,0,COLUMN())</f>
        <v>8.9130464087809038</v>
      </c>
      <c r="E146" s="218">
        <f ca="1">INDEX(SP_CS_EV,0,COLUMN())/INDEX(SP_NGF_EBITDA,0,COLUMN())</f>
        <v>9.0340173995144308</v>
      </c>
      <c r="F146" s="218">
        <f ca="1">INDEX(SP_CS_EV,0,COLUMN())/INDEX(SP_NGF_EBITDA,0,COLUMN())</f>
        <v>8.4889233045940031</v>
      </c>
      <c r="G146" s="219"/>
      <c r="H146" s="219"/>
      <c r="I146" s="219"/>
      <c r="J146" s="219"/>
      <c r="K146" s="218">
        <f ca="1">INDEX(SP_CS_EV,0,COLUMN())/INDEX(SP_NGF_EBITDA,0,COLUMN())</f>
        <v>10.188206793579694</v>
      </c>
      <c r="L146" s="219"/>
      <c r="M146" s="219"/>
      <c r="N146" s="219"/>
      <c r="O146" s="219"/>
      <c r="P146" s="218">
        <f ca="1">INDEX(SP_CS_EV,0,COLUMN())/INDEX(SP_NGF_EBITDA,0,COLUMN())</f>
        <v>11.760734226852394</v>
      </c>
      <c r="Q146" s="219"/>
      <c r="R146" s="219"/>
      <c r="S146" s="219"/>
      <c r="T146" s="219"/>
      <c r="U146" s="218">
        <f ca="1">INDEX(SP_CS_EV,0,COLUMN())/INDEX(SP_NGF_EBITDA,0,COLUMN())</f>
        <v>13.272120152726407</v>
      </c>
      <c r="V146" s="219"/>
      <c r="W146" s="220"/>
      <c r="X146" s="220"/>
      <c r="Y146" s="220"/>
      <c r="Z146" s="218">
        <f ca="1">INDEX(SP_CS_EV,0,COLUMN())/INDEX(SP_NGF_EBITDA,0,COLUMN())</f>
        <v>13.413944722318043</v>
      </c>
      <c r="AA146" s="220"/>
      <c r="AB146" s="220"/>
      <c r="AC146" s="220"/>
      <c r="AD146" s="220"/>
      <c r="AE146" s="218">
        <f ca="1">INDEX(SP_CS_EV,0,COLUMN())/INDEX(SP_NGF_EBITDA,0,COLUMN())</f>
        <v>15.030387397141618</v>
      </c>
      <c r="AF146" s="220"/>
      <c r="AG146" s="220"/>
      <c r="AH146" s="220"/>
      <c r="AI146" s="220"/>
      <c r="AJ146" s="218">
        <f ca="1">INDEX(SP_CS_EV,0,COLUMN())/INDEX(SP_NGF_EBITDA,0,COLUMN())</f>
        <v>14.571963461167829</v>
      </c>
      <c r="AK146" s="220"/>
      <c r="AL146" s="220"/>
      <c r="AM146" s="220"/>
      <c r="AN146" s="220"/>
      <c r="AO146" s="218">
        <f ca="1">INDEX(SP_CS_EV,0,COLUMN())/INDEX(SP_NGF_EBITDA,0,COLUMN())</f>
        <v>15.196206046459</v>
      </c>
      <c r="AP146" s="220"/>
      <c r="AQ146" s="220"/>
      <c r="AR146" s="220"/>
      <c r="AS146" s="220"/>
      <c r="AT146" s="218">
        <f ca="1">INDEX(SP_CS_EV,0,COLUMN())/INDEX(SP_NGF_EBITDA,0,COLUMN())</f>
        <v>12.802314586582925</v>
      </c>
      <c r="AU146" s="869"/>
      <c r="AV146" s="220"/>
      <c r="AW146" s="220"/>
      <c r="AX146" s="220"/>
      <c r="AY146" s="218">
        <f ca="1">INDEX(SP_CS_EV,0,COLUMN())/INDEX(SP_NGF_EBITDA,0,COLUMN())</f>
        <v>13.760805932703013</v>
      </c>
      <c r="AZ146" s="220"/>
      <c r="BA146" s="220"/>
      <c r="BB146" s="220"/>
      <c r="BC146" s="220"/>
      <c r="BD146" s="218">
        <f ca="1">INDEX(SP_CS_EV,0,COLUMN())/INDEX(SP_NGF_EBITDA,0,COLUMN())</f>
        <v>12.447473393461552</v>
      </c>
      <c r="BE146" s="218">
        <f ca="1">INDEX(SP_CS_EV,0,COLUMN())/INDEX(SP_NGF_EBITDA,0,COLUMN())</f>
        <v>11.200402982112905</v>
      </c>
      <c r="BF146" s="218">
        <f ca="1">INDEX(SP_CS_EV,0,COLUMN())/INDEX(SP_NGF_EBITDA,0,COLUMN())</f>
        <v>10.072559820192511</v>
      </c>
      <c r="BG146" s="218">
        <f ca="1">INDEX(SP_CS_EV,0,COLUMN())/INDEX(SP_NGF_EBITDA,0,COLUMN())</f>
        <v>8.9956785686772935</v>
      </c>
      <c r="BH146" s="220"/>
    </row>
    <row r="147" spans="1:60" s="152" customFormat="1" x14ac:dyDescent="0.35">
      <c r="A147" s="338" t="str">
        <f>"P/CF - "&amp;SP.ValuationToggle</f>
        <v>P/CF - Avg</v>
      </c>
      <c r="B147" s="339"/>
      <c r="C147" s="218">
        <f ca="1">INDEX(SP_CS_StockPrice,0,COLUMN())/INDEX(SP_CFA_CFO_PerShare,0,COLUMN())</f>
        <v>9.3375498046874998</v>
      </c>
      <c r="D147" s="218">
        <f ca="1">INDEX(SP_CS_StockPrice,0,COLUMN())/INDEX(SP_CFA_CFO_PerShare,0,COLUMN())</f>
        <v>11.895399091901549</v>
      </c>
      <c r="E147" s="218">
        <f ca="1">INDEX(SP_CS_StockPrice,0,COLUMN())/INDEX(SP_CFA_CFO_PerShare,0,COLUMN())</f>
        <v>10.428101127376745</v>
      </c>
      <c r="F147" s="218">
        <f ca="1">INDEX(SP_CS_StockPrice,0,COLUMN())/INDEX(SP_CFA_CFO_PerShare,0,COLUMN())</f>
        <v>11.298603420047298</v>
      </c>
      <c r="G147" s="219"/>
      <c r="H147" s="219"/>
      <c r="I147" s="219"/>
      <c r="J147" s="219"/>
      <c r="K147" s="218">
        <f ca="1">INDEX(SP_CS_StockPrice,0,COLUMN())/INDEX(SP_CFA_CFO_PerShare,0,COLUMN())</f>
        <v>12.764260742187501</v>
      </c>
      <c r="L147" s="219"/>
      <c r="M147" s="219"/>
      <c r="N147" s="219"/>
      <c r="O147" s="219"/>
      <c r="P147" s="218">
        <f ca="1">INDEX(SP_CS_StockPrice,0,COLUMN())/INDEX(SP_CFA_CFO_PerShare,0,COLUMN())</f>
        <v>14.221400595510763</v>
      </c>
      <c r="Q147" s="219"/>
      <c r="R147" s="219"/>
      <c r="S147" s="219"/>
      <c r="T147" s="219"/>
      <c r="U147" s="218">
        <f ca="1">INDEX(SP_CS_StockPrice,0,COLUMN())/INDEX(SP_CFA_CFO_PerShare,0,COLUMN())</f>
        <v>13.951233973453828</v>
      </c>
      <c r="V147" s="219"/>
      <c r="W147" s="220"/>
      <c r="X147" s="220"/>
      <c r="Y147" s="220"/>
      <c r="Z147" s="218">
        <f ca="1">INDEX(SP_CS_StockPrice,0,COLUMN())/INDEX(SP_CFA_CFO_PerShare,0,COLUMN())</f>
        <v>15.457580499627147</v>
      </c>
      <c r="AA147" s="220"/>
      <c r="AB147" s="220"/>
      <c r="AC147" s="220"/>
      <c r="AD147" s="220"/>
      <c r="AE147" s="218">
        <f ca="1">INDEX(SP_CS_StockPrice,0,COLUMN())/INDEX(SP_CFA_CFO_PerShare,0,COLUMN())</f>
        <v>22.279405866666668</v>
      </c>
      <c r="AF147" s="220"/>
      <c r="AG147" s="220"/>
      <c r="AH147" s="220"/>
      <c r="AI147" s="220"/>
      <c r="AJ147" s="218">
        <f ca="1">INDEX(SP_CS_StockPrice,0,COLUMN())/INDEX(SP_CFA_CFO_PerShare,0,COLUMN())</f>
        <v>19.017792978231199</v>
      </c>
      <c r="AK147" s="220"/>
      <c r="AL147" s="220"/>
      <c r="AM147" s="220"/>
      <c r="AN147" s="220"/>
      <c r="AO147" s="218">
        <f ca="1">INDEX(SP_CS_StockPrice,0,COLUMN())/INDEX(SP_CFA_CFO_PerShare,0,COLUMN())</f>
        <v>16.492015346652948</v>
      </c>
      <c r="AP147" s="220"/>
      <c r="AQ147" s="220"/>
      <c r="AR147" s="220"/>
      <c r="AS147" s="220"/>
      <c r="AT147" s="218">
        <f ca="1">INDEX(SP_CS_StockPrice,0,COLUMN())/INDEX(SP_CFA_CFO_PerShare,0,COLUMN())</f>
        <v>12.814284718965622</v>
      </c>
      <c r="AU147" s="869"/>
      <c r="AV147" s="220"/>
      <c r="AW147" s="220"/>
      <c r="AX147" s="220"/>
      <c r="AY147" s="218">
        <f ca="1">INDEX(SP_CS_StockPrice,0,COLUMN())/INDEX(SP_CFA_CFO_PerShare,0,COLUMN())</f>
        <v>14.06634788745057</v>
      </c>
      <c r="AZ147" s="220"/>
      <c r="BA147" s="220"/>
      <c r="BB147" s="220"/>
      <c r="BC147" s="220"/>
      <c r="BD147" s="218">
        <f ca="1">INDEX(SP_CS_StockPrice,0,COLUMN())/INDEX(SP_CFA_CFO_PerShare,0,COLUMN())</f>
        <v>13.010339999591018</v>
      </c>
      <c r="BE147" s="218">
        <f ca="1">INDEX(SP_CS_StockPrice,0,COLUMN())/INDEX(SP_CFA_CFO_PerShare,0,COLUMN())</f>
        <v>11.837869750424074</v>
      </c>
      <c r="BF147" s="218">
        <f ca="1">INDEX(SP_CS_StockPrice,0,COLUMN())/INDEX(SP_CFA_CFO_PerShare,0,COLUMN())</f>
        <v>10.839377979911861</v>
      </c>
      <c r="BG147" s="218">
        <f ca="1">INDEX(SP_CS_StockPrice,0,COLUMN())/INDEX(SP_CFA_CFO_PerShare,0,COLUMN())</f>
        <v>9.9284071636477353</v>
      </c>
      <c r="BH147" s="220"/>
    </row>
    <row r="148" spans="1:60" s="153" customFormat="1" x14ac:dyDescent="0.35">
      <c r="A148" s="314" t="str">
        <f>"FCF Yield % to "&amp;SP.ValuationToggle&amp;" Market Cap"</f>
        <v>FCF Yield % to Avg Market Cap</v>
      </c>
      <c r="B148" s="315"/>
      <c r="C148" s="201">
        <f ca="1">INDEX(SP_CFA_FCF_PreDiv,0,COLUMN())/INDEX(SP_CS_MarketCap,0,COLUMN())</f>
        <v>8.6675068642095038E-2</v>
      </c>
      <c r="D148" s="201">
        <f ca="1">INDEX(SP_CFA_FCF_PreDiv,0,COLUMN())/INDEX(SP_CS_MarketCap,0,COLUMN())</f>
        <v>6.5861246501890416E-2</v>
      </c>
      <c r="E148" s="201">
        <f ca="1">INDEX(SP_CFA_FCF_PreDiv,0,COLUMN())/INDEX(SP_CS_MarketCap,0,COLUMN())</f>
        <v>7.3643542502884879E-2</v>
      </c>
      <c r="F148" s="201">
        <f ca="1">INDEX(SP_CFA_FCF_PreDiv,0,COLUMN())/INDEX(SP_CS_MarketCap,0,COLUMN())</f>
        <v>6.4612814271584398E-2</v>
      </c>
      <c r="G148" s="202"/>
      <c r="H148" s="202"/>
      <c r="I148" s="202"/>
      <c r="J148" s="202"/>
      <c r="K148" s="201">
        <f ca="1">INDEX(SP_CFA_FCF_PreDiv,0,COLUMN())/INDEX(SP_CS_MarketCap,0,COLUMN())</f>
        <v>5.711289678066115E-2</v>
      </c>
      <c r="L148" s="202"/>
      <c r="M148" s="202"/>
      <c r="N148" s="202"/>
      <c r="O148" s="202"/>
      <c r="P148" s="201">
        <f ca="1">INDEX(SP_CFA_FCF_PreDiv,0,COLUMN())/INDEX(SP_CS_MarketCap,0,COLUMN())</f>
        <v>5.4286232805747063E-2</v>
      </c>
      <c r="Q148" s="202"/>
      <c r="R148" s="202"/>
      <c r="S148" s="202"/>
      <c r="T148" s="202"/>
      <c r="U148" s="201">
        <f ca="1">INDEX(SP_CFA_FCF_PreDiv,0,COLUMN())/INDEX(SP_CS_MarketCap,0,COLUMN())</f>
        <v>5.689119295690067E-2</v>
      </c>
      <c r="V148" s="202"/>
      <c r="W148" s="202"/>
      <c r="X148" s="202"/>
      <c r="Y148" s="202"/>
      <c r="Z148" s="201">
        <f ca="1">INDEX(SP_CFA_FCF_PreDiv,0,COLUMN())/INDEX(SP_CS_MarketCap,0,COLUMN())</f>
        <v>5.0992310728597161E-2</v>
      </c>
      <c r="AA148" s="202"/>
      <c r="AB148" s="202"/>
      <c r="AC148" s="202"/>
      <c r="AD148" s="202"/>
      <c r="AE148" s="201">
        <f ca="1">INDEX(SP_CFA_FCF_PreDiv,0,COLUMN())/INDEX(SP_CS_MarketCap,0,COLUMN())</f>
        <v>3.3928692516978984E-2</v>
      </c>
      <c r="AF148" s="202"/>
      <c r="AG148" s="202"/>
      <c r="AH148" s="202"/>
      <c r="AI148" s="202"/>
      <c r="AJ148" s="201">
        <f ca="1">INDEX(SP_CFA_FCF_PreDiv,0,COLUMN())/INDEX(SP_CS_MarketCap,0,COLUMN())</f>
        <v>4.0001189179502045E-2</v>
      </c>
      <c r="AK148" s="202"/>
      <c r="AL148" s="202"/>
      <c r="AM148" s="202"/>
      <c r="AN148" s="202"/>
      <c r="AO148" s="201">
        <f ca="1">INDEX(SP_CFA_FCF_PreDiv,0,COLUMN())/INDEX(SP_CS_MarketCap,0,COLUMN())</f>
        <v>4.4483074872588166E-2</v>
      </c>
      <c r="AP148" s="202"/>
      <c r="AQ148" s="202"/>
      <c r="AR148" s="202"/>
      <c r="AS148" s="202"/>
      <c r="AT148" s="201">
        <f ca="1">INDEX(SP_CFA_FCF_PreDiv,0,COLUMN())/INDEX(SP_CS_MarketCap,0,COLUMN())</f>
        <v>6.1896956184676999E-2</v>
      </c>
      <c r="AU148" s="854"/>
      <c r="AV148" s="202"/>
      <c r="AW148" s="202"/>
      <c r="AX148" s="202"/>
      <c r="AY148" s="201">
        <f ca="1">INDEX(SP_CFA_FCF_PreDiv,0,COLUMN())/INDEX(SP_CS_MarketCap,0,COLUMN())</f>
        <v>5.5887870448031264E-2</v>
      </c>
      <c r="AZ148" s="202"/>
      <c r="BA148" s="202"/>
      <c r="BB148" s="202"/>
      <c r="BC148" s="202"/>
      <c r="BD148" s="201">
        <f ca="1">INDEX(SP_CFA_FCF_PreDiv,0,COLUMN())/INDEX(SP_CS_MarketCap,0,COLUMN())</f>
        <v>5.9929255877993401E-2</v>
      </c>
      <c r="BE148" s="201">
        <f ca="1">INDEX(SP_CFA_FCF_PreDiv,0,COLUMN())/INDEX(SP_CS_MarketCap,0,COLUMN())</f>
        <v>6.7177479336096288E-2</v>
      </c>
      <c r="BF148" s="201">
        <f ca="1">INDEX(SP_CFA_FCF_PreDiv,0,COLUMN())/INDEX(SP_CS_MarketCap,0,COLUMN())</f>
        <v>7.4715556378879916E-2</v>
      </c>
      <c r="BG148" s="201">
        <f ca="1">INDEX(SP_CFA_FCF_PreDiv,0,COLUMN())/INDEX(SP_CS_MarketCap,0,COLUMN())</f>
        <v>8.295330314532498E-2</v>
      </c>
      <c r="BH148" s="325"/>
    </row>
    <row r="149" spans="1:60" s="153" customFormat="1" x14ac:dyDescent="0.35">
      <c r="A149" s="314" t="str">
        <f>"FCF Yield % to "&amp;SP.ValuationToggle&amp;" Enterprise Value"</f>
        <v>FCF Yield % to Avg Enterprise Value</v>
      </c>
      <c r="B149" s="315"/>
      <c r="C149" s="201">
        <f ca="1">INDEX(SP_CFA_FCF_PreDiv,0,COLUMN())/INDEX(SP_CS_EV,0,COLUMN())</f>
        <v>7.9706981291034582E-2</v>
      </c>
      <c r="D149" s="201">
        <f ca="1">INDEX(SP_CFA_FCF_PreDiv,0,COLUMN())/INDEX(SP_CS_EV,0,COLUMN())</f>
        <v>6.2920432046326941E-2</v>
      </c>
      <c r="E149" s="201">
        <f ca="1">INDEX(SP_CFA_FCF_PreDiv,0,COLUMN())/INDEX(SP_CS_EV,0,COLUMN())</f>
        <v>6.8141569335875771E-2</v>
      </c>
      <c r="F149" s="201">
        <f ca="1">INDEX(SP_CFA_FCF_PreDiv,0,COLUMN())/INDEX(SP_CS_EV,0,COLUMN())</f>
        <v>6.0833056946911511E-2</v>
      </c>
      <c r="G149" s="202"/>
      <c r="H149" s="202"/>
      <c r="I149" s="202"/>
      <c r="J149" s="202"/>
      <c r="K149" s="201">
        <f ca="1">INDEX(SP_CFA_FCF_PreDiv,0,COLUMN())/INDEX(SP_CS_EV,0,COLUMN())</f>
        <v>5.4700253965988238E-2</v>
      </c>
      <c r="L149" s="202"/>
      <c r="M149" s="202"/>
      <c r="N149" s="202"/>
      <c r="O149" s="202"/>
      <c r="P149" s="201">
        <f ca="1">INDEX(SP_CFA_FCF_PreDiv,0,COLUMN())/INDEX(SP_CS_EV,0,COLUMN())</f>
        <v>5.0322501695187025E-2</v>
      </c>
      <c r="Q149" s="202"/>
      <c r="R149" s="202"/>
      <c r="S149" s="202"/>
      <c r="T149" s="202"/>
      <c r="U149" s="201">
        <f ca="1">INDEX(SP_CFA_FCF_PreDiv,0,COLUMN())/INDEX(SP_CS_EV,0,COLUMN())</f>
        <v>5.0533274381142919E-2</v>
      </c>
      <c r="V149" s="202"/>
      <c r="W149" s="202"/>
      <c r="X149" s="202"/>
      <c r="Y149" s="202"/>
      <c r="Z149" s="201">
        <f ca="1">INDEX(SP_CFA_FCF_PreDiv,0,COLUMN())/INDEX(SP_CS_EV,0,COLUMN())</f>
        <v>4.5302170394624905E-2</v>
      </c>
      <c r="AA149" s="202"/>
      <c r="AB149" s="202"/>
      <c r="AC149" s="202"/>
      <c r="AD149" s="202"/>
      <c r="AE149" s="201">
        <f ca="1">INDEX(SP_CFA_FCF_PreDiv,0,COLUMN())/INDEX(SP_CS_EV,0,COLUMN())</f>
        <v>3.0629447095690904E-2</v>
      </c>
      <c r="AF149" s="202"/>
      <c r="AG149" s="202"/>
      <c r="AH149" s="202"/>
      <c r="AI149" s="202"/>
      <c r="AJ149" s="201">
        <f ca="1">INDEX(SP_CFA_FCF_PreDiv,0,COLUMN())/INDEX(SP_CS_EV,0,COLUMN())</f>
        <v>3.5872123487014303E-2</v>
      </c>
      <c r="AK149" s="202"/>
      <c r="AL149" s="202"/>
      <c r="AM149" s="202"/>
      <c r="AN149" s="202"/>
      <c r="AO149" s="201">
        <f ca="1">INDEX(SP_CFA_FCF_PreDiv,0,COLUMN())/INDEX(SP_CS_EV,0,COLUMN())</f>
        <v>3.6590113052391349E-2</v>
      </c>
      <c r="AP149" s="202"/>
      <c r="AQ149" s="202"/>
      <c r="AR149" s="202"/>
      <c r="AS149" s="202"/>
      <c r="AT149" s="201">
        <f ca="1">INDEX(SP_CFA_FCF_PreDiv,0,COLUMN())/INDEX(SP_CS_EV,0,COLUMN())</f>
        <v>5.1354220334131707E-2</v>
      </c>
      <c r="AU149" s="854"/>
      <c r="AV149" s="202"/>
      <c r="AW149" s="202"/>
      <c r="AX149" s="202"/>
      <c r="AY149" s="201">
        <f ca="1">INDEX(SP_CFA_FCF_PreDiv,0,COLUMN())/INDEX(SP_CS_EV,0,COLUMN())</f>
        <v>4.8264361702683278E-2</v>
      </c>
      <c r="AZ149" s="202"/>
      <c r="BA149" s="202"/>
      <c r="BB149" s="202"/>
      <c r="BC149" s="202"/>
      <c r="BD149" s="201">
        <f ca="1">INDEX(SP_CFA_FCF_PreDiv,0,COLUMN())/INDEX(SP_CS_EV,0,COLUMN())</f>
        <v>5.1987479743996562E-2</v>
      </c>
      <c r="BE149" s="201">
        <f ca="1">INDEX(SP_CFA_FCF_PreDiv,0,COLUMN())/INDEX(SP_CS_EV,0,COLUMN())</f>
        <v>5.8846607313092804E-2</v>
      </c>
      <c r="BF149" s="201">
        <f ca="1">INDEX(SP_CFA_FCF_PreDiv,0,COLUMN())/INDEX(SP_CS_EV,0,COLUMN())</f>
        <v>6.6581294750312478E-2</v>
      </c>
      <c r="BG149" s="201">
        <f ca="1">INDEX(SP_CFA_FCF_PreDiv,0,COLUMN())/INDEX(SP_CS_EV,0,COLUMN())</f>
        <v>7.5773018377928117E-2</v>
      </c>
      <c r="BH149" s="325"/>
    </row>
    <row r="150" spans="1:60" s="153" customFormat="1" x14ac:dyDescent="0.35">
      <c r="A150" s="314"/>
      <c r="B150" s="315"/>
      <c r="C150" s="201"/>
      <c r="D150" s="201"/>
      <c r="E150" s="201"/>
      <c r="F150" s="201"/>
      <c r="G150" s="202"/>
      <c r="H150" s="202"/>
      <c r="I150" s="202"/>
      <c r="J150" s="202"/>
      <c r="K150" s="201"/>
      <c r="L150" s="202"/>
      <c r="M150" s="202"/>
      <c r="N150" s="202"/>
      <c r="O150" s="202"/>
      <c r="P150" s="201"/>
      <c r="Q150" s="202"/>
      <c r="R150" s="202"/>
      <c r="S150" s="202"/>
      <c r="T150" s="202"/>
      <c r="U150" s="201"/>
      <c r="V150" s="202"/>
      <c r="W150" s="202"/>
      <c r="X150" s="202"/>
      <c r="Y150" s="202"/>
      <c r="Z150" s="201"/>
      <c r="AA150" s="202"/>
      <c r="AB150" s="202"/>
      <c r="AC150" s="202"/>
      <c r="AD150" s="202"/>
      <c r="AE150" s="201"/>
      <c r="AF150" s="202"/>
      <c r="AG150" s="202"/>
      <c r="AH150" s="202"/>
      <c r="AI150" s="202"/>
      <c r="AJ150" s="201"/>
      <c r="AK150" s="202"/>
      <c r="AL150" s="202"/>
      <c r="AM150" s="202"/>
      <c r="AN150" s="202"/>
      <c r="AO150" s="201"/>
      <c r="AP150" s="202"/>
      <c r="AQ150" s="202"/>
      <c r="AR150" s="202"/>
      <c r="AS150" s="202"/>
      <c r="AT150" s="201"/>
      <c r="AU150" s="854"/>
      <c r="AV150" s="202"/>
      <c r="AW150" s="202"/>
      <c r="AX150" s="202"/>
      <c r="AY150" s="201"/>
      <c r="AZ150" s="202"/>
      <c r="BA150" s="202"/>
      <c r="BB150" s="202"/>
      <c r="BC150" s="202"/>
      <c r="BD150" s="201"/>
      <c r="BE150" s="201"/>
      <c r="BF150" s="201"/>
      <c r="BG150" s="201"/>
      <c r="BH150" s="325"/>
    </row>
    <row r="151" spans="1:60" x14ac:dyDescent="0.35">
      <c r="A151" s="190" t="s">
        <v>337</v>
      </c>
      <c r="B151" s="845"/>
      <c r="C151" s="907"/>
      <c r="D151" s="907"/>
      <c r="E151" s="907"/>
      <c r="F151" s="907"/>
      <c r="G151" s="907"/>
      <c r="H151" s="907"/>
      <c r="I151" s="907"/>
      <c r="J151" s="907"/>
      <c r="K151" s="907"/>
      <c r="L151" s="907"/>
      <c r="M151" s="907"/>
      <c r="N151" s="907"/>
      <c r="O151" s="907"/>
      <c r="P151" s="907"/>
      <c r="Q151" s="907"/>
      <c r="R151" s="907"/>
      <c r="S151" s="907"/>
      <c r="T151" s="907"/>
      <c r="U151" s="907"/>
      <c r="V151" s="907"/>
      <c r="W151" s="907"/>
      <c r="X151" s="907"/>
      <c r="Y151" s="907"/>
      <c r="Z151" s="907"/>
      <c r="AA151" s="907"/>
      <c r="AB151" s="907"/>
      <c r="AC151" s="907"/>
      <c r="AD151" s="907"/>
      <c r="AE151" s="907"/>
      <c r="AF151" s="907"/>
      <c r="AG151" s="907"/>
      <c r="AH151" s="907"/>
      <c r="AI151" s="907"/>
      <c r="AJ151" s="907"/>
      <c r="AK151" s="907"/>
      <c r="AL151" s="907"/>
      <c r="AM151" s="907"/>
      <c r="AN151" s="907"/>
      <c r="AO151" s="907"/>
      <c r="AP151" s="907"/>
      <c r="AQ151" s="907"/>
      <c r="AR151" s="907"/>
      <c r="AS151" s="907"/>
      <c r="AT151" s="907"/>
      <c r="AU151" s="908"/>
      <c r="AV151" s="907"/>
      <c r="AW151" s="907"/>
      <c r="AX151" s="907"/>
      <c r="AY151" s="907"/>
      <c r="AZ151" s="907"/>
      <c r="BA151" s="907"/>
      <c r="BB151" s="907"/>
      <c r="BC151" s="907"/>
      <c r="BD151" s="907"/>
      <c r="BE151" s="907"/>
      <c r="BF151" s="907"/>
      <c r="BG151" s="907"/>
      <c r="BH151" s="325"/>
    </row>
    <row r="152" spans="1:60" hidden="1" outlineLevel="1" x14ac:dyDescent="0.35">
      <c r="A152" s="846" t="s">
        <v>63</v>
      </c>
      <c r="B152" s="340"/>
      <c r="C152" s="893">
        <f t="shared" ref="C152:AH152" si="210">ROUND(INDEX(SP_GF_EBITDA,0,COLUMN())-INDEX(MO_RIS_EBITDA,0,COLUMN()),6)</f>
        <v>0</v>
      </c>
      <c r="D152" s="893">
        <f t="shared" si="210"/>
        <v>0</v>
      </c>
      <c r="E152" s="893">
        <f t="shared" si="210"/>
        <v>0</v>
      </c>
      <c r="F152" s="893">
        <f t="shared" si="210"/>
        <v>0</v>
      </c>
      <c r="G152" s="893">
        <f t="shared" si="210"/>
        <v>0</v>
      </c>
      <c r="H152" s="893">
        <f t="shared" si="210"/>
        <v>0</v>
      </c>
      <c r="I152" s="893">
        <f t="shared" si="210"/>
        <v>0</v>
      </c>
      <c r="J152" s="893">
        <f t="shared" si="210"/>
        <v>0</v>
      </c>
      <c r="K152" s="893">
        <f t="shared" si="210"/>
        <v>0</v>
      </c>
      <c r="L152" s="893">
        <f t="shared" si="210"/>
        <v>0</v>
      </c>
      <c r="M152" s="893">
        <f t="shared" si="210"/>
        <v>0</v>
      </c>
      <c r="N152" s="893">
        <f t="shared" si="210"/>
        <v>0</v>
      </c>
      <c r="O152" s="893">
        <f t="shared" si="210"/>
        <v>0</v>
      </c>
      <c r="P152" s="893">
        <f t="shared" si="210"/>
        <v>0</v>
      </c>
      <c r="Q152" s="893">
        <f t="shared" si="210"/>
        <v>0</v>
      </c>
      <c r="R152" s="893">
        <f t="shared" si="210"/>
        <v>0</v>
      </c>
      <c r="S152" s="893">
        <f t="shared" si="210"/>
        <v>0</v>
      </c>
      <c r="T152" s="893">
        <f t="shared" si="210"/>
        <v>0</v>
      </c>
      <c r="U152" s="893">
        <f t="shared" si="210"/>
        <v>0</v>
      </c>
      <c r="V152" s="893">
        <f t="shared" si="210"/>
        <v>0</v>
      </c>
      <c r="W152" s="893">
        <f t="shared" si="210"/>
        <v>0</v>
      </c>
      <c r="X152" s="893">
        <f t="shared" si="210"/>
        <v>0</v>
      </c>
      <c r="Y152" s="893">
        <f t="shared" si="210"/>
        <v>0</v>
      </c>
      <c r="Z152" s="893">
        <f t="shared" si="210"/>
        <v>0</v>
      </c>
      <c r="AA152" s="893">
        <f t="shared" si="210"/>
        <v>0</v>
      </c>
      <c r="AB152" s="893">
        <f t="shared" si="210"/>
        <v>0</v>
      </c>
      <c r="AC152" s="893">
        <f t="shared" si="210"/>
        <v>0</v>
      </c>
      <c r="AD152" s="893">
        <f t="shared" si="210"/>
        <v>0</v>
      </c>
      <c r="AE152" s="893">
        <f t="shared" si="210"/>
        <v>0</v>
      </c>
      <c r="AF152" s="893">
        <f t="shared" si="210"/>
        <v>0</v>
      </c>
      <c r="AG152" s="893">
        <f t="shared" si="210"/>
        <v>0</v>
      </c>
      <c r="AH152" s="893">
        <f t="shared" si="210"/>
        <v>0</v>
      </c>
      <c r="AI152" s="893">
        <f t="shared" ref="AI152:AY152" si="211">ROUND(INDEX(SP_GF_EBITDA,0,COLUMN())-INDEX(MO_RIS_EBITDA,0,COLUMN()),6)</f>
        <v>0</v>
      </c>
      <c r="AJ152" s="893">
        <f t="shared" si="211"/>
        <v>0</v>
      </c>
      <c r="AK152" s="893">
        <f t="shared" si="211"/>
        <v>0</v>
      </c>
      <c r="AL152" s="893">
        <f t="shared" si="211"/>
        <v>0</v>
      </c>
      <c r="AM152" s="893">
        <f t="shared" si="211"/>
        <v>0</v>
      </c>
      <c r="AN152" s="893">
        <f t="shared" si="211"/>
        <v>0</v>
      </c>
      <c r="AO152" s="893">
        <f t="shared" si="211"/>
        <v>0</v>
      </c>
      <c r="AP152" s="893">
        <f t="shared" si="211"/>
        <v>0</v>
      </c>
      <c r="AQ152" s="893">
        <f t="shared" si="211"/>
        <v>0</v>
      </c>
      <c r="AR152" s="893">
        <f>ROUND(INDEX(SP_GF_EBITDA,0,COLUMN())-INDEX(MO_RIS_EBITDA,0,COLUMN()),6)</f>
        <v>0</v>
      </c>
      <c r="AS152" s="893">
        <f>ROUND(INDEX(SP_GF_EBITDA,0,COLUMN())-INDEX(MO_RIS_EBITDA,0,COLUMN()),6)</f>
        <v>0</v>
      </c>
      <c r="AT152" s="893">
        <f>ROUND(INDEX(SP_GF_EBITDA,0,COLUMN())-INDEX(MO_RIS_EBITDA,0,COLUMN()),6)</f>
        <v>0</v>
      </c>
      <c r="AU152" s="894">
        <f t="shared" si="211"/>
        <v>0</v>
      </c>
      <c r="AV152" s="893">
        <f t="shared" si="211"/>
        <v>0</v>
      </c>
      <c r="AW152" s="893">
        <f t="shared" si="211"/>
        <v>0</v>
      </c>
      <c r="AX152" s="893">
        <f t="shared" si="211"/>
        <v>0</v>
      </c>
      <c r="AY152" s="893">
        <f t="shared" si="211"/>
        <v>0</v>
      </c>
      <c r="AZ152" s="893">
        <f t="shared" ref="AZ152:BG152" si="212">ROUND(INDEX(SP_GF_EBITDA,0,COLUMN())-INDEX(MO_RIS_EBITDA,0,COLUMN()),6)</f>
        <v>0</v>
      </c>
      <c r="BA152" s="893">
        <f t="shared" si="212"/>
        <v>0</v>
      </c>
      <c r="BB152" s="893">
        <f t="shared" si="212"/>
        <v>0</v>
      </c>
      <c r="BC152" s="893">
        <f t="shared" si="212"/>
        <v>0</v>
      </c>
      <c r="BD152" s="893">
        <f t="shared" si="212"/>
        <v>0</v>
      </c>
      <c r="BE152" s="893">
        <f t="shared" si="212"/>
        <v>0</v>
      </c>
      <c r="BF152" s="893">
        <f t="shared" si="212"/>
        <v>0</v>
      </c>
      <c r="BG152" s="893">
        <f t="shared" si="212"/>
        <v>0</v>
      </c>
      <c r="BH152" s="325"/>
    </row>
    <row r="153" spans="1:60" hidden="1" outlineLevel="1" x14ac:dyDescent="0.35">
      <c r="A153" s="846" t="s">
        <v>338</v>
      </c>
      <c r="B153" s="340"/>
      <c r="C153" s="893">
        <f t="shared" ref="C153:AH153" si="213">ROUND(INDEX(SP_NGF_EBITDA,0,COLUMN())-INDEX(MO_RIS_EBITDA_Adj,0,COLUMN()),6)</f>
        <v>0</v>
      </c>
      <c r="D153" s="893">
        <f t="shared" si="213"/>
        <v>0</v>
      </c>
      <c r="E153" s="893">
        <f t="shared" si="213"/>
        <v>0</v>
      </c>
      <c r="F153" s="893">
        <f t="shared" si="213"/>
        <v>0</v>
      </c>
      <c r="G153" s="893">
        <f t="shared" si="213"/>
        <v>0</v>
      </c>
      <c r="H153" s="893">
        <f t="shared" si="213"/>
        <v>0</v>
      </c>
      <c r="I153" s="893">
        <f t="shared" si="213"/>
        <v>0</v>
      </c>
      <c r="J153" s="893">
        <f t="shared" si="213"/>
        <v>0</v>
      </c>
      <c r="K153" s="893">
        <f t="shared" si="213"/>
        <v>0</v>
      </c>
      <c r="L153" s="893">
        <f t="shared" si="213"/>
        <v>0</v>
      </c>
      <c r="M153" s="893">
        <f t="shared" si="213"/>
        <v>0</v>
      </c>
      <c r="N153" s="893">
        <f t="shared" si="213"/>
        <v>0</v>
      </c>
      <c r="O153" s="893">
        <f t="shared" si="213"/>
        <v>0</v>
      </c>
      <c r="P153" s="893">
        <f t="shared" si="213"/>
        <v>0</v>
      </c>
      <c r="Q153" s="893">
        <f t="shared" si="213"/>
        <v>0</v>
      </c>
      <c r="R153" s="893">
        <f t="shared" si="213"/>
        <v>0</v>
      </c>
      <c r="S153" s="893">
        <f t="shared" si="213"/>
        <v>0</v>
      </c>
      <c r="T153" s="893">
        <f t="shared" si="213"/>
        <v>0</v>
      </c>
      <c r="U153" s="893">
        <f t="shared" si="213"/>
        <v>0</v>
      </c>
      <c r="V153" s="893">
        <f t="shared" si="213"/>
        <v>0</v>
      </c>
      <c r="W153" s="893">
        <f t="shared" si="213"/>
        <v>0</v>
      </c>
      <c r="X153" s="893">
        <f t="shared" si="213"/>
        <v>0</v>
      </c>
      <c r="Y153" s="893">
        <f t="shared" si="213"/>
        <v>0</v>
      </c>
      <c r="Z153" s="893">
        <f t="shared" si="213"/>
        <v>0</v>
      </c>
      <c r="AA153" s="893">
        <f t="shared" si="213"/>
        <v>0</v>
      </c>
      <c r="AB153" s="893">
        <f t="shared" si="213"/>
        <v>0</v>
      </c>
      <c r="AC153" s="893">
        <f t="shared" si="213"/>
        <v>0</v>
      </c>
      <c r="AD153" s="893">
        <f t="shared" si="213"/>
        <v>0</v>
      </c>
      <c r="AE153" s="893">
        <f t="shared" si="213"/>
        <v>0</v>
      </c>
      <c r="AF153" s="893">
        <f t="shared" si="213"/>
        <v>0</v>
      </c>
      <c r="AG153" s="893">
        <f t="shared" si="213"/>
        <v>0</v>
      </c>
      <c r="AH153" s="893">
        <f t="shared" si="213"/>
        <v>0</v>
      </c>
      <c r="AI153" s="893">
        <f t="shared" ref="AI153:AY153" si="214">ROUND(INDEX(SP_NGF_EBITDA,0,COLUMN())-INDEX(MO_RIS_EBITDA_Adj,0,COLUMN()),6)</f>
        <v>0</v>
      </c>
      <c r="AJ153" s="893">
        <f t="shared" si="214"/>
        <v>0</v>
      </c>
      <c r="AK153" s="893">
        <f t="shared" si="214"/>
        <v>0</v>
      </c>
      <c r="AL153" s="893">
        <f t="shared" si="214"/>
        <v>0</v>
      </c>
      <c r="AM153" s="893">
        <f t="shared" si="214"/>
        <v>0</v>
      </c>
      <c r="AN153" s="893">
        <f t="shared" si="214"/>
        <v>0</v>
      </c>
      <c r="AO153" s="893">
        <f t="shared" si="214"/>
        <v>0</v>
      </c>
      <c r="AP153" s="893">
        <f t="shared" si="214"/>
        <v>0</v>
      </c>
      <c r="AQ153" s="893">
        <f t="shared" si="214"/>
        <v>0</v>
      </c>
      <c r="AR153" s="893">
        <f>ROUND(INDEX(SP_NGF_EBITDA,0,COLUMN())-INDEX(MO_RIS_EBITDA_Adj,0,COLUMN()),6)</f>
        <v>0</v>
      </c>
      <c r="AS153" s="893">
        <f>ROUND(INDEX(SP_NGF_EBITDA,0,COLUMN())-INDEX(MO_RIS_EBITDA_Adj,0,COLUMN()),6)</f>
        <v>0</v>
      </c>
      <c r="AT153" s="893">
        <f>ROUND(INDEX(SP_NGF_EBITDA,0,COLUMN())-INDEX(MO_RIS_EBITDA_Adj,0,COLUMN()),6)</f>
        <v>0</v>
      </c>
      <c r="AU153" s="894">
        <f t="shared" si="214"/>
        <v>0</v>
      </c>
      <c r="AV153" s="893">
        <f t="shared" si="214"/>
        <v>0</v>
      </c>
      <c r="AW153" s="893">
        <f t="shared" si="214"/>
        <v>0</v>
      </c>
      <c r="AX153" s="893">
        <f t="shared" si="214"/>
        <v>0</v>
      </c>
      <c r="AY153" s="893">
        <f t="shared" si="214"/>
        <v>0</v>
      </c>
      <c r="AZ153" s="893">
        <f t="shared" ref="AZ153:BG153" si="215">ROUND(INDEX(SP_NGF_EBITDA,0,COLUMN())-INDEX(MO_RIS_EBITDA_Adj,0,COLUMN()),6)</f>
        <v>0</v>
      </c>
      <c r="BA153" s="893">
        <f t="shared" si="215"/>
        <v>0</v>
      </c>
      <c r="BB153" s="893">
        <f t="shared" si="215"/>
        <v>0</v>
      </c>
      <c r="BC153" s="893">
        <f t="shared" si="215"/>
        <v>0</v>
      </c>
      <c r="BD153" s="893">
        <f t="shared" si="215"/>
        <v>0</v>
      </c>
      <c r="BE153" s="893">
        <f t="shared" si="215"/>
        <v>0</v>
      </c>
      <c r="BF153" s="893">
        <f t="shared" si="215"/>
        <v>0</v>
      </c>
      <c r="BG153" s="893">
        <f t="shared" si="215"/>
        <v>0</v>
      </c>
      <c r="BH153" s="325"/>
    </row>
    <row r="154" spans="1:60" hidden="1" outlineLevel="1" x14ac:dyDescent="0.35">
      <c r="A154" s="846" t="s">
        <v>339</v>
      </c>
      <c r="B154" s="340"/>
      <c r="C154" s="893">
        <f t="shared" ref="C154:AH154" si="216">ROUND(INDEX(SP_NGF_NI,0,COLUMN())-INDEX(MO_RIS_NI_NONGAAP_Diluted,0,COLUMN()),6)</f>
        <v>0</v>
      </c>
      <c r="D154" s="893">
        <f t="shared" si="216"/>
        <v>0</v>
      </c>
      <c r="E154" s="893">
        <f t="shared" si="216"/>
        <v>0</v>
      </c>
      <c r="F154" s="893">
        <f t="shared" si="216"/>
        <v>0</v>
      </c>
      <c r="G154" s="893">
        <f t="shared" si="216"/>
        <v>0</v>
      </c>
      <c r="H154" s="893">
        <f t="shared" si="216"/>
        <v>0</v>
      </c>
      <c r="I154" s="893">
        <f t="shared" si="216"/>
        <v>0</v>
      </c>
      <c r="J154" s="893">
        <f t="shared" si="216"/>
        <v>0</v>
      </c>
      <c r="K154" s="893">
        <f t="shared" si="216"/>
        <v>0</v>
      </c>
      <c r="L154" s="893">
        <f t="shared" si="216"/>
        <v>0</v>
      </c>
      <c r="M154" s="893">
        <f t="shared" si="216"/>
        <v>0</v>
      </c>
      <c r="N154" s="893">
        <f t="shared" si="216"/>
        <v>0</v>
      </c>
      <c r="O154" s="893">
        <f t="shared" si="216"/>
        <v>0</v>
      </c>
      <c r="P154" s="893">
        <f t="shared" si="216"/>
        <v>0</v>
      </c>
      <c r="Q154" s="893">
        <f t="shared" si="216"/>
        <v>0</v>
      </c>
      <c r="R154" s="893">
        <f t="shared" si="216"/>
        <v>0</v>
      </c>
      <c r="S154" s="893">
        <f t="shared" si="216"/>
        <v>0</v>
      </c>
      <c r="T154" s="893">
        <f t="shared" si="216"/>
        <v>0</v>
      </c>
      <c r="U154" s="893">
        <f t="shared" si="216"/>
        <v>0</v>
      </c>
      <c r="V154" s="893">
        <f t="shared" si="216"/>
        <v>0</v>
      </c>
      <c r="W154" s="893">
        <f t="shared" si="216"/>
        <v>0</v>
      </c>
      <c r="X154" s="893">
        <f t="shared" si="216"/>
        <v>0</v>
      </c>
      <c r="Y154" s="893">
        <f t="shared" si="216"/>
        <v>0</v>
      </c>
      <c r="Z154" s="893">
        <f t="shared" si="216"/>
        <v>0</v>
      </c>
      <c r="AA154" s="893">
        <f t="shared" si="216"/>
        <v>0</v>
      </c>
      <c r="AB154" s="893">
        <f t="shared" si="216"/>
        <v>0</v>
      </c>
      <c r="AC154" s="893">
        <f t="shared" si="216"/>
        <v>0</v>
      </c>
      <c r="AD154" s="893">
        <f t="shared" si="216"/>
        <v>0</v>
      </c>
      <c r="AE154" s="893">
        <f t="shared" si="216"/>
        <v>0</v>
      </c>
      <c r="AF154" s="893">
        <f t="shared" si="216"/>
        <v>0</v>
      </c>
      <c r="AG154" s="893">
        <f t="shared" si="216"/>
        <v>0</v>
      </c>
      <c r="AH154" s="893">
        <f t="shared" si="216"/>
        <v>0</v>
      </c>
      <c r="AI154" s="893">
        <f t="shared" ref="AI154:AY154" si="217">ROUND(INDEX(SP_NGF_NI,0,COLUMN())-INDEX(MO_RIS_NI_NONGAAP_Diluted,0,COLUMN()),6)</f>
        <v>0</v>
      </c>
      <c r="AJ154" s="893">
        <f t="shared" si="217"/>
        <v>0</v>
      </c>
      <c r="AK154" s="893">
        <f t="shared" si="217"/>
        <v>0</v>
      </c>
      <c r="AL154" s="893">
        <f t="shared" si="217"/>
        <v>0</v>
      </c>
      <c r="AM154" s="893">
        <f t="shared" si="217"/>
        <v>0</v>
      </c>
      <c r="AN154" s="893">
        <f t="shared" si="217"/>
        <v>0</v>
      </c>
      <c r="AO154" s="893">
        <f t="shared" si="217"/>
        <v>0</v>
      </c>
      <c r="AP154" s="893">
        <f t="shared" si="217"/>
        <v>0</v>
      </c>
      <c r="AQ154" s="893">
        <f t="shared" si="217"/>
        <v>0</v>
      </c>
      <c r="AR154" s="893">
        <f>ROUND(INDEX(SP_NGF_NI,0,COLUMN())-INDEX(MO_RIS_NI_NONGAAP_Diluted,0,COLUMN()),6)</f>
        <v>0</v>
      </c>
      <c r="AS154" s="893">
        <f>ROUND(INDEX(SP_NGF_NI,0,COLUMN())-INDEX(MO_RIS_NI_NONGAAP_Diluted,0,COLUMN()),6)</f>
        <v>0</v>
      </c>
      <c r="AT154" s="893">
        <f>ROUND(INDEX(SP_NGF_NI,0,COLUMN())-INDEX(MO_RIS_NI_NONGAAP_Diluted,0,COLUMN()),6)</f>
        <v>0</v>
      </c>
      <c r="AU154" s="894">
        <f t="shared" si="217"/>
        <v>0</v>
      </c>
      <c r="AV154" s="893">
        <f t="shared" si="217"/>
        <v>0</v>
      </c>
      <c r="AW154" s="893">
        <f t="shared" si="217"/>
        <v>0</v>
      </c>
      <c r="AX154" s="893">
        <f t="shared" si="217"/>
        <v>0</v>
      </c>
      <c r="AY154" s="893">
        <f t="shared" si="217"/>
        <v>0</v>
      </c>
      <c r="AZ154" s="893">
        <f t="shared" ref="AZ154:BG154" si="218">ROUND(INDEX(SP_NGF_NI,0,COLUMN())-INDEX(MO_RIS_NI_NONGAAP_Diluted,0,COLUMN()),6)</f>
        <v>0</v>
      </c>
      <c r="BA154" s="893">
        <f t="shared" ca="1" si="218"/>
        <v>0</v>
      </c>
      <c r="BB154" s="893">
        <f t="shared" ca="1" si="218"/>
        <v>0</v>
      </c>
      <c r="BC154" s="893">
        <f t="shared" ca="1" si="218"/>
        <v>0</v>
      </c>
      <c r="BD154" s="893">
        <f t="shared" ca="1" si="218"/>
        <v>0</v>
      </c>
      <c r="BE154" s="893">
        <f t="shared" ca="1" si="218"/>
        <v>0</v>
      </c>
      <c r="BF154" s="893">
        <f t="shared" ca="1" si="218"/>
        <v>0</v>
      </c>
      <c r="BG154" s="893">
        <f t="shared" ca="1" si="218"/>
        <v>0</v>
      </c>
      <c r="BH154" s="325"/>
    </row>
    <row r="155" spans="1:60" hidden="1" outlineLevel="1" x14ac:dyDescent="0.35">
      <c r="A155" s="846" t="s">
        <v>340</v>
      </c>
      <c r="B155" s="340"/>
      <c r="C155" s="893">
        <f t="shared" ref="C155:AH155" si="219">ROUND(INDEX(SP_GF_NI,0,COLUMN())-INDEX(MO_RIS_NI_GAAP_Basic,0,COLUMN()),6)</f>
        <v>0</v>
      </c>
      <c r="D155" s="893">
        <f t="shared" si="219"/>
        <v>0</v>
      </c>
      <c r="E155" s="893">
        <f t="shared" si="219"/>
        <v>0</v>
      </c>
      <c r="F155" s="893">
        <f t="shared" si="219"/>
        <v>0</v>
      </c>
      <c r="G155" s="893">
        <f t="shared" si="219"/>
        <v>0</v>
      </c>
      <c r="H155" s="893">
        <f t="shared" si="219"/>
        <v>0</v>
      </c>
      <c r="I155" s="893">
        <f t="shared" si="219"/>
        <v>0</v>
      </c>
      <c r="J155" s="893">
        <f t="shared" si="219"/>
        <v>0</v>
      </c>
      <c r="K155" s="893">
        <f t="shared" si="219"/>
        <v>0</v>
      </c>
      <c r="L155" s="893">
        <f t="shared" si="219"/>
        <v>0</v>
      </c>
      <c r="M155" s="893">
        <f t="shared" si="219"/>
        <v>0</v>
      </c>
      <c r="N155" s="893">
        <f t="shared" si="219"/>
        <v>0</v>
      </c>
      <c r="O155" s="893">
        <f t="shared" si="219"/>
        <v>0</v>
      </c>
      <c r="P155" s="893">
        <f t="shared" si="219"/>
        <v>0</v>
      </c>
      <c r="Q155" s="893">
        <f t="shared" si="219"/>
        <v>0</v>
      </c>
      <c r="R155" s="893">
        <f t="shared" si="219"/>
        <v>0</v>
      </c>
      <c r="S155" s="893">
        <f t="shared" si="219"/>
        <v>0</v>
      </c>
      <c r="T155" s="893">
        <f t="shared" si="219"/>
        <v>0</v>
      </c>
      <c r="U155" s="893">
        <f t="shared" si="219"/>
        <v>0</v>
      </c>
      <c r="V155" s="893">
        <f t="shared" si="219"/>
        <v>0</v>
      </c>
      <c r="W155" s="893">
        <f t="shared" si="219"/>
        <v>0</v>
      </c>
      <c r="X155" s="893">
        <f t="shared" si="219"/>
        <v>0</v>
      </c>
      <c r="Y155" s="893">
        <f t="shared" si="219"/>
        <v>0</v>
      </c>
      <c r="Z155" s="893">
        <f t="shared" si="219"/>
        <v>0</v>
      </c>
      <c r="AA155" s="893">
        <f t="shared" si="219"/>
        <v>0</v>
      </c>
      <c r="AB155" s="893">
        <f t="shared" si="219"/>
        <v>0</v>
      </c>
      <c r="AC155" s="893">
        <f t="shared" si="219"/>
        <v>0</v>
      </c>
      <c r="AD155" s="893">
        <f t="shared" si="219"/>
        <v>0</v>
      </c>
      <c r="AE155" s="893">
        <f t="shared" si="219"/>
        <v>0</v>
      </c>
      <c r="AF155" s="893">
        <f t="shared" si="219"/>
        <v>0</v>
      </c>
      <c r="AG155" s="893">
        <f t="shared" si="219"/>
        <v>0</v>
      </c>
      <c r="AH155" s="893">
        <f t="shared" si="219"/>
        <v>0</v>
      </c>
      <c r="AI155" s="893">
        <f t="shared" ref="AI155:AY155" si="220">ROUND(INDEX(SP_GF_NI,0,COLUMN())-INDEX(MO_RIS_NI_GAAP_Basic,0,COLUMN()),6)</f>
        <v>0</v>
      </c>
      <c r="AJ155" s="893">
        <f t="shared" si="220"/>
        <v>0</v>
      </c>
      <c r="AK155" s="893">
        <f t="shared" si="220"/>
        <v>0</v>
      </c>
      <c r="AL155" s="893">
        <f t="shared" si="220"/>
        <v>0</v>
      </c>
      <c r="AM155" s="893">
        <f t="shared" si="220"/>
        <v>0</v>
      </c>
      <c r="AN155" s="893">
        <f t="shared" si="220"/>
        <v>0</v>
      </c>
      <c r="AO155" s="893">
        <f t="shared" si="220"/>
        <v>0</v>
      </c>
      <c r="AP155" s="893">
        <f t="shared" si="220"/>
        <v>0</v>
      </c>
      <c r="AQ155" s="893">
        <f t="shared" si="220"/>
        <v>0</v>
      </c>
      <c r="AR155" s="893">
        <f>ROUND(INDEX(SP_GF_NI,0,COLUMN())-INDEX(MO_RIS_NI_GAAP_Basic,0,COLUMN()),6)</f>
        <v>0</v>
      </c>
      <c r="AS155" s="893">
        <f>ROUND(INDEX(SP_GF_NI,0,COLUMN())-INDEX(MO_RIS_NI_GAAP_Basic,0,COLUMN()),6)</f>
        <v>0</v>
      </c>
      <c r="AT155" s="893">
        <f>ROUND(INDEX(SP_GF_NI,0,COLUMN())-INDEX(MO_RIS_NI_GAAP_Basic,0,COLUMN()),6)</f>
        <v>0</v>
      </c>
      <c r="AU155" s="894">
        <f t="shared" si="220"/>
        <v>0</v>
      </c>
      <c r="AV155" s="893">
        <f t="shared" si="220"/>
        <v>0</v>
      </c>
      <c r="AW155" s="893">
        <f t="shared" si="220"/>
        <v>0</v>
      </c>
      <c r="AX155" s="893">
        <f t="shared" si="220"/>
        <v>0</v>
      </c>
      <c r="AY155" s="893">
        <f t="shared" si="220"/>
        <v>0</v>
      </c>
      <c r="AZ155" s="893">
        <f t="shared" ref="AZ155:BG155" si="221">ROUND(INDEX(SP_GF_NI,0,COLUMN())-INDEX(MO_RIS_NI_GAAP_Basic,0,COLUMN()),6)</f>
        <v>0</v>
      </c>
      <c r="BA155" s="893">
        <f t="shared" ca="1" si="221"/>
        <v>0</v>
      </c>
      <c r="BB155" s="893">
        <f t="shared" ca="1" si="221"/>
        <v>0</v>
      </c>
      <c r="BC155" s="893">
        <f t="shared" ca="1" si="221"/>
        <v>0</v>
      </c>
      <c r="BD155" s="893">
        <f t="shared" ca="1" si="221"/>
        <v>0</v>
      </c>
      <c r="BE155" s="893">
        <f t="shared" ca="1" si="221"/>
        <v>0</v>
      </c>
      <c r="BF155" s="893">
        <f t="shared" ca="1" si="221"/>
        <v>0</v>
      </c>
      <c r="BG155" s="893">
        <f t="shared" ca="1" si="221"/>
        <v>0</v>
      </c>
      <c r="BH155" s="325"/>
    </row>
    <row r="156" spans="1:60" hidden="1" outlineLevel="1" x14ac:dyDescent="0.35">
      <c r="A156" s="846" t="s">
        <v>341</v>
      </c>
      <c r="B156" s="340"/>
      <c r="C156" s="893">
        <f t="shared" ref="C156:AH156" ca="1" si="222">ROUND(INDEX(SP_CFA_NetChange,0,COLUMN())-INDEX(MO_CFS_NetChange,0,COLUMN()),6)</f>
        <v>0</v>
      </c>
      <c r="D156" s="893">
        <f t="shared" ca="1" si="222"/>
        <v>0</v>
      </c>
      <c r="E156" s="893">
        <f t="shared" ca="1" si="222"/>
        <v>0</v>
      </c>
      <c r="F156" s="893">
        <f t="shared" ca="1" si="222"/>
        <v>0</v>
      </c>
      <c r="G156" s="893">
        <f t="shared" ca="1" si="222"/>
        <v>0</v>
      </c>
      <c r="H156" s="893">
        <f t="shared" ca="1" si="222"/>
        <v>0</v>
      </c>
      <c r="I156" s="893">
        <f t="shared" ca="1" si="222"/>
        <v>0</v>
      </c>
      <c r="J156" s="893">
        <f t="shared" ca="1" si="222"/>
        <v>0</v>
      </c>
      <c r="K156" s="893">
        <f t="shared" ca="1" si="222"/>
        <v>0</v>
      </c>
      <c r="L156" s="893">
        <f t="shared" ca="1" si="222"/>
        <v>0</v>
      </c>
      <c r="M156" s="893">
        <f t="shared" ca="1" si="222"/>
        <v>0</v>
      </c>
      <c r="N156" s="893">
        <f t="shared" ca="1" si="222"/>
        <v>0</v>
      </c>
      <c r="O156" s="893">
        <f t="shared" ca="1" si="222"/>
        <v>0</v>
      </c>
      <c r="P156" s="893">
        <f t="shared" ca="1" si="222"/>
        <v>0</v>
      </c>
      <c r="Q156" s="893">
        <f t="shared" ca="1" si="222"/>
        <v>0</v>
      </c>
      <c r="R156" s="893">
        <f t="shared" ca="1" si="222"/>
        <v>0</v>
      </c>
      <c r="S156" s="893">
        <f t="shared" ca="1" si="222"/>
        <v>0</v>
      </c>
      <c r="T156" s="893">
        <f t="shared" ca="1" si="222"/>
        <v>0</v>
      </c>
      <c r="U156" s="893">
        <f t="shared" ca="1" si="222"/>
        <v>0</v>
      </c>
      <c r="V156" s="893">
        <f t="shared" ca="1" si="222"/>
        <v>0</v>
      </c>
      <c r="W156" s="893">
        <f t="shared" ca="1" si="222"/>
        <v>0</v>
      </c>
      <c r="X156" s="893">
        <f t="shared" ca="1" si="222"/>
        <v>0</v>
      </c>
      <c r="Y156" s="893">
        <f t="shared" ca="1" si="222"/>
        <v>0</v>
      </c>
      <c r="Z156" s="893">
        <f t="shared" ca="1" si="222"/>
        <v>0</v>
      </c>
      <c r="AA156" s="893">
        <f t="shared" ca="1" si="222"/>
        <v>0</v>
      </c>
      <c r="AB156" s="893">
        <f t="shared" ca="1" si="222"/>
        <v>0</v>
      </c>
      <c r="AC156" s="893">
        <f t="shared" ca="1" si="222"/>
        <v>0</v>
      </c>
      <c r="AD156" s="893">
        <f t="shared" ca="1" si="222"/>
        <v>0</v>
      </c>
      <c r="AE156" s="893">
        <f t="shared" ca="1" si="222"/>
        <v>0</v>
      </c>
      <c r="AF156" s="893">
        <f t="shared" ca="1" si="222"/>
        <v>0</v>
      </c>
      <c r="AG156" s="893">
        <f t="shared" ca="1" si="222"/>
        <v>0</v>
      </c>
      <c r="AH156" s="893">
        <f t="shared" ca="1" si="222"/>
        <v>0</v>
      </c>
      <c r="AI156" s="893">
        <f t="shared" ref="AI156:AY156" ca="1" si="223">ROUND(INDEX(SP_CFA_NetChange,0,COLUMN())-INDEX(MO_CFS_NetChange,0,COLUMN()),6)</f>
        <v>0</v>
      </c>
      <c r="AJ156" s="893">
        <f t="shared" ca="1" si="223"/>
        <v>0</v>
      </c>
      <c r="AK156" s="893">
        <f t="shared" ca="1" si="223"/>
        <v>0</v>
      </c>
      <c r="AL156" s="893">
        <f t="shared" ca="1" si="223"/>
        <v>0</v>
      </c>
      <c r="AM156" s="893">
        <f t="shared" ca="1" si="223"/>
        <v>0</v>
      </c>
      <c r="AN156" s="893">
        <f t="shared" ca="1" si="223"/>
        <v>0</v>
      </c>
      <c r="AO156" s="893">
        <f t="shared" ca="1" si="223"/>
        <v>0</v>
      </c>
      <c r="AP156" s="893">
        <f t="shared" ca="1" si="223"/>
        <v>0</v>
      </c>
      <c r="AQ156" s="893">
        <f t="shared" ca="1" si="223"/>
        <v>0</v>
      </c>
      <c r="AR156" s="893">
        <f t="shared" ca="1" si="223"/>
        <v>0</v>
      </c>
      <c r="AS156" s="893">
        <f ca="1">ROUND(INDEX(SP_CFA_NetChange,0,COLUMN())-INDEX(MO_CFS_NetChange,0,COLUMN()),6)</f>
        <v>0</v>
      </c>
      <c r="AT156" s="893">
        <f ca="1">ROUND(INDEX(SP_CFA_NetChange,0,COLUMN())-INDEX(MO_CFS_NetChange,0,COLUMN()),6)</f>
        <v>0</v>
      </c>
      <c r="AU156" s="894">
        <f t="shared" ca="1" si="223"/>
        <v>0</v>
      </c>
      <c r="AV156" s="893">
        <f t="shared" ca="1" si="223"/>
        <v>0</v>
      </c>
      <c r="AW156" s="893">
        <f t="shared" ca="1" si="223"/>
        <v>0</v>
      </c>
      <c r="AX156" s="893">
        <f t="shared" ca="1" si="223"/>
        <v>0</v>
      </c>
      <c r="AY156" s="893">
        <f t="shared" ca="1" si="223"/>
        <v>0</v>
      </c>
      <c r="AZ156" s="893">
        <f t="shared" ref="AZ156:BG156" ca="1" si="224">ROUND(INDEX(SP_CFA_NetChange,0,COLUMN())-INDEX(MO_CFS_NetChange,0,COLUMN()),6)</f>
        <v>0</v>
      </c>
      <c r="BA156" s="893">
        <f t="shared" ca="1" si="224"/>
        <v>0</v>
      </c>
      <c r="BB156" s="893">
        <f t="shared" ca="1" si="224"/>
        <v>0</v>
      </c>
      <c r="BC156" s="893">
        <f t="shared" ca="1" si="224"/>
        <v>0</v>
      </c>
      <c r="BD156" s="893">
        <f t="shared" ca="1" si="224"/>
        <v>0</v>
      </c>
      <c r="BE156" s="893">
        <f t="shared" ca="1" si="224"/>
        <v>0</v>
      </c>
      <c r="BF156" s="893">
        <f t="shared" ca="1" si="224"/>
        <v>0</v>
      </c>
      <c r="BG156" s="893">
        <f t="shared" ca="1" si="224"/>
        <v>0</v>
      </c>
      <c r="BH156" s="325"/>
    </row>
    <row r="157" spans="1:60" collapsed="1" x14ac:dyDescent="0.35">
      <c r="A157" s="325"/>
      <c r="B157" s="325"/>
      <c r="C157" s="208"/>
      <c r="D157" s="208"/>
      <c r="E157" s="208"/>
      <c r="F157" s="208"/>
      <c r="G157" s="325"/>
      <c r="H157" s="325"/>
      <c r="I157" s="325"/>
      <c r="J157" s="325"/>
      <c r="K157" s="208"/>
      <c r="L157" s="325"/>
      <c r="M157" s="325"/>
      <c r="N157" s="325"/>
      <c r="O157" s="325"/>
      <c r="P157" s="208"/>
      <c r="Q157" s="325"/>
      <c r="R157" s="325"/>
      <c r="S157" s="325"/>
      <c r="T157" s="325"/>
      <c r="U157" s="208"/>
      <c r="V157" s="325"/>
      <c r="W157" s="325"/>
      <c r="X157" s="325"/>
      <c r="Y157" s="325"/>
      <c r="Z157" s="208"/>
      <c r="AA157" s="325"/>
      <c r="AB157" s="325"/>
      <c r="AC157" s="325"/>
      <c r="AD157" s="325"/>
      <c r="AE157" s="208"/>
      <c r="AF157" s="325"/>
      <c r="AG157" s="325"/>
      <c r="AH157" s="325"/>
      <c r="AI157" s="325"/>
      <c r="AJ157" s="208"/>
      <c r="AK157" s="325"/>
      <c r="AL157" s="325"/>
      <c r="AM157" s="325"/>
      <c r="AN157" s="325"/>
      <c r="AO157" s="208"/>
      <c r="AP157" s="325"/>
      <c r="AQ157" s="325"/>
      <c r="AR157" s="325"/>
      <c r="AS157" s="325"/>
      <c r="AT157" s="208"/>
      <c r="AU157" s="859"/>
      <c r="AV157" s="325"/>
      <c r="AW157" s="325"/>
      <c r="AX157" s="325"/>
      <c r="AY157" s="208"/>
      <c r="AZ157" s="325"/>
      <c r="BA157" s="325"/>
      <c r="BB157" s="325"/>
      <c r="BC157" s="325"/>
      <c r="BD157" s="208"/>
      <c r="BE157" s="208"/>
      <c r="BF157" s="208"/>
      <c r="BG157" s="208"/>
      <c r="BH157" s="325"/>
    </row>
    <row r="158" spans="1:60" x14ac:dyDescent="0.35">
      <c r="A158" s="581" t="s">
        <v>778</v>
      </c>
      <c r="B158" s="192"/>
      <c r="C158" s="192"/>
      <c r="D158" s="192"/>
      <c r="E158" s="192"/>
      <c r="F158" s="192"/>
      <c r="G158" s="192"/>
      <c r="H158" s="192"/>
      <c r="I158" s="192"/>
      <c r="J158" s="192"/>
      <c r="K158" s="192"/>
      <c r="L158" s="192"/>
      <c r="M158" s="192"/>
      <c r="N158" s="192"/>
      <c r="O158" s="192"/>
      <c r="P158" s="192"/>
      <c r="Q158" s="192"/>
      <c r="R158" s="192"/>
      <c r="S158" s="192"/>
      <c r="T158" s="192"/>
      <c r="U158" s="192"/>
      <c r="V158" s="192"/>
      <c r="W158" s="192"/>
      <c r="X158" s="192"/>
      <c r="Y158" s="192"/>
      <c r="Z158" s="192"/>
      <c r="AA158" s="192"/>
      <c r="AB158" s="192"/>
      <c r="AC158" s="192"/>
      <c r="AD158" s="192"/>
      <c r="AE158" s="192"/>
      <c r="AF158" s="192"/>
      <c r="AG158" s="192"/>
      <c r="AH158" s="192"/>
      <c r="AI158" s="192"/>
      <c r="AJ158" s="192"/>
      <c r="AK158" s="192"/>
      <c r="AL158" s="192"/>
      <c r="AM158" s="192"/>
      <c r="AN158" s="192"/>
      <c r="AO158" s="192"/>
      <c r="AP158" s="192"/>
      <c r="AQ158" s="192"/>
      <c r="AR158" s="192"/>
      <c r="AS158" s="192"/>
      <c r="AT158" s="192"/>
      <c r="AU158" s="192"/>
      <c r="AV158" s="192"/>
      <c r="AW158" s="192"/>
      <c r="AX158" s="192"/>
      <c r="AY158" s="192"/>
      <c r="AZ158" s="192"/>
      <c r="BA158" s="192"/>
      <c r="BB158" s="192"/>
      <c r="BC158" s="192"/>
      <c r="BD158" s="192"/>
      <c r="BE158" s="192"/>
      <c r="BF158" s="192"/>
      <c r="BG158" s="192"/>
      <c r="BH158" s="325"/>
    </row>
    <row r="159" spans="1:60" collapsed="1" x14ac:dyDescent="0.35">
      <c r="A159" s="251"/>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c r="AA159" s="325"/>
      <c r="AB159" s="325"/>
      <c r="AC159" s="325"/>
      <c r="AD159" s="325"/>
      <c r="AE159" s="325"/>
      <c r="AF159" s="325"/>
      <c r="AG159" s="325"/>
      <c r="AH159" s="325"/>
      <c r="AI159" s="325"/>
      <c r="AJ159" s="325"/>
      <c r="AK159" s="325"/>
      <c r="AL159" s="325"/>
      <c r="AM159" s="325"/>
      <c r="AN159" s="325"/>
      <c r="AO159" s="325"/>
      <c r="AP159" s="325"/>
      <c r="AQ159" s="325"/>
      <c r="AR159" s="325"/>
      <c r="AS159" s="325"/>
      <c r="AT159" s="325"/>
      <c r="AU159" s="325"/>
      <c r="AV159" s="325"/>
      <c r="AW159" s="325"/>
      <c r="AX159" s="325"/>
      <c r="AY159" s="325"/>
      <c r="AZ159" s="325"/>
      <c r="BA159" s="325"/>
      <c r="BB159" s="325"/>
      <c r="BC159" s="325"/>
      <c r="BD159" s="325"/>
      <c r="BE159" s="325"/>
      <c r="BF159" s="325"/>
      <c r="BG159" s="325"/>
      <c r="BH159" s="325"/>
    </row>
  </sheetData>
  <conditionalFormatting sqref="C152:BG156">
    <cfRule type="cellIs" dxfId="1" priority="82" operator="equal">
      <formula>0</formula>
    </cfRule>
  </conditionalFormatting>
  <conditionalFormatting sqref="C152:BG156">
    <cfRule type="cellIs" dxfId="0" priority="83" operator="notEqual">
      <formula>0</formula>
    </cfRule>
  </conditionalFormatting>
  <dataValidations count="1">
    <dataValidation type="list" allowBlank="1" showInputMessage="1" showErrorMessage="1" sqref="B4" xr:uid="{00000000-0002-0000-0400-000000000000}">
      <formula1>OFFSET(tb_ValuationToggle,1,0,3,1)</formula1>
    </dataValidation>
  </dataValidations>
  <pageMargins left="0.7" right="0.7" top="0.75" bottom="0.75" header="0.3" footer="0.3"/>
  <pageSetup scale="39"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1"/>
  <dimension ref="A1:J67"/>
  <sheetViews>
    <sheetView showGridLines="0" workbookViewId="0"/>
  </sheetViews>
  <sheetFormatPr defaultColWidth="8.81640625" defaultRowHeight="14.5" x14ac:dyDescent="0.35"/>
  <cols>
    <col min="1" max="1" width="4.453125" style="13" customWidth="1"/>
    <col min="2" max="2" width="9.81640625" style="13" customWidth="1"/>
    <col min="3" max="3" width="15.7265625" style="13" customWidth="1"/>
    <col min="4" max="4" width="20.7265625" style="13" customWidth="1"/>
    <col min="5" max="5" width="30.7265625" style="13" customWidth="1"/>
    <col min="6" max="6" width="20.7265625" style="13"/>
    <col min="7" max="7" width="23.7265625" style="13" customWidth="1"/>
    <col min="8" max="8" width="45.7265625" style="13" customWidth="1"/>
    <col min="9" max="9" width="7.81640625" style="13" customWidth="1"/>
    <col min="10" max="12" width="8.81640625" style="13" customWidth="1"/>
    <col min="13" max="16384" width="8.81640625" style="13"/>
  </cols>
  <sheetData>
    <row r="1" spans="1:10" x14ac:dyDescent="0.35">
      <c r="A1" s="36"/>
      <c r="B1" s="36"/>
      <c r="C1" s="36"/>
      <c r="D1" s="36"/>
      <c r="E1" s="36"/>
      <c r="F1" s="36"/>
      <c r="G1" s="36"/>
      <c r="H1" s="36"/>
    </row>
    <row r="2" spans="1:10" x14ac:dyDescent="0.35">
      <c r="A2" s="36"/>
      <c r="B2" s="23"/>
      <c r="C2" s="23"/>
      <c r="D2" s="23"/>
      <c r="E2" s="23"/>
      <c r="F2" s="23"/>
      <c r="G2" s="23"/>
      <c r="H2" s="23"/>
      <c r="I2" s="23"/>
    </row>
    <row r="3" spans="1:10" x14ac:dyDescent="0.35">
      <c r="A3" s="36"/>
      <c r="B3" s="23"/>
      <c r="C3" s="23"/>
      <c r="D3" s="23"/>
      <c r="E3" s="23"/>
      <c r="F3" s="23"/>
      <c r="G3" s="23"/>
      <c r="H3" s="23"/>
      <c r="I3" s="23"/>
    </row>
    <row r="4" spans="1:10" x14ac:dyDescent="0.35">
      <c r="A4" s="36"/>
      <c r="B4" s="23"/>
      <c r="C4" s="23"/>
      <c r="D4" s="23"/>
      <c r="E4" s="23"/>
      <c r="F4" s="23"/>
      <c r="G4" s="23"/>
      <c r="H4" s="23"/>
      <c r="I4" s="23"/>
    </row>
    <row r="5" spans="1:10" x14ac:dyDescent="0.35">
      <c r="A5" s="36"/>
      <c r="B5" s="23"/>
      <c r="C5" s="23"/>
      <c r="D5" s="23"/>
      <c r="E5" s="23"/>
      <c r="F5" s="23"/>
      <c r="G5" s="23"/>
      <c r="H5" s="23"/>
      <c r="I5" s="23"/>
    </row>
    <row r="6" spans="1:10" x14ac:dyDescent="0.35">
      <c r="A6" s="36"/>
      <c r="B6" s="23"/>
      <c r="C6" s="23"/>
      <c r="D6" s="23"/>
      <c r="E6" s="23"/>
      <c r="F6" s="23"/>
      <c r="G6" s="23"/>
      <c r="H6" s="23"/>
      <c r="I6" s="23"/>
    </row>
    <row r="7" spans="1:10" ht="18.5" x14ac:dyDescent="0.35">
      <c r="A7" s="36"/>
      <c r="B7" s="23"/>
      <c r="C7" s="23"/>
      <c r="D7" s="23"/>
      <c r="E7" s="455">
        <f>MO.MRFPColumnNumber</f>
        <v>47</v>
      </c>
      <c r="F7" s="34" t="str">
        <f>MO.MRFP</f>
        <v>Q1-2021</v>
      </c>
      <c r="G7" s="540"/>
      <c r="H7" s="160" t="str">
        <f>AA.CSIN</f>
        <v>8ZF0D70112</v>
      </c>
      <c r="I7" s="33"/>
      <c r="J7" s="40"/>
    </row>
    <row r="8" spans="1:10" x14ac:dyDescent="0.35">
      <c r="A8" s="36"/>
      <c r="B8" s="23"/>
      <c r="C8" s="23"/>
      <c r="D8" s="23"/>
      <c r="E8" s="23"/>
      <c r="F8" s="23"/>
      <c r="G8" s="23"/>
      <c r="H8" s="271" t="str">
        <f>+AA.ModelVersion</f>
        <v>Q1-2021.21</v>
      </c>
      <c r="I8" s="23"/>
    </row>
    <row r="9" spans="1:10" x14ac:dyDescent="0.35">
      <c r="A9" s="36"/>
      <c r="B9" s="23"/>
      <c r="C9" s="23"/>
      <c r="D9" s="23"/>
      <c r="E9" s="23"/>
      <c r="F9" s="23"/>
      <c r="G9" s="23"/>
      <c r="H9" s="23"/>
      <c r="I9" s="23"/>
    </row>
    <row r="10" spans="1:10" x14ac:dyDescent="0.35">
      <c r="A10" s="36"/>
      <c r="B10" s="23"/>
      <c r="C10" s="507" t="s">
        <v>342</v>
      </c>
      <c r="D10" s="507" t="s">
        <v>343</v>
      </c>
      <c r="E10" s="507" t="s">
        <v>344</v>
      </c>
      <c r="F10" s="507" t="s">
        <v>702</v>
      </c>
      <c r="G10" s="507" t="s">
        <v>345</v>
      </c>
      <c r="H10" s="555" t="s">
        <v>346</v>
      </c>
      <c r="I10" s="23"/>
    </row>
    <row r="11" spans="1:10" s="26" customFormat="1" x14ac:dyDescent="0.35">
      <c r="A11" s="36"/>
      <c r="B11" s="24"/>
      <c r="C11" s="228">
        <v>44313</v>
      </c>
      <c r="D11" s="229" t="s">
        <v>708</v>
      </c>
      <c r="E11" s="622" t="s">
        <v>703</v>
      </c>
      <c r="F11" s="622" t="s">
        <v>1071</v>
      </c>
      <c r="G11" s="541"/>
      <c r="H11" s="556" t="s">
        <v>348</v>
      </c>
      <c r="I11" s="24"/>
    </row>
    <row r="12" spans="1:10" s="26" customFormat="1" x14ac:dyDescent="0.35">
      <c r="A12" s="36"/>
      <c r="B12" s="24"/>
      <c r="C12" s="228">
        <v>44313</v>
      </c>
      <c r="D12" s="229" t="s">
        <v>771</v>
      </c>
      <c r="E12" s="622" t="s">
        <v>410</v>
      </c>
      <c r="F12" s="622" t="s">
        <v>1071</v>
      </c>
      <c r="G12" s="541"/>
      <c r="H12" s="557" t="s">
        <v>348</v>
      </c>
      <c r="I12" s="24"/>
    </row>
    <row r="13" spans="1:10" s="26" customFormat="1" x14ac:dyDescent="0.35">
      <c r="A13" s="36"/>
      <c r="B13" s="24"/>
      <c r="C13" s="228">
        <v>44232</v>
      </c>
      <c r="D13" s="229" t="s">
        <v>708</v>
      </c>
      <c r="E13" s="622" t="s">
        <v>383</v>
      </c>
      <c r="F13" s="622" t="s">
        <v>704</v>
      </c>
      <c r="G13" s="541"/>
      <c r="H13" s="557" t="s">
        <v>348</v>
      </c>
      <c r="I13" s="24"/>
    </row>
    <row r="14" spans="1:10" s="26" customFormat="1" x14ac:dyDescent="0.35">
      <c r="A14" s="36"/>
      <c r="B14" s="24"/>
      <c r="C14" s="228">
        <v>44222</v>
      </c>
      <c r="D14" s="229" t="s">
        <v>1063</v>
      </c>
      <c r="E14" s="622" t="s">
        <v>410</v>
      </c>
      <c r="F14" s="622" t="s">
        <v>704</v>
      </c>
      <c r="G14" s="541"/>
      <c r="H14" s="557" t="s">
        <v>348</v>
      </c>
      <c r="I14" s="24"/>
    </row>
    <row r="15" spans="1:10" s="26" customFormat="1" x14ac:dyDescent="0.35">
      <c r="A15" s="36"/>
      <c r="B15" s="24"/>
      <c r="C15" s="228">
        <v>44207</v>
      </c>
      <c r="D15" s="229" t="s">
        <v>411</v>
      </c>
      <c r="E15" s="622" t="s">
        <v>370</v>
      </c>
      <c r="F15" s="622" t="s">
        <v>779</v>
      </c>
      <c r="G15" s="541"/>
      <c r="H15" s="557"/>
      <c r="I15" s="24"/>
    </row>
    <row r="16" spans="1:10" s="26" customFormat="1" x14ac:dyDescent="0.35">
      <c r="A16" s="36"/>
      <c r="B16" s="24"/>
      <c r="C16" s="228">
        <v>44138</v>
      </c>
      <c r="D16" s="229" t="s">
        <v>708</v>
      </c>
      <c r="E16" s="266" t="s">
        <v>703</v>
      </c>
      <c r="F16" s="266" t="s">
        <v>779</v>
      </c>
      <c r="G16" s="541"/>
      <c r="H16" s="556" t="s">
        <v>348</v>
      </c>
      <c r="I16" s="24"/>
    </row>
    <row r="17" spans="1:9" s="26" customFormat="1" x14ac:dyDescent="0.35">
      <c r="A17" s="36"/>
      <c r="B17" s="24"/>
      <c r="C17" s="228">
        <v>44131</v>
      </c>
      <c r="D17" s="229" t="s">
        <v>771</v>
      </c>
      <c r="E17" s="266" t="s">
        <v>410</v>
      </c>
      <c r="F17" s="266" t="s">
        <v>779</v>
      </c>
      <c r="G17" s="541"/>
      <c r="H17" s="557" t="s">
        <v>348</v>
      </c>
      <c r="I17" s="24"/>
    </row>
    <row r="18" spans="1:9" s="26" customFormat="1" x14ac:dyDescent="0.35">
      <c r="A18" s="36"/>
      <c r="B18" s="24"/>
      <c r="C18" s="228">
        <v>44040</v>
      </c>
      <c r="D18" s="229" t="s">
        <v>708</v>
      </c>
      <c r="E18" s="266" t="s">
        <v>703</v>
      </c>
      <c r="F18" s="266" t="s">
        <v>770</v>
      </c>
      <c r="G18" s="541"/>
      <c r="H18" s="557" t="s">
        <v>348</v>
      </c>
      <c r="I18" s="24"/>
    </row>
    <row r="19" spans="1:9" s="26" customFormat="1" x14ac:dyDescent="0.35">
      <c r="A19" s="36"/>
      <c r="B19" s="24"/>
      <c r="C19" s="228">
        <v>44040</v>
      </c>
      <c r="D19" s="229" t="s">
        <v>771</v>
      </c>
      <c r="E19" s="266" t="s">
        <v>410</v>
      </c>
      <c r="F19" s="266" t="s">
        <v>770</v>
      </c>
      <c r="G19" s="541"/>
      <c r="H19" s="557" t="s">
        <v>348</v>
      </c>
      <c r="I19" s="24"/>
    </row>
    <row r="20" spans="1:9" s="26" customFormat="1" x14ac:dyDescent="0.35">
      <c r="A20" s="36"/>
      <c r="B20" s="24"/>
      <c r="C20" s="228">
        <v>43949</v>
      </c>
      <c r="D20" s="229" t="s">
        <v>411</v>
      </c>
      <c r="E20" s="266" t="s">
        <v>703</v>
      </c>
      <c r="F20" s="266" t="s">
        <v>726</v>
      </c>
      <c r="G20" s="541"/>
      <c r="H20" s="557" t="s">
        <v>348</v>
      </c>
      <c r="I20" s="24"/>
    </row>
    <row r="21" spans="1:9" s="26" customFormat="1" x14ac:dyDescent="0.35">
      <c r="A21" s="36"/>
      <c r="B21" s="24"/>
      <c r="C21" s="228">
        <v>43949</v>
      </c>
      <c r="D21" s="229" t="s">
        <v>708</v>
      </c>
      <c r="E21" s="266" t="s">
        <v>410</v>
      </c>
      <c r="F21" s="266" t="s">
        <v>726</v>
      </c>
      <c r="G21" s="541"/>
      <c r="H21" s="557" t="s">
        <v>348</v>
      </c>
      <c r="I21" s="24"/>
    </row>
    <row r="22" spans="1:9" s="26" customFormat="1" x14ac:dyDescent="0.35">
      <c r="A22" s="36"/>
      <c r="B22" s="24"/>
      <c r="C22" s="228">
        <v>43867</v>
      </c>
      <c r="D22" s="229" t="s">
        <v>411</v>
      </c>
      <c r="E22" s="266" t="s">
        <v>383</v>
      </c>
      <c r="F22" s="266" t="s">
        <v>277</v>
      </c>
      <c r="G22" s="541"/>
      <c r="H22" s="545" t="s">
        <v>348</v>
      </c>
      <c r="I22" s="24"/>
    </row>
    <row r="23" spans="1:9" s="26" customFormat="1" x14ac:dyDescent="0.35">
      <c r="A23" s="36"/>
      <c r="B23" s="24"/>
      <c r="C23" s="228">
        <v>43858</v>
      </c>
      <c r="D23" s="229" t="s">
        <v>708</v>
      </c>
      <c r="E23" s="266" t="s">
        <v>410</v>
      </c>
      <c r="F23" s="266" t="s">
        <v>277</v>
      </c>
      <c r="G23" s="541"/>
      <c r="H23" s="545" t="s">
        <v>348</v>
      </c>
      <c r="I23" s="24"/>
    </row>
    <row r="24" spans="1:9" s="26" customFormat="1" x14ac:dyDescent="0.35">
      <c r="A24" s="36"/>
      <c r="B24" s="24"/>
      <c r="C24" s="228">
        <v>43809</v>
      </c>
      <c r="D24" s="229" t="s">
        <v>349</v>
      </c>
      <c r="E24" s="266" t="s">
        <v>370</v>
      </c>
      <c r="F24" s="266" t="s">
        <v>407</v>
      </c>
      <c r="G24" s="541"/>
      <c r="H24" s="508"/>
      <c r="I24" s="24"/>
    </row>
    <row r="25" spans="1:9" s="26" customFormat="1" x14ac:dyDescent="0.35">
      <c r="A25" s="36"/>
      <c r="B25" s="24"/>
      <c r="C25" s="228">
        <v>43766</v>
      </c>
      <c r="D25" s="229" t="s">
        <v>411</v>
      </c>
      <c r="E25" s="266" t="s">
        <v>703</v>
      </c>
      <c r="F25" s="266" t="s">
        <v>407</v>
      </c>
      <c r="G25" s="541"/>
      <c r="H25" s="508" t="s">
        <v>348</v>
      </c>
      <c r="I25" s="24"/>
    </row>
    <row r="26" spans="1:9" s="26" customFormat="1" x14ac:dyDescent="0.35">
      <c r="A26" s="36"/>
      <c r="B26" s="24"/>
      <c r="C26" s="228">
        <v>43762</v>
      </c>
      <c r="D26" s="229" t="s">
        <v>409</v>
      </c>
      <c r="E26" s="266" t="s">
        <v>410</v>
      </c>
      <c r="F26" s="266" t="s">
        <v>407</v>
      </c>
      <c r="G26" s="541"/>
      <c r="H26" s="508" t="s">
        <v>348</v>
      </c>
      <c r="I26" s="24"/>
    </row>
    <row r="27" spans="1:9" s="26" customFormat="1" x14ac:dyDescent="0.35">
      <c r="A27" s="36"/>
      <c r="B27" s="24"/>
      <c r="C27" s="376">
        <v>43675</v>
      </c>
      <c r="D27" s="375" t="s">
        <v>349</v>
      </c>
      <c r="E27" s="420" t="s">
        <v>703</v>
      </c>
      <c r="F27" s="420" t="s">
        <v>402</v>
      </c>
      <c r="G27" s="542"/>
      <c r="H27" s="423" t="s">
        <v>348</v>
      </c>
      <c r="I27" s="24"/>
    </row>
    <row r="28" spans="1:9" s="26" customFormat="1" x14ac:dyDescent="0.35">
      <c r="A28" s="36"/>
      <c r="B28" s="24"/>
      <c r="C28" s="379">
        <v>43584</v>
      </c>
      <c r="D28" s="380" t="s">
        <v>349</v>
      </c>
      <c r="E28" s="421" t="s">
        <v>703</v>
      </c>
      <c r="F28" s="421" t="s">
        <v>384</v>
      </c>
      <c r="G28" s="543"/>
      <c r="H28" s="423" t="s">
        <v>348</v>
      </c>
      <c r="I28" s="24"/>
    </row>
    <row r="29" spans="1:9" s="26" customFormat="1" x14ac:dyDescent="0.35">
      <c r="A29" s="36"/>
      <c r="B29" s="24"/>
      <c r="C29" s="379">
        <v>43580</v>
      </c>
      <c r="D29" s="380" t="s">
        <v>349</v>
      </c>
      <c r="E29" s="421" t="s">
        <v>410</v>
      </c>
      <c r="F29" s="421" t="s">
        <v>384</v>
      </c>
      <c r="G29" s="543"/>
      <c r="H29" s="423" t="s">
        <v>348</v>
      </c>
      <c r="I29" s="24"/>
    </row>
    <row r="30" spans="1:9" s="26" customFormat="1" x14ac:dyDescent="0.35">
      <c r="A30" s="36"/>
      <c r="B30" s="24"/>
      <c r="C30" s="379">
        <v>43503</v>
      </c>
      <c r="D30" s="380" t="s">
        <v>347</v>
      </c>
      <c r="E30" s="421" t="s">
        <v>383</v>
      </c>
      <c r="F30" s="421" t="s">
        <v>287</v>
      </c>
      <c r="G30" s="543"/>
      <c r="H30" s="419" t="s">
        <v>348</v>
      </c>
      <c r="I30" s="24"/>
    </row>
    <row r="31" spans="1:9" s="26" customFormat="1" x14ac:dyDescent="0.35">
      <c r="A31" s="36"/>
      <c r="B31" s="24"/>
      <c r="C31" s="379">
        <v>43494</v>
      </c>
      <c r="D31" s="380" t="s">
        <v>349</v>
      </c>
      <c r="E31" s="421" t="s">
        <v>410</v>
      </c>
      <c r="F31" s="421" t="s">
        <v>287</v>
      </c>
      <c r="G31" s="543"/>
      <c r="H31" s="419" t="s">
        <v>348</v>
      </c>
      <c r="I31" s="24"/>
    </row>
    <row r="32" spans="1:9" x14ac:dyDescent="0.35">
      <c r="A32" s="36"/>
      <c r="B32" s="23"/>
      <c r="C32" s="379">
        <v>43398</v>
      </c>
      <c r="D32" s="380" t="s">
        <v>351</v>
      </c>
      <c r="E32" s="385" t="s">
        <v>703</v>
      </c>
      <c r="F32" s="385" t="s">
        <v>352</v>
      </c>
      <c r="G32" s="543"/>
      <c r="H32" s="382" t="s">
        <v>348</v>
      </c>
      <c r="I32" s="23"/>
    </row>
    <row r="33" spans="1:9" x14ac:dyDescent="0.35">
      <c r="A33" s="36"/>
      <c r="B33" s="23"/>
      <c r="C33" s="379">
        <v>43396</v>
      </c>
      <c r="D33" s="380" t="s">
        <v>353</v>
      </c>
      <c r="E33" s="385" t="s">
        <v>703</v>
      </c>
      <c r="F33" s="385" t="s">
        <v>352</v>
      </c>
      <c r="G33" s="543"/>
      <c r="H33" s="382" t="s">
        <v>348</v>
      </c>
      <c r="I33" s="23"/>
    </row>
    <row r="34" spans="1:9" x14ac:dyDescent="0.35">
      <c r="A34" s="36"/>
      <c r="B34" s="23"/>
      <c r="C34" s="379">
        <v>43375</v>
      </c>
      <c r="D34" s="380" t="s">
        <v>354</v>
      </c>
      <c r="E34" s="381" t="s">
        <v>355</v>
      </c>
      <c r="F34" s="381" t="s">
        <v>357</v>
      </c>
      <c r="G34" s="543"/>
      <c r="H34" s="382"/>
      <c r="I34" s="23"/>
    </row>
    <row r="35" spans="1:9" x14ac:dyDescent="0.35">
      <c r="A35" s="36"/>
      <c r="B35" s="23"/>
      <c r="C35" s="371">
        <v>43305</v>
      </c>
      <c r="D35" s="372" t="s">
        <v>356</v>
      </c>
      <c r="E35" s="373" t="s">
        <v>703</v>
      </c>
      <c r="F35" s="373" t="s">
        <v>357</v>
      </c>
      <c r="G35" s="544"/>
      <c r="H35" s="374" t="s">
        <v>348</v>
      </c>
      <c r="I35" s="23"/>
    </row>
    <row r="36" spans="1:9" x14ac:dyDescent="0.35">
      <c r="A36" s="36"/>
      <c r="B36" s="23"/>
      <c r="C36" s="228">
        <v>43227</v>
      </c>
      <c r="D36" s="229" t="s">
        <v>356</v>
      </c>
      <c r="E36" s="266" t="s">
        <v>703</v>
      </c>
      <c r="F36" s="266" t="s">
        <v>358</v>
      </c>
      <c r="G36" s="541"/>
      <c r="H36" s="231" t="s">
        <v>348</v>
      </c>
      <c r="I36" s="23"/>
    </row>
    <row r="37" spans="1:9" x14ac:dyDescent="0.35">
      <c r="A37" s="36"/>
      <c r="B37" s="23"/>
      <c r="C37" s="228">
        <v>43140</v>
      </c>
      <c r="D37" s="229" t="s">
        <v>359</v>
      </c>
      <c r="E37" s="230" t="s">
        <v>383</v>
      </c>
      <c r="F37" s="230" t="s">
        <v>360</v>
      </c>
      <c r="G37" s="541"/>
      <c r="H37" s="231" t="s">
        <v>348</v>
      </c>
      <c r="I37" s="23"/>
    </row>
    <row r="38" spans="1:9" x14ac:dyDescent="0.35">
      <c r="A38" s="36"/>
      <c r="B38" s="23"/>
      <c r="C38" s="228">
        <v>43039</v>
      </c>
      <c r="D38" s="229" t="s">
        <v>361</v>
      </c>
      <c r="E38" s="230" t="s">
        <v>703</v>
      </c>
      <c r="F38" s="230" t="s">
        <v>362</v>
      </c>
      <c r="G38" s="541"/>
      <c r="H38" s="231" t="s">
        <v>348</v>
      </c>
      <c r="I38" s="23"/>
    </row>
    <row r="39" spans="1:9" x14ac:dyDescent="0.35">
      <c r="A39" s="36"/>
      <c r="B39" s="23"/>
      <c r="C39" s="228">
        <v>42948</v>
      </c>
      <c r="D39" s="229" t="s">
        <v>363</v>
      </c>
      <c r="E39" s="230" t="s">
        <v>703</v>
      </c>
      <c r="F39" s="230" t="s">
        <v>364</v>
      </c>
      <c r="G39" s="541"/>
      <c r="H39" s="231" t="s">
        <v>348</v>
      </c>
      <c r="I39" s="23"/>
    </row>
    <row r="40" spans="1:9" x14ac:dyDescent="0.35">
      <c r="A40" s="36"/>
      <c r="B40" s="23"/>
      <c r="C40" s="39">
        <v>42859</v>
      </c>
      <c r="D40" s="38" t="s">
        <v>365</v>
      </c>
      <c r="E40" s="37" t="s">
        <v>703</v>
      </c>
      <c r="F40" s="37" t="s">
        <v>366</v>
      </c>
      <c r="G40" s="541"/>
      <c r="H40" s="155" t="s">
        <v>348</v>
      </c>
      <c r="I40" s="23"/>
    </row>
    <row r="41" spans="1:9" x14ac:dyDescent="0.35">
      <c r="A41" s="36"/>
      <c r="B41" s="23"/>
      <c r="C41" s="39">
        <v>42776</v>
      </c>
      <c r="D41" s="38" t="s">
        <v>367</v>
      </c>
      <c r="E41" s="37" t="s">
        <v>383</v>
      </c>
      <c r="F41" s="37" t="s">
        <v>368</v>
      </c>
      <c r="G41" s="541"/>
      <c r="H41" s="155" t="s">
        <v>348</v>
      </c>
      <c r="I41" s="23"/>
    </row>
    <row r="42" spans="1:9" x14ac:dyDescent="0.35">
      <c r="A42" s="36"/>
      <c r="B42" s="23"/>
      <c r="C42" s="39">
        <v>42718</v>
      </c>
      <c r="D42" s="38" t="s">
        <v>369</v>
      </c>
      <c r="E42" s="37" t="s">
        <v>370</v>
      </c>
      <c r="F42" s="37" t="s">
        <v>373</v>
      </c>
      <c r="G42" s="541" t="s">
        <v>371</v>
      </c>
      <c r="H42" s="155"/>
      <c r="I42" s="23"/>
    </row>
    <row r="43" spans="1:9" x14ac:dyDescent="0.35">
      <c r="A43" s="36"/>
      <c r="B43" s="23"/>
      <c r="C43" s="39">
        <v>42677</v>
      </c>
      <c r="D43" s="38" t="s">
        <v>372</v>
      </c>
      <c r="E43" s="37" t="s">
        <v>703</v>
      </c>
      <c r="F43" s="37" t="s">
        <v>373</v>
      </c>
      <c r="G43" s="541"/>
      <c r="H43" s="155" t="s">
        <v>348</v>
      </c>
      <c r="I43" s="23"/>
    </row>
    <row r="44" spans="1:9" x14ac:dyDescent="0.35">
      <c r="A44" s="36"/>
      <c r="B44" s="23"/>
      <c r="C44" s="39">
        <v>42571</v>
      </c>
      <c r="D44" s="38" t="s">
        <v>372</v>
      </c>
      <c r="E44" s="37" t="s">
        <v>374</v>
      </c>
      <c r="F44" s="37" t="s">
        <v>350</v>
      </c>
      <c r="G44" s="541"/>
      <c r="H44" s="155"/>
      <c r="I44" s="23"/>
    </row>
    <row r="45" spans="1:9" x14ac:dyDescent="0.35">
      <c r="A45" s="36"/>
      <c r="B45" s="24"/>
      <c r="C45" s="24"/>
      <c r="D45" s="24"/>
      <c r="E45" s="24"/>
      <c r="F45" s="24"/>
      <c r="G45" s="24"/>
      <c r="H45" s="23"/>
      <c r="I45" s="23"/>
    </row>
    <row r="46" spans="1:9" x14ac:dyDescent="0.35">
      <c r="A46" s="36"/>
      <c r="B46" s="24"/>
      <c r="C46" s="24"/>
      <c r="D46" s="24"/>
      <c r="E46" s="24"/>
      <c r="F46" s="24"/>
      <c r="G46" s="24"/>
      <c r="H46" s="23"/>
      <c r="I46" s="23"/>
    </row>
    <row r="47" spans="1:9" x14ac:dyDescent="0.35">
      <c r="A47" s="36"/>
      <c r="B47" s="24"/>
      <c r="C47" s="24"/>
      <c r="D47" s="24"/>
      <c r="E47" s="24"/>
      <c r="F47" s="24"/>
      <c r="G47" s="24"/>
      <c r="H47" s="23"/>
      <c r="I47" s="23"/>
    </row>
    <row r="48" spans="1:9" x14ac:dyDescent="0.35">
      <c r="A48" s="36"/>
      <c r="B48" s="22"/>
      <c r="C48" s="22"/>
      <c r="D48" s="22"/>
      <c r="E48" s="22"/>
      <c r="F48" s="22"/>
      <c r="G48" s="22"/>
      <c r="H48" s="36"/>
    </row>
    <row r="49" spans="1:8" x14ac:dyDescent="0.35">
      <c r="A49" s="36"/>
      <c r="B49" s="22"/>
      <c r="C49" s="22"/>
      <c r="D49" s="22"/>
      <c r="E49" s="22"/>
      <c r="F49" s="22"/>
      <c r="G49" s="22"/>
      <c r="H49" s="36"/>
    </row>
    <row r="50" spans="1:8" x14ac:dyDescent="0.35">
      <c r="A50" s="36"/>
      <c r="B50" s="22"/>
      <c r="C50" s="22"/>
      <c r="D50" s="22"/>
      <c r="E50" s="22"/>
      <c r="F50" s="22"/>
      <c r="G50" s="22"/>
      <c r="H50" s="36"/>
    </row>
    <row r="51" spans="1:8" x14ac:dyDescent="0.35">
      <c r="A51" s="36"/>
      <c r="B51" s="22"/>
      <c r="C51" s="22"/>
      <c r="D51" s="22"/>
      <c r="E51" s="22"/>
      <c r="F51" s="22"/>
      <c r="G51" s="22"/>
      <c r="H51" s="36"/>
    </row>
    <row r="52" spans="1:8" x14ac:dyDescent="0.35">
      <c r="A52" s="36"/>
      <c r="B52" s="22"/>
      <c r="C52" s="22"/>
      <c r="D52" s="22"/>
      <c r="E52" s="22"/>
      <c r="F52" s="22"/>
      <c r="G52" s="22"/>
      <c r="H52" s="36"/>
    </row>
    <row r="53" spans="1:8" x14ac:dyDescent="0.35">
      <c r="A53" s="36"/>
      <c r="B53" s="22"/>
      <c r="C53" s="22"/>
      <c r="D53" s="22"/>
      <c r="E53" s="22"/>
      <c r="F53" s="22"/>
      <c r="G53" s="22"/>
      <c r="H53" s="36"/>
    </row>
    <row r="54" spans="1:8" x14ac:dyDescent="0.35">
      <c r="A54" s="36"/>
      <c r="B54" s="22"/>
      <c r="C54" s="22"/>
      <c r="D54" s="22"/>
      <c r="E54" s="22"/>
      <c r="F54" s="22"/>
      <c r="G54" s="22"/>
      <c r="H54" s="36"/>
    </row>
    <row r="55" spans="1:8" x14ac:dyDescent="0.35">
      <c r="A55" s="36"/>
      <c r="B55" s="22"/>
      <c r="C55" s="22"/>
      <c r="D55" s="22"/>
      <c r="E55" s="22"/>
      <c r="F55" s="22"/>
      <c r="G55" s="22"/>
      <c r="H55" s="36"/>
    </row>
    <row r="56" spans="1:8" x14ac:dyDescent="0.35">
      <c r="A56" s="36"/>
      <c r="B56" s="22"/>
      <c r="C56" s="22"/>
      <c r="D56" s="22"/>
      <c r="E56" s="22"/>
      <c r="F56" s="22"/>
      <c r="G56" s="22"/>
      <c r="H56" s="36"/>
    </row>
    <row r="57" spans="1:8" x14ac:dyDescent="0.35">
      <c r="A57" s="36"/>
      <c r="B57" s="22"/>
      <c r="C57" s="22"/>
      <c r="D57" s="22"/>
      <c r="E57" s="22"/>
      <c r="F57" s="22"/>
      <c r="G57" s="22"/>
      <c r="H57" s="36"/>
    </row>
    <row r="58" spans="1:8" x14ac:dyDescent="0.35">
      <c r="A58" s="36"/>
      <c r="B58" s="22"/>
      <c r="C58" s="22"/>
      <c r="D58" s="22"/>
      <c r="E58" s="22"/>
      <c r="F58" s="22"/>
      <c r="G58" s="22"/>
      <c r="H58" s="36"/>
    </row>
    <row r="59" spans="1:8" x14ac:dyDescent="0.35">
      <c r="A59" s="36"/>
      <c r="B59" s="22"/>
      <c r="C59" s="22"/>
      <c r="D59" s="22"/>
      <c r="E59" s="22"/>
      <c r="F59" s="22"/>
      <c r="G59" s="22"/>
      <c r="H59" s="36"/>
    </row>
    <row r="60" spans="1:8" x14ac:dyDescent="0.35">
      <c r="A60" s="36"/>
      <c r="B60" s="22"/>
      <c r="C60" s="22"/>
      <c r="D60" s="22"/>
      <c r="E60" s="22"/>
      <c r="F60" s="22"/>
      <c r="G60" s="22"/>
      <c r="H60" s="36"/>
    </row>
    <row r="61" spans="1:8" x14ac:dyDescent="0.35">
      <c r="A61" s="36"/>
      <c r="B61" s="22"/>
      <c r="C61" s="22"/>
      <c r="D61" s="22"/>
      <c r="E61" s="22"/>
      <c r="F61" s="22"/>
      <c r="G61" s="22"/>
      <c r="H61" s="36"/>
    </row>
    <row r="62" spans="1:8" x14ac:dyDescent="0.35">
      <c r="A62" s="36"/>
      <c r="B62" s="22"/>
      <c r="C62" s="22"/>
      <c r="D62" s="22"/>
      <c r="E62" s="22"/>
      <c r="F62" s="22"/>
      <c r="G62" s="22"/>
      <c r="H62" s="36"/>
    </row>
    <row r="63" spans="1:8" x14ac:dyDescent="0.35">
      <c r="A63" s="36"/>
      <c r="B63" s="22"/>
      <c r="C63" s="22"/>
      <c r="D63" s="22"/>
      <c r="E63" s="22"/>
      <c r="F63" s="22"/>
      <c r="G63" s="22"/>
      <c r="H63" s="36"/>
    </row>
    <row r="64" spans="1:8" x14ac:dyDescent="0.35">
      <c r="A64" s="36"/>
      <c r="B64" s="22"/>
      <c r="C64" s="22"/>
      <c r="D64" s="22"/>
      <c r="E64" s="22"/>
      <c r="F64" s="22"/>
      <c r="G64" s="22"/>
      <c r="H64" s="36"/>
    </row>
    <row r="65" spans="1:8" x14ac:dyDescent="0.35">
      <c r="A65" s="36"/>
      <c r="B65" s="22"/>
      <c r="C65" s="22"/>
      <c r="D65" s="22"/>
      <c r="E65" s="22"/>
      <c r="F65" s="22"/>
      <c r="G65" s="22"/>
      <c r="H65" s="36"/>
    </row>
    <row r="66" spans="1:8" x14ac:dyDescent="0.35">
      <c r="A66" s="36"/>
      <c r="B66" s="22"/>
      <c r="C66" s="22"/>
      <c r="D66" s="22"/>
      <c r="E66" s="22"/>
      <c r="F66" s="22"/>
      <c r="G66" s="22"/>
      <c r="H66" s="36"/>
    </row>
    <row r="67" spans="1:8" x14ac:dyDescent="0.35">
      <c r="A67" s="36"/>
      <c r="H67" s="36"/>
    </row>
  </sheetData>
  <hyperlinks>
    <hyperlink ref="H30" r:id="rId1" tooltip="Website Link" xr:uid="{00000000-0004-0000-0500-000000000000}"/>
    <hyperlink ref="H31" r:id="rId2" tooltip="Website Link" xr:uid="{00000000-0004-0000-0500-000001000000}"/>
    <hyperlink ref="H32" r:id="rId3" tooltip="Website Link" xr:uid="{00000000-0004-0000-0500-000002000000}"/>
    <hyperlink ref="H33" r:id="rId4" tooltip="Website Link" xr:uid="{00000000-0004-0000-0500-000003000000}"/>
    <hyperlink ref="H35" r:id="rId5" tooltip="Website Link" xr:uid="{00000000-0004-0000-0500-000004000000}"/>
    <hyperlink ref="H36" r:id="rId6" tooltip="Website Link" xr:uid="{00000000-0004-0000-0500-000005000000}"/>
    <hyperlink ref="H37" r:id="rId7" tooltip="Website Link" xr:uid="{00000000-0004-0000-0500-000006000000}"/>
    <hyperlink ref="H38" r:id="rId8" tooltip="Website Link" xr:uid="{00000000-0004-0000-0500-000007000000}"/>
    <hyperlink ref="H39" r:id="rId9" tooltip="Website Link" xr:uid="{00000000-0004-0000-0500-000008000000}"/>
    <hyperlink ref="H40" r:id="rId10" tooltip="Website Link" xr:uid="{00000000-0004-0000-0500-000009000000}"/>
    <hyperlink ref="H41" r:id="rId11" tooltip="Website Link" xr:uid="{00000000-0004-0000-0500-00000A000000}"/>
    <hyperlink ref="H43" r:id="rId12" tooltip="Website Link" xr:uid="{00000000-0004-0000-0500-00000B000000}"/>
    <hyperlink ref="H29" r:id="rId13" tooltip="Website Link" xr:uid="{00000000-0004-0000-0500-00000C000000}"/>
    <hyperlink ref="H28" r:id="rId14" tooltip="Website Link" xr:uid="{00000000-0004-0000-0500-00000D000000}"/>
    <hyperlink ref="H27" r:id="rId15" tooltip="Website Link" xr:uid="{00000000-0004-0000-0500-00000E000000}"/>
    <hyperlink ref="H26" r:id="rId16" tooltip="Website Link" xr:uid="{00000000-0004-0000-0500-00000F000000}"/>
    <hyperlink ref="H25" r:id="rId17" tooltip="Website Link" xr:uid="{00000000-0004-0000-0500-000010000000}"/>
    <hyperlink ref="H23" r:id="rId18" tooltip="Website Link" xr:uid="{00000000-0004-0000-0500-000011000000}"/>
    <hyperlink ref="H22" r:id="rId19" tooltip="Website Link" xr:uid="{00000000-0004-0000-0500-000012000000}"/>
    <hyperlink ref="H21" r:id="rId20" tooltip="Website Link" xr:uid="{00000000-0004-0000-0500-000013000000}"/>
    <hyperlink ref="H20" r:id="rId21" tooltip="Website Link" xr:uid="{00000000-0004-0000-0500-000014000000}"/>
    <hyperlink ref="H19" r:id="rId22" tooltip="Website Link" xr:uid="{00000000-0004-0000-0500-000015000000}"/>
    <hyperlink ref="H18" r:id="rId23" tooltip="Website Link" xr:uid="{00000000-0004-0000-0500-000016000000}"/>
    <hyperlink ref="H17" r:id="rId24" tooltip="Website Link" xr:uid="{00000000-0004-0000-0500-000017000000}"/>
    <hyperlink ref="H16" r:id="rId25" tooltip="Website Link" xr:uid="{00000000-0004-0000-0500-000018000000}"/>
    <hyperlink ref="H14" r:id="rId26" tooltip="Website Link" xr:uid="{00000000-0004-0000-0500-000019000000}"/>
    <hyperlink ref="H13" r:id="rId27" tooltip="Website Link" xr:uid="{00000000-0004-0000-0500-00001A000000}"/>
    <hyperlink ref="H12" r:id="rId28" tooltip="Website Link" xr:uid="{00000000-0004-0000-0500-00001B000000}"/>
    <hyperlink ref="H11" r:id="rId29" tooltip="Website Link" xr:uid="{00000000-0004-0000-0500-00001C000000}"/>
  </hyperlinks>
  <pageMargins left="0.7" right="0.7" top="0.75" bottom="0.75" header="0.3" footer="0.3"/>
  <pageSetup orientation="portrait"/>
  <drawing r:id="rId3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733BD-E324-4638-A3E2-CAA43E72F5E9}">
  <sheetPr codeName="Sheet9"/>
  <dimension ref="A1:P58"/>
  <sheetViews>
    <sheetView tabSelected="1" zoomScale="93" zoomScaleNormal="100" workbookViewId="0">
      <pane xSplit="2" ySplit="6" topLeftCell="C7" activePane="bottomRight" state="frozen"/>
      <selection pane="topRight" activeCell="C1" sqref="C1"/>
      <selection pane="bottomLeft" activeCell="A3" sqref="A3"/>
      <selection pane="bottomRight"/>
    </sheetView>
  </sheetViews>
  <sheetFormatPr defaultColWidth="8.81640625" defaultRowHeight="14.5" outlineLevelRow="2" outlineLevelCol="1" x14ac:dyDescent="0.35"/>
  <cols>
    <col min="1" max="1" width="43" style="1449" bestFit="1" customWidth="1"/>
    <col min="2" max="2" width="20.81640625" style="1449" customWidth="1"/>
    <col min="3" max="6" width="13.81640625" style="1449" customWidth="1" outlineLevel="1"/>
    <col min="7" max="7" width="18.81640625" style="1449" customWidth="1"/>
    <col min="8" max="16" width="13.81640625" style="1449" customWidth="1"/>
    <col min="17" max="16384" width="8.81640625" style="1449"/>
  </cols>
  <sheetData>
    <row r="1" spans="1:16" ht="28.5" x14ac:dyDescent="0.65">
      <c r="A1" s="1448" t="str">
        <f>MO.CompanyName</f>
        <v>3M Company</v>
      </c>
      <c r="C1" s="1450"/>
      <c r="D1" s="1450"/>
      <c r="E1" s="1450"/>
      <c r="F1" s="1450"/>
      <c r="L1" s="1450"/>
      <c r="M1" s="1450"/>
      <c r="N1" s="1450"/>
      <c r="O1" s="1450"/>
      <c r="P1" s="1450"/>
    </row>
    <row r="2" spans="1:16" ht="8.25" customHeight="1" x14ac:dyDescent="0.35">
      <c r="C2" s="1450"/>
      <c r="D2" s="1450"/>
      <c r="E2" s="1450"/>
      <c r="F2" s="1450"/>
      <c r="G2" s="1450"/>
      <c r="H2" s="1450"/>
      <c r="I2" s="1450"/>
      <c r="J2" s="1450"/>
      <c r="K2" s="1450"/>
      <c r="L2" s="1450"/>
      <c r="M2" s="1450"/>
      <c r="N2" s="1450"/>
      <c r="O2" s="1450"/>
      <c r="P2" s="1450"/>
    </row>
    <row r="3" spans="1:16" ht="15" customHeight="1" x14ac:dyDescent="0.35">
      <c r="A3" s="1451">
        <f ca="1">TODAY()</f>
        <v>44362</v>
      </c>
      <c r="B3" s="1452"/>
      <c r="C3" s="1450"/>
      <c r="D3" s="1450"/>
      <c r="E3" s="1450"/>
      <c r="F3" s="1450"/>
      <c r="G3" s="1450"/>
      <c r="H3" s="1450"/>
      <c r="I3" s="1450"/>
      <c r="J3" s="1450"/>
      <c r="K3" s="1450"/>
      <c r="L3" s="1450"/>
      <c r="M3" s="1450"/>
      <c r="N3" s="1450"/>
      <c r="O3" s="1450"/>
      <c r="P3" s="1450"/>
    </row>
    <row r="4" spans="1:16" ht="15" customHeight="1" x14ac:dyDescent="0.35">
      <c r="A4" s="1453" t="str">
        <f>MO.Ticker</f>
        <v>MMM US</v>
      </c>
      <c r="B4" s="1452"/>
      <c r="C4" s="1450"/>
      <c r="D4" s="1450"/>
      <c r="E4" s="1450"/>
      <c r="F4" s="1450"/>
      <c r="G4" s="1450"/>
      <c r="H4" s="1450"/>
      <c r="I4" s="1450"/>
      <c r="J4" s="1450"/>
      <c r="K4" s="1450"/>
      <c r="L4" s="1450"/>
      <c r="M4" s="1450"/>
      <c r="N4" s="1450"/>
      <c r="O4" s="1450"/>
      <c r="P4" s="1450"/>
    </row>
    <row r="5" spans="1:16" ht="15" customHeight="1" x14ac:dyDescent="0.35">
      <c r="A5" s="1454" t="str">
        <f>MO.ReportFX</f>
        <v>USD</v>
      </c>
      <c r="B5" s="1455">
        <f ca="1">IF(AND(OR(MO.TradingCurrency="GBX",MO.TradingCurrency="GBp"),MO.ReportFX="GBP"),MO.LastPrice/100,MO.LastPrice/HP.MRFX)</f>
        <v>195.93</v>
      </c>
      <c r="C5" s="1450">
        <f>IFERROR(INDEX(MO_Common_QEndDate,0,MATCH(C$6,MO_Common_ColumnHeader,0)),"N/A")</f>
        <v>44286</v>
      </c>
      <c r="D5" s="1450">
        <f>IFERROR(INDEX(MO_Common_QEndDate,0,MATCH(D$6,MO_Common_ColumnHeader,0)),"N/A")</f>
        <v>44377</v>
      </c>
      <c r="E5" s="1450">
        <f>IFERROR(INDEX(MO_Common_QEndDate,0,MATCH(E$6,MO_Common_ColumnHeader,0)),"N/A")</f>
        <v>44469</v>
      </c>
      <c r="F5" s="1450">
        <f>IFERROR(INDEX(MO_Common_QEndDate,0,MATCH(F$6,MO_Common_ColumnHeader,0)),"N/A")</f>
        <v>44561</v>
      </c>
      <c r="G5" s="1450">
        <f>F5</f>
        <v>44561</v>
      </c>
      <c r="H5" s="1450">
        <f>IFERROR(INDEX(MO_Common_QEndDate,0,MATCH(H$6,MO_Common_ColumnHeader,0)),"N/A")</f>
        <v>44926</v>
      </c>
      <c r="I5" s="1450">
        <f>IFERROR(INDEX(MO_Common_QEndDate,0,MATCH(I$6,MO_Common_ColumnHeader,0)),"N/A")</f>
        <v>45291</v>
      </c>
      <c r="J5" s="1450">
        <f>IFERROR(INDEX(MO_Common_QEndDate,0,MATCH(J$6,MO_Common_ColumnHeader,0)),"N/A")</f>
        <v>45657</v>
      </c>
      <c r="K5" s="1450">
        <f>IFERROR(INDEX(MO_Common_QEndDate,0,MATCH(K$6,MO_Common_ColumnHeader,0)),"N/A")</f>
        <v>46022</v>
      </c>
      <c r="L5" s="1450"/>
      <c r="M5" s="1450"/>
      <c r="N5" s="1450"/>
      <c r="O5" s="1450"/>
      <c r="P5" s="1450"/>
    </row>
    <row r="6" spans="1:16" ht="15" customHeight="1" x14ac:dyDescent="0.35">
      <c r="A6" s="1456" t="s">
        <v>1267</v>
      </c>
      <c r="B6" s="1457" t="str">
        <f>IF(LEFT(UL.MRQ,1)="F","Q4-"&amp;RIGHT(UL.MRQ,4),UL.MRQ)</f>
        <v>Q1-2021</v>
      </c>
      <c r="C6" s="1458" t="str">
        <f>"Q1-"&amp;RIGHT($G$6,4)</f>
        <v>Q1-2021</v>
      </c>
      <c r="D6" s="1458" t="str">
        <f>"Q2-"&amp;RIGHT($G$6,4)</f>
        <v>Q2-2021</v>
      </c>
      <c r="E6" s="1458" t="str">
        <f>"Q3-"&amp;RIGHT($G$6,4)</f>
        <v>Q3-2021</v>
      </c>
      <c r="F6" s="1458" t="str">
        <f>"Q4-"&amp;RIGHT($G$6,4)</f>
        <v>Q4-2021</v>
      </c>
      <c r="G6" s="1459" t="str">
        <f>IF(LEFT(UL.MRQ,2)="FY",CONCATENATE("FY",RIGHT(UL.MRQ,4)+1),CONCATENATE("FY",RIGHT(UL.MRQ,4)))</f>
        <v>FY2021</v>
      </c>
      <c r="H6" s="1460" t="str">
        <f>"FY"&amp;RIGHT(G6,4)+1</f>
        <v>FY2022</v>
      </c>
      <c r="I6" s="1460" t="str">
        <f>"FY"&amp;RIGHT(H6,4)+1</f>
        <v>FY2023</v>
      </c>
      <c r="J6" s="1460" t="str">
        <f>"FY"&amp;RIGHT(I6,4)+1</f>
        <v>FY2024</v>
      </c>
      <c r="K6" s="1460" t="str">
        <f>"FY"&amp;RIGHT(J6,4)+1</f>
        <v>FY2025</v>
      </c>
      <c r="L6" s="1460"/>
      <c r="M6" s="1460"/>
      <c r="N6" s="1460"/>
      <c r="O6" s="1460"/>
      <c r="P6" s="1460"/>
    </row>
    <row r="7" spans="1:16" s="1462" customFormat="1" ht="15" customHeight="1" x14ac:dyDescent="0.35">
      <c r="A7" s="1461" t="s">
        <v>1268</v>
      </c>
      <c r="B7" s="1461"/>
      <c r="C7" s="1461"/>
      <c r="D7" s="1461"/>
      <c r="E7" s="1461"/>
      <c r="F7" s="1461"/>
      <c r="G7" s="1461"/>
      <c r="H7" s="1461"/>
      <c r="I7" s="1461"/>
      <c r="J7" s="1461"/>
      <c r="K7" s="1461"/>
      <c r="L7" s="1461"/>
      <c r="M7" s="1461"/>
      <c r="N7" s="1461"/>
      <c r="O7" s="1461"/>
      <c r="P7" s="1461"/>
    </row>
    <row r="8" spans="1:16" s="1466" customFormat="1" ht="15" customHeight="1" outlineLevel="1" x14ac:dyDescent="0.35">
      <c r="A8" s="1463" t="s">
        <v>62</v>
      </c>
      <c r="B8" s="1463"/>
      <c r="C8" s="1464" t="str">
        <f>IF(AND(RIGHT(LEFT(C$6,2),1)&lt;=RIGHT(LEFT(DCF.MRQ,2),1),RIGHT(C6,4)=RIGHT(DCF.MRQ,4)),"",IFERROR(INDEX(MO_RIS_REV,0,MATCH(C$6,MO_Common_ColumnHeader,0)),0))</f>
        <v/>
      </c>
      <c r="D8" s="1464">
        <f>IF(AND(RIGHT(LEFT(D$6,2),1)&lt;=RIGHT(LEFT(DCF.MRQ,2),1),RIGHT(D6,4)=RIGHT(DCF.MRQ,4)),"",IFERROR(INDEX(MO_RIS_REV,0,MATCH(D$6,MO_Common_ColumnHeader,0)),0))</f>
        <v>7668.2192000000005</v>
      </c>
      <c r="E8" s="1464">
        <f>IF(AND(RIGHT(LEFT(E$6,2),1)&lt;=RIGHT(LEFT(DCF.MRQ,2),1),RIGHT(E6,4)=RIGHT(DCF.MRQ,4)),"",IFERROR(INDEX(MO_RIS_REV,0,MATCH(E$6,MO_Common_ColumnHeader,0)),0))</f>
        <v>8745.5720000000001</v>
      </c>
      <c r="F8" s="1464">
        <f>IFERROR(INDEX(MO_RIS_REV,0,MATCH(F$6,MO_Common_ColumnHeader,0)),0)</f>
        <v>8982.3486000000012</v>
      </c>
      <c r="G8" s="1465">
        <f>IF(LEFT(UL.MRQ,1)="F",SUM(C8:F8),IF(RIGHT(LEFT(DCF.MRQ,2),1)="1",SUM(D8:F8),IF(RIGHT(LEFT(DCF.MRQ,2),1)="2",SUM(E8:F8),IF(RIGHT(LEFT(DCF.MRQ,2),1)="3",F8,""))))</f>
        <v>25396.139800000001</v>
      </c>
      <c r="H8" s="1465">
        <f>IFERROR(INDEX(MO_RIS_REV,0,MATCH(H$6,MO_Common_ColumnHeader,0)),0)</f>
        <v>36510.026148999998</v>
      </c>
      <c r="I8" s="1465">
        <f>IFERROR(INDEX(MO_RIS_REV,0,MATCH(I$6,MO_Common_ColumnHeader,0)),0)</f>
        <v>38860.311656844999</v>
      </c>
      <c r="J8" s="1465">
        <f>IFERROR(INDEX(MO_RIS_REV,0,MATCH(J$6,MO_Common_ColumnHeader,0)),0)</f>
        <v>41368.44430713122</v>
      </c>
      <c r="K8" s="1465">
        <f>IFERROR(INDEX(MO_RIS_REV,0,MATCH(K$6,MO_Common_ColumnHeader,0)),0)</f>
        <v>44045.403908700471</v>
      </c>
      <c r="L8" s="1465"/>
      <c r="M8" s="1465"/>
      <c r="N8" s="1465"/>
      <c r="O8" s="1465"/>
      <c r="P8" s="1465"/>
    </row>
    <row r="9" spans="1:16" s="1466" customFormat="1" ht="15" customHeight="1" outlineLevel="1" x14ac:dyDescent="0.35">
      <c r="A9" s="1463"/>
      <c r="B9" s="1463"/>
      <c r="C9" s="1464"/>
      <c r="D9" s="1464"/>
      <c r="E9" s="1464"/>
      <c r="F9" s="1464"/>
      <c r="G9" s="1465"/>
      <c r="H9" s="1465"/>
      <c r="I9" s="1465"/>
      <c r="J9" s="1465"/>
      <c r="K9" s="1465"/>
      <c r="L9" s="1465"/>
      <c r="M9" s="1465"/>
      <c r="N9" s="1465"/>
      <c r="O9" s="1465"/>
      <c r="P9" s="1465"/>
    </row>
    <row r="10" spans="1:16" s="1470" customFormat="1" outlineLevel="2" x14ac:dyDescent="0.35">
      <c r="A10" s="1467" t="str">
        <f>IFERROR(IFERROR(INDEX(MO_CFS_NI,0,COLUMN(MO_Common_Column_A)),INDEX(MO_RIS_NI_ContinOp,0,COLUMN(MO_Common_Column_A))),"Net Income")</f>
        <v>Net income including noncontrolling interest</v>
      </c>
      <c r="B10" s="1467"/>
      <c r="C10" s="1468" t="str">
        <f>IF(AND(RIGHT(LEFT(C$6,2),1)&lt;=RIGHT(LEFT(DCF.MRQ,2),1),RIGHT(C6,4)=RIGHT(DCF.MRQ,4)),"",IFERROR(IFERROR(INDEX(MO_CFS_NI,0,MATCH(C$6,MO_Common_ColumnHeader,0)),IFERROR(INDEX(MO_RIS_NI_ContinOp,0,MATCH(C$6,MO_Common_ColumnHeader,0)),INDEX(MO_RIS_NI_GAAP_Basic,0,MATCH(C$6,MO_Common_ColumnHeader,0)))),""))</f>
        <v/>
      </c>
      <c r="D10" s="1468">
        <f>IF(AND(RIGHT(LEFT(D$6,2),1)&lt;=RIGHT(LEFT(DCF.MRQ,2),1),RIGHT(D6,4)=RIGHT(DCF.MRQ,4)),"",IFERROR(IFERROR(INDEX(MO_CFS_NI,0,MATCH(D$6,MO_Common_ColumnHeader,0)),IFERROR(INDEX(MO_RIS_NI_ContinOp,0,MATCH(D$6,MO_Common_ColumnHeader,0)),INDEX(MO_RIS_NI_GAAP_Basic,0,MATCH(D$6,MO_Common_ColumnHeader,0)))),""))</f>
        <v>1242.0097752522743</v>
      </c>
      <c r="E10" s="1468">
        <f>IF(AND(RIGHT(LEFT(E$6,2),1)&lt;=RIGHT(LEFT(DCF.MRQ,2),1),RIGHT(E6,4)=RIGHT(DCF.MRQ,4)),"",IFERROR(IFERROR(INDEX(MO_CFS_NI,0,MATCH(E$6,MO_Common_ColumnHeader,0)),IFERROR(INDEX(MO_RIS_NI_ContinOp,0,MATCH(E$6,MO_Common_ColumnHeader,0)),INDEX(MO_RIS_NI_GAAP_Basic,0,MATCH(E$6,MO_Common_ColumnHeader,0)))),""))</f>
        <v>1510.1218446881926</v>
      </c>
      <c r="F10" s="1468">
        <f>IFERROR(IFERROR(INDEX(MO_CFS_NI,0,MATCH(F$6,MO_Common_ColumnHeader,0)),IFERROR(INDEX(MO_RIS_NI_ContinOp,0,MATCH(F$6,MO_Common_ColumnHeader,0)),INDEX(MO_RIS_NI_GAAP_Basic,0,MATCH(F$6,MO_Common_ColumnHeader,0)))),"")</f>
        <v>1591.6169221575942</v>
      </c>
      <c r="G10" s="1469">
        <f>IF(LEFT(UL.MRQ,1)="F",SUM(C10:F10),IF(RIGHT(LEFT(DCF.MRQ,2),1)="1",SUM(D10:F10),IF(RIGHT(LEFT(DCF.MRQ,2),1)="2",SUM(E10:F10),IF(RIGHT(LEFT(DCF.MRQ,2),1)="3",F10,""))))</f>
        <v>4343.7485420980611</v>
      </c>
      <c r="H10" s="1469">
        <f ca="1">IFERROR(IFERROR(INDEX(MO_CFS_NI,0,MATCH(H$6,MO_Common_ColumnHeader,0)),IFERROR(INDEX(MO_RIS_NI_ContinOp,0,MATCH(H$6,MO_Common_ColumnHeader,0)),INDEX(MO_RIS_NI_GAAP_Basic,0,MATCH(H$6,MO_Common_ColumnHeader,0)))),"")</f>
        <v>6475.6618091976361</v>
      </c>
      <c r="I10" s="1469">
        <f ca="1">IFERROR(IFERROR(INDEX(MO_CFS_NI,0,MATCH(I$6,MO_Common_ColumnHeader,0)),IFERROR(INDEX(MO_RIS_NI_ContinOp,0,MATCH(I$6,MO_Common_ColumnHeader,0)),INDEX(MO_RIS_NI_GAAP_Basic,0,MATCH(I$6,MO_Common_ColumnHeader,0)))),"")</f>
        <v>7113.9761434234888</v>
      </c>
      <c r="J10" s="1469">
        <f ca="1">IFERROR(IFERROR(INDEX(MO_CFS_NI,0,MATCH(J$6,MO_Common_ColumnHeader,0)),IFERROR(INDEX(MO_RIS_NI_ContinOp,0,MATCH(J$6,MO_Common_ColumnHeader,0)),INDEX(MO_RIS_NI_GAAP_Basic,0,MATCH(J$6,MO_Common_ColumnHeader,0)))),"")</f>
        <v>7810.4381898482488</v>
      </c>
      <c r="K10" s="1469">
        <f ca="1">IFERROR(IFERROR(INDEX(MO_CFS_NI,0,MATCH(K$6,MO_Common_ColumnHeader,0)),IFERROR(INDEX(MO_RIS_NI_ContinOp,0,MATCH(K$6,MO_Common_ColumnHeader,0)),INDEX(MO_RIS_NI_GAAP_Basic,0,MATCH(K$6,MO_Common_ColumnHeader,0)))),"")</f>
        <v>8568.6901746959811</v>
      </c>
      <c r="L10" s="1469"/>
      <c r="M10" s="1469"/>
      <c r="N10" s="1469"/>
      <c r="O10" s="1469"/>
      <c r="P10" s="1469"/>
    </row>
    <row r="11" spans="1:16" s="1470" customFormat="1" outlineLevel="2" x14ac:dyDescent="0.35">
      <c r="A11" s="1467" t="s">
        <v>65</v>
      </c>
      <c r="B11" s="1467"/>
      <c r="C11" s="1468" t="str">
        <f>IF(AND(RIGHT(LEFT(C$6,2),1)&lt;=RIGHT(LEFT(DCF.MRQ,2),1),RIGHT(C6,4)=RIGHT(DCF.MRQ,4)),"",IFERROR(INDEX(MO_RIS_DA,0,MATCH(C$6,MO_Common_ColumnHeader,0)),0)+IFERROR(INDEX(MO_RIS_DA_operating,0,MATCH(C$6,MO_Common_ColumnHeader,0)),0)+IFERROR(INDEX(MO_RIS_DAintangibles_operating,0,MATCH(C$6,MO_Common_ColumnHeader,0)),0)+IFERROR(INDEX(MO_RIS_DAintangibles,0,MATCH(C$6,MO_Common_ColumnHeader,0)),0)+IFERROR(INDEX(MO_RIS_DAintangible,0,MATCH(C$6,MO_Common_ColumnHeader,0)),0))</f>
        <v/>
      </c>
      <c r="D11" s="1468">
        <f>IF(AND(RIGHT(LEFT(D$6,2),1)&lt;=RIGHT(LEFT(DCF.MRQ,2),1),RIGHT(D6,4)=RIGHT(DCF.MRQ,4)),"",IFERROR(INDEX(MO_RIS_DA,0,MATCH(D$6,MO_Common_ColumnHeader,0)),0)+IFERROR(INDEX(MO_RIS_DA_operating,0,MATCH(D$6,MO_Common_ColumnHeader,0)),0)+IFERROR(INDEX(MO_RIS_DAintangibles_operating,0,MATCH(D$6,MO_Common_ColumnHeader,0)),0)+IFERROR(INDEX(MO_RIS_DAintangibles,0,MATCH(D$6,MO_Common_ColumnHeader,0)),0)+IFERROR(INDEX(MO_RIS_DAintangible,0,MATCH(D$6,MO_Common_ColumnHeader,0)),0))</f>
        <v>425</v>
      </c>
      <c r="E11" s="1468">
        <f>IF(AND(RIGHT(LEFT(E$6,2),1)&lt;=RIGHT(LEFT(DCF.MRQ,2),1),RIGHT(E6,4)=RIGHT(DCF.MRQ,4)),"",IFERROR(INDEX(MO_RIS_DA,0,MATCH(E$6,MO_Common_ColumnHeader,0)),0)+IFERROR(INDEX(MO_RIS_DA_operating,0,MATCH(E$6,MO_Common_ColumnHeader,0)),0)+IFERROR(INDEX(MO_RIS_DAintangibles_operating,0,MATCH(E$6,MO_Common_ColumnHeader,0)),0)+IFERROR(INDEX(MO_RIS_DAintangibles,0,MATCH(E$6,MO_Common_ColumnHeader,0)),0)+IFERROR(INDEX(MO_RIS_DAintangible,0,MATCH(E$6,MO_Common_ColumnHeader,0)),0))</f>
        <v>425</v>
      </c>
      <c r="F11" s="1468">
        <f>IFERROR(INDEX(MO_RIS_DA,0,MATCH(F$6,MO_Common_ColumnHeader,0)),0)+IFERROR(INDEX(MO_RIS_DA_operating,0,MATCH(F$6,MO_Common_ColumnHeader,0)),0)+IFERROR(INDEX(MO_RIS_DAintangibles_operating,0,MATCH(F$6,MO_Common_ColumnHeader,0)),0)+IFERROR(INDEX(MO_RIS_DAintangibles,0,MATCH(F$6,MO_Common_ColumnHeader,0)),0)+IFERROR(INDEX(MO_RIS_DAintangible,0,MATCH(F$6,MO_Common_ColumnHeader,0)),0)</f>
        <v>425</v>
      </c>
      <c r="G11" s="1469">
        <f>IF(LEFT(UL.MRQ,1)="F",SUM(C11:F11),IF(RIGHT(LEFT(DCF.MRQ,2),1)="1",SUM(D11:F11),IF(RIGHT(LEFT(DCF.MRQ,2),1)="2",SUM(E11:F11),IF(RIGHT(LEFT(DCF.MRQ,2),1)="3",F11,""))))</f>
        <v>1275</v>
      </c>
      <c r="H11" s="1469">
        <f>IFERROR(INDEX(MO_RIS_DA,0,MATCH(H$6,MO_Common_ColumnHeader,0)),0)+IFERROR(INDEX(MO_RIS_DA_operating,0,MATCH(H$6,MO_Common_ColumnHeader,0)),0)+IFERROR(INDEX(MO_RIS_DAintangibles_operating,0,MATCH(H$6,MO_Common_ColumnHeader,0)),0)+IFERROR(INDEX(MO_RIS_DAintangibles,0,MATCH(H$6,MO_Common_ColumnHeader,0)),0)+IFERROR(INDEX(MO_RIS_DAintangible,0,MATCH(H$6,MO_Common_ColumnHeader,0)),0)</f>
        <v>1700</v>
      </c>
      <c r="I11" s="1469">
        <f>IFERROR(INDEX(MO_RIS_DA,0,MATCH(I$6,MO_Common_ColumnHeader,0)),0)+IFERROR(INDEX(MO_RIS_DA_operating,0,MATCH(I$6,MO_Common_ColumnHeader,0)),0)+IFERROR(INDEX(MO_RIS_DAintangibles_operating,0,MATCH(I$6,MO_Common_ColumnHeader,0)),0)+IFERROR(INDEX(MO_RIS_DAintangibles,0,MATCH(I$6,MO_Common_ColumnHeader,0)),0)+IFERROR(INDEX(MO_RIS_DAintangible,0,MATCH(I$6,MO_Common_ColumnHeader,0)),0)</f>
        <v>1700</v>
      </c>
      <c r="J11" s="1469">
        <f>IFERROR(INDEX(MO_RIS_DA,0,MATCH(J$6,MO_Common_ColumnHeader,0)),0)+IFERROR(INDEX(MO_RIS_DA_operating,0,MATCH(J$6,MO_Common_ColumnHeader,0)),0)+IFERROR(INDEX(MO_RIS_DAintangibles_operating,0,MATCH(J$6,MO_Common_ColumnHeader,0)),0)+IFERROR(INDEX(MO_RIS_DAintangibles,0,MATCH(J$6,MO_Common_ColumnHeader,0)),0)+IFERROR(INDEX(MO_RIS_DAintangible,0,MATCH(J$6,MO_Common_ColumnHeader,0)),0)</f>
        <v>1700</v>
      </c>
      <c r="K11" s="1469">
        <f>IFERROR(INDEX(MO_RIS_DA,0,MATCH(K$6,MO_Common_ColumnHeader,0)),0)+IFERROR(INDEX(MO_RIS_DA_operating,0,MATCH(K$6,MO_Common_ColumnHeader,0)),0)+IFERROR(INDEX(MO_RIS_DAintangibles_operating,0,MATCH(K$6,MO_Common_ColumnHeader,0)),0)+IFERROR(INDEX(MO_RIS_DAintangibles,0,MATCH(K$6,MO_Common_ColumnHeader,0)),0)+IFERROR(INDEX(MO_RIS_DAintangible,0,MATCH(K$6,MO_Common_ColumnHeader,0)),0)</f>
        <v>1700</v>
      </c>
      <c r="L11" s="1469"/>
      <c r="M11" s="1469"/>
      <c r="N11" s="1469"/>
      <c r="O11" s="1469"/>
      <c r="P11" s="1469"/>
    </row>
    <row r="12" spans="1:16" s="1470" customFormat="1" outlineLevel="2" x14ac:dyDescent="0.35">
      <c r="A12" s="1467" t="s">
        <v>66</v>
      </c>
      <c r="B12" s="1467"/>
      <c r="C12" s="1468" t="str">
        <f>IF(AND(RIGHT(LEFT(C$6,2),1)&lt;=RIGHT(LEFT(DCF.MRQ,2),1),RIGHT(C6,4)=RIGHT(DCF.MRQ,4)),"",IFERROR(IFERROR(INDEX(MO_CFS_SBC,0,MATCH(C$6,MO_Common_ColumnHeader,0)),INDEX(MO_RIS_SBC,0,MATCH(C$6,MO_Common_ColumnHeader,0))),0))</f>
        <v/>
      </c>
      <c r="D12" s="1468">
        <f>IF(AND(RIGHT(LEFT(D$6,2),1)&lt;=RIGHT(LEFT(DCF.MRQ,2),1),RIGHT(D6,4)=RIGHT(DCF.MRQ,4)),"",IFERROR(IFERROR(INDEX(MO_CFS_SBC,0,MATCH(D$6,MO_Common_ColumnHeader,0)),INDEX(MO_RIS_SBC,0,MATCH(D$6,MO_Common_ColumnHeader,0))),0))</f>
        <v>50</v>
      </c>
      <c r="E12" s="1468">
        <f>IF(AND(RIGHT(LEFT(E$6,2),1)&lt;=RIGHT(LEFT(DCF.MRQ,2),1),RIGHT(E6,4)=RIGHT(DCF.MRQ,4)),"",IFERROR(IFERROR(INDEX(MO_CFS_SBC,0,MATCH(E$6,MO_Common_ColumnHeader,0)),INDEX(MO_RIS_SBC,0,MATCH(E$6,MO_Common_ColumnHeader,0))),0))</f>
        <v>50</v>
      </c>
      <c r="F12" s="1468">
        <f>IFERROR(IFERROR(INDEX(MO_CFS_SBC,0,MATCH(F$6,MO_Common_ColumnHeader,0)),INDEX(MO_RIS_SBC,0,MATCH(F$6,MO_Common_ColumnHeader,0))),0)</f>
        <v>50</v>
      </c>
      <c r="G12" s="1469">
        <f>IF(LEFT(UL.MRQ,1)="F",SUM(C12:F12),IF(RIGHT(LEFT(DCF.MRQ,2),1)="1",SUM(D12:F12),IF(RIGHT(LEFT(DCF.MRQ,2),1)="2",SUM(E12:F12),IF(RIGHT(LEFT(DCF.MRQ,2),1)="3",F12,""))))</f>
        <v>150</v>
      </c>
      <c r="H12" s="1469">
        <f>IFERROR(IFERROR(INDEX(MO_CFS_SBC,0,MATCH(H$6,MO_Common_ColumnHeader,0)),INDEX(MO_RIS_SBC,0,MATCH(H$6,MO_Common_ColumnHeader,0))),0)</f>
        <v>285</v>
      </c>
      <c r="I12" s="1469">
        <f>IFERROR(IFERROR(INDEX(MO_CFS_SBC,0,MATCH(I$6,MO_Common_ColumnHeader,0)),INDEX(MO_RIS_SBC,0,MATCH(I$6,MO_Common_ColumnHeader,0))),0)</f>
        <v>285</v>
      </c>
      <c r="J12" s="1469">
        <f>IFERROR(IFERROR(INDEX(MO_CFS_SBC,0,MATCH(J$6,MO_Common_ColumnHeader,0)),INDEX(MO_RIS_SBC,0,MATCH(J$6,MO_Common_ColumnHeader,0))),0)</f>
        <v>285</v>
      </c>
      <c r="K12" s="1469">
        <f>IFERROR(IFERROR(INDEX(MO_CFS_SBC,0,MATCH(K$6,MO_Common_ColumnHeader,0)),INDEX(MO_RIS_SBC,0,MATCH(K$6,MO_Common_ColumnHeader,0))),0)</f>
        <v>285</v>
      </c>
      <c r="L12" s="1469"/>
      <c r="M12" s="1469"/>
      <c r="N12" s="1469"/>
      <c r="O12" s="1469"/>
      <c r="P12" s="1469"/>
    </row>
    <row r="13" spans="1:16" s="1470" customFormat="1" outlineLevel="2" x14ac:dyDescent="0.35">
      <c r="A13" s="1471" t="s">
        <v>67</v>
      </c>
      <c r="B13" s="1471"/>
      <c r="C13" s="1472" t="str">
        <f>IF(AND(RIGHT(LEFT(C$6,2),1)&lt;=RIGHT(LEFT(DCF.MRQ,2),1),RIGHT(C6,4)=RIGHT(DCF.MRQ,4)),"",IFERROR(INDEX(MO_CFS_CFO_BeforeWC,0,MATCH(C$6,MO_Common_ColumnHeader,0))-C10-C11-C12,0))</f>
        <v/>
      </c>
      <c r="D13" s="1472">
        <f>IF(AND(RIGHT(LEFT(D$6,2),1)&lt;=RIGHT(LEFT(DCF.MRQ,2),1),RIGHT(D6,4)=RIGHT(DCF.MRQ,4)),"",IFERROR(INDEX(MO_CFS_CFO_BeforeWC,0,MATCH(D$6,MO_Common_ColumnHeader,0))-D10-D11-D12,0))</f>
        <v>31.443285449424593</v>
      </c>
      <c r="E13" s="1472">
        <f>IF(AND(RIGHT(LEFT(E$6,2),1)&lt;=RIGHT(LEFT(DCF.MRQ,2),1),RIGHT(E6,4)=RIGHT(DCF.MRQ,4)),"",IFERROR(INDEX(MO_CFS_CFO_BeforeWC,0,MATCH(E$6,MO_Common_ColumnHeader,0))-E10-E11-E12,0))</f>
        <v>38.230932776916234</v>
      </c>
      <c r="F13" s="1472">
        <f>IFERROR(INDEX(MO_CFS_CFO_BeforeWC,0,MATCH(F$6,MO_Common_ColumnHeader,0))-F10-F11-F12,0)</f>
        <v>40.294099295128945</v>
      </c>
      <c r="G13" s="1473">
        <f>IF(LEFT(UL.MRQ,1)="F",SUM(C13:F13),IF(RIGHT(LEFT(DCF.MRQ,2),1)="1",SUM(D13:F13),IF(RIGHT(LEFT(DCF.MRQ,2),1)="2",SUM(E13:F13),IF(RIGHT(LEFT(DCF.MRQ,2),1)="3",F13,""))))</f>
        <v>109.96831752146977</v>
      </c>
      <c r="H13" s="1473">
        <f ca="1">IFERROR(INDEX(MO_CFS_CFO_BeforeWC,0,MATCH(H$6,MO_Common_ColumnHeader,0))-H10-H11-H12,0)</f>
        <v>163.94080529614257</v>
      </c>
      <c r="I13" s="1473">
        <f ca="1">IFERROR(INDEX(MO_CFS_CFO_BeforeWC,0,MATCH(I$6,MO_Common_ColumnHeader,0))-I10-I11-I12,0)</f>
        <v>180.1006618588226</v>
      </c>
      <c r="J13" s="1473">
        <f ca="1">IFERROR(INDEX(MO_CFS_CFO_BeforeWC,0,MATCH(J$6,MO_Common_ColumnHeader,0))-J10-J11-J12,0)</f>
        <v>197.73261240122247</v>
      </c>
      <c r="K13" s="1473">
        <f ca="1">IFERROR(INDEX(MO_CFS_CFO_BeforeWC,0,MATCH(K$6,MO_Common_ColumnHeader,0))-K10-K11-K12,0)</f>
        <v>216.92886518217711</v>
      </c>
      <c r="L13" s="1473"/>
      <c r="M13" s="1473"/>
      <c r="N13" s="1473"/>
      <c r="O13" s="1473"/>
      <c r="P13" s="1473"/>
    </row>
    <row r="14" spans="1:16" s="1466" customFormat="1" outlineLevel="1" x14ac:dyDescent="0.35">
      <c r="A14" s="1466" t="s">
        <v>1269</v>
      </c>
      <c r="C14" s="1464" t="str">
        <f>IF(AND(RIGHT(LEFT(C$6,2),1)&lt;=RIGHT(LEFT(DCF.MRQ,2),1),RIGHT(C6,4)=RIGHT(DCF.MRQ,4)),"",SUM(C10:C13))</f>
        <v/>
      </c>
      <c r="D14" s="1464">
        <f>IF(AND(RIGHT(LEFT(D$6,2),1)&lt;=RIGHT(LEFT(DCF.MRQ,2),1),RIGHT(D6,4)=RIGHT(DCF.MRQ,4)),"",SUM(D10:D13))</f>
        <v>1748.4530607016989</v>
      </c>
      <c r="E14" s="1464">
        <f>IF(AND(RIGHT(LEFT(E$6,2),1)&lt;=RIGHT(LEFT(DCF.MRQ,2),1),RIGHT(E6,4)=RIGHT(DCF.MRQ,4)),"",SUM(E10:E13))</f>
        <v>2023.3527774651088</v>
      </c>
      <c r="F14" s="1464">
        <f>SUM(F10:F13)</f>
        <v>2106.9110214527232</v>
      </c>
      <c r="G14" s="1465">
        <f>IF(LEFT(UL.MRQ,1)="F",SUM(C14:F14),IF(RIGHT(LEFT(DCF.MRQ,2),1)="1",SUM(D14:F14),IF(RIGHT(LEFT(DCF.MRQ,2),1)="2",SUM(E14:F14),IF(RIGHT(LEFT(DCF.MRQ,2),1)="3",F14,""))))</f>
        <v>5878.7168596195315</v>
      </c>
      <c r="H14" s="1465">
        <f ca="1">SUM(H10:H13)</f>
        <v>8624.6026144937787</v>
      </c>
      <c r="I14" s="1465">
        <f ca="1">SUM(I10:I13)</f>
        <v>9279.0768052823114</v>
      </c>
      <c r="J14" s="1465">
        <f ca="1">SUM(J10:J13)</f>
        <v>9993.1708022494713</v>
      </c>
      <c r="K14" s="1465">
        <f ca="1">SUM(K10:K13)</f>
        <v>10770.619039878158</v>
      </c>
      <c r="L14" s="1465"/>
      <c r="M14" s="1465"/>
      <c r="N14" s="1465"/>
      <c r="O14" s="1465"/>
      <c r="P14" s="1465"/>
    </row>
    <row r="15" spans="1:16" s="1470" customFormat="1" outlineLevel="2" x14ac:dyDescent="0.35">
      <c r="A15" s="1467" t="str">
        <f>IFERROR(INDEX(MO_FE_IE,0,COLUMN(MO_Common_Column_A)),IFERROR(INDEX(MO_RIS_IE,0,COLUMN(MO_Common_Column_A)),"Interest Expense"))</f>
        <v>Interest expense</v>
      </c>
      <c r="B15" s="1467"/>
      <c r="C15" s="1468" t="str">
        <f>IF(AND(RIGHT(LEFT(C$6,2),1)&lt;=RIGHT(LEFT(DCF.MRQ,2),1),RIGHT(C6,4)=RIGHT(DCF.MRQ,4)),"",IFERROR(-INDEX(MO_FE_IE,0,MATCH(C$6,MO_Common_ColumnHeader,0)),IFERROR(INDEX(MO_RIS_IE,0,MATCH(C$6,MO_Common_ColumnHeader,0)),0)))</f>
        <v/>
      </c>
      <c r="D15" s="1468">
        <f>IF(AND(RIGHT(LEFT(D$6,2),1)&lt;=RIGHT(LEFT(DCF.MRQ,2),1),RIGHT(D6,4)=RIGHT(DCF.MRQ,4)),"",IFERROR(-INDEX(MO_FE_IE,0,MATCH(D$6,MO_Common_ColumnHeader,0)),IFERROR(INDEX(MO_RIS_IE,0,MATCH(D$6,MO_Common_ColumnHeader,0)),0)))</f>
        <v>131.49450136986303</v>
      </c>
      <c r="E15" s="1468">
        <f>IF(AND(RIGHT(LEFT(E$6,2),1)&lt;=RIGHT(LEFT(DCF.MRQ,2),1),RIGHT(E6,4)=RIGHT(DCF.MRQ,4)),"",IFERROR(-INDEX(MO_FE_IE,0,MATCH(E$6,MO_Common_ColumnHeader,0)),IFERROR(INDEX(MO_RIS_IE,0,MATCH(E$6,MO_Common_ColumnHeader,0)),0)))</f>
        <v>132.93949589041094</v>
      </c>
      <c r="F15" s="1468">
        <f>IFERROR(-INDEX(MO_FE_IE,0,MATCH(F$6,MO_Common_ColumnHeader,0)),IFERROR(INDEX(MO_RIS_IE,0,MATCH(F$6,MO_Common_ColumnHeader,0)),0))</f>
        <v>132.93949589041094</v>
      </c>
      <c r="G15" s="1469">
        <f>IF(LEFT(UL.MRQ,1)="F",SUM(C15:F15),IF(RIGHT(LEFT(DCF.MRQ,2),1)="1",SUM(D15:F15),IF(RIGHT(LEFT(DCF.MRQ,2),1)="2",SUM(E15:F15),IF(RIGHT(LEFT(DCF.MRQ,2),1)="3",F15,""))))</f>
        <v>397.37349315068491</v>
      </c>
      <c r="H15" s="1469">
        <f>IFERROR(-INDEX(MO_FE_IE,0,MATCH(H$6,MO_Common_ColumnHeader,0)),IFERROR(INDEX(MO_RIS_IE,0,MATCH(H$6,MO_Common_ColumnHeader,0)),0))</f>
        <v>527.423</v>
      </c>
      <c r="I15" s="1469">
        <f>IFERROR(-INDEX(MO_FE_IE,0,MATCH(I$6,MO_Common_ColumnHeader,0)),IFERROR(INDEX(MO_RIS_IE,0,MATCH(I$6,MO_Common_ColumnHeader,0)),0))</f>
        <v>527.423</v>
      </c>
      <c r="J15" s="1469">
        <f>IFERROR(-INDEX(MO_FE_IE,0,MATCH(J$6,MO_Common_ColumnHeader,0)),IFERROR(INDEX(MO_RIS_IE,0,MATCH(J$6,MO_Common_ColumnHeader,0)),0))</f>
        <v>527.423</v>
      </c>
      <c r="K15" s="1469">
        <f>IFERROR(-INDEX(MO_FE_IE,0,MATCH(K$6,MO_Common_ColumnHeader,0)),IFERROR(INDEX(MO_RIS_IE,0,MATCH(K$6,MO_Common_ColumnHeader,0)),0))</f>
        <v>527.423</v>
      </c>
      <c r="L15" s="1469"/>
      <c r="M15" s="1469"/>
      <c r="N15" s="1469"/>
      <c r="O15" s="1469"/>
      <c r="P15" s="1469"/>
    </row>
    <row r="16" spans="1:16" s="1470" customFormat="1" outlineLevel="2" x14ac:dyDescent="0.35">
      <c r="A16" s="1474" t="str">
        <f>IFERROR(IFERROR(INDEX(MO_RIS_EBT_NONGAAP,0,COLUMN(MO_Common_Column_A)),INDEX(MO_RIS_EBT,0,COLUMN(MO_Common_Column_A))),"Earnings Before Tax")</f>
        <v>EBT</v>
      </c>
      <c r="B16" s="1467"/>
      <c r="C16" s="1468" t="str">
        <f>IF(AND(RIGHT(LEFT(C$6,2),1)&lt;=RIGHT(LEFT(DCF.MRQ,2),1),RIGHT(C6,4)=RIGHT(DCF.MRQ,4)),"",IFERROR(IFERROR(INDEX(MO_RIS_EBT_NONGAAP,0,MATCH(C$6,MO_Common_ColumnHeader,0)),INDEX(MO_RIS_EBT,0,MATCH(C$6,MO_Common_ColumnHeader,0))),0))</f>
        <v/>
      </c>
      <c r="D16" s="1468">
        <f>IF(AND(RIGHT(LEFT(D$6,2),1)&lt;=RIGHT(LEFT(DCF.MRQ,2),1),RIGHT(D6,4)=RIGHT(DCF.MRQ,4)),"",IFERROR(IFERROR(INDEX(MO_RIS_EBT_NONGAAP,0,MATCH(D$6,MO_Common_ColumnHeader,0)),INDEX(MO_RIS_EBT,0,MATCH(D$6,MO_Common_ColumnHeader,0))),0))</f>
        <v>1572.1642724712331</v>
      </c>
      <c r="E16" s="1468">
        <f>IF(AND(RIGHT(LEFT(E$6,2),1)&lt;=RIGHT(LEFT(DCF.MRQ,2),1),RIGHT(E6,4)=RIGHT(DCF.MRQ,4)),"",IFERROR(IFERROR(INDEX(MO_RIS_EBT_NONGAAP,0,MATCH(E$6,MO_Common_ColumnHeader,0)),INDEX(MO_RIS_EBT,0,MATCH(E$6,MO_Common_ColumnHeader,0))),0))</f>
        <v>1911.5466388458135</v>
      </c>
      <c r="F16" s="1468">
        <f>IFERROR(IFERROR(INDEX(MO_RIS_EBT_NONGAAP,0,MATCH(F$6,MO_Common_ColumnHeader,0)),INDEX(MO_RIS_EBT,0,MATCH(F$6,MO_Common_ColumnHeader,0))),0)</f>
        <v>2014.7049647564486</v>
      </c>
      <c r="G16" s="1469">
        <f>IF(LEFT(UL.MRQ,1)="F",SUM(C16:F16),IF(RIGHT(LEFT(DCF.MRQ,2),1)="1",SUM(D16:F16),IF(RIGHT(LEFT(DCF.MRQ,2),1)="2",SUM(E16:F16),IF(RIGHT(LEFT(DCF.MRQ,2),1)="3",F16,""))))</f>
        <v>5498.4158760734954</v>
      </c>
      <c r="H16" s="1469">
        <f ca="1">IFERROR(IFERROR(INDEX(MO_RIS_EBT_NONGAAP,0,MATCH(H$6,MO_Common_ColumnHeader,0)),INDEX(MO_RIS_EBT,0,MATCH(H$6,MO_Common_ColumnHeader,0))),0)</f>
        <v>8197.0402648071358</v>
      </c>
      <c r="I16" s="1469">
        <f ca="1">IFERROR(IFERROR(INDEX(MO_RIS_EBT_NONGAAP,0,MATCH(I$6,MO_Common_ColumnHeader,0)),INDEX(MO_RIS_EBT,0,MATCH(I$6,MO_Common_ColumnHeader,0))),0)</f>
        <v>9005.0330929411248</v>
      </c>
      <c r="J16" s="1469">
        <f ca="1">IFERROR(IFERROR(INDEX(MO_RIS_EBT_NONGAAP,0,MATCH(J$6,MO_Common_ColumnHeader,0)),INDEX(MO_RIS_EBT,0,MATCH(J$6,MO_Common_ColumnHeader,0))),0)</f>
        <v>9886.6306200610743</v>
      </c>
      <c r="K16" s="1469">
        <f ca="1">IFERROR(IFERROR(INDEX(MO_RIS_EBT_NONGAAP,0,MATCH(K$6,MO_Common_ColumnHeader,0)),INDEX(MO_RIS_EBT,0,MATCH(K$6,MO_Common_ColumnHeader,0))),0)</f>
        <v>10846.443259108837</v>
      </c>
      <c r="L16" s="1469"/>
      <c r="M16" s="1469"/>
      <c r="N16" s="1469"/>
      <c r="O16" s="1469"/>
      <c r="P16" s="1469"/>
    </row>
    <row r="17" spans="1:16" s="1470" customFormat="1" outlineLevel="2" x14ac:dyDescent="0.35">
      <c r="A17" s="1474" t="str">
        <f>IFERROR(INDEX(MO_RIS_Tax_NONGAAP,0,COLUMN(MO_Common_Column_A)),"Total Tax Expense")</f>
        <v>Total Tax Expense</v>
      </c>
      <c r="B17" s="1467"/>
      <c r="C17" s="1468" t="str">
        <f>IF(AND(RIGHT(LEFT(C$6,2),1)&lt;=RIGHT(LEFT(DCF.MRQ,2),1),RIGHT(C6,4)=RIGHT(DCF.MRQ,4)),"",IFERROR(INDEX(MO_RIS_Tax_NONGAAP,0,MATCH(C$6,MO_Common_ColumnHeader,0)),IFERROR(INDEX(MO_RIS_Tax_Current,0,MATCH(C$6,MO_Common_ColumnHeader,0))+INDEX(MO_RIS_Tax_Deferred,0,MATCH(C$6,MO_Common_ColumnHeader,0)),0)))</f>
        <v/>
      </c>
      <c r="D17" s="1468">
        <f>IF(AND(RIGHT(LEFT(D$6,2),1)&lt;=RIGHT(LEFT(DCF.MRQ,2),1),RIGHT(D6,4)=RIGHT(DCF.MRQ,4)),"",IFERROR(INDEX(MO_RIS_Tax_NONGAAP,0,MATCH(D$6,MO_Common_ColumnHeader,0)),IFERROR(INDEX(MO_RIS_Tax_Current,0,MATCH(D$6,MO_Common_ColumnHeader,0))+INDEX(MO_RIS_Tax_Deferred,0,MATCH(D$6,MO_Common_ColumnHeader,0)),0)))</f>
        <v>330.15449721895891</v>
      </c>
      <c r="E17" s="1468">
        <f>IF(AND(RIGHT(LEFT(E$6,2),1)&lt;=RIGHT(LEFT(DCF.MRQ,2),1),RIGHT(E6,4)=RIGHT(DCF.MRQ,4)),"",IFERROR(INDEX(MO_RIS_Tax_NONGAAP,0,MATCH(E$6,MO_Common_ColumnHeader,0)),IFERROR(INDEX(MO_RIS_Tax_Current,0,MATCH(E$6,MO_Common_ColumnHeader,0))+INDEX(MO_RIS_Tax_Deferred,0,MATCH(E$6,MO_Common_ColumnHeader,0)),0)))</f>
        <v>401.42479415762085</v>
      </c>
      <c r="F17" s="1468">
        <f>IFERROR(INDEX(MO_RIS_Tax_NONGAAP,0,MATCH(F$6,MO_Common_ColumnHeader,0)),IFERROR(INDEX(MO_RIS_Tax_Current,0,MATCH(F$6,MO_Common_ColumnHeader,0))+INDEX(MO_RIS_Tax_Deferred,0,MATCH(F$6,MO_Common_ColumnHeader,0)),0))</f>
        <v>423.08804259885426</v>
      </c>
      <c r="G17" s="1469">
        <f>IF(LEFT(UL.MRQ,1)="F",SUM(C17:F17),IF(RIGHT(LEFT(DCF.MRQ,2),1)="1",SUM(D17:F17),IF(RIGHT(LEFT(DCF.MRQ,2),1)="2",SUM(E17:F17),IF(RIGHT(LEFT(DCF.MRQ,2),1)="3",F17,""))))</f>
        <v>1154.6673339754338</v>
      </c>
      <c r="H17" s="1469">
        <f ca="1">IFERROR(INDEX(MO_RIS_Tax_NONGAAP,0,MATCH(H$6,MO_Common_ColumnHeader,0)),IFERROR(INDEX(MO_RIS_Tax_Current,0,MATCH(H$6,MO_Common_ColumnHeader,0))+INDEX(MO_RIS_Tax_Deferred,0,MATCH(H$6,MO_Common_ColumnHeader,0)),0))</f>
        <v>1721.3784556094984</v>
      </c>
      <c r="I17" s="1469">
        <f ca="1">IFERROR(INDEX(MO_RIS_Tax_NONGAAP,0,MATCH(I$6,MO_Common_ColumnHeader,0)),IFERROR(INDEX(MO_RIS_Tax_Current,0,MATCH(I$6,MO_Common_ColumnHeader,0))+INDEX(MO_RIS_Tax_Deferred,0,MATCH(I$6,MO_Common_ColumnHeader,0)),0))</f>
        <v>1891.0569495176362</v>
      </c>
      <c r="J17" s="1469">
        <f ca="1">IFERROR(INDEX(MO_RIS_Tax_NONGAAP,0,MATCH(J$6,MO_Common_ColumnHeader,0)),IFERROR(INDEX(MO_RIS_Tax_Current,0,MATCH(J$6,MO_Common_ColumnHeader,0))+INDEX(MO_RIS_Tax_Deferred,0,MATCH(J$6,MO_Common_ColumnHeader,0)),0))</f>
        <v>2076.1924302128255</v>
      </c>
      <c r="K17" s="1469">
        <f ca="1">IFERROR(INDEX(MO_RIS_Tax_NONGAAP,0,MATCH(K$6,MO_Common_ColumnHeader,0)),IFERROR(INDEX(MO_RIS_Tax_Current,0,MATCH(K$6,MO_Common_ColumnHeader,0))+INDEX(MO_RIS_Tax_Deferred,0,MATCH(K$6,MO_Common_ColumnHeader,0)),0))</f>
        <v>2277.7530844128555</v>
      </c>
      <c r="L17" s="1469"/>
      <c r="M17" s="1469"/>
      <c r="N17" s="1469"/>
      <c r="O17" s="1469"/>
      <c r="P17" s="1469"/>
    </row>
    <row r="18" spans="1:16" s="1478" customFormat="1" outlineLevel="2" x14ac:dyDescent="0.35">
      <c r="A18" s="1475" t="str">
        <f>IFERROR(INDEX(MO_RIS_TaxRate_NONGAAP,0,COLUMN(MO_Common_Column_A)),"Tax Rate")</f>
        <v>Tax Rate</v>
      </c>
      <c r="B18" s="1475"/>
      <c r="C18" s="1476" t="str">
        <f>IF(AND(RIGHT(LEFT(C$6,2),1)&lt;=RIGHT(LEFT(DCF.MRQ,2),1),RIGHT(C6,4)=RIGHT(DCF.MRQ,4)),"",IFERROR(C17/C16,0))</f>
        <v/>
      </c>
      <c r="D18" s="1476">
        <f>IF(AND(RIGHT(LEFT(D$6,2),1)&lt;=RIGHT(LEFT(DCF.MRQ,2),1),RIGHT(D6,4)=RIGHT(DCF.MRQ,4)),"",IFERROR(D17/D16,0))</f>
        <v>0.20999999999999996</v>
      </c>
      <c r="E18" s="1476">
        <f>IF(AND(RIGHT(LEFT(E$6,2),1)&lt;=RIGHT(LEFT(DCF.MRQ,2),1),RIGHT(E6,4)=RIGHT(DCF.MRQ,4)),"",IFERROR(E17/E16,0))</f>
        <v>0.21000000000000002</v>
      </c>
      <c r="F18" s="1476">
        <f>IFERROR(F17/F16,0)</f>
        <v>0.21000000000000002</v>
      </c>
      <c r="G18" s="1477">
        <f>IFERROR(G17/G16,0)</f>
        <v>0.20999999999999996</v>
      </c>
      <c r="H18" s="1477">
        <f ca="1">IFERROR(H17/H16,0)</f>
        <v>0.21</v>
      </c>
      <c r="I18" s="1477">
        <f ca="1">IFERROR(I17/I16,0)</f>
        <v>0.21</v>
      </c>
      <c r="J18" s="1477">
        <f ca="1">IFERROR(J17/J16,0)</f>
        <v>0.21</v>
      </c>
      <c r="K18" s="1477">
        <f ca="1">IFERROR(K17/K16,0)</f>
        <v>0.20999999999999996</v>
      </c>
      <c r="L18" s="1477"/>
      <c r="M18" s="1477"/>
      <c r="N18" s="1477"/>
      <c r="O18" s="1477"/>
      <c r="P18" s="1477"/>
    </row>
    <row r="19" spans="1:16" s="1470" customFormat="1" outlineLevel="1" x14ac:dyDescent="0.35">
      <c r="A19" s="1467" t="s">
        <v>1270</v>
      </c>
      <c r="B19" s="1479"/>
      <c r="C19" s="1468" t="str">
        <f>IF(AND(RIGHT(LEFT(C$6,2),1)&lt;=RIGHT(LEFT(DCF.MRQ,2),1),RIGHT(C6,4)=RIGHT(DCF.MRQ,4)),"",C15*(1-C18))</f>
        <v/>
      </c>
      <c r="D19" s="1468">
        <f>IF(AND(RIGHT(LEFT(D$6,2),1)&lt;=RIGHT(LEFT(DCF.MRQ,2),1),RIGHT(D6,4)=RIGHT(DCF.MRQ,4)),"",D15*(1-D18))</f>
        <v>103.88065608219181</v>
      </c>
      <c r="E19" s="1468">
        <f>IF(AND(RIGHT(LEFT(E$6,2),1)&lt;=RIGHT(LEFT(DCF.MRQ,2),1),RIGHT(E6,4)=RIGHT(DCF.MRQ,4)),"",E15*(1-E18))</f>
        <v>105.02220175342465</v>
      </c>
      <c r="F19" s="1468">
        <f>F15*(1-F18)</f>
        <v>105.02220175342465</v>
      </c>
      <c r="G19" s="1469">
        <f>G15*(1-G18)</f>
        <v>313.9250595890411</v>
      </c>
      <c r="H19" s="1469">
        <f ca="1">H15*(1-H18)</f>
        <v>416.66417000000001</v>
      </c>
      <c r="I19" s="1469">
        <f ca="1">I15*(1-I18)</f>
        <v>416.66417000000001</v>
      </c>
      <c r="J19" s="1469">
        <f ca="1">J15*(1-J18)</f>
        <v>416.66417000000001</v>
      </c>
      <c r="K19" s="1469">
        <f ca="1">K15*(1-K18)</f>
        <v>416.66417000000001</v>
      </c>
      <c r="L19" s="1469"/>
      <c r="M19" s="1469"/>
      <c r="N19" s="1469"/>
      <c r="O19" s="1469"/>
      <c r="P19" s="1469"/>
    </row>
    <row r="20" spans="1:16" s="1466" customFormat="1" outlineLevel="1" x14ac:dyDescent="0.35">
      <c r="A20" s="1480" t="s">
        <v>1271</v>
      </c>
      <c r="B20" s="1480"/>
      <c r="C20" s="1481" t="str">
        <f>IF(AND(RIGHT(LEFT(C$6,2),1)&lt;=RIGHT(LEFT(DCF.MRQ,2),1),RIGHT(C6,4)=RIGHT(DCF.MRQ,4)),"",C14+C19)</f>
        <v/>
      </c>
      <c r="D20" s="1481">
        <f>IF(AND(RIGHT(LEFT(D$6,2),1)&lt;=RIGHT(LEFT(DCF.MRQ,2),1),RIGHT(D6,4)=RIGHT(DCF.MRQ,4)),"",D14+D19)</f>
        <v>1852.3337167838906</v>
      </c>
      <c r="E20" s="1481">
        <f>IF(AND(RIGHT(LEFT(E$6,2),1)&lt;=RIGHT(LEFT(DCF.MRQ,2),1),RIGHT(E6,4)=RIGHT(DCF.MRQ,4)),"",E14+E19)</f>
        <v>2128.3749792185336</v>
      </c>
      <c r="F20" s="1481">
        <f>F14+F19</f>
        <v>2211.9332232061479</v>
      </c>
      <c r="G20" s="1482">
        <f>G14+G19</f>
        <v>6192.6419192085723</v>
      </c>
      <c r="H20" s="1482">
        <f ca="1">H14+H19</f>
        <v>9041.2667844937787</v>
      </c>
      <c r="I20" s="1482">
        <f ca="1">I14+I19</f>
        <v>9695.7409752823114</v>
      </c>
      <c r="J20" s="1482">
        <f ca="1">J14+J19</f>
        <v>10409.834972249471</v>
      </c>
      <c r="K20" s="1482">
        <f ca="1">K14+K19</f>
        <v>11187.283209878158</v>
      </c>
      <c r="L20" s="1482"/>
      <c r="M20" s="1482"/>
      <c r="N20" s="1482"/>
      <c r="O20" s="1482"/>
      <c r="P20" s="1482"/>
    </row>
    <row r="21" spans="1:16" s="1470" customFormat="1" outlineLevel="1" x14ac:dyDescent="0.35">
      <c r="A21" s="1467" t="s">
        <v>94</v>
      </c>
      <c r="B21" s="1467"/>
      <c r="C21" s="1468" t="str">
        <f>IF(AND(RIGHT(LEFT(C$6,2),1)&lt;=RIGHT(LEFT(DCF.MRQ,2),1),RIGHT(C6,4)=RIGHT(DCF.MRQ,4)),"",-C29*C8)</f>
        <v/>
      </c>
      <c r="D21" s="1468">
        <f>IF(AND(RIGHT(LEFT(D$6,2),1)&lt;=RIGHT(LEFT(DCF.MRQ,2),1),RIGHT(D6,4)=RIGHT(DCF.MRQ,4)),"",-D29*D8)</f>
        <v>-475</v>
      </c>
      <c r="E21" s="1468">
        <f>IF(AND(RIGHT(LEFT(E$6,2),1)&lt;=RIGHT(LEFT(DCF.MRQ,2),1),RIGHT(E6,4)=RIGHT(DCF.MRQ,4)),"",-E29*E8)</f>
        <v>-475</v>
      </c>
      <c r="F21" s="1468">
        <f>-F29*F8</f>
        <v>-475</v>
      </c>
      <c r="G21" s="1469">
        <f>IF(LEFT(UL.MRQ,1)="F",SUM(C21:F21),IF(RIGHT(LEFT(DCF.MRQ,2),1)="1",SUM(D21:F21),IF(RIGHT(LEFT(DCF.MRQ,2),1)="2",SUM(E21:F21),IF(RIGHT(LEFT(DCF.MRQ,2),1)="3",F21,""))))</f>
        <v>-1425</v>
      </c>
      <c r="H21" s="1469">
        <f>-H29*H8</f>
        <v>-1900</v>
      </c>
      <c r="I21" s="1469">
        <f>-I29*I8</f>
        <v>-1900</v>
      </c>
      <c r="J21" s="1469">
        <f>-J29*J8</f>
        <v>-1900.0000000000002</v>
      </c>
      <c r="K21" s="1469">
        <f>-K29*K8</f>
        <v>-1900</v>
      </c>
      <c r="L21" s="1469"/>
      <c r="M21" s="1469"/>
      <c r="N21" s="1469"/>
      <c r="O21" s="1469"/>
      <c r="P21" s="1469"/>
    </row>
    <row r="22" spans="1:16" s="1470" customFormat="1" outlineLevel="1" x14ac:dyDescent="0.35">
      <c r="A22" s="1467" t="s">
        <v>1272</v>
      </c>
      <c r="B22" s="1467"/>
      <c r="C22" s="1468" t="str">
        <f>IF(AND(RIGHT(LEFT(C$6,2),1)&lt;=RIGHT(LEFT(DCF.MRQ,2),1),RIGHT(C6,4)=RIGHT(DCF.MRQ,4)),"",IFERROR(INDEX(MO_CFSum_Acquisition,0,MATCH(C$6,MO_Common_ColumnHeader,0)),0))</f>
        <v/>
      </c>
      <c r="D22" s="1468">
        <f>IF(AND(RIGHT(LEFT(D$6,2),1)&lt;=RIGHT(LEFT(DCF.MRQ,2),1),RIGHT(D6,4)=RIGHT(DCF.MRQ,4)),"",IFERROR(INDEX(MO_CFSum_Acquisition,0,MATCH(D$6,MO_Common_ColumnHeader,0)),0))</f>
        <v>0</v>
      </c>
      <c r="E22" s="1468">
        <f>IF(AND(RIGHT(LEFT(E$6,2),1)&lt;=RIGHT(LEFT(DCF.MRQ,2),1),RIGHT(E6,4)=RIGHT(DCF.MRQ,4)),"",IFERROR(INDEX(MO_CFSum_Acquisition,0,MATCH(E$6,MO_Common_ColumnHeader,0)),0))</f>
        <v>0</v>
      </c>
      <c r="F22" s="1468">
        <f>IFERROR(INDEX(MO_CFSum_Acquisition,0,MATCH(F$6,MO_Common_ColumnHeader,0)),0)</f>
        <v>0</v>
      </c>
      <c r="G22" s="1469">
        <f>IF(LEFT(UL.MRQ,1)="F",SUM(C22:F22),IF(RIGHT(LEFT(DCF.MRQ,2),1)="1",SUM(D22:F22),IF(RIGHT(LEFT(DCF.MRQ,2),1)="2",SUM(E22:F22),IF(RIGHT(LEFT(DCF.MRQ,2),1)="3",F22,""))))</f>
        <v>0</v>
      </c>
      <c r="H22" s="1469">
        <f>IFERROR(INDEX(MO_CFSum_Acquisition,0,MATCH(H$6,MO_Common_ColumnHeader,0)),0)</f>
        <v>0</v>
      </c>
      <c r="I22" s="1469">
        <f>IFERROR(INDEX(MO_CFSum_Acquisition,0,MATCH(I$6,MO_Common_ColumnHeader,0)),0)</f>
        <v>0</v>
      </c>
      <c r="J22" s="1469">
        <f>IFERROR(INDEX(MO_CFSum_Acquisition,0,MATCH(J$6,MO_Common_ColumnHeader,0)),0)</f>
        <v>0</v>
      </c>
      <c r="K22" s="1469">
        <f>IFERROR(INDEX(MO_CFSum_Acquisition,0,MATCH(K$6,MO_Common_ColumnHeader,0)),0)</f>
        <v>0</v>
      </c>
      <c r="L22" s="1469"/>
      <c r="M22" s="1469"/>
      <c r="N22" s="1469"/>
      <c r="O22" s="1469"/>
      <c r="P22" s="1469"/>
    </row>
    <row r="23" spans="1:16" s="1470" customFormat="1" outlineLevel="1" x14ac:dyDescent="0.35">
      <c r="A23" s="1467" t="s">
        <v>96</v>
      </c>
      <c r="B23" s="1467"/>
      <c r="C23" s="1468" t="str">
        <f>IF(AND(RIGHT(LEFT(C$6,2),1)&lt;=RIGHT(LEFT(DCF.MRQ,2),1),RIGHT(C6,4)=RIGHT(DCF.MRQ,4)),"",IFERROR(INDEX(MO_CFSum_Divestiture,0,MATCH(C$6,MO_Common_ColumnHeader,0)),0))</f>
        <v/>
      </c>
      <c r="D23" s="1468">
        <f>IF(AND(RIGHT(LEFT(D$6,2),1)&lt;=RIGHT(LEFT(DCF.MRQ,2),1),RIGHT(D6,4)=RIGHT(DCF.MRQ,4)),"",IFERROR(INDEX(MO_CFSum_Divestiture,0,MATCH(D$6,MO_Common_ColumnHeader,0)),0))</f>
        <v>0</v>
      </c>
      <c r="E23" s="1468">
        <f>IF(AND(RIGHT(LEFT(E$6,2),1)&lt;=RIGHT(LEFT(DCF.MRQ,2),1),RIGHT(E6,4)=RIGHT(DCF.MRQ,4)),"",IFERROR(INDEX(MO_CFSum_Divestiture,0,MATCH(E$6,MO_Common_ColumnHeader,0)),0))</f>
        <v>0</v>
      </c>
      <c r="F23" s="1468">
        <f>IFERROR(INDEX(MO_CFSum_Divestiture,0,MATCH(F$6,MO_Common_ColumnHeader,0)),0)</f>
        <v>0</v>
      </c>
      <c r="G23" s="1469">
        <f>IF(LEFT(UL.MRQ,1)="F",SUM(C23:F23),IF(RIGHT(LEFT(DCF.MRQ,2),1)="1",SUM(D23:F23),IF(RIGHT(LEFT(DCF.MRQ,2),1)="2",SUM(E23:F23),IF(RIGHT(LEFT(DCF.MRQ,2),1)="3",F23,""))))</f>
        <v>0</v>
      </c>
      <c r="H23" s="1469">
        <f>IFERROR(INDEX(MO_CFSum_Divestiture,0,MATCH(H$6,MO_Common_ColumnHeader,0)),0)</f>
        <v>0</v>
      </c>
      <c r="I23" s="1469">
        <f>IFERROR(INDEX(MO_CFSum_Divestiture,0,MATCH(I$6,MO_Common_ColumnHeader,0)),0)</f>
        <v>0</v>
      </c>
      <c r="J23" s="1469">
        <f>IFERROR(INDEX(MO_CFSum_Divestiture,0,MATCH(J$6,MO_Common_ColumnHeader,0)),0)</f>
        <v>0</v>
      </c>
      <c r="K23" s="1469">
        <f>IFERROR(INDEX(MO_CFSum_Divestiture,0,MATCH(K$6,MO_Common_ColumnHeader,0)),0)</f>
        <v>0</v>
      </c>
      <c r="L23" s="1469"/>
      <c r="M23" s="1469"/>
      <c r="N23" s="1469"/>
      <c r="O23" s="1469"/>
      <c r="P23" s="1469"/>
    </row>
    <row r="24" spans="1:16" s="1470" customFormat="1" outlineLevel="1" x14ac:dyDescent="0.35">
      <c r="A24" s="1467" t="s">
        <v>302</v>
      </c>
      <c r="B24" s="1467"/>
      <c r="C24" s="1483" t="str">
        <f>IF(AND(RIGHT(LEFT(C$6,2),1)&lt;=RIGHT(LEFT(DCF.MRQ,2),1),RIGHT(C6,4)=RIGHT(DCF.MRQ,4)),"",C30*C8)</f>
        <v/>
      </c>
      <c r="D24" s="1483">
        <f>IF(AND(RIGHT(LEFT(D$6,2),1)&lt;=RIGHT(LEFT(DCF.MRQ,2),1),RIGHT(D6,4)=RIGHT(DCF.MRQ,4)),"",D30*D8)</f>
        <v>-562.3433293400949</v>
      </c>
      <c r="E24" s="1483">
        <f>IF(AND(RIGHT(LEFT(E$6,2),1)&lt;=RIGHT(LEFT(DCF.MRQ,2),1),RIGHT(E6,4)=RIGHT(DCF.MRQ,4)),"",E30*E8)</f>
        <v>321.62069601517078</v>
      </c>
      <c r="F24" s="1483">
        <f>F30*F8</f>
        <v>41.508645884456655</v>
      </c>
      <c r="G24" s="1469">
        <f>IF(LEFT(UL.MRQ,1)="F",SUM(C24:F24),IF(RIGHT(LEFT(DCF.MRQ,2),1)="1",SUM(D24:F24),IF(RIGHT(LEFT(DCF.MRQ,2),1)="2",SUM(E24:F24),IF(RIGHT(LEFT(DCF.MRQ,2),1)="3",F24,""))))</f>
        <v>-199.21398744046746</v>
      </c>
      <c r="H24" s="1469">
        <f ca="1">H30*H8</f>
        <v>-484.93997576313996</v>
      </c>
      <c r="I24" s="1469">
        <f ca="1">I30*I8</f>
        <v>-503.66974802534423</v>
      </c>
      <c r="J24" s="1469">
        <f ca="1">J30*J8</f>
        <v>-537.49662999117754</v>
      </c>
      <c r="K24" s="1469">
        <f ca="1">K30*K8</f>
        <v>-573.6765016402951</v>
      </c>
      <c r="L24" s="1469"/>
      <c r="M24" s="1469"/>
      <c r="N24" s="1469"/>
      <c r="O24" s="1469"/>
      <c r="P24" s="1469"/>
    </row>
    <row r="25" spans="1:16" s="1466" customFormat="1" x14ac:dyDescent="0.35">
      <c r="A25" s="1484" t="s">
        <v>1273</v>
      </c>
      <c r="B25" s="1484"/>
      <c r="C25" s="1481"/>
      <c r="D25" s="1481"/>
      <c r="E25" s="1481"/>
      <c r="F25" s="1481"/>
      <c r="G25" s="1482">
        <f>SUM(G20:G24)</f>
        <v>4568.4279317681048</v>
      </c>
      <c r="H25" s="1482">
        <f ca="1">SUM(H20:H24)</f>
        <v>6656.3268087306387</v>
      </c>
      <c r="I25" s="1482">
        <f ca="1">SUM(I20:I24)</f>
        <v>7292.0712272569672</v>
      </c>
      <c r="J25" s="1482">
        <f ca="1">SUM(J20:J24)</f>
        <v>7972.3383422582938</v>
      </c>
      <c r="K25" s="1482">
        <f ca="1">SUM(K20:K24)</f>
        <v>8713.6067082378631</v>
      </c>
      <c r="L25" s="1482"/>
      <c r="M25" s="1482"/>
      <c r="N25" s="1482"/>
      <c r="O25" s="1482"/>
      <c r="P25" s="1482"/>
    </row>
    <row r="26" spans="1:16" s="1466" customFormat="1" x14ac:dyDescent="0.35">
      <c r="A26" s="1466" t="s">
        <v>1274</v>
      </c>
      <c r="C26" s="1464"/>
      <c r="D26" s="1464"/>
      <c r="E26" s="1464"/>
      <c r="F26" s="1464"/>
      <c r="G26" s="1465">
        <f ca="1">INDEX(DCF_FCFF,0,COLUMN())/((1+DCF.DiscountRate)^YEARFRAC(DCF.Date,INDEX(DCF_Common_QEndDate,0,COLUMN()),1))</f>
        <v>4380.7045471612137</v>
      </c>
      <c r="H26" s="1465">
        <f ca="1">INDEX(DCF_FCFF,0,COLUMN())/((1+DCF.DiscountRate)^YEARFRAC(DCF.Date,INDEX(DCF_Common_QEndDate,0,COLUMN()),1))</f>
        <v>5910.0079684409238</v>
      </c>
      <c r="I26" s="1465">
        <f ca="1">INDEX(DCF_FCFF,0,COLUMN())/((1+DCF.DiscountRate)^YEARFRAC(DCF.Date,INDEX(DCF_Common_QEndDate,0,COLUMN()),1))</f>
        <v>5994.8811356049764</v>
      </c>
      <c r="J26" s="1465">
        <f ca="1">INDEX(DCF_FCFF,0,COLUMN())/((1+DCF.DiscountRate)^YEARFRAC(DCF.Date,INDEX(DCF_Common_QEndDate,0,COLUMN()),1))</f>
        <v>6068.4983207181522</v>
      </c>
      <c r="K26" s="1465">
        <f ca="1">INDEX(DCF_FCFF,0,COLUMN())/((1+DCF.DiscountRate)^YEARFRAC(DCF.Date,INDEX(DCF_Common_QEndDate,0,COLUMN()),1))</f>
        <v>6141.4623349300018</v>
      </c>
      <c r="L26" s="1465"/>
      <c r="M26" s="1465"/>
      <c r="N26" s="1465"/>
      <c r="O26" s="1465"/>
      <c r="P26" s="1465"/>
    </row>
    <row r="27" spans="1:16" s="1485" customFormat="1" x14ac:dyDescent="0.35">
      <c r="C27" s="1486"/>
      <c r="D27" s="1486"/>
      <c r="E27" s="1486"/>
      <c r="F27" s="1486"/>
      <c r="G27" s="1487"/>
      <c r="H27" s="1487"/>
      <c r="I27" s="1487"/>
      <c r="J27" s="1487"/>
      <c r="K27" s="1487"/>
      <c r="L27" s="1487"/>
      <c r="M27" s="1487"/>
      <c r="N27" s="1487"/>
      <c r="O27" s="1487"/>
      <c r="P27" s="1487"/>
    </row>
    <row r="28" spans="1:16" s="1478" customFormat="1" x14ac:dyDescent="0.35">
      <c r="A28" s="1488" t="s">
        <v>1275</v>
      </c>
      <c r="B28" s="1488"/>
      <c r="C28" s="1489"/>
      <c r="D28" s="1489"/>
      <c r="E28" s="1489"/>
      <c r="F28" s="1489"/>
      <c r="G28" s="1490"/>
      <c r="H28" s="1490"/>
      <c r="I28" s="1490">
        <f ca="1">I25/H25-1</f>
        <v>9.5509796437949435E-2</v>
      </c>
      <c r="J28" s="1490">
        <f ca="1">J25/I25-1</f>
        <v>9.3288599877982881E-2</v>
      </c>
      <c r="K28" s="1490">
        <f ca="1">K25/J25-1</f>
        <v>9.2980043515011213E-2</v>
      </c>
      <c r="L28" s="1490"/>
      <c r="M28" s="1490"/>
      <c r="N28" s="1490"/>
      <c r="O28" s="1490"/>
      <c r="P28" s="1490"/>
    </row>
    <row r="29" spans="1:16" s="1478" customFormat="1" x14ac:dyDescent="0.35">
      <c r="A29" s="1488" t="s">
        <v>1276</v>
      </c>
      <c r="B29" s="1488"/>
      <c r="C29" s="1491" t="str">
        <f>IF(AND(RIGHT(LEFT(C$6,2),1)&lt;=RIGHT(LEFT(DCF.MRQ,2),1),RIGHT(C6,4)=RIGHT(DCF.MRQ,4)),"",IFERROR(IFERROR(-INDEX(MO_CFSum_Capex,0,MATCH(C$6,MO_Common_ColumnHeader,0)),0)/INDEX(MO_RIS_REV,0,MATCH(C$6,MO_Common_ColumnHeader,0)),0))</f>
        <v/>
      </c>
      <c r="D29" s="1491">
        <f>IF(AND(RIGHT(LEFT(D$6,2),1)&lt;=RIGHT(LEFT(DCF.MRQ,2),1),RIGHT(D6,4)=RIGHT(DCF.MRQ,4)),"",IFERROR(IFERROR(-INDEX(MO_CFSum_Capex,0,MATCH(D$6,MO_Common_ColumnHeader,0)),0)/INDEX(MO_RIS_REV,0,MATCH(D$6,MO_Common_ColumnHeader,0)),0))</f>
        <v>6.1943977814301394E-2</v>
      </c>
      <c r="E29" s="1491">
        <f>IF(AND(RIGHT(LEFT(E$6,2),1)&lt;=RIGHT(LEFT(DCF.MRQ,2),1),RIGHT(E6,4)=RIGHT(DCF.MRQ,4)),"",IFERROR(IFERROR(-INDEX(MO_CFSum_Capex,0,MATCH(E$6,MO_Common_ColumnHeader,0)),0)/INDEX(MO_RIS_REV,0,MATCH(E$6,MO_Common_ColumnHeader,0)),0))</f>
        <v>5.4313199868459144E-2</v>
      </c>
      <c r="F29" s="1491">
        <f>IFERROR(IFERROR(-INDEX(MO_CFSum_Capex,0,MATCH(F$6,MO_Common_ColumnHeader,0)),0)/INDEX(MO_RIS_REV,0,MATCH(F$6,MO_Common_ColumnHeader,0)),0)</f>
        <v>5.2881492486274682E-2</v>
      </c>
      <c r="G29" s="1490">
        <f>IFERROR(-INDEX(MO_CFSum_Capex,0,MATCH(G$6,MO_Common_ColumnHeader,0)),0)/INDEX(MO_RIS_REV,0,MATCH("FY"&amp;RIGHT(G$6,4),MO_Common_ColumnHeader,0))</f>
        <v>5.0661164994572766E-2</v>
      </c>
      <c r="H29" s="1492">
        <f>IFERROR(IFERROR(-INDEX(MO_CFSum_Capex,0,MATCH(H$6,MO_Common_ColumnHeader,0)),0)/INDEX(MO_RIS_REV,0,MATCH(H$6,MO_Common_ColumnHeader,0)),0)</f>
        <v>5.2040499567049495E-2</v>
      </c>
      <c r="I29" s="1492">
        <f>IFERROR(IFERROR(-INDEX(MO_CFSum_Capex,0,MATCH(I$6,MO_Common_ColumnHeader,0)),0)/INDEX(MO_RIS_REV,0,MATCH(I$6,MO_Common_ColumnHeader,0)),0)</f>
        <v>4.8893071593915718E-2</v>
      </c>
      <c r="J29" s="1492">
        <f>IFERROR(IFERROR(-INDEX(MO_CFSum_Capex,0,MATCH(J$6,MO_Common_ColumnHeader,0)),0)/INDEX(MO_RIS_REV,0,MATCH(J$6,MO_Common_ColumnHeader,0)),0)</f>
        <v>4.5928727362669335E-2</v>
      </c>
      <c r="K29" s="1492">
        <f>IFERROR(IFERROR(-INDEX(MO_CFSum_Capex,0,MATCH(K$6,MO_Common_ColumnHeader,0)),0)/INDEX(MO_RIS_REV,0,MATCH(K$6,MO_Common_ColumnHeader,0)),0)</f>
        <v>4.3137304494662271E-2</v>
      </c>
      <c r="L29" s="1490"/>
      <c r="M29" s="1490"/>
      <c r="N29" s="1490"/>
      <c r="O29" s="1490"/>
      <c r="P29" s="1490"/>
    </row>
    <row r="30" spans="1:16" s="1478" customFormat="1" x14ac:dyDescent="0.35">
      <c r="A30" s="1488" t="s">
        <v>1277</v>
      </c>
      <c r="B30" s="1493"/>
      <c r="C30" s="1491" t="str">
        <f>IF(AND(RIGHT(LEFT(C$6,2),1)&lt;=RIGHT(LEFT(DCF.MRQ,2),1),RIGHT(C6,4)=RIGHT(DCF.MRQ,4)),"",IFERROR(IF(INDEX(MO_CFS_CFO,0,MATCH(C$6,MO_Common_ColumnHeader,0))="",0,IFERROR((INDEX(MO_CFS_CFO,0,MATCH(C$6,MO_Common_ColumnHeader,0))-INDEX(MO_CFS_CFO_BeforeWC,0,MATCH(C$6,MO_Common_ColumnHeader,0)))/INDEX(MO_RIS_REV,0,MATCH(C$6,MO_Common_ColumnHeader,0)),0)),0))</f>
        <v/>
      </c>
      <c r="D30" s="1491">
        <f>IF(AND(RIGHT(LEFT(D$6,2),1)&lt;=RIGHT(LEFT(DCF.MRQ,2),1),RIGHT(D6,4)=RIGHT(DCF.MRQ,4)),"",IFERROR(IF(INDEX(MO_CFS_CFO,0,MATCH(D$6,MO_Common_ColumnHeader,0))="",0,IFERROR((INDEX(MO_CFS_CFO,0,MATCH(D$6,MO_Common_ColumnHeader,0))-INDEX(MO_CFS_CFO_BeforeWC,0,MATCH(D$6,MO_Common_ColumnHeader,0)))/INDEX(MO_RIS_REV,0,MATCH(D$6,MO_Common_ColumnHeader,0)),0)),0))</f>
        <v>-7.3334279403501512E-2</v>
      </c>
      <c r="E30" s="1491">
        <f>IF(AND(RIGHT(LEFT(E$6,2),1)&lt;=RIGHT(LEFT(DCF.MRQ,2),1),RIGHT(E6,4)=RIGHT(DCF.MRQ,4)),"",IFERROR(IF(INDEX(MO_CFS_CFO,0,MATCH(E$6,MO_Common_ColumnHeader,0))="",0,IFERROR((INDEX(MO_CFS_CFO,0,MATCH(E$6,MO_Common_ColumnHeader,0))-INDEX(MO_CFS_CFO_BeforeWC,0,MATCH(E$6,MO_Common_ColumnHeader,0)))/INDEX(MO_RIS_REV,0,MATCH(E$6,MO_Common_ColumnHeader,0)),0)),0))</f>
        <v>3.6775261356852447E-2</v>
      </c>
      <c r="F30" s="1491">
        <f>IFERROR(IF(INDEX(MO_CFS_CFO,0,MATCH(F$6,MO_Common_ColumnHeader,0))="",0,IFERROR((INDEX(MO_CFS_CFO,0,MATCH(F$6,MO_Common_ColumnHeader,0))-INDEX(MO_CFS_CFO_BeforeWC,0,MATCH(F$6,MO_Common_ColumnHeader,0)))/INDEX(MO_RIS_REV,0,MATCH(F$6,MO_Common_ColumnHeader,0)),0)),0)</f>
        <v>4.6211350430617497E-3</v>
      </c>
      <c r="G30" s="1490">
        <f>IFERROR(IF(ROUND(INDEX(MO_CFS_CFO,0,MATCH("FY"&amp;RIGHT(G$6,4),MO_Common_ColumnHeader,0))-INDEX(MO_CFS_CFO_BeforeWC,0,MATCH("FY"&amp;RIGHT(G$6,4),MO_Common_ColumnHeader,0)),6)=0,0,(INDEX(MO_CFS_CFO,0,MATCH("FY"&amp;RIGHT(G$6,4),MO_Common_ColumnHeader,0))-INDEX(MO_CFS_CFO_BeforeWC,0,MATCH("FY"&amp;RIGHT(G$6,4),MO_Common_ColumnHeader,0)))/INDEX(MO_RIS_REV,0,MATCH("FY"&amp;RIGHT(G$6,4),MO_Common_ColumnHeader,0))),0)</f>
        <v>-2.1759889783276656E-2</v>
      </c>
      <c r="H30" s="1492">
        <f ca="1">IFERROR(IF(ROUND(INDEX(MO_CFS_CFO,0,MATCH("FY"&amp;RIGHT(H$6,4),MO_Common_ColumnHeader,0))-INDEX(MO_CFS_CFO_BeforeWC,0,MATCH("FY"&amp;RIGHT(H$6,4),MO_Common_ColumnHeader,0)),6)=0,0,(INDEX(MO_CFS_CFO,0,MATCH("FY"&amp;RIGHT(H$6,4),MO_Common_ColumnHeader,0))-INDEX(MO_CFS_CFO_BeforeWC,0,MATCH("FY"&amp;RIGHT(H$6,4),MO_Common_ColumnHeader,0)))/INDEX(MO_RIS_REV,0,MATCH("FY"&amp;RIGHT(H$6,4),MO_Common_ColumnHeader,0))),0)</f>
        <v>-1.3282378209866672E-2</v>
      </c>
      <c r="I30" s="1492">
        <f ca="1">IFERROR(IF(ROUND(INDEX(MO_CFS_CFO,0,MATCH("FY"&amp;RIGHT(I$6,4),MO_Common_ColumnHeader,0))-INDEX(MO_CFS_CFO_BeforeWC,0,MATCH("FY"&amp;RIGHT(I$6,4),MO_Common_ColumnHeader,0)),6)=0,0,(INDEX(MO_CFS_CFO,0,MATCH("FY"&amp;RIGHT(I$6,4),MO_Common_ColumnHeader,0))-INDEX(MO_CFS_CFO_BeforeWC,0,MATCH("FY"&amp;RIGHT(I$6,4),MO_Common_ColumnHeader,0)))/INDEX(MO_RIS_REV,0,MATCH("FY"&amp;RIGHT(I$6,4),MO_Common_ColumnHeader,0))),0)</f>
        <v>-1.2961032131522445E-2</v>
      </c>
      <c r="J30" s="1492">
        <f ca="1">IFERROR(IF(ROUND(INDEX(MO_CFS_CFO,0,MATCH("FY"&amp;RIGHT(J$6,4),MO_Common_ColumnHeader,0))-INDEX(MO_CFS_CFO_BeforeWC,0,MATCH("FY"&amp;RIGHT(J$6,4),MO_Common_ColumnHeader,0)),6)=0,0,(INDEX(MO_CFS_CFO,0,MATCH("FY"&amp;RIGHT(J$6,4),MO_Common_ColumnHeader,0))-INDEX(MO_CFS_CFO_BeforeWC,0,MATCH("FY"&amp;RIGHT(J$6,4),MO_Common_ColumnHeader,0)))/INDEX(MO_RIS_REV,0,MATCH("FY"&amp;RIGHT(J$6,4),MO_Common_ColumnHeader,0))),0)</f>
        <v>-1.2992913777483342E-2</v>
      </c>
      <c r="K30" s="1492">
        <f ca="1">IFERROR(IF(ROUND(INDEX(MO_CFS_CFO,0,MATCH("FY"&amp;RIGHT(K$6,4),MO_Common_ColumnHeader,0))-INDEX(MO_CFS_CFO_BeforeWC,0,MATCH("FY"&amp;RIGHT(K$6,4),MO_Common_ColumnHeader,0)),6)=0,0,(INDEX(MO_CFS_CFO,0,MATCH("FY"&amp;RIGHT(K$6,4),MO_Common_ColumnHeader,0))-INDEX(MO_CFS_CFO_BeforeWC,0,MATCH("FY"&amp;RIGHT(K$6,4),MO_Common_ColumnHeader,0)))/INDEX(MO_RIS_REV,0,MATCH("FY"&amp;RIGHT(K$6,4),MO_Common_ColumnHeader,0))),0)</f>
        <v>-1.3024662069836858E-2</v>
      </c>
      <c r="L30" s="1490"/>
      <c r="M30" s="1490"/>
      <c r="N30" s="1490"/>
      <c r="O30" s="1490"/>
      <c r="P30" s="1490"/>
    </row>
    <row r="31" spans="1:16" s="1498" customFormat="1" x14ac:dyDescent="0.35">
      <c r="A31" s="1494"/>
      <c r="B31" s="1494"/>
      <c r="C31" s="1495"/>
      <c r="D31" s="1495"/>
      <c r="E31" s="1489"/>
      <c r="F31" s="1489"/>
      <c r="G31" s="1496"/>
      <c r="H31" s="1497"/>
      <c r="I31" s="1497"/>
      <c r="J31" s="1497"/>
      <c r="K31" s="1497"/>
      <c r="L31" s="1497"/>
      <c r="M31" s="1497"/>
      <c r="N31" s="1497"/>
      <c r="O31" s="1497"/>
      <c r="P31" s="1497"/>
    </row>
    <row r="32" spans="1:16" s="1501" customFormat="1" x14ac:dyDescent="0.35">
      <c r="A32" s="1499" t="s">
        <v>1278</v>
      </c>
      <c r="B32" s="1500">
        <v>0.02</v>
      </c>
    </row>
    <row r="33" spans="1:16" s="1501" customFormat="1" x14ac:dyDescent="0.35">
      <c r="A33" s="1499" t="s">
        <v>1279</v>
      </c>
      <c r="B33" s="1500">
        <v>0.08</v>
      </c>
    </row>
    <row r="34" spans="1:16" s="1501" customFormat="1" x14ac:dyDescent="0.35">
      <c r="A34" s="1499"/>
      <c r="B34" s="1500"/>
    </row>
    <row r="35" spans="1:16" s="1503" customFormat="1" x14ac:dyDescent="0.35">
      <c r="A35" s="1502" t="str">
        <f>CONCATENATE("Terminal Value  ",INDEX(DCF_Common_ColumnHeader,0,LOOKUP(2,1/(DCF_Common_QEndDate&lt;&gt;""),COLUMN(DCF_Common_QEndDate))))</f>
        <v>Terminal Value  FY2025</v>
      </c>
      <c r="B35" s="1470">
        <f ca="1">INDEX(DCF_FCFF,0,LOOKUP(2,1/(DCF_Common_QEndDate&lt;&gt;""),COLUMN(DCF_Common_QEndDate)))*(1+DCF.TGR)/(DCF.DiscountRate-DCF.TGR)</f>
        <v>148131.31404004368</v>
      </c>
    </row>
    <row r="36" spans="1:16" s="1503" customFormat="1" x14ac:dyDescent="0.35">
      <c r="A36" s="1502" t="str">
        <f>CONCATENATE("Terminal Year EBITDA  ",INDEX(DCF_Common_ColumnHeader,0,LOOKUP(2,1/(DCF_Common_QEndDate&lt;&gt;""),COLUMN(DCF_Common_QEndDate))))</f>
        <v>Terminal Year EBITDA  FY2025</v>
      </c>
      <c r="B36" s="1468">
        <f>IFERROR(INDEX(MO_RIS_EBITDA_Adj,0,MATCH(INDEX(DCF_Common_ColumnHeader,0,LOOKUP(2,1/(DCF_Common_QEndDate&lt;&gt;""),COLUMN(DCF_Common_QEndDate))),MO_Common_ColumnHeader,0)),IFERROR(INDEX(MO_RIS_EBITDA,0,MATCH(INDEX(DCF_Common_ColumnHeader,0,LOOKUP(2,1/(DCF_Common_QEndDate&lt;&gt;""),COLUMN(DCF_Common_QEndDate))),MO_Common_ColumnHeader,0)),"N/A"))</f>
        <v>13013.838469852113</v>
      </c>
    </row>
    <row r="37" spans="1:16" s="1503" customFormat="1" x14ac:dyDescent="0.35">
      <c r="A37" s="1504" t="s">
        <v>1280</v>
      </c>
      <c r="B37" s="1505">
        <f ca="1">IFERROR(B35/B36,"N/A")</f>
        <v>11.382599713620621</v>
      </c>
    </row>
    <row r="38" spans="1:16" s="1501" customFormat="1" x14ac:dyDescent="0.35">
      <c r="A38" s="1499"/>
      <c r="B38" s="1500"/>
    </row>
    <row r="39" spans="1:16" x14ac:dyDescent="0.35">
      <c r="B39" s="1506" t="s">
        <v>1281</v>
      </c>
      <c r="C39" s="1507" t="s">
        <v>1282</v>
      </c>
      <c r="I39" s="1501"/>
      <c r="J39" s="1501"/>
      <c r="K39" s="1501"/>
      <c r="L39" s="1501"/>
      <c r="M39" s="1501"/>
      <c r="N39" s="1501"/>
      <c r="O39" s="1501"/>
      <c r="P39" s="1501"/>
    </row>
    <row r="40" spans="1:16" x14ac:dyDescent="0.35">
      <c r="A40" s="1508" t="s">
        <v>1283</v>
      </c>
      <c r="B40" s="1470">
        <f ca="1">SUM(DCF_PV_FCFF)</f>
        <v>28495.554306855265</v>
      </c>
      <c r="C40" s="1478">
        <f ca="1">B40/$B$42</f>
        <v>0.21441283325658125</v>
      </c>
      <c r="I40" s="1501"/>
      <c r="J40" s="1501"/>
      <c r="K40" s="1501"/>
      <c r="L40" s="1501"/>
      <c r="M40" s="1501"/>
      <c r="N40" s="1501"/>
      <c r="O40" s="1501"/>
      <c r="P40" s="1501"/>
    </row>
    <row r="41" spans="1:16" x14ac:dyDescent="0.35">
      <c r="A41" s="1508" t="s">
        <v>1284</v>
      </c>
      <c r="B41" s="1470">
        <f ca="1">DCF.Terminal.Value.Undisc/((1+DCF.DiscountRate)^YEARFRAC(DCF.Date,INDEX(DCF_Common_QEndDate,0,LOOKUP(2,1/(DCF_Common_QEndDate&lt;&gt;""),COLUMN(DCF_Common_QEndDate))),1))</f>
        <v>104404.85969381002</v>
      </c>
      <c r="C41" s="1478">
        <f ca="1">B41/$B$42</f>
        <v>0.78558716674341866</v>
      </c>
      <c r="I41" s="1501"/>
      <c r="J41" s="1501"/>
      <c r="K41" s="1501"/>
      <c r="L41" s="1501"/>
      <c r="M41" s="1501"/>
      <c r="N41" s="1501"/>
      <c r="O41" s="1501"/>
      <c r="P41" s="1501"/>
    </row>
    <row r="42" spans="1:16" s="1511" customFormat="1" x14ac:dyDescent="0.35">
      <c r="A42" s="1509" t="s">
        <v>1285</v>
      </c>
      <c r="B42" s="1484">
        <f ca="1">SUM(B40:B41)</f>
        <v>132900.4140006653</v>
      </c>
      <c r="C42" s="1510">
        <f ca="1">B42/$B$42</f>
        <v>1</v>
      </c>
      <c r="I42" s="1501"/>
      <c r="J42" s="1501"/>
      <c r="K42" s="1501"/>
      <c r="L42" s="1501"/>
      <c r="M42" s="1501"/>
      <c r="N42" s="1501"/>
      <c r="O42" s="1501"/>
      <c r="P42" s="1501"/>
    </row>
    <row r="43" spans="1:16" s="1503" customFormat="1" x14ac:dyDescent="0.35">
      <c r="A43" s="1512" t="s">
        <v>1286</v>
      </c>
      <c r="B43" s="1470">
        <f>IFERROR(INDEX(MO_BSS_Debt,0,MATCH(DCF.MRQ,MO_Common_ColumnHeader,0)), "N/A")</f>
        <v>18187</v>
      </c>
      <c r="I43" s="1501"/>
      <c r="J43" s="1501"/>
      <c r="K43" s="1501"/>
      <c r="L43" s="1501"/>
      <c r="M43" s="1501"/>
      <c r="N43" s="1501"/>
      <c r="O43" s="1501"/>
      <c r="P43" s="1501"/>
    </row>
    <row r="44" spans="1:16" s="1503" customFormat="1" x14ac:dyDescent="0.35">
      <c r="A44" s="1512" t="s">
        <v>1287</v>
      </c>
      <c r="B44" s="1470">
        <f>IFERROR(INDEX(MO_BSS_OL,0,MATCH(DCF.MRQ,MO_Common_ColumnHeader,0)), 0)</f>
        <v>876</v>
      </c>
      <c r="I44" s="1501"/>
      <c r="J44" s="1501"/>
      <c r="K44" s="1501"/>
      <c r="L44" s="1501"/>
      <c r="M44" s="1501"/>
      <c r="N44" s="1501"/>
      <c r="O44" s="1501"/>
      <c r="P44" s="1501"/>
    </row>
    <row r="45" spans="1:16" s="1503" customFormat="1" x14ac:dyDescent="0.35">
      <c r="A45" s="1512" t="s">
        <v>1288</v>
      </c>
      <c r="B45" s="1513">
        <v>0</v>
      </c>
      <c r="I45" s="1501"/>
      <c r="J45" s="1501"/>
      <c r="K45" s="1501"/>
      <c r="L45" s="1501"/>
      <c r="M45" s="1501"/>
      <c r="N45" s="1501"/>
      <c r="O45" s="1501"/>
      <c r="P45" s="1501"/>
    </row>
    <row r="46" spans="1:16" s="1503" customFormat="1" x14ac:dyDescent="0.35">
      <c r="A46" s="1512" t="s">
        <v>1289</v>
      </c>
      <c r="B46" s="1513">
        <v>0</v>
      </c>
      <c r="I46" s="1501"/>
      <c r="J46" s="1501"/>
      <c r="K46" s="1501"/>
      <c r="L46" s="1501"/>
      <c r="M46" s="1501"/>
      <c r="N46" s="1501"/>
      <c r="O46" s="1501"/>
      <c r="P46" s="1501"/>
    </row>
    <row r="47" spans="1:16" s="1503" customFormat="1" x14ac:dyDescent="0.35">
      <c r="A47" s="1512" t="s">
        <v>1290</v>
      </c>
      <c r="B47" s="1470">
        <f>IFERROR(INDEX(MO_VA_EVCalc_NCI,0,MATCH(DCF.MRQ,MO_Common_ColumnHeader,0)), 0)</f>
        <v>68</v>
      </c>
      <c r="I47" s="1501"/>
      <c r="J47" s="1501"/>
      <c r="K47" s="1501"/>
      <c r="L47" s="1501"/>
      <c r="M47" s="1501"/>
      <c r="N47" s="1501"/>
      <c r="O47" s="1501"/>
      <c r="P47" s="1501"/>
    </row>
    <row r="48" spans="1:16" s="1503" customFormat="1" x14ac:dyDescent="0.35">
      <c r="A48" s="1512" t="s">
        <v>1291</v>
      </c>
      <c r="B48" s="1470">
        <f>IFERROR(INDEX(MO_BSS_Cash,0,MATCH(DCF.MRQ,MO_Common_ColumnHeader,0)), "N/A")</f>
        <v>5137</v>
      </c>
      <c r="I48" s="1501"/>
      <c r="J48" s="1501"/>
      <c r="K48" s="1501"/>
      <c r="L48" s="1501"/>
      <c r="M48" s="1501"/>
      <c r="N48" s="1501"/>
      <c r="O48" s="1501"/>
      <c r="P48" s="1501"/>
    </row>
    <row r="49" spans="1:16" s="1503" customFormat="1" x14ac:dyDescent="0.35">
      <c r="A49" s="1512" t="s">
        <v>1292</v>
      </c>
      <c r="B49" s="1513">
        <v>0</v>
      </c>
      <c r="I49" s="1501"/>
      <c r="J49" s="1501"/>
      <c r="K49" s="1501"/>
      <c r="L49" s="1501"/>
      <c r="M49" s="1501"/>
      <c r="N49" s="1501"/>
      <c r="O49" s="1501"/>
      <c r="P49" s="1501"/>
    </row>
    <row r="50" spans="1:16" s="1503" customFormat="1" x14ac:dyDescent="0.35">
      <c r="A50" s="1512" t="s">
        <v>1293</v>
      </c>
      <c r="B50" s="1513">
        <v>0</v>
      </c>
      <c r="I50" s="1501"/>
      <c r="J50" s="1501"/>
      <c r="K50" s="1501"/>
      <c r="L50" s="1501"/>
      <c r="M50" s="1501"/>
      <c r="N50" s="1501"/>
      <c r="O50" s="1501"/>
      <c r="P50" s="1501"/>
    </row>
    <row r="51" spans="1:16" s="1511" customFormat="1" x14ac:dyDescent="0.35">
      <c r="A51" s="1514" t="s">
        <v>1294</v>
      </c>
      <c r="B51" s="1515">
        <f ca="1">IFERROR(B42-B43-B44-B45-B46-B47+B48+B49+B50, "N/A")</f>
        <v>118906.4140006653</v>
      </c>
      <c r="I51" s="1501"/>
      <c r="J51" s="1501"/>
      <c r="K51" s="1501"/>
      <c r="L51" s="1501"/>
      <c r="M51" s="1501"/>
      <c r="N51" s="1501"/>
      <c r="O51" s="1501"/>
      <c r="P51" s="1501"/>
    </row>
    <row r="52" spans="1:16" s="1503" customFormat="1" x14ac:dyDescent="0.35">
      <c r="B52" s="1470"/>
      <c r="I52" s="1501"/>
      <c r="J52" s="1501"/>
      <c r="K52" s="1501"/>
      <c r="L52" s="1501"/>
      <c r="M52" s="1501"/>
      <c r="N52" s="1501"/>
      <c r="O52" s="1501"/>
      <c r="P52" s="1501"/>
    </row>
    <row r="53" spans="1:16" s="1511" customFormat="1" x14ac:dyDescent="0.35">
      <c r="A53" s="1516" t="s">
        <v>1295</v>
      </c>
      <c r="B53" s="1517">
        <f>IFERROR(IFERROR(IF(AND(RIGHT(DCF.MRQ,4)=RIGHT(IPO.Period,4),RIGHT(LEFT(DCF.MRQ,2),1)&lt;RIGHT(LEFT(IPO.Period,2),1)),IPO.ShareCount.WAD,IF(RIGHT(DCF.MRQ,4)&lt;RIGHT(IPO.Period,4),IPO.ShareCount.WAD,INDEX(MO_RIS_ShareCount_WAD_Adj,0,MATCH(DCF.MRQ,MO_Common_ColumnHeader,0)))),INDEX(MO_RIS_ShareCount_WAD_Adj,0,MATCH(DCF.MRQ,MO_Common_ColumnHeader,0))),0)</f>
        <v>586.29999999999995</v>
      </c>
      <c r="C53" s="1518"/>
      <c r="D53" s="1518"/>
      <c r="E53" s="1518"/>
      <c r="F53" s="1518"/>
      <c r="H53" s="1518"/>
      <c r="I53" s="1501"/>
      <c r="J53" s="1501"/>
      <c r="K53" s="1501"/>
      <c r="L53" s="1501"/>
      <c r="M53" s="1501"/>
      <c r="N53" s="1501"/>
      <c r="O53" s="1501"/>
      <c r="P53" s="1501"/>
    </row>
    <row r="54" spans="1:16" s="1503" customFormat="1" ht="15" thickBot="1" x14ac:dyDescent="0.4"/>
    <row r="55" spans="1:16" s="1522" customFormat="1" ht="15.5" thickTop="1" thickBot="1" x14ac:dyDescent="0.4">
      <c r="A55" s="1519" t="s">
        <v>1296</v>
      </c>
      <c r="B55" s="1520">
        <f ca="1">B51/B53</f>
        <v>202.80814259025297</v>
      </c>
      <c r="C55" s="1521"/>
      <c r="D55" s="1521"/>
      <c r="E55" s="1521"/>
      <c r="F55" s="1521"/>
      <c r="H55" s="1521"/>
    </row>
    <row r="56" spans="1:16" s="1522" customFormat="1" ht="15" thickTop="1" x14ac:dyDescent="0.35">
      <c r="A56" s="1523"/>
      <c r="C56" s="1521"/>
      <c r="D56" s="1521"/>
      <c r="E56" s="1521"/>
      <c r="F56" s="1521"/>
      <c r="H56" s="1521"/>
    </row>
    <row r="57" spans="1:16" s="1522" customFormat="1" x14ac:dyDescent="0.35">
      <c r="A57" s="1524" t="s">
        <v>249</v>
      </c>
      <c r="B57" s="1525">
        <f ca="1">B5</f>
        <v>195.93</v>
      </c>
      <c r="C57" s="1521"/>
      <c r="D57" s="1521"/>
      <c r="E57" s="1521"/>
      <c r="F57" s="1521"/>
      <c r="H57" s="1521"/>
    </row>
    <row r="58" spans="1:16" s="1478" customFormat="1" x14ac:dyDescent="0.35">
      <c r="A58" s="1526" t="str">
        <f ca="1">CONCATENATE(IF(B58&gt;=0,"Premium","Discount")," to Last Price")</f>
        <v>Premium to Last Price</v>
      </c>
      <c r="B58" s="1527">
        <f ca="1">B55/B57-1</f>
        <v>3.5105101772331837E-2</v>
      </c>
      <c r="C58" s="1489"/>
      <c r="D58" s="1489"/>
      <c r="E58" s="1489"/>
      <c r="F58" s="1489"/>
      <c r="H58" s="1489"/>
      <c r="I58" s="1489"/>
      <c r="J58" s="1489"/>
      <c r="K58" s="1489"/>
      <c r="L58" s="1489"/>
      <c r="M58" s="1489"/>
      <c r="N58" s="1489"/>
      <c r="O58" s="1489"/>
      <c r="P58" s="1489"/>
    </row>
  </sheetData>
  <conditionalFormatting sqref="K45:K49 K42:K43">
    <cfRule type="colorScale" priority="6">
      <colorScale>
        <cfvo type="min"/>
        <cfvo type="percentile" val="50"/>
        <cfvo type="max"/>
        <color rgb="FFF8696B"/>
        <color rgb="FFFFEB84"/>
        <color rgb="FF63BE7B"/>
      </colorScale>
    </cfRule>
  </conditionalFormatting>
  <conditionalFormatting sqref="K44">
    <cfRule type="colorScale" priority="5">
      <colorScale>
        <cfvo type="min"/>
        <cfvo type="percentile" val="50"/>
        <cfvo type="max"/>
        <color rgb="FFF8696B"/>
        <color rgb="FFFFEB84"/>
        <color rgb="FF63BE7B"/>
      </colorScale>
    </cfRule>
  </conditionalFormatting>
  <conditionalFormatting sqref="L42:L43 L45:L49">
    <cfRule type="colorScale" priority="4">
      <colorScale>
        <cfvo type="min"/>
        <cfvo type="percentile" val="50"/>
        <cfvo type="max"/>
        <color rgb="FFF8696B"/>
        <color rgb="FFFFEB84"/>
        <color rgb="FF63BE7B"/>
      </colorScale>
    </cfRule>
  </conditionalFormatting>
  <conditionalFormatting sqref="L44">
    <cfRule type="colorScale" priority="3">
      <colorScale>
        <cfvo type="min"/>
        <cfvo type="percentile" val="50"/>
        <cfvo type="max"/>
        <color rgb="FFF8696B"/>
        <color rgb="FFFFEB84"/>
        <color rgb="FF63BE7B"/>
      </colorScale>
    </cfRule>
  </conditionalFormatting>
  <conditionalFormatting sqref="M42:P43 M45:P49">
    <cfRule type="colorScale" priority="2">
      <colorScale>
        <cfvo type="min"/>
        <cfvo type="percentile" val="50"/>
        <cfvo type="max"/>
        <color rgb="FFF8696B"/>
        <color rgb="FFFFEB84"/>
        <color rgb="FF63BE7B"/>
      </colorScale>
    </cfRule>
  </conditionalFormatting>
  <conditionalFormatting sqref="M44:P44">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verticalDpi="4294967295"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4C863-B2E3-47E1-A7CD-014C041E6F9D}">
  <sheetPr codeName="Sheet8">
    <tabColor theme="1" tint="0.34998626667073579"/>
    <pageSetUpPr autoPageBreaks="0"/>
  </sheetPr>
  <dimension ref="A1:J31"/>
  <sheetViews>
    <sheetView workbookViewId="0"/>
  </sheetViews>
  <sheetFormatPr defaultColWidth="8.81640625" defaultRowHeight="14.5" x14ac:dyDescent="0.35"/>
  <cols>
    <col min="1" max="1" width="8.81640625" style="1410"/>
    <col min="2" max="2" width="18" style="1410" bestFit="1" customWidth="1"/>
    <col min="3" max="3" width="18.453125" style="1410" bestFit="1" customWidth="1"/>
    <col min="4" max="4" width="8.81640625" style="1410"/>
    <col min="5" max="5" width="13.54296875" style="1410" bestFit="1" customWidth="1"/>
    <col min="6" max="6" width="10.81640625" style="1410" customWidth="1"/>
    <col min="7" max="7" width="8.81640625" style="1410"/>
    <col min="8" max="8" width="13.54296875" style="1410" bestFit="1" customWidth="1"/>
    <col min="9" max="9" width="12.54296875" style="1410" customWidth="1"/>
    <col min="10" max="16384" width="8.81640625" style="1410"/>
  </cols>
  <sheetData>
    <row r="1" spans="1:10" x14ac:dyDescent="0.35">
      <c r="A1" s="1409"/>
      <c r="B1" s="1409"/>
      <c r="C1" s="1409"/>
      <c r="D1" s="1409"/>
      <c r="E1" s="1409"/>
      <c r="F1" s="1409"/>
      <c r="G1" s="1409"/>
      <c r="H1" s="1409"/>
      <c r="I1" s="1409"/>
      <c r="J1" s="1409"/>
    </row>
    <row r="2" spans="1:10" x14ac:dyDescent="0.35">
      <c r="A2" s="1409"/>
      <c r="B2" s="1411" t="str">
        <f>IFERROR("FY"&amp;RIGHT(MO.FirstForecastedFiscalYear,4)+4, "FY2024")</f>
        <v>FY2025</v>
      </c>
      <c r="C2" s="1409"/>
      <c r="D2" s="1409"/>
      <c r="E2" s="1409"/>
      <c r="F2" s="1409"/>
      <c r="G2" s="1409"/>
      <c r="H2" s="1409"/>
      <c r="I2" s="1409"/>
      <c r="J2" s="1409"/>
    </row>
    <row r="3" spans="1:10" x14ac:dyDescent="0.35">
      <c r="A3" s="1409"/>
      <c r="B3" s="1409"/>
      <c r="C3" s="1409"/>
      <c r="D3" s="1409"/>
      <c r="E3" s="1409"/>
      <c r="F3" s="1409"/>
      <c r="G3" s="1409"/>
      <c r="H3" s="1409"/>
      <c r="I3" s="1409"/>
      <c r="J3" s="1409"/>
    </row>
    <row r="4" spans="1:10" x14ac:dyDescent="0.35">
      <c r="A4" s="1409"/>
      <c r="C4" s="1412" t="s">
        <v>1255</v>
      </c>
      <c r="D4" s="1409"/>
      <c r="F4" s="1412" t="s">
        <v>1256</v>
      </c>
      <c r="G4" s="1409"/>
      <c r="H4" s="1409"/>
      <c r="I4" s="1412" t="s">
        <v>1257</v>
      </c>
      <c r="J4" s="1409"/>
    </row>
    <row r="5" spans="1:10" x14ac:dyDescent="0.35">
      <c r="A5" s="1409"/>
      <c r="B5" s="1409"/>
      <c r="C5" s="1409"/>
      <c r="D5" s="1409"/>
      <c r="E5" s="1409"/>
      <c r="F5" s="1409"/>
      <c r="G5" s="1409"/>
      <c r="H5" s="1409"/>
      <c r="I5" s="1409"/>
      <c r="J5" s="1409"/>
    </row>
    <row r="6" spans="1:10" x14ac:dyDescent="0.35">
      <c r="A6" s="1409"/>
      <c r="B6" s="1409" t="s">
        <v>1258</v>
      </c>
      <c r="C6" s="1413">
        <f>IFERROR(INDEX(MO_RIS_REV_NONGAAP,0,MATCH($B$2,MO_Common_ColumnHeader,0)),INDEX(MO_RIS_REV,0,MATCH($B$2,MO_Common_ColumnHeader,0)))</f>
        <v>44045.403908700471</v>
      </c>
      <c r="D6" s="1409"/>
      <c r="E6" s="1414">
        <v>0.05</v>
      </c>
      <c r="F6" s="1413">
        <f>$C6*(1+E6)</f>
        <v>46247.674104135498</v>
      </c>
      <c r="G6" s="1409"/>
      <c r="H6" s="1414">
        <v>-0.05</v>
      </c>
      <c r="I6" s="1413">
        <f>$C6*(1+H6)</f>
        <v>41843.133713265444</v>
      </c>
      <c r="J6" s="1409"/>
    </row>
    <row r="7" spans="1:10" x14ac:dyDescent="0.35">
      <c r="A7" s="1409"/>
      <c r="B7" s="1409"/>
      <c r="C7" s="1409"/>
      <c r="D7" s="1409"/>
      <c r="E7" s="1409"/>
      <c r="F7" s="1409"/>
      <c r="G7" s="1409"/>
      <c r="H7" s="1409"/>
      <c r="I7" s="1409"/>
      <c r="J7" s="1409"/>
    </row>
    <row r="8" spans="1:10" x14ac:dyDescent="0.35">
      <c r="A8" s="1409"/>
      <c r="B8" s="1415" t="s">
        <v>1259</v>
      </c>
      <c r="C8" s="1416">
        <f>IFERROR(INDEX(MO_MA_COGS_NONGAAP,0,MATCH($B$2,MO_Common_ColumnHeader,0)),
IFERROR(INDEX(MO_MA_COGS_Adj,0,MATCH($B$2,MO_Common_ColumnHeader,0)),IFERROR(INDEX(MO_MA_COGS,0,MATCH($B$2,MO_Common_ColumnHeader,0)), 0)))</f>
        <v>0.44706523973719003</v>
      </c>
      <c r="D8" s="1409"/>
      <c r="E8" s="1414">
        <v>-0.05</v>
      </c>
      <c r="F8" s="1417">
        <f>C8+E8</f>
        <v>0.39706523973719005</v>
      </c>
      <c r="G8" s="1409"/>
      <c r="H8" s="1414">
        <v>0.05</v>
      </c>
      <c r="I8" s="1417">
        <f>C8+H8</f>
        <v>0.49706523973719002</v>
      </c>
      <c r="J8" s="1409"/>
    </row>
    <row r="9" spans="1:10" x14ac:dyDescent="0.35">
      <c r="A9" s="1409"/>
      <c r="B9" s="1415" t="s">
        <v>1260</v>
      </c>
      <c r="C9" s="1416">
        <f>IFERROR(INDEX(MO_MA_RD_NONGAAP,0,MATCH($B$2,MO_Common_ColumnHeader,0)),
IFERROR(INDEX(MO_MA_RD_Adj,0,MATCH($B$2,MO_Common_ColumnHeader,0)),IFERROR(INDEX(MO_MA_RD,0,MATCH($B$2,MO_Common_ColumnHeader,0)), 0)))</f>
        <v>6.0999999999999999E-2</v>
      </c>
      <c r="D9" s="1409"/>
      <c r="E9" s="1414">
        <v>-0.01</v>
      </c>
      <c r="F9" s="1417">
        <f>C9+E9</f>
        <v>5.0999999999999997E-2</v>
      </c>
      <c r="G9" s="1409"/>
      <c r="H9" s="1414">
        <v>0.01</v>
      </c>
      <c r="I9" s="1417">
        <f>C9+H9</f>
        <v>7.0999999999999994E-2</v>
      </c>
      <c r="J9" s="1409"/>
    </row>
    <row r="10" spans="1:10" x14ac:dyDescent="0.35">
      <c r="A10" s="1409"/>
      <c r="B10" s="1415" t="s">
        <v>1261</v>
      </c>
      <c r="C10" s="1416">
        <f>IFERROR(INDEX(MO_MA_SM_NONGAAP,0,MATCH($B$2,MO_Common_ColumnHeader,0)),
IFERROR(INDEX(MO_MA_SM_Adj,0,MATCH($B$2,MO_Common_ColumnHeader,0)),IFERROR(INDEX(MO_MA_SM,0,MATCH($B$2,MO_Common_ColumnHeader,0)), 0)))</f>
        <v>0</v>
      </c>
      <c r="D10" s="1409"/>
      <c r="E10" s="1414">
        <v>-0.01</v>
      </c>
      <c r="F10" s="1417">
        <f>C10+E10</f>
        <v>-0.01</v>
      </c>
      <c r="G10" s="1409"/>
      <c r="H10" s="1414">
        <v>0.01</v>
      </c>
      <c r="I10" s="1417">
        <f>C10+H10</f>
        <v>0.01</v>
      </c>
      <c r="J10" s="1409"/>
    </row>
    <row r="11" spans="1:10" x14ac:dyDescent="0.35">
      <c r="A11" s="1409"/>
      <c r="B11" s="1415" t="str">
        <f>IF(C10=0,"SG&amp;A","G&amp;A")</f>
        <v>SG&amp;A</v>
      </c>
      <c r="C11" s="1416">
        <f>IFERROR(INDEX(MO_MA_GA_NONGAAP,0,MATCH($B$2,MO_Common_ColumnHeader,0)),
IFERROR(INDEX(MO_MA_GA_Adj,0,MATCH($B$2,MO_Common_ColumnHeader,0)),IFERROR(INDEX(MO_MA_GA,0,MATCH($B$2,MO_Common_ColumnHeader,0)),
IFERROR(INDEX(MO_MA_SGA_NONGAAP,0,MATCH($B$2,MO_Common_ColumnHeader,0)),
IFERROR(INDEX(MO_MA_SGA_Adj,0,MATCH($B$2,MO_Common_ColumnHeader,0)),IFERROR(INDEX(MO_MA_SGA,0,MATCH($B$2,MO_Common_ColumnHeader,0)), 0))))))</f>
        <v>0.19</v>
      </c>
      <c r="D11" s="1409"/>
      <c r="E11" s="1414">
        <v>-0.01</v>
      </c>
      <c r="F11" s="1417">
        <f>C11+E11</f>
        <v>0.18</v>
      </c>
      <c r="G11" s="1409"/>
      <c r="H11" s="1414">
        <v>0.01</v>
      </c>
      <c r="I11" s="1417">
        <f>C11+H11</f>
        <v>0.2</v>
      </c>
      <c r="J11" s="1409"/>
    </row>
    <row r="12" spans="1:10" x14ac:dyDescent="0.35">
      <c r="A12" s="1409"/>
      <c r="B12" s="1418" t="s">
        <v>67</v>
      </c>
      <c r="C12" s="1419">
        <f>IFERROR(IF(1-SUM(C8:C11)-INDEX(MO_RIS_Reported_OperatingIncome_NONGAAP,0,MATCH($B$2,MO_Common_ColumnHeader,0))/$C$6&lt;0,0,1-SUM(C8:C11)-INDEX(MO_RIS_Reported_OperatingIncome_NONGAAP,0,MATCH($B$2,MO_Common_ColumnHeader,0))/$C$6),IFERROR(IF(1-SUM(C8:C11)-INDEX(MO_RIS_EBIT_NONGAAP,0,MATCH($B$2,MO_Common_ColumnHeader,0))/$C$6&lt;0,0,1-SUM(C8:C11)-INDEX(MO_RIS_EBIT_NONGAAP,0,MATCH($B$2,MO_Common_ColumnHeader,0))/$C$6),IFERROR(IF(1-SUM(C8:C11)-INDEX(MO_RIS_EBITDA_Adj,0,MATCH($B$2,MO_Common_ColumnHeader,0))/$C$6&lt;0,0,1-SUM(C8:C11)-INDEX(MO_RIS_EBITDA_Adj,0,MATCH($B$2,MO_Common_ColumnHeader,0))/$C$6),0)))</f>
        <v>6.4705956741992754E-3</v>
      </c>
      <c r="D12" s="1409"/>
      <c r="E12" s="1420">
        <v>0</v>
      </c>
      <c r="F12" s="1421">
        <f>C12+E12</f>
        <v>6.4705956741992754E-3</v>
      </c>
      <c r="G12" s="1409"/>
      <c r="H12" s="1420">
        <v>0</v>
      </c>
      <c r="I12" s="1421">
        <f>C12+H12</f>
        <v>6.4705956741992754E-3</v>
      </c>
      <c r="J12" s="1409"/>
    </row>
    <row r="13" spans="1:10" x14ac:dyDescent="0.35">
      <c r="A13" s="1409"/>
      <c r="B13" s="1422" t="str">
        <f>IFERROR(IF(OR(ROW(MO_RIS_Reported_OperatingIncome_NONGAAP)&gt;0,ROW(MO_RIS_EBIT_NONGAAP)&gt;0),"Adj. EBIT Margin","EBITDA Margin"),"EBITDA Margin")</f>
        <v>EBITDA Margin</v>
      </c>
      <c r="C13" s="1423">
        <f>1-SUM(C8:C12)</f>
        <v>0.29546416458861069</v>
      </c>
      <c r="D13" s="1409"/>
      <c r="E13" s="1409"/>
      <c r="F13" s="1423">
        <f>1-SUM(F8:F12)</f>
        <v>0.37546416458861076</v>
      </c>
      <c r="G13" s="1409"/>
      <c r="H13" s="1409"/>
      <c r="I13" s="1423">
        <f>1-SUM(I8:I12)</f>
        <v>0.21546416458861062</v>
      </c>
      <c r="J13" s="1409"/>
    </row>
    <row r="14" spans="1:10" x14ac:dyDescent="0.35">
      <c r="A14" s="1409"/>
      <c r="B14" s="1409"/>
      <c r="C14" s="1424"/>
      <c r="D14" s="1409"/>
      <c r="E14" s="1409"/>
      <c r="F14" s="1409"/>
      <c r="G14" s="1409"/>
      <c r="H14" s="1409"/>
      <c r="I14" s="1409"/>
      <c r="J14" s="1409"/>
    </row>
    <row r="15" spans="1:10" x14ac:dyDescent="0.35">
      <c r="A15" s="1409"/>
      <c r="B15" s="1422" t="str">
        <f>RIGHT($B$2,4)&amp;" "&amp;SUBSTITUTE(B13," Margin","")</f>
        <v>2025 EBITDA</v>
      </c>
      <c r="C15" s="1425">
        <f>C6*C13</f>
        <v>13013.838469852113</v>
      </c>
      <c r="D15" s="1409"/>
      <c r="E15" s="1422"/>
      <c r="F15" s="1425">
        <f>F6*F13</f>
        <v>17364.344321675562</v>
      </c>
      <c r="G15" s="1422"/>
      <c r="H15" s="1422"/>
      <c r="I15" s="1425">
        <f>I6*I13</f>
        <v>9015.6958492982667</v>
      </c>
      <c r="J15" s="1409"/>
    </row>
    <row r="16" spans="1:10" x14ac:dyDescent="0.35">
      <c r="A16" s="1409"/>
      <c r="B16" s="1422" t="str">
        <f>RIGHT($B$2,4)&amp;" Multiple"</f>
        <v>2025 Multiple</v>
      </c>
      <c r="C16" s="1426">
        <v>20</v>
      </c>
      <c r="D16" s="1409"/>
      <c r="E16" s="1426">
        <v>5</v>
      </c>
      <c r="F16" s="1427">
        <f>C16+E16</f>
        <v>25</v>
      </c>
      <c r="G16" s="1422"/>
      <c r="H16" s="1426">
        <v>-8</v>
      </c>
      <c r="I16" s="1427">
        <f>H16+C16</f>
        <v>12</v>
      </c>
      <c r="J16" s="1409"/>
    </row>
    <row r="17" spans="1:10" x14ac:dyDescent="0.35">
      <c r="A17" s="1409"/>
      <c r="B17" s="1409"/>
      <c r="C17" s="1409"/>
      <c r="D17" s="1409"/>
      <c r="E17" s="1409"/>
      <c r="F17" s="1428"/>
      <c r="G17" s="1409"/>
      <c r="H17" s="1409"/>
      <c r="I17" s="1428"/>
      <c r="J17" s="1409"/>
    </row>
    <row r="18" spans="1:10" x14ac:dyDescent="0.35">
      <c r="A18" s="1409"/>
      <c r="B18" s="1422" t="s">
        <v>1126</v>
      </c>
      <c r="C18" s="1425">
        <f>C15*C16</f>
        <v>260276.76939704226</v>
      </c>
      <c r="D18" s="1409"/>
      <c r="E18" s="1422"/>
      <c r="F18" s="1425">
        <f>F15*F16</f>
        <v>434108.60804188903</v>
      </c>
      <c r="G18" s="1422"/>
      <c r="H18" s="1422"/>
      <c r="I18" s="1425">
        <f>I15*I16</f>
        <v>108188.3501915792</v>
      </c>
      <c r="J18" s="1409"/>
    </row>
    <row r="19" spans="1:10" x14ac:dyDescent="0.35">
      <c r="A19" s="1409"/>
      <c r="B19" s="1415" t="s">
        <v>103</v>
      </c>
      <c r="C19" s="1413">
        <f ca="1">IFERROR(INDEX(MO_BSS_Cash,0,MATCH($B$2,MO_Common_ColumnHeader,0)),"n/a")</f>
        <v>13228.783412970231</v>
      </c>
      <c r="D19" s="1409"/>
      <c r="E19" s="1422"/>
      <c r="F19" s="1413">
        <f ca="1">$C19</f>
        <v>13228.783412970231</v>
      </c>
      <c r="G19" s="1422"/>
      <c r="H19" s="1422"/>
      <c r="I19" s="1413">
        <f ca="1">$C19</f>
        <v>13228.783412970231</v>
      </c>
      <c r="J19" s="1409"/>
    </row>
    <row r="20" spans="1:10" x14ac:dyDescent="0.35">
      <c r="A20" s="1409"/>
      <c r="B20" s="1415" t="s">
        <v>104</v>
      </c>
      <c r="C20" s="1413">
        <f>IFERROR(INDEX(MO_BSS_Debt,0,MATCH($B$2,MO_Common_ColumnHeader,0)),"n/a")</f>
        <v>18187</v>
      </c>
      <c r="D20" s="1409"/>
      <c r="E20" s="1422"/>
      <c r="F20" s="1413">
        <f>$C20</f>
        <v>18187</v>
      </c>
      <c r="G20" s="1422"/>
      <c r="H20" s="1422"/>
      <c r="I20" s="1413">
        <f>$C20</f>
        <v>18187</v>
      </c>
      <c r="J20" s="1409"/>
    </row>
    <row r="21" spans="1:10" x14ac:dyDescent="0.35">
      <c r="A21" s="1409"/>
      <c r="B21" s="1418" t="s">
        <v>1125</v>
      </c>
      <c r="C21" s="1429">
        <f>IFERROR(INDEX(MO_BSS_OL,0,MATCH($B$2,MO_Common_ColumnHeader,0)),0)</f>
        <v>876</v>
      </c>
      <c r="D21" s="1409"/>
      <c r="E21" s="1430"/>
      <c r="F21" s="1429">
        <f>$C21</f>
        <v>876</v>
      </c>
      <c r="G21" s="1422"/>
      <c r="H21" s="1430"/>
      <c r="I21" s="1429">
        <f>$C21</f>
        <v>876</v>
      </c>
      <c r="J21" s="1409"/>
    </row>
    <row r="22" spans="1:10" x14ac:dyDescent="0.35">
      <c r="A22" s="1409"/>
      <c r="B22" s="1418" t="s">
        <v>105</v>
      </c>
      <c r="C22" s="1429">
        <f ca="1">C20+C21-C19</f>
        <v>5834.2165870297686</v>
      </c>
      <c r="D22" s="1409"/>
      <c r="E22" s="1431"/>
      <c r="F22" s="1429">
        <f ca="1">F20+F21-F19</f>
        <v>5834.2165870297686</v>
      </c>
      <c r="G22" s="1409"/>
      <c r="H22" s="1431"/>
      <c r="I22" s="1429">
        <f ca="1">I20+I21-I19</f>
        <v>5834.2165870297686</v>
      </c>
      <c r="J22" s="1409"/>
    </row>
    <row r="23" spans="1:10" x14ac:dyDescent="0.35">
      <c r="A23" s="1409"/>
      <c r="B23" s="1422" t="s">
        <v>1262</v>
      </c>
      <c r="C23" s="1425">
        <f ca="1">C18-C22</f>
        <v>254442.55281001248</v>
      </c>
      <c r="D23" s="1413"/>
      <c r="E23" s="1425"/>
      <c r="F23" s="1425">
        <f ca="1">F18-F22</f>
        <v>428274.39145485929</v>
      </c>
      <c r="G23" s="1425"/>
      <c r="H23" s="1425"/>
      <c r="I23" s="1425">
        <f ca="1">I18-I22</f>
        <v>102354.13360454942</v>
      </c>
      <c r="J23" s="1409"/>
    </row>
    <row r="24" spans="1:10" ht="15" thickBot="1" x14ac:dyDescent="0.4">
      <c r="A24" s="1409"/>
      <c r="B24" s="1415" t="s">
        <v>1263</v>
      </c>
      <c r="C24" s="1432">
        <f ca="1">IFERROR(INDEX(MO_RIS_ShareCount_WAD_Adj,0,MATCH($B$2,MO_Common_ColumnHeader,0)),"n/a")</f>
        <v>545.78212235210015</v>
      </c>
      <c r="D24" s="1409"/>
      <c r="E24" s="1409"/>
      <c r="F24" s="1432">
        <f ca="1">$C24</f>
        <v>545.78212235210015</v>
      </c>
      <c r="G24" s="1409"/>
      <c r="H24" s="1409"/>
      <c r="I24" s="1432">
        <f ca="1">$C24</f>
        <v>545.78212235210015</v>
      </c>
      <c r="J24" s="1409"/>
    </row>
    <row r="25" spans="1:10" x14ac:dyDescent="0.35">
      <c r="A25" s="1409"/>
      <c r="B25" s="1433" t="str">
        <f>RIGHT(B2,4)&amp;" Stock Price"</f>
        <v>2025 Stock Price</v>
      </c>
      <c r="C25" s="1434">
        <f ca="1">C23/C24</f>
        <v>466.19803469096428</v>
      </c>
      <c r="D25" s="1434"/>
      <c r="E25" s="1434"/>
      <c r="F25" s="1434">
        <f ca="1">F23/F24</f>
        <v>784.69846100705888</v>
      </c>
      <c r="G25" s="1434"/>
      <c r="H25" s="1434"/>
      <c r="I25" s="1435">
        <f ca="1">I23/I24</f>
        <v>187.53661839168441</v>
      </c>
      <c r="J25" s="1409"/>
    </row>
    <row r="26" spans="1:10" x14ac:dyDescent="0.35">
      <c r="A26" s="1409"/>
      <c r="B26" s="1436" t="s">
        <v>1264</v>
      </c>
      <c r="C26" s="1437">
        <f ca="1">MO.LastPrice/HP.MRFX</f>
        <v>195.93</v>
      </c>
      <c r="D26" s="1437"/>
      <c r="E26" s="1437"/>
      <c r="F26" s="1437">
        <f ca="1">$C26</f>
        <v>195.93</v>
      </c>
      <c r="G26" s="1437"/>
      <c r="H26" s="1437"/>
      <c r="I26" s="1438">
        <f ca="1">$C26</f>
        <v>195.93</v>
      </c>
      <c r="J26" s="1409"/>
    </row>
    <row r="27" spans="1:10" ht="15" thickBot="1" x14ac:dyDescent="0.4">
      <c r="A27" s="1409"/>
      <c r="B27" s="1439" t="s">
        <v>1265</v>
      </c>
      <c r="C27" s="1440">
        <f ca="1">C25/C26-1</f>
        <v>1.3794111911956528</v>
      </c>
      <c r="D27" s="1441"/>
      <c r="E27" s="1441"/>
      <c r="F27" s="1440">
        <f ca="1">F25/F26-1</f>
        <v>3.0049939315421774</v>
      </c>
      <c r="G27" s="1441"/>
      <c r="H27" s="1441"/>
      <c r="I27" s="1442">
        <f ca="1">I25/I26-1</f>
        <v>-4.283867507944461E-2</v>
      </c>
      <c r="J27" s="1409"/>
    </row>
    <row r="28" spans="1:10" x14ac:dyDescent="0.35">
      <c r="A28" s="1409"/>
      <c r="B28" s="1409"/>
      <c r="C28" s="1409"/>
      <c r="D28" s="1409"/>
      <c r="E28" s="1409"/>
      <c r="F28" s="1409"/>
      <c r="G28" s="1409"/>
      <c r="H28" s="1409"/>
      <c r="I28" s="1409"/>
      <c r="J28" s="1409"/>
    </row>
    <row r="29" spans="1:10" ht="15" thickBot="1" x14ac:dyDescent="0.4">
      <c r="A29" s="1409"/>
      <c r="B29" s="1409" t="str">
        <f>"Years to "&amp;RIGHT(B2,4)</f>
        <v>Years to 2025</v>
      </c>
      <c r="C29" s="1443">
        <f ca="1">(INDEX(MO_Common_QEndDate,0,MATCH($B$2,MO_Common_ColumnHeader,0))-TEXT(TODAY(),"yyyy-mm-dd"))/365</f>
        <v>4.5479452054794525</v>
      </c>
      <c r="D29" s="1409"/>
      <c r="E29" s="1409"/>
      <c r="F29" s="1443">
        <f ca="1">$C29</f>
        <v>4.5479452054794525</v>
      </c>
      <c r="G29" s="1409"/>
      <c r="H29" s="1409"/>
      <c r="I29" s="1443">
        <f ca="1">$C29</f>
        <v>4.5479452054794525</v>
      </c>
      <c r="J29" s="1409"/>
    </row>
    <row r="30" spans="1:10" ht="15" thickBot="1" x14ac:dyDescent="0.4">
      <c r="A30" s="1409"/>
      <c r="B30" s="1444" t="s">
        <v>1266</v>
      </c>
      <c r="C30" s="1445">
        <f ca="1">(C25/C26)^(1/C29)-1</f>
        <v>0.20997927664756921</v>
      </c>
      <c r="D30" s="1446"/>
      <c r="E30" s="1446"/>
      <c r="F30" s="1445">
        <f ca="1">(F25/F26)^(1/F29)-1</f>
        <v>0.35674992763304569</v>
      </c>
      <c r="G30" s="1446"/>
      <c r="H30" s="1446"/>
      <c r="I30" s="1447">
        <f ca="1">(I25/I26)^(1/I29)-1</f>
        <v>-9.5808653284882306E-3</v>
      </c>
      <c r="J30" s="1409"/>
    </row>
    <row r="31" spans="1:10" x14ac:dyDescent="0.35">
      <c r="A31" s="1409"/>
      <c r="B31" s="1409"/>
      <c r="C31" s="1409"/>
      <c r="D31" s="1409"/>
      <c r="E31" s="1409"/>
      <c r="F31" s="1409"/>
      <c r="G31" s="1409"/>
      <c r="H31" s="1409"/>
      <c r="I31" s="1409"/>
      <c r="J31" s="1409"/>
    </row>
  </sheetData>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9BC110-6CBA-437F-84E4-A4A26CB13629}">
  <sheetPr codeName="Sheet7">
    <tabColor theme="0"/>
    <pageSetUpPr fitToPage="1"/>
  </sheetPr>
  <dimension ref="A1:AH190"/>
  <sheetViews>
    <sheetView zoomScale="85" zoomScaleNormal="85" workbookViewId="0">
      <pane xSplit="3" ySplit="3" topLeftCell="D4" activePane="bottomRight" state="frozen"/>
      <selection pane="topRight"/>
      <selection pane="bottomLeft"/>
      <selection pane="bottomRight"/>
    </sheetView>
  </sheetViews>
  <sheetFormatPr defaultColWidth="9.1796875" defaultRowHeight="14.25" customHeight="1" outlineLevelRow="1" outlineLevelCol="1" x14ac:dyDescent="0.35"/>
  <cols>
    <col min="1" max="2" width="22.1796875" style="1201" customWidth="1"/>
    <col min="3" max="3" width="31.7265625" style="1202" customWidth="1" outlineLevel="1"/>
    <col min="4" max="5" width="10.7265625" style="1201" customWidth="1"/>
    <col min="6" max="9" width="10.7265625" style="1201" customWidth="1" outlineLevel="1"/>
    <col min="10" max="10" width="10.7265625" style="1201" customWidth="1"/>
    <col min="11" max="14" width="10.7265625" style="1201" customWidth="1" outlineLevel="1"/>
    <col min="15" max="15" width="10.7265625" style="1201" customWidth="1"/>
    <col min="16" max="19" width="10.7265625" style="1201" customWidth="1" outlineLevel="1"/>
    <col min="20" max="20" width="10.7265625" style="1201" customWidth="1"/>
    <col min="21" max="24" width="10.7265625" style="1201" customWidth="1" outlineLevel="1"/>
    <col min="25" max="25" width="10.7265625" style="1201" customWidth="1"/>
    <col min="26" max="29" width="10.7265625" style="1201" customWidth="1" outlineLevel="1"/>
    <col min="30" max="33" width="10.7265625" style="1201" customWidth="1"/>
    <col min="34" max="16384" width="9.1796875" style="1201"/>
  </cols>
  <sheetData>
    <row r="1" spans="1:33" s="1199" customFormat="1" ht="14.25" customHeight="1" x14ac:dyDescent="0.35">
      <c r="A1" s="1194" t="str">
        <f>IFERROR(MO.CompanyName,"[Company Name]")&amp;" - Ratios"</f>
        <v>3M Company - Ratios</v>
      </c>
      <c r="B1" s="1195"/>
      <c r="C1" s="1196"/>
      <c r="D1" s="1197"/>
      <c r="E1" s="1197"/>
      <c r="F1" s="1197"/>
      <c r="G1" s="1197"/>
      <c r="H1" s="1197"/>
      <c r="I1" s="1197"/>
      <c r="J1" s="1197"/>
      <c r="K1" s="1197"/>
      <c r="L1" s="1197"/>
      <c r="M1" s="1197"/>
      <c r="N1" s="1197"/>
      <c r="O1" s="1197"/>
      <c r="P1" s="1197"/>
      <c r="Q1" s="1197"/>
      <c r="R1" s="1197"/>
      <c r="S1" s="1197"/>
      <c r="T1" s="1197"/>
      <c r="U1" s="1197"/>
      <c r="V1" s="1197"/>
      <c r="W1" s="1197"/>
      <c r="X1" s="1197"/>
      <c r="Y1" s="1197"/>
      <c r="Z1" s="1197"/>
      <c r="AA1" s="1197"/>
      <c r="AB1" s="1197"/>
      <c r="AC1" s="1197"/>
      <c r="AD1" s="1197"/>
      <c r="AE1" s="1197"/>
      <c r="AF1" s="1197"/>
      <c r="AG1" s="1198"/>
    </row>
    <row r="2" spans="1:33" ht="14.25" customHeight="1" x14ac:dyDescent="0.35">
      <c r="A2" s="1200"/>
      <c r="D2" s="1203" t="str">
        <f>IF(LEFT(D3,1)="F",IF(RIGHT(D3,4)&lt;RIGHT(MO.FirstForecastedFiscalYear,4),"A","F"),
IF(AND(RIGHT(LEFT(D3,2),1)&lt;=RIGHT(LEFT(IF(LEFT(UL.MRQ,1)="F","Q4-"&amp;RIGHT(UL.MRQ,4),UL.MRQ),2),1),RIGHT(D3,4)&lt;=RIGHT(IF(LEFT(UL.MRQ,1)="F","Q4-"&amp;RIGHT(UL.MRQ,4),UL.MRQ),4)),"A",
IF(AND(RIGHT(LEFT(D3,2),1)&gt;RIGHT(LEFT(IF(LEFT(UL.MRQ,1)="F","Q4-"&amp;RIGHT(UL.MRQ,4),UL.MRQ),2),1),RIGHT(D3,4)&lt;RIGHT(IF(LEFT(UL.MRQ,1)="F","Q4-"&amp;RIGHT(UL.MRQ,4),UL.MRQ),4)),"A",
"F")))</f>
        <v>A</v>
      </c>
      <c r="E2" s="1203" t="str">
        <f>IF(LEFT(E3,1)="F",IF(RIGHT(E3,4)&lt;RIGHT(MO.FirstForecastedFiscalYear,4),"A","F"),
IF(AND(RIGHT(LEFT(E3,2),1)&lt;=RIGHT(LEFT(IF(LEFT(UL.MRQ,1)="F","Q4-"&amp;RIGHT(UL.MRQ,4),UL.MRQ),2),1),RIGHT(E3,4)&lt;=RIGHT(IF(LEFT(UL.MRQ,1)="F","Q4-"&amp;RIGHT(UL.MRQ,4),UL.MRQ),4)),"A",
IF(AND(RIGHT(LEFT(E3,2),1)&gt;RIGHT(LEFT(IF(LEFT(UL.MRQ,1)="F","Q4-"&amp;RIGHT(UL.MRQ,4),UL.MRQ),2),1),RIGHT(E3,4)&lt;RIGHT(IF(LEFT(UL.MRQ,1)="F","Q4-"&amp;RIGHT(UL.MRQ,4),UL.MRQ),4)),"A",
"F")))</f>
        <v>A</v>
      </c>
      <c r="F2" s="1203" t="str">
        <f>IF(LEFT(F3,1)="F",IF(RIGHT(F3,4)&lt;RIGHT(MO.FirstForecastedFiscalYear,4),"A","F"),
IF(AND(RIGHT(LEFT(F3,2),1)&lt;=RIGHT(LEFT(IF(LEFT(UL.MRQ,1)="F","Q4-"&amp;RIGHT(UL.MRQ,4),UL.MRQ),2),1),RIGHT(F3,4)&lt;=RIGHT(IF(LEFT(UL.MRQ,1)="F","Q4-"&amp;RIGHT(UL.MRQ,4),UL.MRQ),4)),"A",
IF(AND(RIGHT(LEFT(F3,2),1)&gt;RIGHT(LEFT(IF(LEFT(UL.MRQ,1)="F","Q4-"&amp;RIGHT(UL.MRQ,4),UL.MRQ),2),1),RIGHT(F3,4)&lt;RIGHT(IF(LEFT(UL.MRQ,1)="F","Q4-"&amp;RIGHT(UL.MRQ,4),UL.MRQ),4)),"A",
"F")))</f>
        <v>A</v>
      </c>
      <c r="G2" s="1203" t="str">
        <f>IF(LEFT(G3,1)="F",IF(RIGHT(G3,4)&lt;RIGHT(MO.FirstForecastedFiscalYear,4),"A","F"),
IF(AND(RIGHT(LEFT(G3,2),1)&lt;=RIGHT(LEFT(IF(LEFT(UL.MRQ,1)="F","Q4-"&amp;RIGHT(UL.MRQ,4),UL.MRQ),2),1),RIGHT(G3,4)&lt;=RIGHT(IF(LEFT(UL.MRQ,1)="F","Q4-"&amp;RIGHT(UL.MRQ,4),UL.MRQ),4)),"A",
IF(AND(RIGHT(LEFT(G3,2),1)&gt;RIGHT(LEFT(IF(LEFT(UL.MRQ,1)="F","Q4-"&amp;RIGHT(UL.MRQ,4),UL.MRQ),2),1),RIGHT(G3,4)&lt;RIGHT(IF(LEFT(UL.MRQ,1)="F","Q4-"&amp;RIGHT(UL.MRQ,4),UL.MRQ),4)),"A",
"F")))</f>
        <v>A</v>
      </c>
      <c r="H2" s="1203" t="str">
        <f>IF(LEFT(H3,1)="F",IF(RIGHT(H3,4)&lt;RIGHT(MO.FirstForecastedFiscalYear,4),"A","F"),
IF(AND(RIGHT(LEFT(H3,2),1)&lt;=RIGHT(LEFT(IF(LEFT(UL.MRQ,1)="F","Q4-"&amp;RIGHT(UL.MRQ,4),UL.MRQ),2),1),RIGHT(H3,4)&lt;=RIGHT(IF(LEFT(UL.MRQ,1)="F","Q4-"&amp;RIGHT(UL.MRQ,4),UL.MRQ),4)),"A",
IF(AND(RIGHT(LEFT(H3,2),1)&gt;RIGHT(LEFT(IF(LEFT(UL.MRQ,1)="F","Q4-"&amp;RIGHT(UL.MRQ,4),UL.MRQ),2),1),RIGHT(H3,4)&lt;RIGHT(IF(LEFT(UL.MRQ,1)="F","Q4-"&amp;RIGHT(UL.MRQ,4),UL.MRQ),4)),"A",
"F")))</f>
        <v>A</v>
      </c>
      <c r="I2" s="1203" t="str">
        <f>IF(LEFT(I3,1)="F",IF(RIGHT(I3,4)&lt;RIGHT(MO.FirstForecastedFiscalYear,4),"A","F"),
IF(AND(RIGHT(LEFT(I3,2),1)&lt;=RIGHT(LEFT(IF(LEFT(UL.MRQ,1)="F","Q4-"&amp;RIGHT(UL.MRQ,4),UL.MRQ),2),1),RIGHT(I3,4)&lt;=RIGHT(IF(LEFT(UL.MRQ,1)="F","Q4-"&amp;RIGHT(UL.MRQ,4),UL.MRQ),4)),"A",
IF(AND(RIGHT(LEFT(I3,2),1)&gt;RIGHT(LEFT(IF(LEFT(UL.MRQ,1)="F","Q4-"&amp;RIGHT(UL.MRQ,4),UL.MRQ),2),1),RIGHT(I3,4)&lt;RIGHT(IF(LEFT(UL.MRQ,1)="F","Q4-"&amp;RIGHT(UL.MRQ,4),UL.MRQ),4)),"A",
"F")))</f>
        <v>A</v>
      </c>
      <c r="J2" s="1203" t="str">
        <f>IF(LEFT(J3,1)="F",IF(RIGHT(J3,4)&lt;RIGHT(MO.FirstForecastedFiscalYear,4),"A","F"),
IF(AND(RIGHT(LEFT(J3,2),1)&lt;=RIGHT(LEFT(IF(LEFT(UL.MRQ,1)="F","Q4-"&amp;RIGHT(UL.MRQ,4),UL.MRQ),2),1),RIGHT(J3,4)&lt;=RIGHT(IF(LEFT(UL.MRQ,1)="F","Q4-"&amp;RIGHT(UL.MRQ,4),UL.MRQ),4)),"A",
IF(AND(RIGHT(LEFT(J3,2),1)&gt;RIGHT(LEFT(IF(LEFT(UL.MRQ,1)="F","Q4-"&amp;RIGHT(UL.MRQ,4),UL.MRQ),2),1),RIGHT(J3,4)&lt;RIGHT(IF(LEFT(UL.MRQ,1)="F","Q4-"&amp;RIGHT(UL.MRQ,4),UL.MRQ),4)),"A",
"F")))</f>
        <v>A</v>
      </c>
      <c r="K2" s="1203" t="str">
        <f>IF(LEFT(K3,1)="F",IF(RIGHT(K3,4)&lt;RIGHT(MO.FirstForecastedFiscalYear,4),"A","F"),
IF(AND(RIGHT(LEFT(K3,2),1)&lt;=RIGHT(LEFT(IF(LEFT(UL.MRQ,1)="F","Q4-"&amp;RIGHT(UL.MRQ,4),UL.MRQ),2),1),RIGHT(K3,4)&lt;=RIGHT(IF(LEFT(UL.MRQ,1)="F","Q4-"&amp;RIGHT(UL.MRQ,4),UL.MRQ),4)),"A",
IF(AND(RIGHT(LEFT(K3,2),1)&gt;RIGHT(LEFT(IF(LEFT(UL.MRQ,1)="F","Q4-"&amp;RIGHT(UL.MRQ,4),UL.MRQ),2),1),RIGHT(K3,4)&lt;RIGHT(IF(LEFT(UL.MRQ,1)="F","Q4-"&amp;RIGHT(UL.MRQ,4),UL.MRQ),4)),"A",
"F")))</f>
        <v>A</v>
      </c>
      <c r="L2" s="1203" t="str">
        <f>IF(LEFT(L3,1)="F",IF(RIGHT(L3,4)&lt;RIGHT(MO.FirstForecastedFiscalYear,4),"A","F"),
IF(AND(RIGHT(LEFT(L3,2),1)&lt;=RIGHT(LEFT(IF(LEFT(UL.MRQ,1)="F","Q4-"&amp;RIGHT(UL.MRQ,4),UL.MRQ),2),1),RIGHT(L3,4)&lt;=RIGHT(IF(LEFT(UL.MRQ,1)="F","Q4-"&amp;RIGHT(UL.MRQ,4),UL.MRQ),4)),"A",
IF(AND(RIGHT(LEFT(L3,2),1)&gt;RIGHT(LEFT(IF(LEFT(UL.MRQ,1)="F","Q4-"&amp;RIGHT(UL.MRQ,4),UL.MRQ),2),1),RIGHT(L3,4)&lt;RIGHT(IF(LEFT(UL.MRQ,1)="F","Q4-"&amp;RIGHT(UL.MRQ,4),UL.MRQ),4)),"A",
"F")))</f>
        <v>A</v>
      </c>
      <c r="M2" s="1203" t="str">
        <f>IF(LEFT(M3,1)="F",IF(RIGHT(M3,4)&lt;RIGHT(MO.FirstForecastedFiscalYear,4),"A","F"),
IF(AND(RIGHT(LEFT(M3,2),1)&lt;=RIGHT(LEFT(IF(LEFT(UL.MRQ,1)="F","Q4-"&amp;RIGHT(UL.MRQ,4),UL.MRQ),2),1),RIGHT(M3,4)&lt;=RIGHT(IF(LEFT(UL.MRQ,1)="F","Q4-"&amp;RIGHT(UL.MRQ,4),UL.MRQ),4)),"A",
IF(AND(RIGHT(LEFT(M3,2),1)&gt;RIGHT(LEFT(IF(LEFT(UL.MRQ,1)="F","Q4-"&amp;RIGHT(UL.MRQ,4),UL.MRQ),2),1),RIGHT(M3,4)&lt;RIGHT(IF(LEFT(UL.MRQ,1)="F","Q4-"&amp;RIGHT(UL.MRQ,4),UL.MRQ),4)),"A",
"F")))</f>
        <v>A</v>
      </c>
      <c r="N2" s="1203" t="str">
        <f>IF(LEFT(N3,1)="F",IF(RIGHT(N3,4)&lt;RIGHT(MO.FirstForecastedFiscalYear,4),"A","F"),
IF(AND(RIGHT(LEFT(N3,2),1)&lt;=RIGHT(LEFT(IF(LEFT(UL.MRQ,1)="F","Q4-"&amp;RIGHT(UL.MRQ,4),UL.MRQ),2),1),RIGHT(N3,4)&lt;=RIGHT(IF(LEFT(UL.MRQ,1)="F","Q4-"&amp;RIGHT(UL.MRQ,4),UL.MRQ),4)),"A",
IF(AND(RIGHT(LEFT(N3,2),1)&gt;RIGHT(LEFT(IF(LEFT(UL.MRQ,1)="F","Q4-"&amp;RIGHT(UL.MRQ,4),UL.MRQ),2),1),RIGHT(N3,4)&lt;RIGHT(IF(LEFT(UL.MRQ,1)="F","Q4-"&amp;RIGHT(UL.MRQ,4),UL.MRQ),4)),"A",
"F")))</f>
        <v>A</v>
      </c>
      <c r="O2" s="1203" t="str">
        <f>IF(LEFT(O3,1)="F",IF(RIGHT(O3,4)&lt;RIGHT(MO.FirstForecastedFiscalYear,4),"A","F"),
IF(AND(RIGHT(LEFT(O3,2),1)&lt;=RIGHT(LEFT(IF(LEFT(UL.MRQ,1)="F","Q4-"&amp;RIGHT(UL.MRQ,4),UL.MRQ),2),1),RIGHT(O3,4)&lt;=RIGHT(IF(LEFT(UL.MRQ,1)="F","Q4-"&amp;RIGHT(UL.MRQ,4),UL.MRQ),4)),"A",
IF(AND(RIGHT(LEFT(O3,2),1)&gt;RIGHT(LEFT(IF(LEFT(UL.MRQ,1)="F","Q4-"&amp;RIGHT(UL.MRQ,4),UL.MRQ),2),1),RIGHT(O3,4)&lt;RIGHT(IF(LEFT(UL.MRQ,1)="F","Q4-"&amp;RIGHT(UL.MRQ,4),UL.MRQ),4)),"A",
"F")))</f>
        <v>A</v>
      </c>
      <c r="P2" s="1203" t="str">
        <f>IF(LEFT(P3,1)="F",IF(RIGHT(P3,4)&lt;RIGHT(MO.FirstForecastedFiscalYear,4),"A","F"),
IF(AND(RIGHT(LEFT(P3,2),1)&lt;=RIGHT(LEFT(IF(LEFT(UL.MRQ,1)="F","Q4-"&amp;RIGHT(UL.MRQ,4),UL.MRQ),2),1),RIGHT(P3,4)&lt;=RIGHT(IF(LEFT(UL.MRQ,1)="F","Q4-"&amp;RIGHT(UL.MRQ,4),UL.MRQ),4)),"A",
IF(AND(RIGHT(LEFT(P3,2),1)&gt;RIGHT(LEFT(IF(LEFT(UL.MRQ,1)="F","Q4-"&amp;RIGHT(UL.MRQ,4),UL.MRQ),2),1),RIGHT(P3,4)&lt;RIGHT(IF(LEFT(UL.MRQ,1)="F","Q4-"&amp;RIGHT(UL.MRQ,4),UL.MRQ),4)),"A",
"F")))</f>
        <v>A</v>
      </c>
      <c r="Q2" s="1203" t="str">
        <f>IF(LEFT(Q3,1)="F",IF(RIGHT(Q3,4)&lt;RIGHT(MO.FirstForecastedFiscalYear,4),"A","F"),
IF(AND(RIGHT(LEFT(Q3,2),1)&lt;=RIGHT(LEFT(IF(LEFT(UL.MRQ,1)="F","Q4-"&amp;RIGHT(UL.MRQ,4),UL.MRQ),2),1),RIGHT(Q3,4)&lt;=RIGHT(IF(LEFT(UL.MRQ,1)="F","Q4-"&amp;RIGHT(UL.MRQ,4),UL.MRQ),4)),"A",
IF(AND(RIGHT(LEFT(Q3,2),1)&gt;RIGHT(LEFT(IF(LEFT(UL.MRQ,1)="F","Q4-"&amp;RIGHT(UL.MRQ,4),UL.MRQ),2),1),RIGHT(Q3,4)&lt;RIGHT(IF(LEFT(UL.MRQ,1)="F","Q4-"&amp;RIGHT(UL.MRQ,4),UL.MRQ),4)),"A",
"F")))</f>
        <v>A</v>
      </c>
      <c r="R2" s="1203" t="str">
        <f>IF(LEFT(R3,1)="F",IF(RIGHT(R3,4)&lt;RIGHT(MO.FirstForecastedFiscalYear,4),"A","F"),
IF(AND(RIGHT(LEFT(R3,2),1)&lt;=RIGHT(LEFT(IF(LEFT(UL.MRQ,1)="F","Q4-"&amp;RIGHT(UL.MRQ,4),UL.MRQ),2),1),RIGHT(R3,4)&lt;=RIGHT(IF(LEFT(UL.MRQ,1)="F","Q4-"&amp;RIGHT(UL.MRQ,4),UL.MRQ),4)),"A",
IF(AND(RIGHT(LEFT(R3,2),1)&gt;RIGHT(LEFT(IF(LEFT(UL.MRQ,1)="F","Q4-"&amp;RIGHT(UL.MRQ,4),UL.MRQ),2),1),RIGHT(R3,4)&lt;RIGHT(IF(LEFT(UL.MRQ,1)="F","Q4-"&amp;RIGHT(UL.MRQ,4),UL.MRQ),4)),"A",
"F")))</f>
        <v>A</v>
      </c>
      <c r="S2" s="1203" t="str">
        <f>IF(LEFT(S3,1)="F",IF(RIGHT(S3,4)&lt;RIGHT(MO.FirstForecastedFiscalYear,4),"A","F"),
IF(AND(RIGHT(LEFT(S3,2),1)&lt;=RIGHT(LEFT(IF(LEFT(UL.MRQ,1)="F","Q4-"&amp;RIGHT(UL.MRQ,4),UL.MRQ),2),1),RIGHT(S3,4)&lt;=RIGHT(IF(LEFT(UL.MRQ,1)="F","Q4-"&amp;RIGHT(UL.MRQ,4),UL.MRQ),4)),"A",
IF(AND(RIGHT(LEFT(S3,2),1)&gt;RIGHT(LEFT(IF(LEFT(UL.MRQ,1)="F","Q4-"&amp;RIGHT(UL.MRQ,4),UL.MRQ),2),1),RIGHT(S3,4)&lt;RIGHT(IF(LEFT(UL.MRQ,1)="F","Q4-"&amp;RIGHT(UL.MRQ,4),UL.MRQ),4)),"A",
"F")))</f>
        <v>A</v>
      </c>
      <c r="T2" s="1203" t="str">
        <f>IF(LEFT(T3,1)="F",IF(RIGHT(T3,4)&lt;RIGHT(MO.FirstForecastedFiscalYear,4),"A","F"),
IF(AND(RIGHT(LEFT(T3,2),1)&lt;=RIGHT(LEFT(IF(LEFT(UL.MRQ,1)="F","Q4-"&amp;RIGHT(UL.MRQ,4),UL.MRQ),2),1),RIGHT(T3,4)&lt;=RIGHT(IF(LEFT(UL.MRQ,1)="F","Q4-"&amp;RIGHT(UL.MRQ,4),UL.MRQ),4)),"A",
IF(AND(RIGHT(LEFT(T3,2),1)&gt;RIGHT(LEFT(IF(LEFT(UL.MRQ,1)="F","Q4-"&amp;RIGHT(UL.MRQ,4),UL.MRQ),2),1),RIGHT(T3,4)&lt;RIGHT(IF(LEFT(UL.MRQ,1)="F","Q4-"&amp;RIGHT(UL.MRQ,4),UL.MRQ),4)),"A",
"F")))</f>
        <v>A</v>
      </c>
      <c r="U2" s="1203" t="str">
        <f>IF(LEFT(U3,1)="F",IF(RIGHT(U3,4)&lt;RIGHT(MO.FirstForecastedFiscalYear,4),"A","F"),
IF(AND(RIGHT(LEFT(U3,2),1)&lt;=RIGHT(LEFT(IF(LEFT(UL.MRQ,1)="F","Q4-"&amp;RIGHT(UL.MRQ,4),UL.MRQ),2),1),RIGHT(U3,4)&lt;=RIGHT(IF(LEFT(UL.MRQ,1)="F","Q4-"&amp;RIGHT(UL.MRQ,4),UL.MRQ),4)),"A",
IF(AND(RIGHT(LEFT(U3,2),1)&gt;RIGHT(LEFT(IF(LEFT(UL.MRQ,1)="F","Q4-"&amp;RIGHT(UL.MRQ,4),UL.MRQ),2),1),RIGHT(U3,4)&lt;RIGHT(IF(LEFT(UL.MRQ,1)="F","Q4-"&amp;RIGHT(UL.MRQ,4),UL.MRQ),4)),"A",
"F")))</f>
        <v>A</v>
      </c>
      <c r="V2" s="1203" t="str">
        <f>IF(LEFT(V3,1)="F",IF(RIGHT(V3,4)&lt;RIGHT(MO.FirstForecastedFiscalYear,4),"A","F"),
IF(AND(RIGHT(LEFT(V3,2),1)&lt;=RIGHT(LEFT(IF(LEFT(UL.MRQ,1)="F","Q4-"&amp;RIGHT(UL.MRQ,4),UL.MRQ),2),1),RIGHT(V3,4)&lt;=RIGHT(IF(LEFT(UL.MRQ,1)="F","Q4-"&amp;RIGHT(UL.MRQ,4),UL.MRQ),4)),"A",
IF(AND(RIGHT(LEFT(V3,2),1)&gt;RIGHT(LEFT(IF(LEFT(UL.MRQ,1)="F","Q4-"&amp;RIGHT(UL.MRQ,4),UL.MRQ),2),1),RIGHT(V3,4)&lt;RIGHT(IF(LEFT(UL.MRQ,1)="F","Q4-"&amp;RIGHT(UL.MRQ,4),UL.MRQ),4)),"A",
"F")))</f>
        <v>F</v>
      </c>
      <c r="W2" s="1203" t="str">
        <f>IF(LEFT(W3,1)="F",IF(RIGHT(W3,4)&lt;RIGHT(MO.FirstForecastedFiscalYear,4),"A","F"),
IF(AND(RIGHT(LEFT(W3,2),1)&lt;=RIGHT(LEFT(IF(LEFT(UL.MRQ,1)="F","Q4-"&amp;RIGHT(UL.MRQ,4),UL.MRQ),2),1),RIGHT(W3,4)&lt;=RIGHT(IF(LEFT(UL.MRQ,1)="F","Q4-"&amp;RIGHT(UL.MRQ,4),UL.MRQ),4)),"A",
IF(AND(RIGHT(LEFT(W3,2),1)&gt;RIGHT(LEFT(IF(LEFT(UL.MRQ,1)="F","Q4-"&amp;RIGHT(UL.MRQ,4),UL.MRQ),2),1),RIGHT(W3,4)&lt;RIGHT(IF(LEFT(UL.MRQ,1)="F","Q4-"&amp;RIGHT(UL.MRQ,4),UL.MRQ),4)),"A",
"F")))</f>
        <v>F</v>
      </c>
      <c r="X2" s="1203" t="str">
        <f>IF(LEFT(X3,1)="F",IF(RIGHT(X3,4)&lt;RIGHT(MO.FirstForecastedFiscalYear,4),"A","F"),
IF(AND(RIGHT(LEFT(X3,2),1)&lt;=RIGHT(LEFT(IF(LEFT(UL.MRQ,1)="F","Q4-"&amp;RIGHT(UL.MRQ,4),UL.MRQ),2),1),RIGHT(X3,4)&lt;=RIGHT(IF(LEFT(UL.MRQ,1)="F","Q4-"&amp;RIGHT(UL.MRQ,4),UL.MRQ),4)),"A",
IF(AND(RIGHT(LEFT(X3,2),1)&gt;RIGHT(LEFT(IF(LEFT(UL.MRQ,1)="F","Q4-"&amp;RIGHT(UL.MRQ,4),UL.MRQ),2),1),RIGHT(X3,4)&lt;RIGHT(IF(LEFT(UL.MRQ,1)="F","Q4-"&amp;RIGHT(UL.MRQ,4),UL.MRQ),4)),"A",
"F")))</f>
        <v>F</v>
      </c>
      <c r="Y2" s="1203" t="str">
        <f>IF(LEFT(Y3,1)="F",IF(RIGHT(Y3,4)&lt;RIGHT(MO.FirstForecastedFiscalYear,4),"A","F"),
IF(AND(RIGHT(LEFT(Y3,2),1)&lt;=RIGHT(LEFT(IF(LEFT(UL.MRQ,1)="F","Q4-"&amp;RIGHT(UL.MRQ,4),UL.MRQ),2),1),RIGHT(Y3,4)&lt;=RIGHT(IF(LEFT(UL.MRQ,1)="F","Q4-"&amp;RIGHT(UL.MRQ,4),UL.MRQ),4)),"A",
IF(AND(RIGHT(LEFT(Y3,2),1)&gt;RIGHT(LEFT(IF(LEFT(UL.MRQ,1)="F","Q4-"&amp;RIGHT(UL.MRQ,4),UL.MRQ),2),1),RIGHT(Y3,4)&lt;RIGHT(IF(LEFT(UL.MRQ,1)="F","Q4-"&amp;RIGHT(UL.MRQ,4),UL.MRQ),4)),"A",
"F")))</f>
        <v>F</v>
      </c>
      <c r="Z2" s="1203" t="str">
        <f>IF(LEFT(Z3,1)="F",IF(RIGHT(Z3,4)&lt;RIGHT(MO.FirstForecastedFiscalYear,4),"A","F"),
IF(AND(RIGHT(LEFT(Z3,2),1)&lt;=RIGHT(LEFT(IF(LEFT(UL.MRQ,1)="F","Q4-"&amp;RIGHT(UL.MRQ,4),UL.MRQ),2),1),RIGHT(Z3,4)&lt;=RIGHT(IF(LEFT(UL.MRQ,1)="F","Q4-"&amp;RIGHT(UL.MRQ,4),UL.MRQ),4)),"A",
IF(AND(RIGHT(LEFT(Z3,2),1)&gt;RIGHT(LEFT(IF(LEFT(UL.MRQ,1)="F","Q4-"&amp;RIGHT(UL.MRQ,4),UL.MRQ),2),1),RIGHT(Z3,4)&lt;RIGHT(IF(LEFT(UL.MRQ,1)="F","Q4-"&amp;RIGHT(UL.MRQ,4),UL.MRQ),4)),"A",
"F")))</f>
        <v>F</v>
      </c>
      <c r="AA2" s="1203" t="str">
        <f>IF(LEFT(AA3,1)="F",IF(RIGHT(AA3,4)&lt;RIGHT(MO.FirstForecastedFiscalYear,4),"A","F"),
IF(AND(RIGHT(LEFT(AA3,2),1)&lt;=RIGHT(LEFT(IF(LEFT(UL.MRQ,1)="F","Q4-"&amp;RIGHT(UL.MRQ,4),UL.MRQ),2),1),RIGHT(AA3,4)&lt;=RIGHT(IF(LEFT(UL.MRQ,1)="F","Q4-"&amp;RIGHT(UL.MRQ,4),UL.MRQ),4)),"A",
IF(AND(RIGHT(LEFT(AA3,2),1)&gt;RIGHT(LEFT(IF(LEFT(UL.MRQ,1)="F","Q4-"&amp;RIGHT(UL.MRQ,4),UL.MRQ),2),1),RIGHT(AA3,4)&lt;RIGHT(IF(LEFT(UL.MRQ,1)="F","Q4-"&amp;RIGHT(UL.MRQ,4),UL.MRQ),4)),"A",
"F")))</f>
        <v>F</v>
      </c>
      <c r="AB2" s="1203" t="str">
        <f>IF(LEFT(AB3,1)="F",IF(RIGHT(AB3,4)&lt;RIGHT(MO.FirstForecastedFiscalYear,4),"A","F"),
IF(AND(RIGHT(LEFT(AB3,2),1)&lt;=RIGHT(LEFT(IF(LEFT(UL.MRQ,1)="F","Q4-"&amp;RIGHT(UL.MRQ,4),UL.MRQ),2),1),RIGHT(AB3,4)&lt;=RIGHT(IF(LEFT(UL.MRQ,1)="F","Q4-"&amp;RIGHT(UL.MRQ,4),UL.MRQ),4)),"A",
IF(AND(RIGHT(LEFT(AB3,2),1)&gt;RIGHT(LEFT(IF(LEFT(UL.MRQ,1)="F","Q4-"&amp;RIGHT(UL.MRQ,4),UL.MRQ),2),1),RIGHT(AB3,4)&lt;RIGHT(IF(LEFT(UL.MRQ,1)="F","Q4-"&amp;RIGHT(UL.MRQ,4),UL.MRQ),4)),"A",
"F")))</f>
        <v>F</v>
      </c>
      <c r="AC2" s="1203" t="str">
        <f>IF(LEFT(AC3,1)="F",IF(RIGHT(AC3,4)&lt;RIGHT(MO.FirstForecastedFiscalYear,4),"A","F"),
IF(AND(RIGHT(LEFT(AC3,2),1)&lt;=RIGHT(LEFT(IF(LEFT(UL.MRQ,1)="F","Q4-"&amp;RIGHT(UL.MRQ,4),UL.MRQ),2),1),RIGHT(AC3,4)&lt;=RIGHT(IF(LEFT(UL.MRQ,1)="F","Q4-"&amp;RIGHT(UL.MRQ,4),UL.MRQ),4)),"A",
IF(AND(RIGHT(LEFT(AC3,2),1)&gt;RIGHT(LEFT(IF(LEFT(UL.MRQ,1)="F","Q4-"&amp;RIGHT(UL.MRQ,4),UL.MRQ),2),1),RIGHT(AC3,4)&lt;RIGHT(IF(LEFT(UL.MRQ,1)="F","Q4-"&amp;RIGHT(UL.MRQ,4),UL.MRQ),4)),"A",
"F")))</f>
        <v>F</v>
      </c>
      <c r="AD2" s="1203" t="str">
        <f>IF(LEFT(AD3,1)="F",IF(RIGHT(AD3,4)&lt;RIGHT(MO.FirstForecastedFiscalYear,4),"A","F"),
IF(AND(RIGHT(LEFT(AD3,2),1)&lt;=RIGHT(LEFT(IF(LEFT(UL.MRQ,1)="F","Q4-"&amp;RIGHT(UL.MRQ,4),UL.MRQ),2),1),RIGHT(AD3,4)&lt;=RIGHT(IF(LEFT(UL.MRQ,1)="F","Q4-"&amp;RIGHT(UL.MRQ,4),UL.MRQ),4)),"A",
IF(AND(RIGHT(LEFT(AD3,2),1)&gt;RIGHT(LEFT(IF(LEFT(UL.MRQ,1)="F","Q4-"&amp;RIGHT(UL.MRQ,4),UL.MRQ),2),1),RIGHT(AD3,4)&lt;RIGHT(IF(LEFT(UL.MRQ,1)="F","Q4-"&amp;RIGHT(UL.MRQ,4),UL.MRQ),4)),"A",
"F")))</f>
        <v>F</v>
      </c>
      <c r="AE2" s="1203" t="str">
        <f>IF(LEFT(AE3,1)="F",IF(RIGHT(AE3,4)&lt;RIGHT(MO.FirstForecastedFiscalYear,4),"A","F"),
IF(AND(RIGHT(LEFT(AE3,2),1)&lt;=RIGHT(LEFT(IF(LEFT(UL.MRQ,1)="F","Q4-"&amp;RIGHT(UL.MRQ,4),UL.MRQ),2),1),RIGHT(AE3,4)&lt;=RIGHT(IF(LEFT(UL.MRQ,1)="F","Q4-"&amp;RIGHT(UL.MRQ,4),UL.MRQ),4)),"A",
IF(AND(RIGHT(LEFT(AE3,2),1)&gt;RIGHT(LEFT(IF(LEFT(UL.MRQ,1)="F","Q4-"&amp;RIGHT(UL.MRQ,4),UL.MRQ),2),1),RIGHT(AE3,4)&lt;RIGHT(IF(LEFT(UL.MRQ,1)="F","Q4-"&amp;RIGHT(UL.MRQ,4),UL.MRQ),4)),"A",
"F")))</f>
        <v>F</v>
      </c>
      <c r="AF2" s="1203" t="str">
        <f>IF(LEFT(AF3,1)="F",IF(RIGHT(AF3,4)&lt;RIGHT(MO.FirstForecastedFiscalYear,4),"A","F"),
IF(AND(RIGHT(LEFT(AF3,2),1)&lt;=RIGHT(LEFT(IF(LEFT(UL.MRQ,1)="F","Q4-"&amp;RIGHT(UL.MRQ,4),UL.MRQ),2),1),RIGHT(AF3,4)&lt;=RIGHT(IF(LEFT(UL.MRQ,1)="F","Q4-"&amp;RIGHT(UL.MRQ,4),UL.MRQ),4)),"A",
IF(AND(RIGHT(LEFT(AF3,2),1)&gt;RIGHT(LEFT(IF(LEFT(UL.MRQ,1)="F","Q4-"&amp;RIGHT(UL.MRQ,4),UL.MRQ),2),1),RIGHT(AF3,4)&lt;RIGHT(IF(LEFT(UL.MRQ,1)="F","Q4-"&amp;RIGHT(UL.MRQ,4),UL.MRQ),4)),"A",
"F")))</f>
        <v>F</v>
      </c>
      <c r="AG2" s="1204" t="str">
        <f>IF(LEFT(AG3,1)="F",IF(RIGHT(AG3,4)&lt;RIGHT(MO.FirstForecastedFiscalYear,4),"A","F"),
IF(AND(RIGHT(LEFT(AG3,2),1)&lt;=RIGHT(LEFT(IF(LEFT(UL.MRQ,1)="F","Q4-"&amp;RIGHT(UL.MRQ,4),UL.MRQ),2),1),RIGHT(AG3,4)&lt;=RIGHT(IF(LEFT(UL.MRQ,1)="F","Q4-"&amp;RIGHT(UL.MRQ,4),UL.MRQ),4)),"A",
IF(AND(RIGHT(LEFT(AG3,2),1)&gt;RIGHT(LEFT(IF(LEFT(UL.MRQ,1)="F","Q4-"&amp;RIGHT(UL.MRQ,4),UL.MRQ),2),1),RIGHT(AG3,4)&lt;RIGHT(IF(LEFT(UL.MRQ,1)="F","Q4-"&amp;RIGHT(UL.MRQ,4),UL.MRQ),4)),"A",
"F")))</f>
        <v>F</v>
      </c>
    </row>
    <row r="3" spans="1:33" ht="14.25" customHeight="1" x14ac:dyDescent="0.35">
      <c r="A3" s="1205" t="str">
        <f>"in "&amp;IFERROR(MO.ReportCurrency,"")&amp;" mm, except for per share data"</f>
        <v>in USD mm, except for per share data</v>
      </c>
      <c r="B3" s="1206"/>
      <c r="C3" s="1207"/>
      <c r="D3" s="1208" t="str">
        <f>"FY"&amp;RIGHT(E3,4)-1</f>
        <v>FY2016</v>
      </c>
      <c r="E3" s="1208" t="str">
        <f>"FY"&amp;RIGHT(J3,4)-1</f>
        <v>FY2017</v>
      </c>
      <c r="F3" s="1208" t="str">
        <f>"Q1-"&amp;RIGHT(J3,4)</f>
        <v>Q1-2018</v>
      </c>
      <c r="G3" s="1208" t="str">
        <f>"Q2-"&amp;RIGHT(J3,4)</f>
        <v>Q2-2018</v>
      </c>
      <c r="H3" s="1208" t="str">
        <f>"Q3-"&amp;RIGHT(J3,4)</f>
        <v>Q3-2018</v>
      </c>
      <c r="I3" s="1208" t="str">
        <f>"Q4-"&amp;RIGHT(J3,4)</f>
        <v>Q4-2018</v>
      </c>
      <c r="J3" s="1208" t="str">
        <f>"FY"&amp;RIGHT(O3,4)-1</f>
        <v>FY2018</v>
      </c>
      <c r="K3" s="1208" t="str">
        <f>"Q1-"&amp;RIGHT(O3,4)</f>
        <v>Q1-2019</v>
      </c>
      <c r="L3" s="1208" t="str">
        <f>"Q2-"&amp;RIGHT(O3,4)</f>
        <v>Q2-2019</v>
      </c>
      <c r="M3" s="1208" t="str">
        <f>"Q3-"&amp;RIGHT(O3,4)</f>
        <v>Q3-2019</v>
      </c>
      <c r="N3" s="1208" t="str">
        <f>"Q4-"&amp;RIGHT(O3,4)</f>
        <v>Q4-2019</v>
      </c>
      <c r="O3" s="1208" t="str">
        <f>"FY"&amp;RIGHT(T3,4)-1</f>
        <v>FY2019</v>
      </c>
      <c r="P3" s="1208" t="str">
        <f>"Q1-"&amp;RIGHT(T3,4)</f>
        <v>Q1-2020</v>
      </c>
      <c r="Q3" s="1208" t="str">
        <f>"Q2-"&amp;RIGHT(T3,4)</f>
        <v>Q2-2020</v>
      </c>
      <c r="R3" s="1208" t="str">
        <f>"Q3-"&amp;RIGHT(T3,4)</f>
        <v>Q3-2020</v>
      </c>
      <c r="S3" s="1208" t="str">
        <f>"Q4-"&amp;RIGHT(T3,4)</f>
        <v>Q4-2020</v>
      </c>
      <c r="T3" s="1208" t="str">
        <f>"FY"&amp;RIGHT(Y3,4)-1</f>
        <v>FY2020</v>
      </c>
      <c r="U3" s="1208" t="str">
        <f>"Q1-"&amp;RIGHT(Y3,4)</f>
        <v>Q1-2021</v>
      </c>
      <c r="V3" s="1208" t="str">
        <f>"Q2-"&amp;RIGHT(Y3,4)</f>
        <v>Q2-2021</v>
      </c>
      <c r="W3" s="1208" t="str">
        <f>"Q3-"&amp;RIGHT(Y3,4)</f>
        <v>Q3-2021</v>
      </c>
      <c r="X3" s="1208" t="str">
        <f>"Q4-"&amp;RIGHT(Y3,4)</f>
        <v>Q4-2021</v>
      </c>
      <c r="Y3" s="1208" t="str">
        <f>MO.FirstForecastedFiscalYear</f>
        <v>FY2021</v>
      </c>
      <c r="Z3" s="1208" t="str">
        <f>"Q1-"&amp;RIGHT(AD3,4)</f>
        <v>Q1-2022</v>
      </c>
      <c r="AA3" s="1208" t="str">
        <f>"Q2-"&amp;RIGHT(AD3,4)</f>
        <v>Q2-2022</v>
      </c>
      <c r="AB3" s="1208" t="str">
        <f>"Q3-"&amp;RIGHT(AD3,4)</f>
        <v>Q3-2022</v>
      </c>
      <c r="AC3" s="1208" t="str">
        <f>"Q4-"&amp;RIGHT(AD3,4)</f>
        <v>Q4-2022</v>
      </c>
      <c r="AD3" s="1208" t="str">
        <f>"FY"&amp;RIGHT(Y3,4)+1</f>
        <v>FY2022</v>
      </c>
      <c r="AE3" s="1208" t="str">
        <f>"FY"&amp;RIGHT(AD3,4)+1</f>
        <v>FY2023</v>
      </c>
      <c r="AF3" s="1208" t="str">
        <f>"FY"&amp;RIGHT(AE3,4)+1</f>
        <v>FY2024</v>
      </c>
      <c r="AG3" s="1209" t="str">
        <f>"FY"&amp;RIGHT(AF3,4)+1</f>
        <v>FY2025</v>
      </c>
    </row>
    <row r="4" spans="1:33" ht="14.25" customHeight="1" x14ac:dyDescent="0.35">
      <c r="A4" s="1210" t="s">
        <v>25</v>
      </c>
      <c r="B4" s="1211"/>
      <c r="C4" s="1212"/>
      <c r="D4" s="1213"/>
      <c r="E4" s="1213"/>
      <c r="F4" s="1214"/>
      <c r="G4" s="1213"/>
      <c r="H4" s="1213"/>
      <c r="I4" s="1213"/>
      <c r="J4" s="1213"/>
      <c r="K4" s="1213"/>
      <c r="L4" s="1213"/>
      <c r="M4" s="1213"/>
      <c r="N4" s="1213"/>
      <c r="O4" s="1213"/>
      <c r="P4" s="1213"/>
      <c r="Q4" s="1213"/>
      <c r="R4" s="1213"/>
      <c r="S4" s="1213"/>
      <c r="T4" s="1213"/>
      <c r="U4" s="1213"/>
      <c r="V4" s="1213"/>
      <c r="W4" s="1213"/>
      <c r="X4" s="1213"/>
      <c r="Y4" s="1213"/>
      <c r="Z4" s="1213"/>
      <c r="AA4" s="1213"/>
      <c r="AB4" s="1213"/>
      <c r="AC4" s="1213"/>
      <c r="AD4" s="1213"/>
      <c r="AE4" s="1213"/>
      <c r="AF4" s="1213"/>
      <c r="AG4" s="1215"/>
    </row>
    <row r="5" spans="1:33" s="1222" customFormat="1" ht="14.25" customHeight="1" outlineLevel="1" x14ac:dyDescent="0.35">
      <c r="A5" s="1216" t="str">
        <f>IFERROR(INDEX(MO_RIS_REV_NONGAAP,0,COLUMN(MO_Common_Column_A)),IFERROR(INDEX(MO_RIS_REV,0,COLUMN(MO_Common_Column_A)),"Total Revenue"))</f>
        <v>Net Revenue</v>
      </c>
      <c r="B5" s="1217"/>
      <c r="C5" s="1218"/>
      <c r="D5" s="1219">
        <f>IFERROR(INDEX(MO_RIS_REV_NONGAAP,0,MATCH(D$3,MO_Common_ColumnHeader,0)),IFERROR(INDEX(MO_RIS_REV,0,MATCH(D$3,MO_Common_ColumnHeader,0)),0))</f>
        <v>30109</v>
      </c>
      <c r="E5" s="1219">
        <f>IFERROR(INDEX(MO_RIS_REV_NONGAAP,0,MATCH(E$3,MO_Common_ColumnHeader,0)),IFERROR(INDEX(MO_RIS_REV,0,MATCH(E$3,MO_Common_ColumnHeader,0)),0))</f>
        <v>31657</v>
      </c>
      <c r="F5" s="1220">
        <f>IFERROR(INDEX(MO_RIS_REV_NONGAAP,0,MATCH(F$3,MO_Common_ColumnHeader,0)),IFERROR(INDEX(MO_RIS_REV,0,MATCH(F$3,MO_Common_ColumnHeader,0)),0))</f>
        <v>8278</v>
      </c>
      <c r="G5" s="1220">
        <f>IFERROR(INDEX(MO_RIS_REV_NONGAAP,0,MATCH(G$3,MO_Common_ColumnHeader,0)),IFERROR(INDEX(MO_RIS_REV,0,MATCH(G$3,MO_Common_ColumnHeader,0)),0))</f>
        <v>8390</v>
      </c>
      <c r="H5" s="1220">
        <f>IFERROR(INDEX(MO_RIS_REV_NONGAAP,0,MATCH(H$3,MO_Common_ColumnHeader,0)),IFERROR(INDEX(MO_RIS_REV,0,MATCH(H$3,MO_Common_ColumnHeader,0)),0))</f>
        <v>8152</v>
      </c>
      <c r="I5" s="1220">
        <f>IFERROR(INDEX(MO_RIS_REV_NONGAAP,0,MATCH(I$3,MO_Common_ColumnHeader,0)),IFERROR(INDEX(MO_RIS_REV,0,MATCH(I$3,MO_Common_ColumnHeader,0)),0))</f>
        <v>7945</v>
      </c>
      <c r="J5" s="1219">
        <f>IFERROR(INDEX(MO_RIS_REV_NONGAAP,0,MATCH(J$3,MO_Common_ColumnHeader,0)),IFERROR(INDEX(MO_RIS_REV,0,MATCH(J$3,MO_Common_ColumnHeader,0)),0))</f>
        <v>32765</v>
      </c>
      <c r="K5" s="1220">
        <f>IFERROR(INDEX(MO_RIS_REV_NONGAAP,0,MATCH(K$3,MO_Common_ColumnHeader,0)),IFERROR(INDEX(MO_RIS_REV,0,MATCH(K$3,MO_Common_ColumnHeader,0)),0))</f>
        <v>7863</v>
      </c>
      <c r="L5" s="1220">
        <f>IFERROR(INDEX(MO_RIS_REV_NONGAAP,0,MATCH(L$3,MO_Common_ColumnHeader,0)),IFERROR(INDEX(MO_RIS_REV,0,MATCH(L$3,MO_Common_ColumnHeader,0)),0))</f>
        <v>8171</v>
      </c>
      <c r="M5" s="1220">
        <f>IFERROR(INDEX(MO_RIS_REV_NONGAAP,0,MATCH(M$3,MO_Common_ColumnHeader,0)),IFERROR(INDEX(MO_RIS_REV,0,MATCH(M$3,MO_Common_ColumnHeader,0)),0))</f>
        <v>7991</v>
      </c>
      <c r="N5" s="1220">
        <f>IFERROR(INDEX(MO_RIS_REV_NONGAAP,0,MATCH(N$3,MO_Common_ColumnHeader,0)),IFERROR(INDEX(MO_RIS_REV,0,MATCH(N$3,MO_Common_ColumnHeader,0)),0))</f>
        <v>8111</v>
      </c>
      <c r="O5" s="1219">
        <f>IFERROR(INDEX(MO_RIS_REV_NONGAAP,0,MATCH(O$3,MO_Common_ColumnHeader,0)),IFERROR(INDEX(MO_RIS_REV,0,MATCH(O$3,MO_Common_ColumnHeader,0)),0))</f>
        <v>32136</v>
      </c>
      <c r="P5" s="1220">
        <f>IFERROR(INDEX(MO_RIS_REV_NONGAAP,0,MATCH(P$3,MO_Common_ColumnHeader,0)),IFERROR(INDEX(MO_RIS_REV,0,MATCH(P$3,MO_Common_ColumnHeader,0)),0))</f>
        <v>8075</v>
      </c>
      <c r="Q5" s="1220">
        <f>IFERROR(INDEX(MO_RIS_REV_NONGAAP,0,MATCH(Q$3,MO_Common_ColumnHeader,0)),IFERROR(INDEX(MO_RIS_REV,0,MATCH(Q$3,MO_Common_ColumnHeader,0)),0))</f>
        <v>7176</v>
      </c>
      <c r="R5" s="1220">
        <f>IFERROR(INDEX(MO_RIS_REV_NONGAAP,0,MATCH(R$3,MO_Common_ColumnHeader,0)),IFERROR(INDEX(MO_RIS_REV,0,MATCH(R$3,MO_Common_ColumnHeader,0)),0))</f>
        <v>8350</v>
      </c>
      <c r="S5" s="1220">
        <f>IFERROR(INDEX(MO_RIS_REV_NONGAAP,0,MATCH(S$3,MO_Common_ColumnHeader,0)),IFERROR(INDEX(MO_RIS_REV,0,MATCH(S$3,MO_Common_ColumnHeader,0)),0))</f>
        <v>8583</v>
      </c>
      <c r="T5" s="1219">
        <f>IFERROR(INDEX(MO_RIS_REV_NONGAAP,0,MATCH(T$3,MO_Common_ColumnHeader,0)),IFERROR(INDEX(MO_RIS_REV,0,MATCH(T$3,MO_Common_ColumnHeader,0)),0))</f>
        <v>32184</v>
      </c>
      <c r="U5" s="1220">
        <f>IFERROR(INDEX(MO_RIS_REV_NONGAAP,0,MATCH(U$3,MO_Common_ColumnHeader,0)),IFERROR(INDEX(MO_RIS_REV,0,MATCH(U$3,MO_Common_ColumnHeader,0)),0))</f>
        <v>8851</v>
      </c>
      <c r="V5" s="1220">
        <f>IFERROR(INDEX(MO_RIS_REV_NONGAAP,0,MATCH(V$3,MO_Common_ColumnHeader,0)),IFERROR(INDEX(MO_RIS_REV,0,MATCH(V$3,MO_Common_ColumnHeader,0)),0))</f>
        <v>7668.2192000000005</v>
      </c>
      <c r="W5" s="1220">
        <f>IFERROR(INDEX(MO_RIS_REV_NONGAAP,0,MATCH(W$3,MO_Common_ColumnHeader,0)),IFERROR(INDEX(MO_RIS_REV,0,MATCH(W$3,MO_Common_ColumnHeader,0)),0))</f>
        <v>8745.5720000000001</v>
      </c>
      <c r="X5" s="1220">
        <f>IFERROR(INDEX(MO_RIS_REV_NONGAAP,0,MATCH(X$3,MO_Common_ColumnHeader,0)),IFERROR(INDEX(MO_RIS_REV,0,MATCH(X$3,MO_Common_ColumnHeader,0)),0))</f>
        <v>8982.3486000000012</v>
      </c>
      <c r="Y5" s="1219">
        <f>IFERROR(INDEX(MO_RIS_REV_NONGAAP,0,MATCH(Y$3,MO_Common_ColumnHeader,0)),IFERROR(INDEX(MO_RIS_REV,0,MATCH(Y$3,MO_Common_ColumnHeader,0)),0))</f>
        <v>34247.139800000004</v>
      </c>
      <c r="Z5" s="1220">
        <f>IFERROR(INDEX(MO_RIS_REV_NONGAAP,0,MATCH(Z$3,MO_Common_ColumnHeader,0)),IFERROR(INDEX(MO_RIS_REV,0,MATCH(Z$3,MO_Common_ColumnHeader,0)),0))</f>
        <v>9484.181700000001</v>
      </c>
      <c r="AA5" s="1220">
        <f>IFERROR(INDEX(MO_RIS_REV_NONGAAP,0,MATCH(AA$3,MO_Common_ColumnHeader,0)),IFERROR(INDEX(MO_RIS_REV,0,MATCH(AA$3,MO_Common_ColumnHeader,0)),0))</f>
        <v>8158.1654830000007</v>
      </c>
      <c r="AB5" s="1220">
        <f>IFERROR(INDEX(MO_RIS_REV_NONGAAP,0,MATCH(AB$3,MO_Common_ColumnHeader,0)),IFERROR(INDEX(MO_RIS_REV,0,MATCH(AB$3,MO_Common_ColumnHeader,0)),0))</f>
        <v>9307.9995679999993</v>
      </c>
      <c r="AC5" s="1220">
        <f>IFERROR(INDEX(MO_RIS_REV_NONGAAP,0,MATCH(AC$3,MO_Common_ColumnHeader,0)),IFERROR(INDEX(MO_RIS_REV,0,MATCH(AC$3,MO_Common_ColumnHeader,0)),0))</f>
        <v>9559.6793980000002</v>
      </c>
      <c r="AD5" s="1219">
        <f>IFERROR(INDEX(MO_RIS_REV_NONGAAP,0,MATCH(AD$3,MO_Common_ColumnHeader,0)),IFERROR(INDEX(MO_RIS_REV,0,MATCH(AD$3,MO_Common_ColumnHeader,0)),0))</f>
        <v>36510.026148999998</v>
      </c>
      <c r="AE5" s="1219">
        <f>IFERROR(INDEX(MO_RIS_REV_NONGAAP,0,MATCH(AE$3,MO_Common_ColumnHeader,0)),IFERROR(INDEX(MO_RIS_REV,0,MATCH(AE$3,MO_Common_ColumnHeader,0)),0))</f>
        <v>38860.311656844999</v>
      </c>
      <c r="AF5" s="1219">
        <f>IFERROR(INDEX(MO_RIS_REV_NONGAAP,0,MATCH(AF$3,MO_Common_ColumnHeader,0)),IFERROR(INDEX(MO_RIS_REV,0,MATCH(AF$3,MO_Common_ColumnHeader,0)),0))</f>
        <v>41368.44430713122</v>
      </c>
      <c r="AG5" s="1221">
        <f>IFERROR(INDEX(MO_RIS_REV_NONGAAP,0,MATCH(AG$3,MO_Common_ColumnHeader,0)),IFERROR(INDEX(MO_RIS_REV,0,MATCH(AG$3,MO_Common_ColumnHeader,0)),0))</f>
        <v>44045.403908700471</v>
      </c>
    </row>
    <row r="6" spans="1:33" s="1222" customFormat="1" ht="14.25" customHeight="1" outlineLevel="1" x14ac:dyDescent="0.35">
      <c r="A6" s="1216" t="str">
        <f>IFERROR(INDEX(MO_RIS_COGS_NONGAAP,0,COLUMN(MO_Common_Column_A)),"COGS")</f>
        <v>COGS</v>
      </c>
      <c r="B6" s="1217"/>
      <c r="C6" s="1218"/>
      <c r="D6" s="1219">
        <f>IFERROR(D5-D7, 0)</f>
        <v>14993</v>
      </c>
      <c r="E6" s="1219">
        <f>IFERROR(E5-E7, 0)</f>
        <v>16006.000000000002</v>
      </c>
      <c r="F6" s="1220">
        <f>IFERROR(F5-F7, 0)</f>
        <v>4213</v>
      </c>
      <c r="G6" s="1220">
        <f>IFERROR(G5-G7, 0)</f>
        <v>4218</v>
      </c>
      <c r="H6" s="1220">
        <f>IFERROR(H5-H7, 0)</f>
        <v>4151</v>
      </c>
      <c r="I6" s="1220">
        <f>IFERROR(I5-I7, 0)</f>
        <v>4052</v>
      </c>
      <c r="J6" s="1219">
        <f>IFERROR(J5-J7, 0)</f>
        <v>16634</v>
      </c>
      <c r="K6" s="1220">
        <f>IFERROR(K5-K7, 0)</f>
        <v>4288</v>
      </c>
      <c r="L6" s="1220">
        <f>IFERROR(L5-L7, 0)</f>
        <v>4304</v>
      </c>
      <c r="M6" s="1220">
        <f>IFERROR(M5-M7, 0)</f>
        <v>4180</v>
      </c>
      <c r="N6" s="1220">
        <f>IFERROR(N5-N7, 0)</f>
        <v>4317</v>
      </c>
      <c r="O6" s="1219">
        <f>IFERROR(O5-O7, 0)</f>
        <v>17089</v>
      </c>
      <c r="P6" s="1220">
        <f>IFERROR(P5-P7, 0)</f>
        <v>4086.9999999999995</v>
      </c>
      <c r="Q6" s="1220">
        <f>IFERROR(Q5-Q7, 0)</f>
        <v>3795</v>
      </c>
      <c r="R6" s="1220">
        <f>IFERROR(R5-R7, 0)</f>
        <v>4294</v>
      </c>
      <c r="S6" s="1220">
        <f>IFERROR(S5-S7, 0)</f>
        <v>4379</v>
      </c>
      <c r="T6" s="1219">
        <f>IFERROR(T5-T7, 0)</f>
        <v>16555</v>
      </c>
      <c r="U6" s="1220">
        <f>IFERROR(U5-U7, 0)</f>
        <v>4503</v>
      </c>
      <c r="V6" s="1220">
        <f>IFERROR(V5-V7, 0)</f>
        <v>3997.5217959999995</v>
      </c>
      <c r="W6" s="1220">
        <f>IFERROR(W5-W7, 0)</f>
        <v>4462.7418599999992</v>
      </c>
      <c r="X6" s="1220">
        <f>IFERROR(X5-X7, 0)</f>
        <v>4537.7132930000007</v>
      </c>
      <c r="Y6" s="1219">
        <f>IFERROR(Y5-Y7, 0)</f>
        <v>17500.976949</v>
      </c>
      <c r="Z6" s="1220">
        <f>IFERROR(Z5-Z7, 0)</f>
        <v>4709.9059584999995</v>
      </c>
      <c r="AA6" s="1220">
        <f>IFERROR(AA5-AA7, 0)</f>
        <v>4084.864902415</v>
      </c>
      <c r="AB6" s="1220">
        <f>IFERROR(AB5-AB7, 0)</f>
        <v>4804.742617840001</v>
      </c>
      <c r="AC6" s="1220">
        <f>IFERROR(AC5-AC7, 0)</f>
        <v>4769.79481949</v>
      </c>
      <c r="AD6" s="1219">
        <f>IFERROR(AD5-AD7, 0)</f>
        <v>18369.308298245</v>
      </c>
      <c r="AE6" s="1219">
        <f>IFERROR(AE5-AE7, 0)</f>
        <v>19325.784277763727</v>
      </c>
      <c r="AF6" s="1219">
        <f>IFERROR(AF5-AF7, 0)</f>
        <v>20332.206175100502</v>
      </c>
      <c r="AG6" s="1221">
        <f>IFERROR(AG5-AG7, 0)</f>
        <v>21391.169057764542</v>
      </c>
    </row>
    <row r="7" spans="1:33" s="1222" customFormat="1" ht="14.25" customHeight="1" outlineLevel="1" x14ac:dyDescent="0.35">
      <c r="A7" s="1223" t="str">
        <f>IFERROR(INDEX(MO_RIS_GP_NONGAAP,0,COLUMN(MO_Common_Column_A)),"Gross Profit")</f>
        <v>Gross Profit</v>
      </c>
      <c r="B7" s="1224"/>
      <c r="C7" s="1218"/>
      <c r="D7" s="1219">
        <f>IFERROR(INDEX(MO_RIS_GP_NONGAAP,0,MATCH(D$3,MO_Common_ColumnHeader,0)),INDEX(MO_RIS_REV,0,MATCH(D$3,MO_Common_ColumnHeader,0))*IFERROR(IFERROR(IFERROR(1-INDEX(MO_MA_COGS_NONGAAP,0,MATCH(D$3,MO_Common_ColumnHeader,0)),1-INDEX(MO_MA_COGS_DA_Including,0,MATCH(D$3,MO_Common_ColumnHeader,0))), 1-INDEX(MO_MA_COGS,0,MATCH(D$3,MO_Common_ColumnHeader,0))), ""))</f>
        <v>15116</v>
      </c>
      <c r="E7" s="1219">
        <f>IFERROR(INDEX(MO_RIS_GP_NONGAAP,0,MATCH(E$3,MO_Common_ColumnHeader,0)),INDEX(MO_RIS_REV,0,MATCH(E$3,MO_Common_ColumnHeader,0))*IFERROR(IFERROR(IFERROR(1-INDEX(MO_MA_COGS_NONGAAP,0,MATCH(E$3,MO_Common_ColumnHeader,0)),1-INDEX(MO_MA_COGS_DA_Including,0,MATCH(E$3,MO_Common_ColumnHeader,0))), 1-INDEX(MO_MA_COGS,0,MATCH(E$3,MO_Common_ColumnHeader,0))), ""))</f>
        <v>15650.999999999998</v>
      </c>
      <c r="F7" s="1220">
        <f>IFERROR(INDEX(MO_RIS_GP_NONGAAP,0,MATCH(F$3,MO_Common_ColumnHeader,0)),INDEX(MO_RIS_REV,0,MATCH(F$3,MO_Common_ColumnHeader,0))*IFERROR(IFERROR(IFERROR(1-INDEX(MO_MA_COGS_NONGAAP,0,MATCH(F$3,MO_Common_ColumnHeader,0)),1-INDEX(MO_MA_COGS_DA_Including,0,MATCH(F$3,MO_Common_ColumnHeader,0))), 1-INDEX(MO_MA_COGS,0,MATCH(F$3,MO_Common_ColumnHeader,0))), ""))</f>
        <v>4065.0000000000005</v>
      </c>
      <c r="G7" s="1220">
        <f>IFERROR(INDEX(MO_RIS_GP_NONGAAP,0,MATCH(G$3,MO_Common_ColumnHeader,0)),INDEX(MO_RIS_REV,0,MATCH(G$3,MO_Common_ColumnHeader,0))*IFERROR(IFERROR(IFERROR(1-INDEX(MO_MA_COGS_NONGAAP,0,MATCH(G$3,MO_Common_ColumnHeader,0)),1-INDEX(MO_MA_COGS_DA_Including,0,MATCH(G$3,MO_Common_ColumnHeader,0))), 1-INDEX(MO_MA_COGS,0,MATCH(G$3,MO_Common_ColumnHeader,0))), ""))</f>
        <v>4172</v>
      </c>
      <c r="H7" s="1220">
        <f>IFERROR(INDEX(MO_RIS_GP_NONGAAP,0,MATCH(H$3,MO_Common_ColumnHeader,0)),INDEX(MO_RIS_REV,0,MATCH(H$3,MO_Common_ColumnHeader,0))*IFERROR(IFERROR(IFERROR(1-INDEX(MO_MA_COGS_NONGAAP,0,MATCH(H$3,MO_Common_ColumnHeader,0)),1-INDEX(MO_MA_COGS_DA_Including,0,MATCH(H$3,MO_Common_ColumnHeader,0))), 1-INDEX(MO_MA_COGS,0,MATCH(H$3,MO_Common_ColumnHeader,0))), ""))</f>
        <v>4001</v>
      </c>
      <c r="I7" s="1220">
        <f>IFERROR(INDEX(MO_RIS_GP_NONGAAP,0,MATCH(I$3,MO_Common_ColumnHeader,0)),INDEX(MO_RIS_REV,0,MATCH(I$3,MO_Common_ColumnHeader,0))*IFERROR(IFERROR(IFERROR(1-INDEX(MO_MA_COGS_NONGAAP,0,MATCH(I$3,MO_Common_ColumnHeader,0)),1-INDEX(MO_MA_COGS_DA_Including,0,MATCH(I$3,MO_Common_ColumnHeader,0))), 1-INDEX(MO_MA_COGS,0,MATCH(I$3,MO_Common_ColumnHeader,0))), ""))</f>
        <v>3893</v>
      </c>
      <c r="J7" s="1219">
        <f>IFERROR(INDEX(MO_RIS_GP_NONGAAP,0,MATCH(J$3,MO_Common_ColumnHeader,0)),INDEX(MO_RIS_REV,0,MATCH(J$3,MO_Common_ColumnHeader,0))*IFERROR(IFERROR(IFERROR(1-INDEX(MO_MA_COGS_NONGAAP,0,MATCH(J$3,MO_Common_ColumnHeader,0)),1-INDEX(MO_MA_COGS_DA_Including,0,MATCH(J$3,MO_Common_ColumnHeader,0))), 1-INDEX(MO_MA_COGS,0,MATCH(J$3,MO_Common_ColumnHeader,0))), ""))</f>
        <v>16131</v>
      </c>
      <c r="K7" s="1220">
        <f>IFERROR(INDEX(MO_RIS_GP_NONGAAP,0,MATCH(K$3,MO_Common_ColumnHeader,0)),INDEX(MO_RIS_REV,0,MATCH(K$3,MO_Common_ColumnHeader,0))*IFERROR(IFERROR(IFERROR(1-INDEX(MO_MA_COGS_NONGAAP,0,MATCH(K$3,MO_Common_ColumnHeader,0)),1-INDEX(MO_MA_COGS_DA_Including,0,MATCH(K$3,MO_Common_ColumnHeader,0))), 1-INDEX(MO_MA_COGS,0,MATCH(K$3,MO_Common_ColumnHeader,0))), ""))</f>
        <v>3575</v>
      </c>
      <c r="L7" s="1220">
        <f>IFERROR(INDEX(MO_RIS_GP_NONGAAP,0,MATCH(L$3,MO_Common_ColumnHeader,0)),INDEX(MO_RIS_REV,0,MATCH(L$3,MO_Common_ColumnHeader,0))*IFERROR(IFERROR(IFERROR(1-INDEX(MO_MA_COGS_NONGAAP,0,MATCH(L$3,MO_Common_ColumnHeader,0)),1-INDEX(MO_MA_COGS_DA_Including,0,MATCH(L$3,MO_Common_ColumnHeader,0))), 1-INDEX(MO_MA_COGS,0,MATCH(L$3,MO_Common_ColumnHeader,0))), ""))</f>
        <v>3867</v>
      </c>
      <c r="M7" s="1220">
        <f>IFERROR(INDEX(MO_RIS_GP_NONGAAP,0,MATCH(M$3,MO_Common_ColumnHeader,0)),INDEX(MO_RIS_REV,0,MATCH(M$3,MO_Common_ColumnHeader,0))*IFERROR(IFERROR(IFERROR(1-INDEX(MO_MA_COGS_NONGAAP,0,MATCH(M$3,MO_Common_ColumnHeader,0)),1-INDEX(MO_MA_COGS_DA_Including,0,MATCH(M$3,MO_Common_ColumnHeader,0))), 1-INDEX(MO_MA_COGS,0,MATCH(M$3,MO_Common_ColumnHeader,0))), ""))</f>
        <v>3811.0000000000005</v>
      </c>
      <c r="N7" s="1220">
        <f>IFERROR(INDEX(MO_RIS_GP_NONGAAP,0,MATCH(N$3,MO_Common_ColumnHeader,0)),INDEX(MO_RIS_REV,0,MATCH(N$3,MO_Common_ColumnHeader,0))*IFERROR(IFERROR(IFERROR(1-INDEX(MO_MA_COGS_NONGAAP,0,MATCH(N$3,MO_Common_ColumnHeader,0)),1-INDEX(MO_MA_COGS_DA_Including,0,MATCH(N$3,MO_Common_ColumnHeader,0))), 1-INDEX(MO_MA_COGS,0,MATCH(N$3,MO_Common_ColumnHeader,0))), ""))</f>
        <v>3794</v>
      </c>
      <c r="O7" s="1219">
        <f>IFERROR(INDEX(MO_RIS_GP_NONGAAP,0,MATCH(O$3,MO_Common_ColumnHeader,0)),INDEX(MO_RIS_REV,0,MATCH(O$3,MO_Common_ColumnHeader,0))*IFERROR(IFERROR(IFERROR(1-INDEX(MO_MA_COGS_NONGAAP,0,MATCH(O$3,MO_Common_ColumnHeader,0)),1-INDEX(MO_MA_COGS_DA_Including,0,MATCH(O$3,MO_Common_ColumnHeader,0))), 1-INDEX(MO_MA_COGS,0,MATCH(O$3,MO_Common_ColumnHeader,0))), ""))</f>
        <v>15047</v>
      </c>
      <c r="P7" s="1220">
        <f>IFERROR(INDEX(MO_RIS_GP_NONGAAP,0,MATCH(P$3,MO_Common_ColumnHeader,0)),INDEX(MO_RIS_REV,0,MATCH(P$3,MO_Common_ColumnHeader,0))*IFERROR(IFERROR(IFERROR(1-INDEX(MO_MA_COGS_NONGAAP,0,MATCH(P$3,MO_Common_ColumnHeader,0)),1-INDEX(MO_MA_COGS_DA_Including,0,MATCH(P$3,MO_Common_ColumnHeader,0))), 1-INDEX(MO_MA_COGS,0,MATCH(P$3,MO_Common_ColumnHeader,0))), ""))</f>
        <v>3988.0000000000005</v>
      </c>
      <c r="Q7" s="1220">
        <f>IFERROR(INDEX(MO_RIS_GP_NONGAAP,0,MATCH(Q$3,MO_Common_ColumnHeader,0)),INDEX(MO_RIS_REV,0,MATCH(Q$3,MO_Common_ColumnHeader,0))*IFERROR(IFERROR(IFERROR(1-INDEX(MO_MA_COGS_NONGAAP,0,MATCH(Q$3,MO_Common_ColumnHeader,0)),1-INDEX(MO_MA_COGS_DA_Including,0,MATCH(Q$3,MO_Common_ColumnHeader,0))), 1-INDEX(MO_MA_COGS,0,MATCH(Q$3,MO_Common_ColumnHeader,0))), ""))</f>
        <v>3381</v>
      </c>
      <c r="R7" s="1220">
        <f>IFERROR(INDEX(MO_RIS_GP_NONGAAP,0,MATCH(R$3,MO_Common_ColumnHeader,0)),INDEX(MO_RIS_REV,0,MATCH(R$3,MO_Common_ColumnHeader,0))*IFERROR(IFERROR(IFERROR(1-INDEX(MO_MA_COGS_NONGAAP,0,MATCH(R$3,MO_Common_ColumnHeader,0)),1-INDEX(MO_MA_COGS_DA_Including,0,MATCH(R$3,MO_Common_ColumnHeader,0))), 1-INDEX(MO_MA_COGS,0,MATCH(R$3,MO_Common_ColumnHeader,0))), ""))</f>
        <v>4056</v>
      </c>
      <c r="S7" s="1220">
        <f>IFERROR(INDEX(MO_RIS_GP_NONGAAP,0,MATCH(S$3,MO_Common_ColumnHeader,0)),INDEX(MO_RIS_REV,0,MATCH(S$3,MO_Common_ColumnHeader,0))*IFERROR(IFERROR(IFERROR(1-INDEX(MO_MA_COGS_NONGAAP,0,MATCH(S$3,MO_Common_ColumnHeader,0)),1-INDEX(MO_MA_COGS_DA_Including,0,MATCH(S$3,MO_Common_ColumnHeader,0))), 1-INDEX(MO_MA_COGS,0,MATCH(S$3,MO_Common_ColumnHeader,0))), ""))</f>
        <v>4204</v>
      </c>
      <c r="T7" s="1219">
        <f>IFERROR(INDEX(MO_RIS_GP_NONGAAP,0,MATCH(T$3,MO_Common_ColumnHeader,0)),INDEX(MO_RIS_REV,0,MATCH(T$3,MO_Common_ColumnHeader,0))*IFERROR(IFERROR(IFERROR(1-INDEX(MO_MA_COGS_NONGAAP,0,MATCH(T$3,MO_Common_ColumnHeader,0)),1-INDEX(MO_MA_COGS_DA_Including,0,MATCH(T$3,MO_Common_ColumnHeader,0))), 1-INDEX(MO_MA_COGS,0,MATCH(T$3,MO_Common_ColumnHeader,0))), ""))</f>
        <v>15628.999999999998</v>
      </c>
      <c r="U7" s="1220">
        <f>IFERROR(INDEX(MO_RIS_GP_NONGAAP,0,MATCH(U$3,MO_Common_ColumnHeader,0)),INDEX(MO_RIS_REV,0,MATCH(U$3,MO_Common_ColumnHeader,0))*IFERROR(IFERROR(IFERROR(1-INDEX(MO_MA_COGS_NONGAAP,0,MATCH(U$3,MO_Common_ColumnHeader,0)),1-INDEX(MO_MA_COGS_DA_Including,0,MATCH(U$3,MO_Common_ColumnHeader,0))), 1-INDEX(MO_MA_COGS,0,MATCH(U$3,MO_Common_ColumnHeader,0))), ""))</f>
        <v>4348</v>
      </c>
      <c r="V7" s="1220">
        <f>IFERROR(INDEX(MO_RIS_GP_NONGAAP,0,MATCH(V$3,MO_Common_ColumnHeader,0)),INDEX(MO_RIS_REV,0,MATCH(V$3,MO_Common_ColumnHeader,0))*IFERROR(IFERROR(IFERROR(1-INDEX(MO_MA_COGS_NONGAAP,0,MATCH(V$3,MO_Common_ColumnHeader,0)),1-INDEX(MO_MA_COGS_DA_Including,0,MATCH(V$3,MO_Common_ColumnHeader,0))), 1-INDEX(MO_MA_COGS,0,MATCH(V$3,MO_Common_ColumnHeader,0))), ""))</f>
        <v>3670.6974040000009</v>
      </c>
      <c r="W7" s="1220">
        <f>IFERROR(INDEX(MO_RIS_GP_NONGAAP,0,MATCH(W$3,MO_Common_ColumnHeader,0)),INDEX(MO_RIS_REV,0,MATCH(W$3,MO_Common_ColumnHeader,0))*IFERROR(IFERROR(IFERROR(1-INDEX(MO_MA_COGS_NONGAAP,0,MATCH(W$3,MO_Common_ColumnHeader,0)),1-INDEX(MO_MA_COGS_DA_Including,0,MATCH(W$3,MO_Common_ColumnHeader,0))), 1-INDEX(MO_MA_COGS,0,MATCH(W$3,MO_Common_ColumnHeader,0))), ""))</f>
        <v>4282.8301400000009</v>
      </c>
      <c r="X7" s="1220">
        <f>IFERROR(INDEX(MO_RIS_GP_NONGAAP,0,MATCH(X$3,MO_Common_ColumnHeader,0)),INDEX(MO_RIS_REV,0,MATCH(X$3,MO_Common_ColumnHeader,0))*IFERROR(IFERROR(IFERROR(1-INDEX(MO_MA_COGS_NONGAAP,0,MATCH(X$3,MO_Common_ColumnHeader,0)),1-INDEX(MO_MA_COGS_DA_Including,0,MATCH(X$3,MO_Common_ColumnHeader,0))), 1-INDEX(MO_MA_COGS,0,MATCH(X$3,MO_Common_ColumnHeader,0))), ""))</f>
        <v>4444.6353070000005</v>
      </c>
      <c r="Y7" s="1219">
        <f>IFERROR(INDEX(MO_RIS_GP_NONGAAP,0,MATCH(Y$3,MO_Common_ColumnHeader,0)),INDEX(MO_RIS_REV,0,MATCH(Y$3,MO_Common_ColumnHeader,0))*IFERROR(IFERROR(IFERROR(1-INDEX(MO_MA_COGS_NONGAAP,0,MATCH(Y$3,MO_Common_ColumnHeader,0)),1-INDEX(MO_MA_COGS_DA_Including,0,MATCH(Y$3,MO_Common_ColumnHeader,0))), 1-INDEX(MO_MA_COGS,0,MATCH(Y$3,MO_Common_ColumnHeader,0))), ""))</f>
        <v>16746.162851000005</v>
      </c>
      <c r="Z7" s="1220">
        <f>IFERROR(INDEX(MO_RIS_GP_NONGAAP,0,MATCH(Z$3,MO_Common_ColumnHeader,0)),INDEX(MO_RIS_REV,0,MATCH(Z$3,MO_Common_ColumnHeader,0))*IFERROR(IFERROR(IFERROR(1-INDEX(MO_MA_COGS_NONGAAP,0,MATCH(Z$3,MO_Common_ColumnHeader,0)),1-INDEX(MO_MA_COGS_DA_Including,0,MATCH(Z$3,MO_Common_ColumnHeader,0))), 1-INDEX(MO_MA_COGS,0,MATCH(Z$3,MO_Common_ColumnHeader,0))), ""))</f>
        <v>4774.2757415000015</v>
      </c>
      <c r="AA7" s="1220">
        <f>IFERROR(INDEX(MO_RIS_GP_NONGAAP,0,MATCH(AA$3,MO_Common_ColumnHeader,0)),INDEX(MO_RIS_REV,0,MATCH(AA$3,MO_Common_ColumnHeader,0))*IFERROR(IFERROR(IFERROR(1-INDEX(MO_MA_COGS_NONGAAP,0,MATCH(AA$3,MO_Common_ColumnHeader,0)),1-INDEX(MO_MA_COGS_DA_Including,0,MATCH(AA$3,MO_Common_ColumnHeader,0))), 1-INDEX(MO_MA_COGS,0,MATCH(AA$3,MO_Common_ColumnHeader,0))), ""))</f>
        <v>4073.3005805850007</v>
      </c>
      <c r="AB7" s="1220">
        <f>IFERROR(INDEX(MO_RIS_GP_NONGAAP,0,MATCH(AB$3,MO_Common_ColumnHeader,0)),INDEX(MO_RIS_REV,0,MATCH(AB$3,MO_Common_ColumnHeader,0))*IFERROR(IFERROR(IFERROR(1-INDEX(MO_MA_COGS_NONGAAP,0,MATCH(AB$3,MO_Common_ColumnHeader,0)),1-INDEX(MO_MA_COGS_DA_Including,0,MATCH(AB$3,MO_Common_ColumnHeader,0))), 1-INDEX(MO_MA_COGS,0,MATCH(AB$3,MO_Common_ColumnHeader,0))), ""))</f>
        <v>4503.2569501599983</v>
      </c>
      <c r="AC7" s="1220">
        <f>IFERROR(INDEX(MO_RIS_GP_NONGAAP,0,MATCH(AC$3,MO_Common_ColumnHeader,0)),INDEX(MO_RIS_REV,0,MATCH(AC$3,MO_Common_ColumnHeader,0))*IFERROR(IFERROR(IFERROR(1-INDEX(MO_MA_COGS_NONGAAP,0,MATCH(AC$3,MO_Common_ColumnHeader,0)),1-INDEX(MO_MA_COGS_DA_Including,0,MATCH(AC$3,MO_Common_ColumnHeader,0))), 1-INDEX(MO_MA_COGS,0,MATCH(AC$3,MO_Common_ColumnHeader,0))), ""))</f>
        <v>4789.8845785100002</v>
      </c>
      <c r="AD7" s="1219">
        <f>IFERROR(INDEX(MO_RIS_GP_NONGAAP,0,MATCH(AD$3,MO_Common_ColumnHeader,0)),INDEX(MO_RIS_REV,0,MATCH(AD$3,MO_Common_ColumnHeader,0))*IFERROR(IFERROR(IFERROR(1-INDEX(MO_MA_COGS_NONGAAP,0,MATCH(AD$3,MO_Common_ColumnHeader,0)),1-INDEX(MO_MA_COGS_DA_Including,0,MATCH(AD$3,MO_Common_ColumnHeader,0))), 1-INDEX(MO_MA_COGS,0,MATCH(AD$3,MO_Common_ColumnHeader,0))), ""))</f>
        <v>18140.717850754998</v>
      </c>
      <c r="AE7" s="1219">
        <f>IFERROR(INDEX(MO_RIS_GP_NONGAAP,0,MATCH(AE$3,MO_Common_ColumnHeader,0)),INDEX(MO_RIS_REV,0,MATCH(AE$3,MO_Common_ColumnHeader,0))*IFERROR(IFERROR(IFERROR(1-INDEX(MO_MA_COGS_NONGAAP,0,MATCH(AE$3,MO_Common_ColumnHeader,0)),1-INDEX(MO_MA_COGS_DA_Including,0,MATCH(AE$3,MO_Common_ColumnHeader,0))), 1-INDEX(MO_MA_COGS,0,MATCH(AE$3,MO_Common_ColumnHeader,0))), ""))</f>
        <v>19534.527379081272</v>
      </c>
      <c r="AF7" s="1219">
        <f>IFERROR(INDEX(MO_RIS_GP_NONGAAP,0,MATCH(AF$3,MO_Common_ColumnHeader,0)),INDEX(MO_RIS_REV,0,MATCH(AF$3,MO_Common_ColumnHeader,0))*IFERROR(IFERROR(IFERROR(1-INDEX(MO_MA_COGS_NONGAAP,0,MATCH(AF$3,MO_Common_ColumnHeader,0)),1-INDEX(MO_MA_COGS_DA_Including,0,MATCH(AF$3,MO_Common_ColumnHeader,0))), 1-INDEX(MO_MA_COGS,0,MATCH(AF$3,MO_Common_ColumnHeader,0))), ""))</f>
        <v>21036.238132030718</v>
      </c>
      <c r="AG7" s="1221">
        <f>IFERROR(INDEX(MO_RIS_GP_NONGAAP,0,MATCH(AG$3,MO_Common_ColumnHeader,0)),INDEX(MO_RIS_REV,0,MATCH(AG$3,MO_Common_ColumnHeader,0))*IFERROR(IFERROR(IFERROR(1-INDEX(MO_MA_COGS_NONGAAP,0,MATCH(AG$3,MO_Common_ColumnHeader,0)),1-INDEX(MO_MA_COGS_DA_Including,0,MATCH(AG$3,MO_Common_ColumnHeader,0))), 1-INDEX(MO_MA_COGS,0,MATCH(AG$3,MO_Common_ColumnHeader,0))), ""))</f>
        <v>22654.234850935929</v>
      </c>
    </row>
    <row r="8" spans="1:33" s="1222" customFormat="1" ht="14.25" customHeight="1" outlineLevel="1" x14ac:dyDescent="0.35">
      <c r="A8" s="1216" t="str">
        <f>IFERROR(INDEX(MO_RIS_EBITDA_Adj,0,COLUMN(MO_Common_Column_A)),"Adj. EBITDA - N/A")</f>
        <v>Adjusted EBITDA</v>
      </c>
      <c r="B8" s="1217"/>
      <c r="C8" s="1218"/>
      <c r="D8" s="1219">
        <f>IFERROR(INDEX(MO_RIS_EBITDA_Adj,0,MATCH(D$3,MO_Common_ColumnHeader,0)),0)</f>
        <v>8697</v>
      </c>
      <c r="E8" s="1219">
        <f>IFERROR(INDEX(MO_RIS_EBITDA_Adj,0,MATCH(E$3,MO_Common_ColumnHeader,0)),0)</f>
        <v>9236</v>
      </c>
      <c r="F8" s="1220">
        <f>IFERROR(INDEX(MO_RIS_EBITDA_Adj,0,MATCH(F$3,MO_Common_ColumnHeader,0)),0)</f>
        <v>2286</v>
      </c>
      <c r="G8" s="1220">
        <f>IFERROR(INDEX(MO_RIS_EBITDA_Adj,0,MATCH(G$3,MO_Common_ColumnHeader,0)),0)</f>
        <v>2781</v>
      </c>
      <c r="H8" s="1220">
        <f>IFERROR(INDEX(MO_RIS_EBITDA_Adj,0,MATCH(H$3,MO_Common_ColumnHeader,0)),0)</f>
        <v>2371</v>
      </c>
      <c r="I8" s="1220">
        <f>IFERROR(INDEX(MO_RIS_EBITDA_Adj,0,MATCH(I$3,MO_Common_ColumnHeader,0)),0)</f>
        <v>2154</v>
      </c>
      <c r="J8" s="1219">
        <f>IFERROR(INDEX(MO_RIS_EBITDA_Adj,0,MATCH(J$3,MO_Common_ColumnHeader,0)),0)</f>
        <v>9592</v>
      </c>
      <c r="K8" s="1220">
        <f>IFERROR(INDEX(MO_RIS_EBITDA_Adj,0,MATCH(K$3,MO_Common_ColumnHeader,0)),0)</f>
        <v>2051</v>
      </c>
      <c r="L8" s="1220">
        <f>IFERROR(INDEX(MO_RIS_EBITDA_Adj,0,MATCH(L$3,MO_Common_ColumnHeader,0)),0)</f>
        <v>2078</v>
      </c>
      <c r="M8" s="1220">
        <f>IFERROR(INDEX(MO_RIS_EBITDA_Adj,0,MATCH(M$3,MO_Common_ColumnHeader,0)),0)</f>
        <v>2284</v>
      </c>
      <c r="N8" s="1220">
        <f>IFERROR(INDEX(MO_RIS_EBITDA_Adj,0,MATCH(N$3,MO_Common_ColumnHeader,0)),0)</f>
        <v>2002</v>
      </c>
      <c r="O8" s="1219">
        <f>IFERROR(INDEX(MO_RIS_EBITDA_Adj,0,MATCH(O$3,MO_Common_ColumnHeader,0)),0)</f>
        <v>8415</v>
      </c>
      <c r="P8" s="1220">
        <f>IFERROR(INDEX(MO_RIS_EBITDA_Adj,0,MATCH(P$3,MO_Common_ColumnHeader,0)),0)</f>
        <v>2118</v>
      </c>
      <c r="Q8" s="1220">
        <f>IFERROR(INDEX(MO_RIS_EBITDA_Adj,0,MATCH(Q$3,MO_Common_ColumnHeader,0)),0)</f>
        <v>1900</v>
      </c>
      <c r="R8" s="1220">
        <f>IFERROR(INDEX(MO_RIS_EBITDA_Adj,0,MATCH(R$3,MO_Common_ColumnHeader,0)),0)</f>
        <v>2390</v>
      </c>
      <c r="S8" s="1220">
        <f>IFERROR(INDEX(MO_RIS_EBITDA_Adj,0,MATCH(S$3,MO_Common_ColumnHeader,0)),0)</f>
        <v>2347</v>
      </c>
      <c r="T8" s="1219">
        <f>IFERROR(INDEX(MO_RIS_EBITDA_Adj,0,MATCH(T$3,MO_Common_ColumnHeader,0)),0)</f>
        <v>8755</v>
      </c>
      <c r="U8" s="1220">
        <f>IFERROR(INDEX(MO_RIS_EBITDA_Adj,0,MATCH(U$3,MO_Common_ColumnHeader,0)),0)</f>
        <v>2454</v>
      </c>
      <c r="V8" s="1220">
        <f>IFERROR(INDEX(MO_RIS_EBITDA_Adj,0,MATCH(V$3,MO_Common_ColumnHeader,0)),0)</f>
        <v>2120.9743847999998</v>
      </c>
      <c r="W8" s="1220">
        <f>IFERROR(INDEX(MO_RIS_EBITDA_Adj,0,MATCH(W$3,MO_Common_ColumnHeader,0)),0)</f>
        <v>2462.6915680000002</v>
      </c>
      <c r="X8" s="1220">
        <f>IFERROR(INDEX(MO_RIS_EBITDA_Adj,0,MATCH(X$3,MO_Common_ColumnHeader,0)),0)</f>
        <v>2565.0658084000002</v>
      </c>
      <c r="Y8" s="1219">
        <f>IFERROR(INDEX(MO_RIS_EBITDA_Adj,0,MATCH(Y$3,MO_Common_ColumnHeader,0)),0)</f>
        <v>9602.7317612000006</v>
      </c>
      <c r="Z8" s="1220">
        <f>IFERROR(INDEX(MO_RIS_EBITDA_Adj,0,MATCH(Z$3,MO_Common_ColumnHeader,0)),0)</f>
        <v>2683.7461348000006</v>
      </c>
      <c r="AA8" s="1220">
        <f>IFERROR(INDEX(MO_RIS_EBITDA_Adj,0,MATCH(AA$3,MO_Common_ColumnHeader,0)),0)</f>
        <v>2400.6010443519999</v>
      </c>
      <c r="AB8" s="1220">
        <f>IFERROR(INDEX(MO_RIS_EBITDA_Adj,0,MATCH(AB$3,MO_Common_ColumnHeader,0)),0)</f>
        <v>2541.9490585920003</v>
      </c>
      <c r="AC8" s="1220">
        <f>IFERROR(INDEX(MO_RIS_EBITDA_Adj,0,MATCH(AC$3,MO_Common_ColumnHeader,0)),0)</f>
        <v>2765.4050496119999</v>
      </c>
      <c r="AD8" s="1219">
        <f>IFERROR(INDEX(MO_RIS_EBITDA_Adj,0,MATCH(AD$3,MO_Common_ColumnHeader,0)),0)</f>
        <v>10391.701287356002</v>
      </c>
      <c r="AE8" s="1219">
        <f>IFERROR(INDEX(MO_RIS_EBITDA_Adj,0,MATCH(AE$3,MO_Common_ColumnHeader,0)),0)</f>
        <v>11195.589153213179</v>
      </c>
      <c r="AF8" s="1219">
        <f>IFERROR(INDEX(MO_RIS_EBITDA_Adj,0,MATCH(AF$3,MO_Common_ColumnHeader,0)),0)</f>
        <v>12067.758610940777</v>
      </c>
      <c r="AG8" s="1221">
        <f>IFERROR(INDEX(MO_RIS_EBITDA_Adj,0,MATCH(AG$3,MO_Common_ColumnHeader,0)),0)</f>
        <v>13013.838469852113</v>
      </c>
    </row>
    <row r="9" spans="1:33" s="1222" customFormat="1" ht="14.25" customHeight="1" outlineLevel="1" x14ac:dyDescent="0.35">
      <c r="A9" s="1223" t="str">
        <f>IFERROR( IFERROR(IFERROR(INDEX(MO_RIS_Reported_OperatingIncome_NONGAAP,0,COLUMN(MO_Common_Column_A)),IFERROR(INDEX(MO_RIS_EBIT_NONGAAP,0,COLUMN(MO_Common_Column_A)),INDEX(MO_RIS_EBIT_Adj,0,COLUMN(MO_Common_Column_A)))),INDEX(MO_RIS_EBIT,0,COLUMN(MO_Common_Column_A))), "EBIT - N/A")</f>
        <v>Adjusted EBIT</v>
      </c>
      <c r="B9" s="1217"/>
      <c r="C9" s="1218"/>
      <c r="D9" s="1219">
        <f>IFERROR(IFERROR(IFERROR(INDEX(MO_RIS_Reported_OperatingIncome_NONGAAP,0,MATCH(D$3,MO_Common_ColumnHeader,0)),IFERROR(INDEX(MO_RIS_EBIT_NONGAAP,0,MATCH(D$3,MO_Common_ColumnHeader,0)),INDEX(MO_RIS_EBIT_Adj,0,MATCH(D$3,MO_Common_ColumnHeader,0)))),INDEX(MO_RIS_EBIT,0,MATCH(D$3,MO_Common_ColumnHeader,0))), "")</f>
        <v>7223</v>
      </c>
      <c r="E9" s="1219">
        <f>IFERROR(IFERROR(IFERROR(INDEX(MO_RIS_Reported_OperatingIncome_NONGAAP,0,MATCH(E$3,MO_Common_ColumnHeader,0)),IFERROR(INDEX(MO_RIS_EBIT_NONGAAP,0,MATCH(E$3,MO_Common_ColumnHeader,0)),INDEX(MO_RIS_EBIT_Adj,0,MATCH(E$3,MO_Common_ColumnHeader,0)))),INDEX(MO_RIS_EBIT,0,MATCH(E$3,MO_Common_ColumnHeader,0))), "")</f>
        <v>7692</v>
      </c>
      <c r="F9" s="1225">
        <f>IFERROR(IFERROR(IFERROR(INDEX(MO_RIS_Reported_OperatingIncome_NONGAAP,0,MATCH(F$3,MO_Common_ColumnHeader,0)),IFERROR(INDEX(MO_RIS_EBIT_NONGAAP,0,MATCH(F$3,MO_Common_ColumnHeader,0)),INDEX(MO_RIS_EBIT_Adj,0,MATCH(F$3,MO_Common_ColumnHeader,0)))),INDEX(MO_RIS_EBIT,0,MATCH(F$3,MO_Common_ColumnHeader,0))), "")</f>
        <v>1904</v>
      </c>
      <c r="G9" s="1225">
        <f>IFERROR(IFERROR(IFERROR(INDEX(MO_RIS_Reported_OperatingIncome_NONGAAP,0,MATCH(G$3,MO_Common_ColumnHeader,0)),IFERROR(INDEX(MO_RIS_EBIT_NONGAAP,0,MATCH(G$3,MO_Common_ColumnHeader,0)),INDEX(MO_RIS_EBIT_Adj,0,MATCH(G$3,MO_Common_ColumnHeader,0)))),INDEX(MO_RIS_EBIT,0,MATCH(G$3,MO_Common_ColumnHeader,0))), "")</f>
        <v>2401</v>
      </c>
      <c r="H9" s="1225">
        <f>IFERROR(IFERROR(IFERROR(INDEX(MO_RIS_Reported_OperatingIncome_NONGAAP,0,MATCH(H$3,MO_Common_ColumnHeader,0)),IFERROR(INDEX(MO_RIS_EBIT_NONGAAP,0,MATCH(H$3,MO_Common_ColumnHeader,0)),INDEX(MO_RIS_EBIT_Adj,0,MATCH(H$3,MO_Common_ColumnHeader,0)))),INDEX(MO_RIS_EBIT,0,MATCH(H$3,MO_Common_ColumnHeader,0))), "")</f>
        <v>2016</v>
      </c>
      <c r="I9" s="1225">
        <f>IFERROR(IFERROR(IFERROR(INDEX(MO_RIS_Reported_OperatingIncome_NONGAAP,0,MATCH(I$3,MO_Common_ColumnHeader,0)),IFERROR(INDEX(MO_RIS_EBIT_NONGAAP,0,MATCH(I$3,MO_Common_ColumnHeader,0)),INDEX(MO_RIS_EBIT_Adj,0,MATCH(I$3,MO_Common_ColumnHeader,0)))),INDEX(MO_RIS_EBIT,0,MATCH(I$3,MO_Common_ColumnHeader,0))), "")</f>
        <v>1783</v>
      </c>
      <c r="J9" s="1219">
        <f>IFERROR(IFERROR(IFERROR(INDEX(MO_RIS_Reported_OperatingIncome_NONGAAP,0,MATCH(J$3,MO_Common_ColumnHeader,0)),IFERROR(INDEX(MO_RIS_EBIT_NONGAAP,0,MATCH(J$3,MO_Common_ColumnHeader,0)),INDEX(MO_RIS_EBIT_Adj,0,MATCH(J$3,MO_Common_ColumnHeader,0)))),INDEX(MO_RIS_EBIT,0,MATCH(J$3,MO_Common_ColumnHeader,0))), "")</f>
        <v>8104</v>
      </c>
      <c r="K9" s="1225">
        <f>IFERROR(IFERROR(IFERROR(INDEX(MO_RIS_Reported_OperatingIncome_NONGAAP,0,MATCH(K$3,MO_Common_ColumnHeader,0)),IFERROR(INDEX(MO_RIS_EBIT_NONGAAP,0,MATCH(K$3,MO_Common_ColumnHeader,0)),INDEX(MO_RIS_EBIT_Adj,0,MATCH(K$3,MO_Common_ColumnHeader,0)))),INDEX(MO_RIS_EBIT,0,MATCH(K$3,MO_Common_ColumnHeader,0))), "")</f>
        <v>1676</v>
      </c>
      <c r="L9" s="1225">
        <f>IFERROR(IFERROR(IFERROR(INDEX(MO_RIS_Reported_OperatingIncome_NONGAAP,0,MATCH(L$3,MO_Common_ColumnHeader,0)),IFERROR(INDEX(MO_RIS_EBIT_NONGAAP,0,MATCH(L$3,MO_Common_ColumnHeader,0)),INDEX(MO_RIS_EBIT_Adj,0,MATCH(L$3,MO_Common_ColumnHeader,0)))),INDEX(MO_RIS_EBIT,0,MATCH(L$3,MO_Common_ColumnHeader,0))), "")</f>
        <v>1702</v>
      </c>
      <c r="M9" s="1225">
        <f>IFERROR(IFERROR(IFERROR(INDEX(MO_RIS_Reported_OperatingIncome_NONGAAP,0,MATCH(M$3,MO_Common_ColumnHeader,0)),IFERROR(INDEX(MO_RIS_EBIT_NONGAAP,0,MATCH(M$3,MO_Common_ColumnHeader,0)),INDEX(MO_RIS_EBIT_Adj,0,MATCH(M$3,MO_Common_ColumnHeader,0)))),INDEX(MO_RIS_EBIT,0,MATCH(M$3,MO_Common_ColumnHeader,0))), "")</f>
        <v>1905</v>
      </c>
      <c r="N9" s="1225">
        <f>IFERROR(IFERROR(IFERROR(INDEX(MO_RIS_Reported_OperatingIncome_NONGAAP,0,MATCH(N$3,MO_Common_ColumnHeader,0)),IFERROR(INDEX(MO_RIS_EBIT_NONGAAP,0,MATCH(N$3,MO_Common_ColumnHeader,0)),INDEX(MO_RIS_EBIT_Adj,0,MATCH(N$3,MO_Common_ColumnHeader,0)))),INDEX(MO_RIS_EBIT,0,MATCH(N$3,MO_Common_ColumnHeader,0))), "")</f>
        <v>1539</v>
      </c>
      <c r="O9" s="1219">
        <f>IFERROR(IFERROR(IFERROR(INDEX(MO_RIS_Reported_OperatingIncome_NONGAAP,0,MATCH(O$3,MO_Common_ColumnHeader,0)),IFERROR(INDEX(MO_RIS_EBIT_NONGAAP,0,MATCH(O$3,MO_Common_ColumnHeader,0)),INDEX(MO_RIS_EBIT_Adj,0,MATCH(O$3,MO_Common_ColumnHeader,0)))),INDEX(MO_RIS_EBIT,0,MATCH(O$3,MO_Common_ColumnHeader,0))), "")</f>
        <v>6822</v>
      </c>
      <c r="P9" s="1225">
        <f>IFERROR(IFERROR(IFERROR(INDEX(MO_RIS_Reported_OperatingIncome_NONGAAP,0,MATCH(P$3,MO_Common_ColumnHeader,0)),IFERROR(INDEX(MO_RIS_EBIT_NONGAAP,0,MATCH(P$3,MO_Common_ColumnHeader,0)),INDEX(MO_RIS_EBIT_Adj,0,MATCH(P$3,MO_Common_ColumnHeader,0)))),INDEX(MO_RIS_EBIT,0,MATCH(P$3,MO_Common_ColumnHeader,0))), "")</f>
        <v>1678</v>
      </c>
      <c r="Q9" s="1225">
        <f>IFERROR(IFERROR(IFERROR(INDEX(MO_RIS_Reported_OperatingIncome_NONGAAP,0,MATCH(Q$3,MO_Common_ColumnHeader,0)),IFERROR(INDEX(MO_RIS_EBIT_NONGAAP,0,MATCH(Q$3,MO_Common_ColumnHeader,0)),INDEX(MO_RIS_EBIT_Adj,0,MATCH(Q$3,MO_Common_ColumnHeader,0)))),INDEX(MO_RIS_EBIT,0,MATCH(Q$3,MO_Common_ColumnHeader,0))), "")</f>
        <v>1408</v>
      </c>
      <c r="R9" s="1225">
        <f>IFERROR(IFERROR(IFERROR(INDEX(MO_RIS_Reported_OperatingIncome_NONGAAP,0,MATCH(R$3,MO_Common_ColumnHeader,0)),IFERROR(INDEX(MO_RIS_EBIT_NONGAAP,0,MATCH(R$3,MO_Common_ColumnHeader,0)),INDEX(MO_RIS_EBIT_Adj,0,MATCH(R$3,MO_Common_ColumnHeader,0)))),INDEX(MO_RIS_EBIT,0,MATCH(R$3,MO_Common_ColumnHeader,0))), "")</f>
        <v>1909</v>
      </c>
      <c r="S9" s="1225">
        <f>IFERROR(IFERROR(IFERROR(INDEX(MO_RIS_Reported_OperatingIncome_NONGAAP,0,MATCH(S$3,MO_Common_ColumnHeader,0)),IFERROR(INDEX(MO_RIS_EBIT_NONGAAP,0,MATCH(S$3,MO_Common_ColumnHeader,0)),INDEX(MO_RIS_EBIT_Adj,0,MATCH(S$3,MO_Common_ColumnHeader,0)))),INDEX(MO_RIS_EBIT,0,MATCH(S$3,MO_Common_ColumnHeader,0))), "")</f>
        <v>1849</v>
      </c>
      <c r="T9" s="1219">
        <f>IFERROR(IFERROR(IFERROR(INDEX(MO_RIS_Reported_OperatingIncome_NONGAAP,0,MATCH(T$3,MO_Common_ColumnHeader,0)),IFERROR(INDEX(MO_RIS_EBIT_NONGAAP,0,MATCH(T$3,MO_Common_ColumnHeader,0)),INDEX(MO_RIS_EBIT_Adj,0,MATCH(T$3,MO_Common_ColumnHeader,0)))),INDEX(MO_RIS_EBIT,0,MATCH(T$3,MO_Common_ColumnHeader,0))), "")</f>
        <v>6844</v>
      </c>
      <c r="U9" s="1225">
        <f>IFERROR(IFERROR(IFERROR(INDEX(MO_RIS_Reported_OperatingIncome_NONGAAP,0,MATCH(U$3,MO_Common_ColumnHeader,0)),IFERROR(INDEX(MO_RIS_EBIT_NONGAAP,0,MATCH(U$3,MO_Common_ColumnHeader,0)),INDEX(MO_RIS_EBIT_Adj,0,MATCH(U$3,MO_Common_ColumnHeader,0)))),INDEX(MO_RIS_EBIT,0,MATCH(U$3,MO_Common_ColumnHeader,0))), "")</f>
        <v>1994</v>
      </c>
      <c r="V9" s="1225">
        <f>IFERROR(IFERROR(IFERROR(INDEX(MO_RIS_Reported_OperatingIncome_NONGAAP,0,MATCH(V$3,MO_Common_ColumnHeader,0)),IFERROR(INDEX(MO_RIS_EBIT_NONGAAP,0,MATCH(V$3,MO_Common_ColumnHeader,0)),INDEX(MO_RIS_EBIT_Adj,0,MATCH(V$3,MO_Common_ColumnHeader,0)))),INDEX(MO_RIS_EBIT,0,MATCH(V$3,MO_Common_ColumnHeader,0))), "")</f>
        <v>1695.9743848000003</v>
      </c>
      <c r="W9" s="1225">
        <f>IFERROR(IFERROR(IFERROR(INDEX(MO_RIS_Reported_OperatingIncome_NONGAAP,0,MATCH(W$3,MO_Common_ColumnHeader,0)),IFERROR(INDEX(MO_RIS_EBIT_NONGAAP,0,MATCH(W$3,MO_Common_ColumnHeader,0)),INDEX(MO_RIS_EBIT_Adj,0,MATCH(W$3,MO_Common_ColumnHeader,0)))),INDEX(MO_RIS_EBIT,0,MATCH(W$3,MO_Common_ColumnHeader,0))), "")</f>
        <v>2037.691568</v>
      </c>
      <c r="X9" s="1225">
        <f>IFERROR(IFERROR(IFERROR(INDEX(MO_RIS_Reported_OperatingIncome_NONGAAP,0,MATCH(X$3,MO_Common_ColumnHeader,0)),IFERROR(INDEX(MO_RIS_EBIT_NONGAAP,0,MATCH(X$3,MO_Common_ColumnHeader,0)),INDEX(MO_RIS_EBIT_Adj,0,MATCH(X$3,MO_Common_ColumnHeader,0)))),INDEX(MO_RIS_EBIT,0,MATCH(X$3,MO_Common_ColumnHeader,0))), "")</f>
        <v>2140.0658084000002</v>
      </c>
      <c r="Y9" s="1219">
        <f>IFERROR(IFERROR(IFERROR(INDEX(MO_RIS_Reported_OperatingIncome_NONGAAP,0,MATCH(Y$3,MO_Common_ColumnHeader,0)),IFERROR(INDEX(MO_RIS_EBIT_NONGAAP,0,MATCH(Y$3,MO_Common_ColumnHeader,0)),INDEX(MO_RIS_EBIT_Adj,0,MATCH(Y$3,MO_Common_ColumnHeader,0)))),INDEX(MO_RIS_EBIT,0,MATCH(Y$3,MO_Common_ColumnHeader,0))), "")</f>
        <v>7867.7317612000006</v>
      </c>
      <c r="Z9" s="1225">
        <f>IFERROR(IFERROR(IFERROR(INDEX(MO_RIS_Reported_OperatingIncome_NONGAAP,0,MATCH(Z$3,MO_Common_ColumnHeader,0)),IFERROR(INDEX(MO_RIS_EBIT_NONGAAP,0,MATCH(Z$3,MO_Common_ColumnHeader,0)),INDEX(MO_RIS_EBIT_Adj,0,MATCH(Z$3,MO_Common_ColumnHeader,0)))),INDEX(MO_RIS_EBIT,0,MATCH(Z$3,MO_Common_ColumnHeader,0))), "")</f>
        <v>2258.7461348000006</v>
      </c>
      <c r="AA9" s="1225">
        <f>IFERROR(IFERROR(IFERROR(INDEX(MO_RIS_Reported_OperatingIncome_NONGAAP,0,MATCH(AA$3,MO_Common_ColumnHeader,0)),IFERROR(INDEX(MO_RIS_EBIT_NONGAAP,0,MATCH(AA$3,MO_Common_ColumnHeader,0)),INDEX(MO_RIS_EBIT_Adj,0,MATCH(AA$3,MO_Common_ColumnHeader,0)))),INDEX(MO_RIS_EBIT,0,MATCH(AA$3,MO_Common_ColumnHeader,0))), "")</f>
        <v>1975.6010443520001</v>
      </c>
      <c r="AB9" s="1225">
        <f>IFERROR(IFERROR(IFERROR(INDEX(MO_RIS_Reported_OperatingIncome_NONGAAP,0,MATCH(AB$3,MO_Common_ColumnHeader,0)),IFERROR(INDEX(MO_RIS_EBIT_NONGAAP,0,MATCH(AB$3,MO_Common_ColumnHeader,0)),INDEX(MO_RIS_EBIT_Adj,0,MATCH(AB$3,MO_Common_ColumnHeader,0)))),INDEX(MO_RIS_EBIT,0,MATCH(AB$3,MO_Common_ColumnHeader,0))), "")</f>
        <v>2116.9490585920003</v>
      </c>
      <c r="AC9" s="1225">
        <f>IFERROR(IFERROR(IFERROR(INDEX(MO_RIS_Reported_OperatingIncome_NONGAAP,0,MATCH(AC$3,MO_Common_ColumnHeader,0)),IFERROR(INDEX(MO_RIS_EBIT_NONGAAP,0,MATCH(AC$3,MO_Common_ColumnHeader,0)),INDEX(MO_RIS_EBIT_Adj,0,MATCH(AC$3,MO_Common_ColumnHeader,0)))),INDEX(MO_RIS_EBIT,0,MATCH(AC$3,MO_Common_ColumnHeader,0))), "")</f>
        <v>2340.4050496119999</v>
      </c>
      <c r="AD9" s="1219">
        <f>IFERROR(IFERROR(IFERROR(INDEX(MO_RIS_Reported_OperatingIncome_NONGAAP,0,MATCH(AD$3,MO_Common_ColumnHeader,0)),IFERROR(INDEX(MO_RIS_EBIT_NONGAAP,0,MATCH(AD$3,MO_Common_ColumnHeader,0)),INDEX(MO_RIS_EBIT_Adj,0,MATCH(AD$3,MO_Common_ColumnHeader,0)))),INDEX(MO_RIS_EBIT,0,MATCH(AD$3,MO_Common_ColumnHeader,0))), "")</f>
        <v>8691.7012873560016</v>
      </c>
      <c r="AE9" s="1219">
        <f>IFERROR(IFERROR(IFERROR(INDEX(MO_RIS_Reported_OperatingIncome_NONGAAP,0,MATCH(AE$3,MO_Common_ColumnHeader,0)),IFERROR(INDEX(MO_RIS_EBIT_NONGAAP,0,MATCH(AE$3,MO_Common_ColumnHeader,0)),INDEX(MO_RIS_EBIT_Adj,0,MATCH(AE$3,MO_Common_ColumnHeader,0)))),INDEX(MO_RIS_EBIT,0,MATCH(AE$3,MO_Common_ColumnHeader,0))), "")</f>
        <v>9495.5891532131791</v>
      </c>
      <c r="AF9" s="1219">
        <f>IFERROR(IFERROR(IFERROR(INDEX(MO_RIS_Reported_OperatingIncome_NONGAAP,0,MATCH(AF$3,MO_Common_ColumnHeader,0)),IFERROR(INDEX(MO_RIS_EBIT_NONGAAP,0,MATCH(AF$3,MO_Common_ColumnHeader,0)),INDEX(MO_RIS_EBIT_Adj,0,MATCH(AF$3,MO_Common_ColumnHeader,0)))),INDEX(MO_RIS_EBIT,0,MATCH(AF$3,MO_Common_ColumnHeader,0))), "")</f>
        <v>10367.758610940777</v>
      </c>
      <c r="AG9" s="1221">
        <f>IFERROR(IFERROR(IFERROR(INDEX(MO_RIS_Reported_OperatingIncome_NONGAAP,0,MATCH(AG$3,MO_Common_ColumnHeader,0)),IFERROR(INDEX(MO_RIS_EBIT_NONGAAP,0,MATCH(AG$3,MO_Common_ColumnHeader,0)),INDEX(MO_RIS_EBIT_Adj,0,MATCH(AG$3,MO_Common_ColumnHeader,0)))),INDEX(MO_RIS_EBIT,0,MATCH(AG$3,MO_Common_ColumnHeader,0))), "")</f>
        <v>11313.838469852113</v>
      </c>
    </row>
    <row r="10" spans="1:33" s="1222" customFormat="1" ht="14.25" customHeight="1" outlineLevel="1" x14ac:dyDescent="0.35">
      <c r="A10" s="1223" t="str">
        <f>IFERROR( IFERROR(INDEX(MO_RIS_IE_NONGAAP,0,COLUMN(MO_Common_Column_A)), IFERROR(INDEX(MO_FE_IE,0,COLUMN(MO_Common_Column_A)),INDEX(MO_RIS_IE,0,COLUMN(MO_Common_Column_A)))), "Interest Expense - N/A")</f>
        <v>Interest expense</v>
      </c>
      <c r="B10" s="1217"/>
      <c r="C10" s="1218"/>
      <c r="D10" s="1219">
        <f>IFERROR(IFERROR(INDEX(MO_RIS_IE_NONGAAP,0,MATCH(D$3,MO_Common_ColumnHeader,0)),IFERROR(-INDEX(MO_FE_IE,0,MATCH(D$3,MO_Common_ColumnHeader,0)),IFERROR(INDEX(MO_RIS_IE,0,MATCH(D$3,MO_Common_ColumnHeader,0)),INDEX(MO_RIS_IE_Net_NONGAAP,0,MATCH(D$3,MO_Common_ColumnHeader,0))))), "")</f>
        <v>199</v>
      </c>
      <c r="E10" s="1219">
        <f>IFERROR(IFERROR(INDEX(MO_RIS_IE_NONGAAP,0,MATCH(E$3,MO_Common_ColumnHeader,0)), IFERROR(INDEX(MO_RIS_IE,0,MATCH(E$3,MO_Common_ColumnHeader,0)),INDEX(MO_RIS_IE_Net_NONGAAP,0,MATCH(E$3,MO_Common_ColumnHeader,0)))), "")</f>
        <v>322</v>
      </c>
      <c r="F10" s="1225">
        <f>IFERROR(IFERROR(INDEX(MO_RIS_IE_NONGAAP,0,MATCH(F$3,MO_Common_ColumnHeader,0)), IFERROR(INDEX(MO_RIS_IE,0,MATCH(F$3,MO_Common_ColumnHeader,0)),INDEX(MO_RIS_IE_Net_NONGAAP,0,MATCH(F$3,MO_Common_ColumnHeader,0)))), "")</f>
        <v>82</v>
      </c>
      <c r="G10" s="1225">
        <f>IFERROR(IFERROR(INDEX(MO_RIS_IE_NONGAAP,0,MATCH(G$3,MO_Common_ColumnHeader,0)), IFERROR(INDEX(MO_RIS_IE,0,MATCH(G$3,MO_Common_ColumnHeader,0)),INDEX(MO_RIS_IE_Net_NONGAAP,0,MATCH(G$3,MO_Common_ColumnHeader,0)))), "")</f>
        <v>88</v>
      </c>
      <c r="H10" s="1225">
        <f>IFERROR(IFERROR(INDEX(MO_RIS_IE_NONGAAP,0,MATCH(H$3,MO_Common_ColumnHeader,0)), IFERROR(INDEX(MO_RIS_IE,0,MATCH(H$3,MO_Common_ColumnHeader,0)),INDEX(MO_RIS_IE_Net_NONGAAP,0,MATCH(H$3,MO_Common_ColumnHeader,0)))), "")</f>
        <v>85</v>
      </c>
      <c r="I10" s="1225">
        <f>IFERROR(IFERROR(INDEX(MO_RIS_IE_NONGAAP,0,MATCH(I$3,MO_Common_ColumnHeader,0)), IFERROR(INDEX(MO_RIS_IE,0,MATCH(I$3,MO_Common_ColumnHeader,0)),INDEX(MO_RIS_IE_Net_NONGAAP,0,MATCH(I$3,MO_Common_ColumnHeader,0)))), "")</f>
        <v>95</v>
      </c>
      <c r="J10" s="1219">
        <f>IFERROR(IFERROR(INDEX(MO_RIS_IE_NONGAAP,0,MATCH(J$3,MO_Common_ColumnHeader,0)), IFERROR(INDEX(MO_RIS_IE,0,MATCH(J$3,MO_Common_ColumnHeader,0)),INDEX(MO_RIS_IE_Net_NONGAAP,0,MATCH(J$3,MO_Common_ColumnHeader,0)))), "")</f>
        <v>350</v>
      </c>
      <c r="K10" s="1225">
        <f>IFERROR(IFERROR(INDEX(MO_RIS_IE_NONGAAP,0,MATCH(K$3,MO_Common_ColumnHeader,0)), IFERROR(INDEX(MO_RIS_IE,0,MATCH(K$3,MO_Common_ColumnHeader,0)),INDEX(MO_RIS_IE_Net_NONGAAP,0,MATCH(K$3,MO_Common_ColumnHeader,0)))), "")</f>
        <v>104</v>
      </c>
      <c r="L10" s="1225">
        <f>IFERROR(IFERROR(INDEX(MO_RIS_IE_NONGAAP,0,MATCH(L$3,MO_Common_ColumnHeader,0)), IFERROR(INDEX(MO_RIS_IE,0,MATCH(L$3,MO_Common_ColumnHeader,0)),INDEX(MO_RIS_IE_Net_NONGAAP,0,MATCH(L$3,MO_Common_ColumnHeader,0)))), "")</f>
        <v>111</v>
      </c>
      <c r="M10" s="1225">
        <f>IFERROR(IFERROR(INDEX(MO_RIS_IE_NONGAAP,0,MATCH(M$3,MO_Common_ColumnHeader,0)), IFERROR(INDEX(MO_RIS_IE,0,MATCH(M$3,MO_Common_ColumnHeader,0)),INDEX(MO_RIS_IE_Net_NONGAAP,0,MATCH(M$3,MO_Common_ColumnHeader,0)))), "")</f>
        <v>109</v>
      </c>
      <c r="N10" s="1225">
        <f>IFERROR(IFERROR(INDEX(MO_RIS_IE_NONGAAP,0,MATCH(N$3,MO_Common_ColumnHeader,0)), IFERROR(INDEX(MO_RIS_IE,0,MATCH(N$3,MO_Common_ColumnHeader,0)),INDEX(MO_RIS_IE_Net_NONGAAP,0,MATCH(N$3,MO_Common_ColumnHeader,0)))), "")</f>
        <v>124</v>
      </c>
      <c r="O10" s="1219">
        <f>IFERROR(IFERROR(INDEX(MO_RIS_IE_NONGAAP,0,MATCH(O$3,MO_Common_ColumnHeader,0)), IFERROR(INDEX(MO_RIS_IE,0,MATCH(O$3,MO_Common_ColumnHeader,0)),INDEX(MO_RIS_IE_Net_NONGAAP,0,MATCH(O$3,MO_Common_ColumnHeader,0)))), "")</f>
        <v>448</v>
      </c>
      <c r="P10" s="1225">
        <f>IFERROR(IFERROR(INDEX(MO_RIS_IE_NONGAAP,0,MATCH(P$3,MO_Common_ColumnHeader,0)), IFERROR(INDEX(MO_RIS_IE,0,MATCH(P$3,MO_Common_ColumnHeader,0)),INDEX(MO_RIS_IE_Net_NONGAAP,0,MATCH(P$3,MO_Common_ColumnHeader,0)))), "")</f>
        <v>123</v>
      </c>
      <c r="Q10" s="1225">
        <f>IFERROR(IFERROR(INDEX(MO_RIS_IE_NONGAAP,0,MATCH(Q$3,MO_Common_ColumnHeader,0)), IFERROR(INDEX(MO_RIS_IE,0,MATCH(Q$3,MO_Common_ColumnHeader,0)),INDEX(MO_RIS_IE_Net_NONGAAP,0,MATCH(Q$3,MO_Common_ColumnHeader,0)))), "")</f>
        <v>137</v>
      </c>
      <c r="R10" s="1225">
        <f>IFERROR(IFERROR(INDEX(MO_RIS_IE_NONGAAP,0,MATCH(R$3,MO_Common_ColumnHeader,0)), IFERROR(INDEX(MO_RIS_IE,0,MATCH(R$3,MO_Common_ColumnHeader,0)),INDEX(MO_RIS_IE_Net_NONGAAP,0,MATCH(R$3,MO_Common_ColumnHeader,0)))), "")</f>
        <v>128</v>
      </c>
      <c r="S10" s="1225">
        <f>IFERROR(IFERROR(INDEX(MO_RIS_IE_NONGAAP,0,MATCH(S$3,MO_Common_ColumnHeader,0)), IFERROR(INDEX(MO_RIS_IE,0,MATCH(S$3,MO_Common_ColumnHeader,0)),INDEX(MO_RIS_IE_Net_NONGAAP,0,MATCH(S$3,MO_Common_ColumnHeader,0)))), "")</f>
        <v>141</v>
      </c>
      <c r="T10" s="1219">
        <f>IFERROR(IFERROR(INDEX(MO_RIS_IE_NONGAAP,0,MATCH(T$3,MO_Common_ColumnHeader,0)), IFERROR(INDEX(MO_RIS_IE,0,MATCH(T$3,MO_Common_ColumnHeader,0)),INDEX(MO_RIS_IE_Net_NONGAAP,0,MATCH(T$3,MO_Common_ColumnHeader,0)))), "")</f>
        <v>529</v>
      </c>
      <c r="U10" s="1225">
        <f>IFERROR(IFERROR(INDEX(MO_RIS_IE_NONGAAP,0,MATCH(U$3,MO_Common_ColumnHeader,0)), IFERROR(INDEX(MO_RIS_IE,0,MATCH(U$3,MO_Common_ColumnHeader,0)),INDEX(MO_RIS_IE_Net_NONGAAP,0,MATCH(U$3,MO_Common_ColumnHeader,0)))), "")</f>
        <v>132</v>
      </c>
      <c r="V10" s="1225">
        <f>IFERROR(IFERROR(INDEX(MO_RIS_IE_NONGAAP,0,MATCH(V$3,MO_Common_ColumnHeader,0)), IFERROR(INDEX(MO_RIS_IE,0,MATCH(V$3,MO_Common_ColumnHeader,0)),INDEX(MO_RIS_IE_Net_NONGAAP,0,MATCH(V$3,MO_Common_ColumnHeader,0)))), "")</f>
        <v>131.49450136986303</v>
      </c>
      <c r="W10" s="1225">
        <f>IFERROR(IFERROR(INDEX(MO_RIS_IE_NONGAAP,0,MATCH(W$3,MO_Common_ColumnHeader,0)), IFERROR(INDEX(MO_RIS_IE,0,MATCH(W$3,MO_Common_ColumnHeader,0)),INDEX(MO_RIS_IE_Net_NONGAAP,0,MATCH(W$3,MO_Common_ColumnHeader,0)))), "")</f>
        <v>132.93949589041094</v>
      </c>
      <c r="X10" s="1225">
        <f>IFERROR(IFERROR(INDEX(MO_RIS_IE_NONGAAP,0,MATCH(X$3,MO_Common_ColumnHeader,0)), IFERROR(INDEX(MO_RIS_IE,0,MATCH(X$3,MO_Common_ColumnHeader,0)),INDEX(MO_RIS_IE_Net_NONGAAP,0,MATCH(X$3,MO_Common_ColumnHeader,0)))), "")</f>
        <v>132.93949589041094</v>
      </c>
      <c r="Y10" s="1219">
        <f>IFERROR(IFERROR(INDEX(MO_RIS_IE_NONGAAP,0,MATCH(Y$3,MO_Common_ColumnHeader,0)), IFERROR(INDEX(MO_RIS_IE,0,MATCH(Y$3,MO_Common_ColumnHeader,0)),INDEX(MO_RIS_IE_Net_NONGAAP,0,MATCH(Y$3,MO_Common_ColumnHeader,0)))), "")</f>
        <v>529.37349315068491</v>
      </c>
      <c r="Z10" s="1225">
        <f>IFERROR(IFERROR(INDEX(MO_RIS_IE_NONGAAP,0,MATCH(Z$3,MO_Common_ColumnHeader,0)), IFERROR(INDEX(MO_RIS_IE,0,MATCH(Z$3,MO_Common_ColumnHeader,0)),INDEX(MO_RIS_IE_Net_NONGAAP,0,MATCH(Z$3,MO_Common_ColumnHeader,0)))), "")</f>
        <v>130.04950684931507</v>
      </c>
      <c r="AA10" s="1225">
        <f>IFERROR(IFERROR(INDEX(MO_RIS_IE_NONGAAP,0,MATCH(AA$3,MO_Common_ColumnHeader,0)), IFERROR(INDEX(MO_RIS_IE,0,MATCH(AA$3,MO_Common_ColumnHeader,0)),INDEX(MO_RIS_IE_Net_NONGAAP,0,MATCH(AA$3,MO_Common_ColumnHeader,0)))), "")</f>
        <v>131.49450136986303</v>
      </c>
      <c r="AB10" s="1225">
        <f>IFERROR(IFERROR(INDEX(MO_RIS_IE_NONGAAP,0,MATCH(AB$3,MO_Common_ColumnHeader,0)), IFERROR(INDEX(MO_RIS_IE,0,MATCH(AB$3,MO_Common_ColumnHeader,0)),INDEX(MO_RIS_IE_Net_NONGAAP,0,MATCH(AB$3,MO_Common_ColumnHeader,0)))), "")</f>
        <v>132.93949589041094</v>
      </c>
      <c r="AC10" s="1225">
        <f>IFERROR(IFERROR(INDEX(MO_RIS_IE_NONGAAP,0,MATCH(AC$3,MO_Common_ColumnHeader,0)), IFERROR(INDEX(MO_RIS_IE,0,MATCH(AC$3,MO_Common_ColumnHeader,0)),INDEX(MO_RIS_IE_Net_NONGAAP,0,MATCH(AC$3,MO_Common_ColumnHeader,0)))), "")</f>
        <v>132.93949589041094</v>
      </c>
      <c r="AD10" s="1219">
        <f>IFERROR(IFERROR(INDEX(MO_RIS_IE_NONGAAP,0,MATCH(AD$3,MO_Common_ColumnHeader,0)), IFERROR(INDEX(MO_RIS_IE,0,MATCH(AD$3,MO_Common_ColumnHeader,0)),INDEX(MO_RIS_IE_Net_NONGAAP,0,MATCH(AD$3,MO_Common_ColumnHeader,0)))), "")</f>
        <v>527.423</v>
      </c>
      <c r="AE10" s="1219">
        <f>IFERROR(IFERROR(INDEX(MO_RIS_IE_NONGAAP,0,MATCH(AE$3,MO_Common_ColumnHeader,0)), IFERROR(INDEX(MO_RIS_IE,0,MATCH(AE$3,MO_Common_ColumnHeader,0)),INDEX(MO_RIS_IE_Net_NONGAAP,0,MATCH(AE$3,MO_Common_ColumnHeader,0)))), "")</f>
        <v>527.423</v>
      </c>
      <c r="AF10" s="1219">
        <f>IFERROR(IFERROR(INDEX(MO_RIS_IE_NONGAAP,0,MATCH(AF$3,MO_Common_ColumnHeader,0)), IFERROR(INDEX(MO_RIS_IE,0,MATCH(AF$3,MO_Common_ColumnHeader,0)),INDEX(MO_RIS_IE_Net_NONGAAP,0,MATCH(AF$3,MO_Common_ColumnHeader,0)))), "")</f>
        <v>527.423</v>
      </c>
      <c r="AG10" s="1221">
        <f>IFERROR(IFERROR(INDEX(MO_RIS_IE_NONGAAP,0,MATCH(AG$3,MO_Common_ColumnHeader,0)), IFERROR(INDEX(MO_RIS_IE,0,MATCH(AG$3,MO_Common_ColumnHeader,0)),INDEX(MO_RIS_IE_Net_NONGAAP,0,MATCH(AG$3,MO_Common_ColumnHeader,0)))), "")</f>
        <v>527.423</v>
      </c>
    </row>
    <row r="11" spans="1:33" s="1222" customFormat="1" ht="14.25" customHeight="1" outlineLevel="1" x14ac:dyDescent="0.35">
      <c r="A11" s="1223" t="str">
        <f>IFERROR( IFERROR(INDEX(MO_RIS_II_NONGAAP,0,COLUMN(MO_Common_Column_A)), IFERROR(INDEX(MO_FE_II,0,COLUMN(MO_Common_Column_A)),INDEX(MO_RIS_II,0,COLUMN(MO_Common_Column_A)))), "Interest Income - N/A")</f>
        <v>Interest income</v>
      </c>
      <c r="B11" s="1217"/>
      <c r="C11" s="1218"/>
      <c r="D11" s="1219">
        <f>IFERROR(IFERROR(INDEX(MO_RIS_II_NONGAAP,0,MATCH(D$3,MO_Common_ColumnHeader,0)),IFERROR(-INDEX(MO_FE_II,0,MATCH(D$3,MO_Common_ColumnHeader,0)),INDEX(MO_RIS_II,0,MATCH(D$3,MO_Common_ColumnHeader,0)))), "")</f>
        <v>-29</v>
      </c>
      <c r="E11" s="1219">
        <f>IFERROR(IFERROR(INDEX(MO_RIS_II_NONGAAP,0,MATCH(E$3,MO_Common_ColumnHeader,0)),IFERROR(-INDEX(MO_FE_II,0,MATCH(E$3,MO_Common_ColumnHeader,0)),INDEX(MO_RIS_II,0,MATCH(E$3,MO_Common_ColumnHeader,0)))), "")</f>
        <v>-50</v>
      </c>
      <c r="F11" s="1225">
        <f>IFERROR(IFERROR(INDEX(MO_RIS_II_NONGAAP,0,MATCH(F$3,MO_Common_ColumnHeader,0)),IFERROR(-INDEX(MO_FE_II,0,MATCH(F$3,MO_Common_ColumnHeader,0)),INDEX(MO_RIS_II,0,MATCH(F$3,MO_Common_ColumnHeader,0)))), "")</f>
        <v>-21</v>
      </c>
      <c r="G11" s="1225">
        <f>IFERROR(IFERROR(INDEX(MO_RIS_II_NONGAAP,0,MATCH(G$3,MO_Common_ColumnHeader,0)),IFERROR(-INDEX(MO_FE_II,0,MATCH(G$3,MO_Common_ColumnHeader,0)),INDEX(MO_RIS_II,0,MATCH(G$3,MO_Common_ColumnHeader,0)))), "")</f>
        <v>-16</v>
      </c>
      <c r="H11" s="1225">
        <f>IFERROR(IFERROR(INDEX(MO_RIS_II_NONGAAP,0,MATCH(H$3,MO_Common_ColumnHeader,0)),IFERROR(-INDEX(MO_FE_II,0,MATCH(H$3,MO_Common_ColumnHeader,0)),INDEX(MO_RIS_II,0,MATCH(H$3,MO_Common_ColumnHeader,0)))), "")</f>
        <v>-15</v>
      </c>
      <c r="I11" s="1225">
        <f>IFERROR(IFERROR(INDEX(MO_RIS_II_NONGAAP,0,MATCH(I$3,MO_Common_ColumnHeader,0)),IFERROR(-INDEX(MO_FE_II,0,MATCH(I$3,MO_Common_ColumnHeader,0)),INDEX(MO_RIS_II,0,MATCH(I$3,MO_Common_ColumnHeader,0)))), "")</f>
        <v>-18</v>
      </c>
      <c r="J11" s="1219">
        <f>IFERROR(IFERROR(INDEX(MO_RIS_II_NONGAAP,0,MATCH(J$3,MO_Common_ColumnHeader,0)),IFERROR(-INDEX(MO_FE_II,0,MATCH(J$3,MO_Common_ColumnHeader,0)),INDEX(MO_RIS_II,0,MATCH(J$3,MO_Common_ColumnHeader,0)))), "")</f>
        <v>-70</v>
      </c>
      <c r="K11" s="1225">
        <f>IFERROR(IFERROR(INDEX(MO_RIS_II_NONGAAP,0,MATCH(K$3,MO_Common_ColumnHeader,0)),IFERROR(-INDEX(MO_FE_II,0,MATCH(K$3,MO_Common_ColumnHeader,0)),INDEX(MO_RIS_II,0,MATCH(K$3,MO_Common_ColumnHeader,0)))), "")</f>
        <v>-20</v>
      </c>
      <c r="L11" s="1225">
        <f>IFERROR(IFERROR(INDEX(MO_RIS_II_NONGAAP,0,MATCH(L$3,MO_Common_ColumnHeader,0)),IFERROR(-INDEX(MO_FE_II,0,MATCH(L$3,MO_Common_ColumnHeader,0)),INDEX(MO_RIS_II,0,MATCH(L$3,MO_Common_ColumnHeader,0)))), "")</f>
        <v>-18</v>
      </c>
      <c r="M11" s="1225">
        <f>IFERROR(IFERROR(INDEX(MO_RIS_II_NONGAAP,0,MATCH(M$3,MO_Common_ColumnHeader,0)),IFERROR(-INDEX(MO_FE_II,0,MATCH(M$3,MO_Common_ColumnHeader,0)),INDEX(MO_RIS_II,0,MATCH(M$3,MO_Common_ColumnHeader,0)))), "")</f>
        <v>-26</v>
      </c>
      <c r="N11" s="1225">
        <f>IFERROR(IFERROR(INDEX(MO_RIS_II_NONGAAP,0,MATCH(N$3,MO_Common_ColumnHeader,0)),IFERROR(-INDEX(MO_FE_II,0,MATCH(N$3,MO_Common_ColumnHeader,0)),INDEX(MO_RIS_II,0,MATCH(N$3,MO_Common_ColumnHeader,0)))), "")</f>
        <v>-16</v>
      </c>
      <c r="O11" s="1219">
        <f>IFERROR(IFERROR(INDEX(MO_RIS_II_NONGAAP,0,MATCH(O$3,MO_Common_ColumnHeader,0)),IFERROR(-INDEX(MO_FE_II,0,MATCH(O$3,MO_Common_ColumnHeader,0)),INDEX(MO_RIS_II,0,MATCH(O$3,MO_Common_ColumnHeader,0)))), "")</f>
        <v>-80</v>
      </c>
      <c r="P11" s="1225">
        <f>IFERROR(IFERROR(INDEX(MO_RIS_II_NONGAAP,0,MATCH(P$3,MO_Common_ColumnHeader,0)),IFERROR(-INDEX(MO_FE_II,0,MATCH(P$3,MO_Common_ColumnHeader,0)),INDEX(MO_RIS_II,0,MATCH(P$3,MO_Common_ColumnHeader,0)))), "")</f>
        <v>-10</v>
      </c>
      <c r="Q11" s="1225">
        <f>IFERROR(IFERROR(INDEX(MO_RIS_II_NONGAAP,0,MATCH(Q$3,MO_Common_ColumnHeader,0)),IFERROR(-INDEX(MO_FE_II,0,MATCH(Q$3,MO_Common_ColumnHeader,0)),INDEX(MO_RIS_II,0,MATCH(Q$3,MO_Common_ColumnHeader,0)))), "")</f>
        <v>-9</v>
      </c>
      <c r="R11" s="1225">
        <f>IFERROR(IFERROR(INDEX(MO_RIS_II_NONGAAP,0,MATCH(R$3,MO_Common_ColumnHeader,0)),IFERROR(-INDEX(MO_FE_II,0,MATCH(R$3,MO_Common_ColumnHeader,0)),INDEX(MO_RIS_II,0,MATCH(R$3,MO_Common_ColumnHeader,0)))), "")</f>
        <v>-5</v>
      </c>
      <c r="S11" s="1225">
        <f>IFERROR(IFERROR(INDEX(MO_RIS_II_NONGAAP,0,MATCH(S$3,MO_Common_ColumnHeader,0)),IFERROR(-INDEX(MO_FE_II,0,MATCH(S$3,MO_Common_ColumnHeader,0)),INDEX(MO_RIS_II,0,MATCH(S$3,MO_Common_ColumnHeader,0)))), "")</f>
        <v>-5</v>
      </c>
      <c r="T11" s="1219">
        <f>IFERROR(IFERROR(INDEX(MO_RIS_II_NONGAAP,0,MATCH(T$3,MO_Common_ColumnHeader,0)),IFERROR(-INDEX(MO_FE_II,0,MATCH(T$3,MO_Common_ColumnHeader,0)),INDEX(MO_RIS_II,0,MATCH(T$3,MO_Common_ColumnHeader,0)))), "")</f>
        <v>-29</v>
      </c>
      <c r="U11" s="1225">
        <f>IFERROR(IFERROR(INDEX(MO_RIS_II_NONGAAP,0,MATCH(U$3,MO_Common_ColumnHeader,0)),IFERROR(-INDEX(MO_FE_II,0,MATCH(U$3,MO_Common_ColumnHeader,0)),INDEX(MO_RIS_II,0,MATCH(U$3,MO_Common_ColumnHeader,0)))), "")</f>
        <v>-4</v>
      </c>
      <c r="V11" s="1225">
        <f>IFERROR(IFERROR(INDEX(MO_RIS_II_NONGAAP,0,MATCH(V$3,MO_Common_ColumnHeader,0)),IFERROR(-INDEX(MO_FE_II,0,MATCH(V$3,MO_Common_ColumnHeader,0)),INDEX(MO_RIS_II,0,MATCH(V$3,MO_Common_ColumnHeader,0)))), "")</f>
        <v>-7.6843890410958906</v>
      </c>
      <c r="W11" s="1225">
        <f>IFERROR(IFERROR(INDEX(MO_RIS_II_NONGAAP,0,MATCH(W$3,MO_Common_ColumnHeader,0)),IFERROR(-INDEX(MO_FE_II,0,MATCH(W$3,MO_Common_ColumnHeader,0)),INDEX(MO_RIS_II,0,MATCH(W$3,MO_Common_ColumnHeader,0)))), "")</f>
        <v>-6.7945667362244251</v>
      </c>
      <c r="X11" s="1225">
        <f>IFERROR(IFERROR(INDEX(MO_RIS_II_NONGAAP,0,MATCH(X$3,MO_Common_ColumnHeader,0)),IFERROR(-INDEX(MO_FE_II,0,MATCH(X$3,MO_Common_ColumnHeader,0)),INDEX(MO_RIS_II,0,MATCH(X$3,MO_Common_ColumnHeader,0)))), "")</f>
        <v>-7.5786522468593098</v>
      </c>
      <c r="Y11" s="1219">
        <f>IFERROR(IFERROR(INDEX(MO_RIS_II_NONGAAP,0,MATCH(Y$3,MO_Common_ColumnHeader,0)),IFERROR(-INDEX(MO_FE_II,0,MATCH(Y$3,MO_Common_ColumnHeader,0)),INDEX(MO_RIS_II,0,MATCH(Y$3,MO_Common_ColumnHeader,0)))), "")</f>
        <v>-26.057608024179626</v>
      </c>
      <c r="Z11" s="1225">
        <f>IFERROR(IFERROR(INDEX(MO_RIS_II_NONGAAP,0,MATCH(Z$3,MO_Common_ColumnHeader,0)),IFERROR(-INDEX(MO_FE_II,0,MATCH(Z$3,MO_Common_ColumnHeader,0)),INDEX(MO_RIS_II,0,MATCH(Z$3,MO_Common_ColumnHeader,0)))), "")</f>
        <v>-7.8957904489405264</v>
      </c>
      <c r="AA11" s="1225">
        <f ca="1">IFERROR(IFERROR(INDEX(MO_RIS_II_NONGAAP,0,MATCH(AA$3,MO_Common_ColumnHeader,0)),IFERROR(-INDEX(MO_FE_II,0,MATCH(AA$3,MO_Common_ColumnHeader,0)),INDEX(MO_RIS_II,0,MATCH(AA$3,MO_Common_ColumnHeader,0)))), "")</f>
        <v>-8.3644340132919339</v>
      </c>
      <c r="AB11" s="1225">
        <f ca="1">IFERROR(IFERROR(INDEX(MO_RIS_II_NONGAAP,0,MATCH(AB$3,MO_Common_ColumnHeader,0)),IFERROR(-INDEX(MO_FE_II,0,MATCH(AB$3,MO_Common_ColumnHeader,0)),INDEX(MO_RIS_II,0,MATCH(AB$3,MO_Common_ColumnHeader,0)))), "")</f>
        <v>-7.8087306104075624</v>
      </c>
      <c r="AC11" s="1225">
        <f ca="1">IFERROR(IFERROR(INDEX(MO_RIS_II_NONGAAP,0,MATCH(AC$3,MO_Common_ColumnHeader,0)),IFERROR(-INDEX(MO_FE_II,0,MATCH(AC$3,MO_Common_ColumnHeader,0)),INDEX(MO_RIS_II,0,MATCH(AC$3,MO_Common_ColumnHeader,0)))), "")</f>
        <v>-8.6930223784940548</v>
      </c>
      <c r="AD11" s="1219">
        <f ca="1">IFERROR(IFERROR(INDEX(MO_RIS_II_NONGAAP,0,MATCH(AD$3,MO_Common_ColumnHeader,0)),IFERROR(-INDEX(MO_FE_II,0,MATCH(AD$3,MO_Common_ColumnHeader,0)),INDEX(MO_RIS_II,0,MATCH(AD$3,MO_Common_ColumnHeader,0)))), "")</f>
        <v>-32.761977451134079</v>
      </c>
      <c r="AE11" s="1219">
        <f ca="1">IFERROR(IFERROR(INDEX(MO_RIS_II_NONGAAP,0,MATCH(AE$3,MO_Common_ColumnHeader,0)),IFERROR(-INDEX(MO_FE_II,0,MATCH(AE$3,MO_Common_ColumnHeader,0)),INDEX(MO_RIS_II,0,MATCH(AE$3,MO_Common_ColumnHeader,0)))), "")</f>
        <v>-36.866939727945322</v>
      </c>
      <c r="AF11" s="1219">
        <f ca="1">IFERROR(IFERROR(INDEX(MO_RIS_II_NONGAAP,0,MATCH(AF$3,MO_Common_ColumnHeader,0)),IFERROR(-INDEX(MO_FE_II,0,MATCH(AF$3,MO_Common_ColumnHeader,0)),INDEX(MO_RIS_II,0,MATCH(AF$3,MO_Common_ColumnHeader,0)))), "")</f>
        <v>-46.295009120298438</v>
      </c>
      <c r="AG11" s="1221">
        <f ca="1">IFERROR(IFERROR(INDEX(MO_RIS_II_NONGAAP,0,MATCH(AG$3,MO_Common_ColumnHeader,0)),IFERROR(-INDEX(MO_FE_II,0,MATCH(AG$3,MO_Common_ColumnHeader,0)),INDEX(MO_RIS_II,0,MATCH(AG$3,MO_Common_ColumnHeader,0)))), "")</f>
        <v>-60.027789256724667</v>
      </c>
    </row>
    <row r="12" spans="1:33" s="1222" customFormat="1" ht="14.25" customHeight="1" outlineLevel="1" x14ac:dyDescent="0.35">
      <c r="A12" s="1216" t="str">
        <f>IFERROR(INDEX(MO_RIS_EBT_NONGAAP,0,COLUMN(MO_Common_Column_A)),IFERROR(INDEX(MO_RIS_EBT_Adj,0,COLUMN(MO_Common_Column_A)),"EBT"))</f>
        <v>EBT</v>
      </c>
      <c r="B12" s="1217"/>
      <c r="C12" s="1218"/>
      <c r="D12" s="1219">
        <f>IFERROR(INDEX(MO_RIS_EBT_NONGAAP,0,MATCH(D$3,MO_Common_ColumnHeader,0)),IFERROR(INDEX(MO_RIS_EBT_Adj,0,MATCH(D$3,MO_Common_ColumnHeader,0)),INDEX(MO_RIS_EBT,0,MATCH(D$3,MO_Common_ColumnHeader,0))))</f>
        <v>7053</v>
      </c>
      <c r="E12" s="1219">
        <f>IFERROR(INDEX(MO_RIS_EBT_NONGAAP,0,MATCH(E$3,MO_Common_ColumnHeader,0)),IFERROR(INDEX(MO_RIS_EBT_Adj,0,MATCH(E$3,MO_Common_ColumnHeader,0)),INDEX(MO_RIS_EBT,0,MATCH(E$3,MO_Common_ColumnHeader,0))))</f>
        <v>7548</v>
      </c>
      <c r="F12" s="1225">
        <f>IFERROR(INDEX(MO_RIS_EBT_NONGAAP,0,MATCH(F$3,MO_Common_ColumnHeader,0)),IFERROR(INDEX(MO_RIS_EBT_Adj,0,MATCH(F$3,MO_Common_ColumnHeader,0)),INDEX(MO_RIS_EBT,0,MATCH(F$3,MO_Common_ColumnHeader,0))))</f>
        <v>965</v>
      </c>
      <c r="G12" s="1225">
        <f>IFERROR(INDEX(MO_RIS_EBT_NONGAAP,0,MATCH(G$3,MO_Common_ColumnHeader,0)),IFERROR(INDEX(MO_RIS_EBT_Adj,0,MATCH(G$3,MO_Common_ColumnHeader,0)),INDEX(MO_RIS_EBT,0,MATCH(G$3,MO_Common_ColumnHeader,0))))</f>
        <v>2350</v>
      </c>
      <c r="H12" s="1225">
        <f>IFERROR(INDEX(MO_RIS_EBT_NONGAAP,0,MATCH(H$3,MO_Common_ColumnHeader,0)),IFERROR(INDEX(MO_RIS_EBT_Adj,0,MATCH(H$3,MO_Common_ColumnHeader,0)),INDEX(MO_RIS_EBT,0,MATCH(H$3,MO_Common_ColumnHeader,0))))</f>
        <v>1965</v>
      </c>
      <c r="I12" s="1225">
        <f>IFERROR(INDEX(MO_RIS_EBT_NONGAAP,0,MATCH(I$3,MO_Common_ColumnHeader,0)),IFERROR(INDEX(MO_RIS_EBT_Adj,0,MATCH(I$3,MO_Common_ColumnHeader,0)),INDEX(MO_RIS_EBT,0,MATCH(I$3,MO_Common_ColumnHeader,0))))</f>
        <v>1720</v>
      </c>
      <c r="J12" s="1219">
        <f>IFERROR(INDEX(MO_RIS_EBT_NONGAAP,0,MATCH(J$3,MO_Common_ColumnHeader,0)),IFERROR(INDEX(MO_RIS_EBT_Adj,0,MATCH(J$3,MO_Common_ColumnHeader,0)),INDEX(MO_RIS_EBT,0,MATCH(J$3,MO_Common_ColumnHeader,0))))</f>
        <v>7000</v>
      </c>
      <c r="K12" s="1225">
        <f>IFERROR(INDEX(MO_RIS_EBT_NONGAAP,0,MATCH(K$3,MO_Common_ColumnHeader,0)),IFERROR(INDEX(MO_RIS_EBT_Adj,0,MATCH(K$3,MO_Common_ColumnHeader,0)),INDEX(MO_RIS_EBT,0,MATCH(K$3,MO_Common_ColumnHeader,0))))</f>
        <v>1088</v>
      </c>
      <c r="L12" s="1225">
        <f>IFERROR(INDEX(MO_RIS_EBT_NONGAAP,0,MATCH(L$3,MO_Common_ColumnHeader,0)),IFERROR(INDEX(MO_RIS_EBT_Adj,0,MATCH(L$3,MO_Common_ColumnHeader,0)),INDEX(MO_RIS_EBT,0,MATCH(L$3,MO_Common_ColumnHeader,0))))</f>
        <v>1446</v>
      </c>
      <c r="M12" s="1225">
        <f>IFERROR(INDEX(MO_RIS_EBT_NONGAAP,0,MATCH(M$3,MO_Common_ColumnHeader,0)),IFERROR(INDEX(MO_RIS_EBT_Adj,0,MATCH(M$3,MO_Common_ColumnHeader,0)),INDEX(MO_RIS_EBT,0,MATCH(M$3,MO_Common_ColumnHeader,0))))</f>
        <v>1966</v>
      </c>
      <c r="N12" s="1225">
        <f>IFERROR(INDEX(MO_RIS_EBT_NONGAAP,0,MATCH(N$3,MO_Common_ColumnHeader,0)),IFERROR(INDEX(MO_RIS_EBT_Adj,0,MATCH(N$3,MO_Common_ColumnHeader,0)),INDEX(MO_RIS_EBT,0,MATCH(N$3,MO_Common_ColumnHeader,0))))</f>
        <v>1212</v>
      </c>
      <c r="O12" s="1219">
        <f>IFERROR(INDEX(MO_RIS_EBT_NONGAAP,0,MATCH(O$3,MO_Common_ColumnHeader,0)),IFERROR(INDEX(MO_RIS_EBT_Adj,0,MATCH(O$3,MO_Common_ColumnHeader,0)),INDEX(MO_RIS_EBT,0,MATCH(O$3,MO_Common_ColumnHeader,0))))</f>
        <v>5712</v>
      </c>
      <c r="P12" s="1225">
        <f>IFERROR(INDEX(MO_RIS_EBT_NONGAAP,0,MATCH(P$3,MO_Common_ColumnHeader,0)),IFERROR(INDEX(MO_RIS_EBT_Adj,0,MATCH(P$3,MO_Common_ColumnHeader,0)),INDEX(MO_RIS_EBT,0,MATCH(P$3,MO_Common_ColumnHeader,0))))</f>
        <v>1567</v>
      </c>
      <c r="Q12" s="1225">
        <f>IFERROR(INDEX(MO_RIS_EBT_NONGAAP,0,MATCH(Q$3,MO_Common_ColumnHeader,0)),IFERROR(INDEX(MO_RIS_EBT_Adj,0,MATCH(Q$3,MO_Common_ColumnHeader,0)),INDEX(MO_RIS_EBT,0,MATCH(Q$3,MO_Common_ColumnHeader,0))))</f>
        <v>1629</v>
      </c>
      <c r="R12" s="1225">
        <f>IFERROR(INDEX(MO_RIS_EBT_NONGAAP,0,MATCH(R$3,MO_Common_ColumnHeader,0)),IFERROR(INDEX(MO_RIS_EBT_Adj,0,MATCH(R$3,MO_Common_ColumnHeader,0)),INDEX(MO_RIS_EBT,0,MATCH(R$3,MO_Common_ColumnHeader,0))))</f>
        <v>1805</v>
      </c>
      <c r="S12" s="1225">
        <f>IFERROR(INDEX(MO_RIS_EBT_NONGAAP,0,MATCH(S$3,MO_Common_ColumnHeader,0)),IFERROR(INDEX(MO_RIS_EBT_Adj,0,MATCH(S$3,MO_Common_ColumnHeader,0)),INDEX(MO_RIS_EBT,0,MATCH(S$3,MO_Common_ColumnHeader,0))))</f>
        <v>1710</v>
      </c>
      <c r="T12" s="1219">
        <f>IFERROR(INDEX(MO_RIS_EBT_NONGAAP,0,MATCH(T$3,MO_Common_ColumnHeader,0)),IFERROR(INDEX(MO_RIS_EBT_Adj,0,MATCH(T$3,MO_Common_ColumnHeader,0)),INDEX(MO_RIS_EBT,0,MATCH(T$3,MO_Common_ColumnHeader,0))))</f>
        <v>6711</v>
      </c>
      <c r="U12" s="1225">
        <f>IFERROR(INDEX(MO_RIS_EBT_NONGAAP,0,MATCH(U$3,MO_Common_ColumnHeader,0)),IFERROR(INDEX(MO_RIS_EBT_Adj,0,MATCH(U$3,MO_Common_ColumnHeader,0)),INDEX(MO_RIS_EBT,0,MATCH(U$3,MO_Common_ColumnHeader,0))))</f>
        <v>1945</v>
      </c>
      <c r="V12" s="1225">
        <f>IFERROR(INDEX(MO_RIS_EBT_NONGAAP,0,MATCH(V$3,MO_Common_ColumnHeader,0)),IFERROR(INDEX(MO_RIS_EBT_Adj,0,MATCH(V$3,MO_Common_ColumnHeader,0)),INDEX(MO_RIS_EBT,0,MATCH(V$3,MO_Common_ColumnHeader,0))))</f>
        <v>1572.1642724712331</v>
      </c>
      <c r="W12" s="1225">
        <f>IFERROR(INDEX(MO_RIS_EBT_NONGAAP,0,MATCH(W$3,MO_Common_ColumnHeader,0)),IFERROR(INDEX(MO_RIS_EBT_Adj,0,MATCH(W$3,MO_Common_ColumnHeader,0)),INDEX(MO_RIS_EBT,0,MATCH(W$3,MO_Common_ColumnHeader,0))))</f>
        <v>1911.5466388458135</v>
      </c>
      <c r="X12" s="1225">
        <f>IFERROR(INDEX(MO_RIS_EBT_NONGAAP,0,MATCH(X$3,MO_Common_ColumnHeader,0)),IFERROR(INDEX(MO_RIS_EBT_Adj,0,MATCH(X$3,MO_Common_ColumnHeader,0)),INDEX(MO_RIS_EBT,0,MATCH(X$3,MO_Common_ColumnHeader,0))))</f>
        <v>2014.7049647564486</v>
      </c>
      <c r="Y12" s="1219">
        <f>IFERROR(INDEX(MO_RIS_EBT_NONGAAP,0,MATCH(Y$3,MO_Common_ColumnHeader,0)),IFERROR(INDEX(MO_RIS_EBT_Adj,0,MATCH(Y$3,MO_Common_ColumnHeader,0)),INDEX(MO_RIS_EBT,0,MATCH(Y$3,MO_Common_ColumnHeader,0))))</f>
        <v>7443.4158760734954</v>
      </c>
      <c r="Z12" s="1225">
        <f>IFERROR(INDEX(MO_RIS_EBT_NONGAAP,0,MATCH(Z$3,MO_Common_ColumnHeader,0)),IFERROR(INDEX(MO_RIS_EBT_Adj,0,MATCH(Z$3,MO_Common_ColumnHeader,0)),INDEX(MO_RIS_EBT,0,MATCH(Z$3,MO_Common_ColumnHeader,0))))</f>
        <v>2136.5924183996262</v>
      </c>
      <c r="AA12" s="1225">
        <f ca="1">IFERROR(INDEX(MO_RIS_EBT_NONGAAP,0,MATCH(AA$3,MO_Common_ColumnHeader,0)),IFERROR(INDEX(MO_RIS_EBT_Adj,0,MATCH(AA$3,MO_Common_ColumnHeader,0)),INDEX(MO_RIS_EBT,0,MATCH(AA$3,MO_Common_ColumnHeader,0))))</f>
        <v>1852.4709769954291</v>
      </c>
      <c r="AB12" s="1225">
        <f ca="1">IFERROR(INDEX(MO_RIS_EBT_NONGAAP,0,MATCH(AB$3,MO_Common_ColumnHeader,0)),IFERROR(INDEX(MO_RIS_EBT_Adj,0,MATCH(AB$3,MO_Common_ColumnHeader,0)),INDEX(MO_RIS_EBT,0,MATCH(AB$3,MO_Common_ColumnHeader,0))))</f>
        <v>1991.818293311997</v>
      </c>
      <c r="AC12" s="1225">
        <f ca="1">IFERROR(INDEX(MO_RIS_EBT_NONGAAP,0,MATCH(AC$3,MO_Common_ColumnHeader,0)),IFERROR(INDEX(MO_RIS_EBT_Adj,0,MATCH(AC$3,MO_Common_ColumnHeader,0)),INDEX(MO_RIS_EBT,0,MATCH(AC$3,MO_Common_ColumnHeader,0))))</f>
        <v>2216.1585761000829</v>
      </c>
      <c r="AD12" s="1219">
        <f ca="1">IFERROR(INDEX(MO_RIS_EBT_NONGAAP,0,MATCH(AD$3,MO_Common_ColumnHeader,0)),IFERROR(INDEX(MO_RIS_EBT_Adj,0,MATCH(AD$3,MO_Common_ColumnHeader,0)),INDEX(MO_RIS_EBT,0,MATCH(AD$3,MO_Common_ColumnHeader,0))))</f>
        <v>8197.0402648071358</v>
      </c>
      <c r="AE12" s="1219">
        <f ca="1">IFERROR(INDEX(MO_RIS_EBT_NONGAAP,0,MATCH(AE$3,MO_Common_ColumnHeader,0)),IFERROR(INDEX(MO_RIS_EBT_Adj,0,MATCH(AE$3,MO_Common_ColumnHeader,0)),INDEX(MO_RIS_EBT,0,MATCH(AE$3,MO_Common_ColumnHeader,0))))</f>
        <v>9005.0330929411248</v>
      </c>
      <c r="AF12" s="1219">
        <f ca="1">IFERROR(INDEX(MO_RIS_EBT_NONGAAP,0,MATCH(AF$3,MO_Common_ColumnHeader,0)),IFERROR(INDEX(MO_RIS_EBT_Adj,0,MATCH(AF$3,MO_Common_ColumnHeader,0)),INDEX(MO_RIS_EBT,0,MATCH(AF$3,MO_Common_ColumnHeader,0))))</f>
        <v>9886.6306200610743</v>
      </c>
      <c r="AG12" s="1221">
        <f ca="1">IFERROR(INDEX(MO_RIS_EBT_NONGAAP,0,MATCH(AG$3,MO_Common_ColumnHeader,0)),IFERROR(INDEX(MO_RIS_EBT_Adj,0,MATCH(AG$3,MO_Common_ColumnHeader,0)),INDEX(MO_RIS_EBT,0,MATCH(AG$3,MO_Common_ColumnHeader,0))))</f>
        <v>10846.443259108837</v>
      </c>
    </row>
    <row r="13" spans="1:33" s="1222" customFormat="1" ht="14.25" customHeight="1" outlineLevel="1" x14ac:dyDescent="0.35">
      <c r="A13" s="1216" t="s">
        <v>1160</v>
      </c>
      <c r="B13" s="1217"/>
      <c r="C13" s="1218"/>
      <c r="D13" s="1219">
        <f>IFERROR(INDEX(MO_RIS_NI_NONGAAP_Diluted,0,MATCH(D$3,MO_Common_ColumnHeader,0)),0)</f>
        <v>5050</v>
      </c>
      <c r="E13" s="1219">
        <f>IFERROR(INDEX(MO_RIS_NI_NONGAAP_Diluted,0,MATCH(E$3,MO_Common_ColumnHeader,0)),0)</f>
        <v>5620</v>
      </c>
      <c r="F13" s="1220">
        <f>IFERROR(INDEX(MO_RIS_NI_NONGAAP_Diluted,0,MATCH(F$3,MO_Common_ColumnHeader,0)),0)</f>
        <v>1529</v>
      </c>
      <c r="G13" s="1220">
        <f>IFERROR(INDEX(MO_RIS_NI_NONGAAP_Diluted,0,MATCH(G$3,MO_Common_ColumnHeader,0)),0)</f>
        <v>1857</v>
      </c>
      <c r="H13" s="1220">
        <f>IFERROR(INDEX(MO_RIS_NI_NONGAAP_Diluted,0,MATCH(H$3,MO_Common_ColumnHeader,0)),0)</f>
        <v>1543</v>
      </c>
      <c r="I13" s="1220">
        <f>IFERROR(INDEX(MO_RIS_NI_NONGAAP_Diluted,0,MATCH(I$3,MO_Common_ColumnHeader,0)),0)</f>
        <v>1366</v>
      </c>
      <c r="J13" s="1219">
        <f>IFERROR(INDEX(MO_RIS_NI_NONGAAP_Diluted,0,MATCH(J$3,MO_Common_ColumnHeader,0)),0)</f>
        <v>6295</v>
      </c>
      <c r="K13" s="1220">
        <f>IFERROR(INDEX(MO_RIS_NI_NONGAAP_Diluted,0,MATCH(K$3,MO_Common_ColumnHeader,0)),0)</f>
        <v>1308</v>
      </c>
      <c r="L13" s="1220">
        <f>IFERROR(INDEX(MO_RIS_NI_NONGAAP_Diluted,0,MATCH(L$3,MO_Common_ColumnHeader,0)),0)</f>
        <v>1246</v>
      </c>
      <c r="M13" s="1220">
        <f>IFERROR(INDEX(MO_RIS_NI_NONGAAP_Diluted,0,MATCH(M$3,MO_Common_ColumnHeader,0)),0)</f>
        <v>1504</v>
      </c>
      <c r="N13" s="1220">
        <f>IFERROR(INDEX(MO_RIS_NI_NONGAAP_Diluted,0,MATCH(N$3,MO_Common_ColumnHeader,0)),0)</f>
        <v>1135</v>
      </c>
      <c r="O13" s="1219">
        <f>IFERROR(INDEX(MO_RIS_NI_NONGAAP_Diluted,0,MATCH(O$3,MO_Common_ColumnHeader,0)),0)</f>
        <v>5193</v>
      </c>
      <c r="P13" s="1220">
        <f>IFERROR(INDEX(MO_RIS_NI_NONGAAP_Diluted,0,MATCH(P$3,MO_Common_ColumnHeader,0)),0)</f>
        <v>1254</v>
      </c>
      <c r="Q13" s="1220">
        <f>IFERROR(INDEX(MO_RIS_NI_NONGAAP_Diluted,0,MATCH(Q$3,MO_Common_ColumnHeader,0)),0)</f>
        <v>1032</v>
      </c>
      <c r="R13" s="1220">
        <f>IFERROR(INDEX(MO_RIS_NI_NONGAAP_Diluted,0,MATCH(R$3,MO_Common_ColumnHeader,0)),0)</f>
        <v>1413</v>
      </c>
      <c r="S13" s="1220">
        <f>IFERROR(INDEX(MO_RIS_NI_NONGAAP_Diluted,0,MATCH(S$3,MO_Common_ColumnHeader,0)),0)</f>
        <v>1389</v>
      </c>
      <c r="T13" s="1219">
        <f>IFERROR(INDEX(MO_RIS_NI_NONGAAP_Diluted,0,MATCH(T$3,MO_Common_ColumnHeader,0)),0)</f>
        <v>5088</v>
      </c>
      <c r="U13" s="1220">
        <f>IFERROR(INDEX(MO_RIS_NI_NONGAAP_Diluted,0,MATCH(U$3,MO_Common_ColumnHeader,0)),0)</f>
        <v>1624</v>
      </c>
      <c r="V13" s="1220">
        <f>IFERROR(INDEX(MO_RIS_NI_NONGAAP_Diluted,0,MATCH(V$3,MO_Common_ColumnHeader,0)),0)</f>
        <v>1242.0097752522743</v>
      </c>
      <c r="W13" s="1220">
        <f>IFERROR(INDEX(MO_RIS_NI_NONGAAP_Diluted,0,MATCH(W$3,MO_Common_ColumnHeader,0)),0)</f>
        <v>1510.1218446881926</v>
      </c>
      <c r="X13" s="1220">
        <f>IFERROR(INDEX(MO_RIS_NI_NONGAAP_Diluted,0,MATCH(X$3,MO_Common_ColumnHeader,0)),0)</f>
        <v>1591.6169221575942</v>
      </c>
      <c r="Y13" s="1219">
        <f>IFERROR(INDEX(MO_RIS_NI_NONGAAP_Diluted,0,MATCH(Y$3,MO_Common_ColumnHeader,0)),0)</f>
        <v>5967.7485420980611</v>
      </c>
      <c r="Z13" s="1220">
        <f>IFERROR(INDEX(MO_RIS_NI_NONGAAP_Diluted,0,MATCH(Z$3,MO_Common_ColumnHeader,0)),0)</f>
        <v>1687.9080105357048</v>
      </c>
      <c r="AA13" s="1220">
        <f ca="1">IFERROR(INDEX(MO_RIS_NI_NONGAAP_Diluted,0,MATCH(AA$3,MO_Common_ColumnHeader,0)),0)</f>
        <v>1463.4520718263889</v>
      </c>
      <c r="AB13" s="1220">
        <f ca="1">IFERROR(INDEX(MO_RIS_NI_NONGAAP_Diluted,0,MATCH(AB$3,MO_Common_ColumnHeader,0)),0)</f>
        <v>1573.5364517164776</v>
      </c>
      <c r="AC13" s="1220">
        <f ca="1">IFERROR(INDEX(MO_RIS_NI_NONGAAP_Diluted,0,MATCH(AC$3,MO_Common_ColumnHeader,0)),0)</f>
        <v>1750.7652751190656</v>
      </c>
      <c r="AD13" s="1219">
        <f ca="1">IFERROR(INDEX(MO_RIS_NI_NONGAAP_Diluted,0,MATCH(AD$3,MO_Common_ColumnHeader,0)),0)</f>
        <v>6475.6618091976379</v>
      </c>
      <c r="AE13" s="1219">
        <f ca="1">IFERROR(INDEX(MO_RIS_NI_NONGAAP_Diluted,0,MATCH(AE$3,MO_Common_ColumnHeader,0)),0)</f>
        <v>7113.9761434234888</v>
      </c>
      <c r="AF13" s="1219">
        <f ca="1">IFERROR(INDEX(MO_RIS_NI_NONGAAP_Diluted,0,MATCH(AF$3,MO_Common_ColumnHeader,0)),0)</f>
        <v>7810.4381898482488</v>
      </c>
      <c r="AG13" s="1221">
        <f ca="1">IFERROR(INDEX(MO_RIS_NI_NONGAAP_Diluted,0,MATCH(AG$3,MO_Common_ColumnHeader,0)),0)</f>
        <v>8568.6901746959811</v>
      </c>
    </row>
    <row r="14" spans="1:33" s="1222" customFormat="1" ht="14.25" customHeight="1" outlineLevel="1" x14ac:dyDescent="0.35">
      <c r="A14" s="1216"/>
      <c r="B14" s="1217"/>
      <c r="C14" s="1218"/>
      <c r="D14" s="1219"/>
      <c r="E14" s="1219"/>
      <c r="F14" s="1220"/>
      <c r="G14" s="1220"/>
      <c r="H14" s="1220"/>
      <c r="I14" s="1220"/>
      <c r="J14" s="1219"/>
      <c r="K14" s="1220"/>
      <c r="L14" s="1220"/>
      <c r="M14" s="1220"/>
      <c r="N14" s="1220"/>
      <c r="O14" s="1219"/>
      <c r="P14" s="1220"/>
      <c r="Q14" s="1220"/>
      <c r="R14" s="1220"/>
      <c r="S14" s="1220"/>
      <c r="T14" s="1219"/>
      <c r="U14" s="1220"/>
      <c r="V14" s="1220"/>
      <c r="W14" s="1220"/>
      <c r="X14" s="1220"/>
      <c r="Y14" s="1219"/>
      <c r="Z14" s="1220"/>
      <c r="AA14" s="1220"/>
      <c r="AB14" s="1220"/>
      <c r="AC14" s="1220"/>
      <c r="AD14" s="1219"/>
      <c r="AE14" s="1219"/>
      <c r="AF14" s="1219"/>
      <c r="AG14" s="1221"/>
    </row>
    <row r="15" spans="1:33" s="1222" customFormat="1" ht="14.25" customHeight="1" outlineLevel="1" x14ac:dyDescent="0.35">
      <c r="A15" s="1216" t="str">
        <f>"LTM "&amp;A5</f>
        <v>LTM Net Revenue</v>
      </c>
      <c r="B15" s="1217"/>
      <c r="C15" s="1218"/>
      <c r="D15" s="1219">
        <f>IFERROR(IF(LEFT(D$3,1)="F",D5,
IF(LEFT(D$3,2)="Q1",D5+INDEX(5:5,0,MATCH("Q4-"&amp;RIGHT(D$3,4)-1,$3:$3,0))+INDEX(5:5,0,MATCH("Q3-"&amp;RIGHT(D$3,4)-1,$3:$3,0))+INDEX(5:5,0,MATCH("Q2-"&amp;RIGHT(D$3,4)-1,$3:$3,0)),
IF(LEFT(D$3,2)="Q2",D5+INDEX(5:5,0,MATCH("Q4-"&amp;RIGHT(D$3,4)-1,$3:$3,0))+INDEX(5:5,0,MATCH("Q3-"&amp;RIGHT(D$3,4)-1,$3:$3,0))+INDEX(5:5,0,MATCH("Q1-"&amp;RIGHT(D$3,4),$3:$3,0)),
IF(LEFT(D$3,2)="Q3",D5+INDEX(5:5,0,MATCH("Q4-"&amp;RIGHT(D$3,4)-1,$3:$3,0))+INDEX(5:5,0,MATCH("Q2-"&amp;RIGHT(D$3,4),$3:$3,0))+INDEX(5:5,0,MATCH("Q1-"&amp;RIGHT(D$3,4),$3:$3,0)),
IF(LEFT(D$3,2)="Q4",INDEX(5:5,0,MATCH("FY"&amp;RIGHT(D$3,4),$3:$3,0))))))), "")</f>
        <v>30109</v>
      </c>
      <c r="E15" s="1219">
        <f>IFERROR(IF(LEFT(E$3,1)="F",E5,
IF(LEFT(E$3,2)="Q1",E5+INDEX(5:5,0,MATCH("Q4-"&amp;RIGHT(E$3,4)-1,$3:$3,0))+INDEX(5:5,0,MATCH("Q3-"&amp;RIGHT(E$3,4)-1,$3:$3,0))+INDEX(5:5,0,MATCH("Q2-"&amp;RIGHT(E$3,4)-1,$3:$3,0)),
IF(LEFT(E$3,2)="Q2",E5+INDEX(5:5,0,MATCH("Q4-"&amp;RIGHT(E$3,4)-1,$3:$3,0))+INDEX(5:5,0,MATCH("Q3-"&amp;RIGHT(E$3,4)-1,$3:$3,0))+INDEX(5:5,0,MATCH("Q1-"&amp;RIGHT(E$3,4),$3:$3,0)),
IF(LEFT(E$3,2)="Q3",E5+INDEX(5:5,0,MATCH("Q4-"&amp;RIGHT(E$3,4)-1,$3:$3,0))+INDEX(5:5,0,MATCH("Q2-"&amp;RIGHT(E$3,4),$3:$3,0))+INDEX(5:5,0,MATCH("Q1-"&amp;RIGHT(E$3,4),$3:$3,0)),
IF(LEFT(E$3,2)="Q4",INDEX(5:5,0,MATCH("FY"&amp;RIGHT(E$3,4),$3:$3,0))))))), "")</f>
        <v>31657</v>
      </c>
      <c r="F15" s="1225" t="str">
        <f>IFERROR(IF(LEFT(F$3,1)="F",F5,
IF(LEFT(F$3,2)="Q1",F5+INDEX(5:5,0,MATCH("Q4-"&amp;RIGHT(F$3,4)-1,$3:$3,0))+INDEX(5:5,0,MATCH("Q3-"&amp;RIGHT(F$3,4)-1,$3:$3,0))+INDEX(5:5,0,MATCH("Q2-"&amp;RIGHT(F$3,4)-1,$3:$3,0)),
IF(LEFT(F$3,2)="Q2",F5+INDEX(5:5,0,MATCH("Q4-"&amp;RIGHT(F$3,4)-1,$3:$3,0))+INDEX(5:5,0,MATCH("Q3-"&amp;RIGHT(F$3,4)-1,$3:$3,0))+INDEX(5:5,0,MATCH("Q1-"&amp;RIGHT(F$3,4),$3:$3,0)),
IF(LEFT(F$3,2)="Q3",F5+INDEX(5:5,0,MATCH("Q4-"&amp;RIGHT(F$3,4)-1,$3:$3,0))+INDEX(5:5,0,MATCH("Q2-"&amp;RIGHT(F$3,4),$3:$3,0))+INDEX(5:5,0,MATCH("Q1-"&amp;RIGHT(F$3,4),$3:$3,0)),
IF(LEFT(F$3,2)="Q4",INDEX(5:5,0,MATCH("FY"&amp;RIGHT(F$3,4),$3:$3,0))))))), "")</f>
        <v/>
      </c>
      <c r="G15" s="1225" t="str">
        <f>IFERROR(IF(LEFT(G$3,1)="F",G5,
IF(LEFT(G$3,2)="Q1",G5+INDEX(5:5,0,MATCH("Q4-"&amp;RIGHT(G$3,4)-1,$3:$3,0))+INDEX(5:5,0,MATCH("Q3-"&amp;RIGHT(G$3,4)-1,$3:$3,0))+INDEX(5:5,0,MATCH("Q2-"&amp;RIGHT(G$3,4)-1,$3:$3,0)),
IF(LEFT(G$3,2)="Q2",G5+INDEX(5:5,0,MATCH("Q4-"&amp;RIGHT(G$3,4)-1,$3:$3,0))+INDEX(5:5,0,MATCH("Q3-"&amp;RIGHT(G$3,4)-1,$3:$3,0))+INDEX(5:5,0,MATCH("Q1-"&amp;RIGHT(G$3,4),$3:$3,0)),
IF(LEFT(G$3,2)="Q3",G5+INDEX(5:5,0,MATCH("Q4-"&amp;RIGHT(G$3,4)-1,$3:$3,0))+INDEX(5:5,0,MATCH("Q2-"&amp;RIGHT(G$3,4),$3:$3,0))+INDEX(5:5,0,MATCH("Q1-"&amp;RIGHT(G$3,4),$3:$3,0)),
IF(LEFT(G$3,2)="Q4",INDEX(5:5,0,MATCH("FY"&amp;RIGHT(G$3,4),$3:$3,0))))))), "")</f>
        <v/>
      </c>
      <c r="H15" s="1225" t="str">
        <f>IFERROR(IF(LEFT(H$3,1)="F",H5,
IF(LEFT(H$3,2)="Q1",H5+INDEX(5:5,0,MATCH("Q4-"&amp;RIGHT(H$3,4)-1,$3:$3,0))+INDEX(5:5,0,MATCH("Q3-"&amp;RIGHT(H$3,4)-1,$3:$3,0))+INDEX(5:5,0,MATCH("Q2-"&amp;RIGHT(H$3,4)-1,$3:$3,0)),
IF(LEFT(H$3,2)="Q2",H5+INDEX(5:5,0,MATCH("Q4-"&amp;RIGHT(H$3,4)-1,$3:$3,0))+INDEX(5:5,0,MATCH("Q3-"&amp;RIGHT(H$3,4)-1,$3:$3,0))+INDEX(5:5,0,MATCH("Q1-"&amp;RIGHT(H$3,4),$3:$3,0)),
IF(LEFT(H$3,2)="Q3",H5+INDEX(5:5,0,MATCH("Q4-"&amp;RIGHT(H$3,4)-1,$3:$3,0))+INDEX(5:5,0,MATCH("Q2-"&amp;RIGHT(H$3,4),$3:$3,0))+INDEX(5:5,0,MATCH("Q1-"&amp;RIGHT(H$3,4),$3:$3,0)),
IF(LEFT(H$3,2)="Q4",INDEX(5:5,0,MATCH("FY"&amp;RIGHT(H$3,4),$3:$3,0))))))), "")</f>
        <v/>
      </c>
      <c r="I15" s="1225">
        <f>IFERROR(IF(LEFT(I$3,1)="F",I5,
IF(LEFT(I$3,2)="Q1",I5+INDEX(5:5,0,MATCH("Q4-"&amp;RIGHT(I$3,4)-1,$3:$3,0))+INDEX(5:5,0,MATCH("Q3-"&amp;RIGHT(I$3,4)-1,$3:$3,0))+INDEX(5:5,0,MATCH("Q2-"&amp;RIGHT(I$3,4)-1,$3:$3,0)),
IF(LEFT(I$3,2)="Q2",I5+INDEX(5:5,0,MATCH("Q4-"&amp;RIGHT(I$3,4)-1,$3:$3,0))+INDEX(5:5,0,MATCH("Q3-"&amp;RIGHT(I$3,4)-1,$3:$3,0))+INDEX(5:5,0,MATCH("Q1-"&amp;RIGHT(I$3,4),$3:$3,0)),
IF(LEFT(I$3,2)="Q3",I5+INDEX(5:5,0,MATCH("Q4-"&amp;RIGHT(I$3,4)-1,$3:$3,0))+INDEX(5:5,0,MATCH("Q2-"&amp;RIGHT(I$3,4),$3:$3,0))+INDEX(5:5,0,MATCH("Q1-"&amp;RIGHT(I$3,4),$3:$3,0)),
IF(LEFT(I$3,2)="Q4",INDEX(5:5,0,MATCH("FY"&amp;RIGHT(I$3,4),$3:$3,0))))))), "")</f>
        <v>32765</v>
      </c>
      <c r="J15" s="1219">
        <f>IFERROR(IF(LEFT(J$3,1)="F",J5,
IF(LEFT(J$3,2)="Q1",J5+INDEX(5:5,0,MATCH("Q4-"&amp;RIGHT(J$3,4)-1,$3:$3,0))+INDEX(5:5,0,MATCH("Q3-"&amp;RIGHT(J$3,4)-1,$3:$3,0))+INDEX(5:5,0,MATCH("Q2-"&amp;RIGHT(J$3,4)-1,$3:$3,0)),
IF(LEFT(J$3,2)="Q2",J5+INDEX(5:5,0,MATCH("Q4-"&amp;RIGHT(J$3,4)-1,$3:$3,0))+INDEX(5:5,0,MATCH("Q3-"&amp;RIGHT(J$3,4)-1,$3:$3,0))+INDEX(5:5,0,MATCH("Q1-"&amp;RIGHT(J$3,4),$3:$3,0)),
IF(LEFT(J$3,2)="Q3",J5+INDEX(5:5,0,MATCH("Q4-"&amp;RIGHT(J$3,4)-1,$3:$3,0))+INDEX(5:5,0,MATCH("Q2-"&amp;RIGHT(J$3,4),$3:$3,0))+INDEX(5:5,0,MATCH("Q1-"&amp;RIGHT(J$3,4),$3:$3,0)),
IF(LEFT(J$3,2)="Q4",INDEX(5:5,0,MATCH("FY"&amp;RIGHT(J$3,4),$3:$3,0))))))), "")</f>
        <v>32765</v>
      </c>
      <c r="K15" s="1225">
        <f>IFERROR(IF(LEFT(K$3,1)="F",K5,
IF(LEFT(K$3,2)="Q1",K5+INDEX(5:5,0,MATCH("Q4-"&amp;RIGHT(K$3,4)-1,$3:$3,0))+INDEX(5:5,0,MATCH("Q3-"&amp;RIGHT(K$3,4)-1,$3:$3,0))+INDEX(5:5,0,MATCH("Q2-"&amp;RIGHT(K$3,4)-1,$3:$3,0)),
IF(LEFT(K$3,2)="Q2",K5+INDEX(5:5,0,MATCH("Q4-"&amp;RIGHT(K$3,4)-1,$3:$3,0))+INDEX(5:5,0,MATCH("Q3-"&amp;RIGHT(K$3,4)-1,$3:$3,0))+INDEX(5:5,0,MATCH("Q1-"&amp;RIGHT(K$3,4),$3:$3,0)),
IF(LEFT(K$3,2)="Q3",K5+INDEX(5:5,0,MATCH("Q4-"&amp;RIGHT(K$3,4)-1,$3:$3,0))+INDEX(5:5,0,MATCH("Q2-"&amp;RIGHT(K$3,4),$3:$3,0))+INDEX(5:5,0,MATCH("Q1-"&amp;RIGHT(K$3,4),$3:$3,0)),
IF(LEFT(K$3,2)="Q4",INDEX(5:5,0,MATCH("FY"&amp;RIGHT(K$3,4),$3:$3,0))))))), "")</f>
        <v>32350</v>
      </c>
      <c r="L15" s="1225">
        <f>IFERROR(IF(LEFT(L$3,1)="F",L5,
IF(LEFT(L$3,2)="Q1",L5+INDEX(5:5,0,MATCH("Q4-"&amp;RIGHT(L$3,4)-1,$3:$3,0))+INDEX(5:5,0,MATCH("Q3-"&amp;RIGHT(L$3,4)-1,$3:$3,0))+INDEX(5:5,0,MATCH("Q2-"&amp;RIGHT(L$3,4)-1,$3:$3,0)),
IF(LEFT(L$3,2)="Q2",L5+INDEX(5:5,0,MATCH("Q4-"&amp;RIGHT(L$3,4)-1,$3:$3,0))+INDEX(5:5,0,MATCH("Q3-"&amp;RIGHT(L$3,4)-1,$3:$3,0))+INDEX(5:5,0,MATCH("Q1-"&amp;RIGHT(L$3,4),$3:$3,0)),
IF(LEFT(L$3,2)="Q3",L5+INDEX(5:5,0,MATCH("Q4-"&amp;RIGHT(L$3,4)-1,$3:$3,0))+INDEX(5:5,0,MATCH("Q2-"&amp;RIGHT(L$3,4),$3:$3,0))+INDEX(5:5,0,MATCH("Q1-"&amp;RIGHT(L$3,4),$3:$3,0)),
IF(LEFT(L$3,2)="Q4",INDEX(5:5,0,MATCH("FY"&amp;RIGHT(L$3,4),$3:$3,0))))))), "")</f>
        <v>32131</v>
      </c>
      <c r="M15" s="1225">
        <f>IFERROR(IF(LEFT(M$3,1)="F",M5,
IF(LEFT(M$3,2)="Q1",M5+INDEX(5:5,0,MATCH("Q4-"&amp;RIGHT(M$3,4)-1,$3:$3,0))+INDEX(5:5,0,MATCH("Q3-"&amp;RIGHT(M$3,4)-1,$3:$3,0))+INDEX(5:5,0,MATCH("Q2-"&amp;RIGHT(M$3,4)-1,$3:$3,0)),
IF(LEFT(M$3,2)="Q2",M5+INDEX(5:5,0,MATCH("Q4-"&amp;RIGHT(M$3,4)-1,$3:$3,0))+INDEX(5:5,0,MATCH("Q3-"&amp;RIGHT(M$3,4)-1,$3:$3,0))+INDEX(5:5,0,MATCH("Q1-"&amp;RIGHT(M$3,4),$3:$3,0)),
IF(LEFT(M$3,2)="Q3",M5+INDEX(5:5,0,MATCH("Q4-"&amp;RIGHT(M$3,4)-1,$3:$3,0))+INDEX(5:5,0,MATCH("Q2-"&amp;RIGHT(M$3,4),$3:$3,0))+INDEX(5:5,0,MATCH("Q1-"&amp;RIGHT(M$3,4),$3:$3,0)),
IF(LEFT(M$3,2)="Q4",INDEX(5:5,0,MATCH("FY"&amp;RIGHT(M$3,4),$3:$3,0))))))), "")</f>
        <v>31970</v>
      </c>
      <c r="N15" s="1225">
        <f>IFERROR(IF(LEFT(N$3,1)="F",N5,
IF(LEFT(N$3,2)="Q1",N5+INDEX(5:5,0,MATCH("Q4-"&amp;RIGHT(N$3,4)-1,$3:$3,0))+INDEX(5:5,0,MATCH("Q3-"&amp;RIGHT(N$3,4)-1,$3:$3,0))+INDEX(5:5,0,MATCH("Q2-"&amp;RIGHT(N$3,4)-1,$3:$3,0)),
IF(LEFT(N$3,2)="Q2",N5+INDEX(5:5,0,MATCH("Q4-"&amp;RIGHT(N$3,4)-1,$3:$3,0))+INDEX(5:5,0,MATCH("Q3-"&amp;RIGHT(N$3,4)-1,$3:$3,0))+INDEX(5:5,0,MATCH("Q1-"&amp;RIGHT(N$3,4),$3:$3,0)),
IF(LEFT(N$3,2)="Q3",N5+INDEX(5:5,0,MATCH("Q4-"&amp;RIGHT(N$3,4)-1,$3:$3,0))+INDEX(5:5,0,MATCH("Q2-"&amp;RIGHT(N$3,4),$3:$3,0))+INDEX(5:5,0,MATCH("Q1-"&amp;RIGHT(N$3,4),$3:$3,0)),
IF(LEFT(N$3,2)="Q4",INDEX(5:5,0,MATCH("FY"&amp;RIGHT(N$3,4),$3:$3,0))))))), "")</f>
        <v>32136</v>
      </c>
      <c r="O15" s="1219">
        <f>IFERROR(IF(LEFT(O$3,1)="F",O5,
IF(LEFT(O$3,2)="Q1",O5+INDEX(5:5,0,MATCH("Q4-"&amp;RIGHT(O$3,4)-1,$3:$3,0))+INDEX(5:5,0,MATCH("Q3-"&amp;RIGHT(O$3,4)-1,$3:$3,0))+INDEX(5:5,0,MATCH("Q2-"&amp;RIGHT(O$3,4)-1,$3:$3,0)),
IF(LEFT(O$3,2)="Q2",O5+INDEX(5:5,0,MATCH("Q4-"&amp;RIGHT(O$3,4)-1,$3:$3,0))+INDEX(5:5,0,MATCH("Q3-"&amp;RIGHT(O$3,4)-1,$3:$3,0))+INDEX(5:5,0,MATCH("Q1-"&amp;RIGHT(O$3,4),$3:$3,0)),
IF(LEFT(O$3,2)="Q3",O5+INDEX(5:5,0,MATCH("Q4-"&amp;RIGHT(O$3,4)-1,$3:$3,0))+INDEX(5:5,0,MATCH("Q2-"&amp;RIGHT(O$3,4),$3:$3,0))+INDEX(5:5,0,MATCH("Q1-"&amp;RIGHT(O$3,4),$3:$3,0)),
IF(LEFT(O$3,2)="Q4",INDEX(5:5,0,MATCH("FY"&amp;RIGHT(O$3,4),$3:$3,0))))))), "")</f>
        <v>32136</v>
      </c>
      <c r="P15" s="1225">
        <f>IFERROR(IF(LEFT(P$3,1)="F",P5,
IF(LEFT(P$3,2)="Q1",P5+INDEX(5:5,0,MATCH("Q4-"&amp;RIGHT(P$3,4)-1,$3:$3,0))+INDEX(5:5,0,MATCH("Q3-"&amp;RIGHT(P$3,4)-1,$3:$3,0))+INDEX(5:5,0,MATCH("Q2-"&amp;RIGHT(P$3,4)-1,$3:$3,0)),
IF(LEFT(P$3,2)="Q2",P5+INDEX(5:5,0,MATCH("Q4-"&amp;RIGHT(P$3,4)-1,$3:$3,0))+INDEX(5:5,0,MATCH("Q3-"&amp;RIGHT(P$3,4)-1,$3:$3,0))+INDEX(5:5,0,MATCH("Q1-"&amp;RIGHT(P$3,4),$3:$3,0)),
IF(LEFT(P$3,2)="Q3",P5+INDEX(5:5,0,MATCH("Q4-"&amp;RIGHT(P$3,4)-1,$3:$3,0))+INDEX(5:5,0,MATCH("Q2-"&amp;RIGHT(P$3,4),$3:$3,0))+INDEX(5:5,0,MATCH("Q1-"&amp;RIGHT(P$3,4),$3:$3,0)),
IF(LEFT(P$3,2)="Q4",INDEX(5:5,0,MATCH("FY"&amp;RIGHT(P$3,4),$3:$3,0))))))), "")</f>
        <v>32348</v>
      </c>
      <c r="Q15" s="1225">
        <f>IFERROR(IF(LEFT(Q$3,1)="F",Q5,
IF(LEFT(Q$3,2)="Q1",Q5+INDEX(5:5,0,MATCH("Q4-"&amp;RIGHT(Q$3,4)-1,$3:$3,0))+INDEX(5:5,0,MATCH("Q3-"&amp;RIGHT(Q$3,4)-1,$3:$3,0))+INDEX(5:5,0,MATCH("Q2-"&amp;RIGHT(Q$3,4)-1,$3:$3,0)),
IF(LEFT(Q$3,2)="Q2",Q5+INDEX(5:5,0,MATCH("Q4-"&amp;RIGHT(Q$3,4)-1,$3:$3,0))+INDEX(5:5,0,MATCH("Q3-"&amp;RIGHT(Q$3,4)-1,$3:$3,0))+INDEX(5:5,0,MATCH("Q1-"&amp;RIGHT(Q$3,4),$3:$3,0)),
IF(LEFT(Q$3,2)="Q3",Q5+INDEX(5:5,0,MATCH("Q4-"&amp;RIGHT(Q$3,4)-1,$3:$3,0))+INDEX(5:5,0,MATCH("Q2-"&amp;RIGHT(Q$3,4),$3:$3,0))+INDEX(5:5,0,MATCH("Q1-"&amp;RIGHT(Q$3,4),$3:$3,0)),
IF(LEFT(Q$3,2)="Q4",INDEX(5:5,0,MATCH("FY"&amp;RIGHT(Q$3,4),$3:$3,0))))))), "")</f>
        <v>31353</v>
      </c>
      <c r="R15" s="1225">
        <f>IFERROR(IF(LEFT(R$3,1)="F",R5,
IF(LEFT(R$3,2)="Q1",R5+INDEX(5:5,0,MATCH("Q4-"&amp;RIGHT(R$3,4)-1,$3:$3,0))+INDEX(5:5,0,MATCH("Q3-"&amp;RIGHT(R$3,4)-1,$3:$3,0))+INDEX(5:5,0,MATCH("Q2-"&amp;RIGHT(R$3,4)-1,$3:$3,0)),
IF(LEFT(R$3,2)="Q2",R5+INDEX(5:5,0,MATCH("Q4-"&amp;RIGHT(R$3,4)-1,$3:$3,0))+INDEX(5:5,0,MATCH("Q3-"&amp;RIGHT(R$3,4)-1,$3:$3,0))+INDEX(5:5,0,MATCH("Q1-"&amp;RIGHT(R$3,4),$3:$3,0)),
IF(LEFT(R$3,2)="Q3",R5+INDEX(5:5,0,MATCH("Q4-"&amp;RIGHT(R$3,4)-1,$3:$3,0))+INDEX(5:5,0,MATCH("Q2-"&amp;RIGHT(R$3,4),$3:$3,0))+INDEX(5:5,0,MATCH("Q1-"&amp;RIGHT(R$3,4),$3:$3,0)),
IF(LEFT(R$3,2)="Q4",INDEX(5:5,0,MATCH("FY"&amp;RIGHT(R$3,4),$3:$3,0))))))), "")</f>
        <v>31712</v>
      </c>
      <c r="S15" s="1225">
        <f>IFERROR(IF(LEFT(S$3,1)="F",S5,
IF(LEFT(S$3,2)="Q1",S5+INDEX(5:5,0,MATCH("Q4-"&amp;RIGHT(S$3,4)-1,$3:$3,0))+INDEX(5:5,0,MATCH("Q3-"&amp;RIGHT(S$3,4)-1,$3:$3,0))+INDEX(5:5,0,MATCH("Q2-"&amp;RIGHT(S$3,4)-1,$3:$3,0)),
IF(LEFT(S$3,2)="Q2",S5+INDEX(5:5,0,MATCH("Q4-"&amp;RIGHT(S$3,4)-1,$3:$3,0))+INDEX(5:5,0,MATCH("Q3-"&amp;RIGHT(S$3,4)-1,$3:$3,0))+INDEX(5:5,0,MATCH("Q1-"&amp;RIGHT(S$3,4),$3:$3,0)),
IF(LEFT(S$3,2)="Q3",S5+INDEX(5:5,0,MATCH("Q4-"&amp;RIGHT(S$3,4)-1,$3:$3,0))+INDEX(5:5,0,MATCH("Q2-"&amp;RIGHT(S$3,4),$3:$3,0))+INDEX(5:5,0,MATCH("Q1-"&amp;RIGHT(S$3,4),$3:$3,0)),
IF(LEFT(S$3,2)="Q4",INDEX(5:5,0,MATCH("FY"&amp;RIGHT(S$3,4),$3:$3,0))))))), "")</f>
        <v>32184</v>
      </c>
      <c r="T15" s="1219">
        <f>IFERROR(IF(LEFT(T$3,1)="F",T5,
IF(LEFT(T$3,2)="Q1",T5+INDEX(5:5,0,MATCH("Q4-"&amp;RIGHT(T$3,4)-1,$3:$3,0))+INDEX(5:5,0,MATCH("Q3-"&amp;RIGHT(T$3,4)-1,$3:$3,0))+INDEX(5:5,0,MATCH("Q2-"&amp;RIGHT(T$3,4)-1,$3:$3,0)),
IF(LEFT(T$3,2)="Q2",T5+INDEX(5:5,0,MATCH("Q4-"&amp;RIGHT(T$3,4)-1,$3:$3,0))+INDEX(5:5,0,MATCH("Q3-"&amp;RIGHT(T$3,4)-1,$3:$3,0))+INDEX(5:5,0,MATCH("Q1-"&amp;RIGHT(T$3,4),$3:$3,0)),
IF(LEFT(T$3,2)="Q3",T5+INDEX(5:5,0,MATCH("Q4-"&amp;RIGHT(T$3,4)-1,$3:$3,0))+INDEX(5:5,0,MATCH("Q2-"&amp;RIGHT(T$3,4),$3:$3,0))+INDEX(5:5,0,MATCH("Q1-"&amp;RIGHT(T$3,4),$3:$3,0)),
IF(LEFT(T$3,2)="Q4",INDEX(5:5,0,MATCH("FY"&amp;RIGHT(T$3,4),$3:$3,0))))))), "")</f>
        <v>32184</v>
      </c>
      <c r="U15" s="1225">
        <f>IFERROR(IF(LEFT(U$3,1)="F",U5,
IF(LEFT(U$3,2)="Q1",U5+INDEX(5:5,0,MATCH("Q4-"&amp;RIGHT(U$3,4)-1,$3:$3,0))+INDEX(5:5,0,MATCH("Q3-"&amp;RIGHT(U$3,4)-1,$3:$3,0))+INDEX(5:5,0,MATCH("Q2-"&amp;RIGHT(U$3,4)-1,$3:$3,0)),
IF(LEFT(U$3,2)="Q2",U5+INDEX(5:5,0,MATCH("Q4-"&amp;RIGHT(U$3,4)-1,$3:$3,0))+INDEX(5:5,0,MATCH("Q3-"&amp;RIGHT(U$3,4)-1,$3:$3,0))+INDEX(5:5,0,MATCH("Q1-"&amp;RIGHT(U$3,4),$3:$3,0)),
IF(LEFT(U$3,2)="Q3",U5+INDEX(5:5,0,MATCH("Q4-"&amp;RIGHT(U$3,4)-1,$3:$3,0))+INDEX(5:5,0,MATCH("Q2-"&amp;RIGHT(U$3,4),$3:$3,0))+INDEX(5:5,0,MATCH("Q1-"&amp;RIGHT(U$3,4),$3:$3,0)),
IF(LEFT(U$3,2)="Q4",INDEX(5:5,0,MATCH("FY"&amp;RIGHT(U$3,4),$3:$3,0))))))), "")</f>
        <v>32960</v>
      </c>
      <c r="V15" s="1225">
        <f>IFERROR(IF(LEFT(V$3,1)="F",V5,
IF(LEFT(V$3,2)="Q1",V5+INDEX(5:5,0,MATCH("Q4-"&amp;RIGHT(V$3,4)-1,$3:$3,0))+INDEX(5:5,0,MATCH("Q3-"&amp;RIGHT(V$3,4)-1,$3:$3,0))+INDEX(5:5,0,MATCH("Q2-"&amp;RIGHT(V$3,4)-1,$3:$3,0)),
IF(LEFT(V$3,2)="Q2",V5+INDEX(5:5,0,MATCH("Q4-"&amp;RIGHT(V$3,4)-1,$3:$3,0))+INDEX(5:5,0,MATCH("Q3-"&amp;RIGHT(V$3,4)-1,$3:$3,0))+INDEX(5:5,0,MATCH("Q1-"&amp;RIGHT(V$3,4),$3:$3,0)),
IF(LEFT(V$3,2)="Q3",V5+INDEX(5:5,0,MATCH("Q4-"&amp;RIGHT(V$3,4)-1,$3:$3,0))+INDEX(5:5,0,MATCH("Q2-"&amp;RIGHT(V$3,4),$3:$3,0))+INDEX(5:5,0,MATCH("Q1-"&amp;RIGHT(V$3,4),$3:$3,0)),
IF(LEFT(V$3,2)="Q4",INDEX(5:5,0,MATCH("FY"&amp;RIGHT(V$3,4),$3:$3,0))))))), "")</f>
        <v>33452.2192</v>
      </c>
      <c r="W15" s="1225">
        <f>IFERROR(IF(LEFT(W$3,1)="F",W5,
IF(LEFT(W$3,2)="Q1",W5+INDEX(5:5,0,MATCH("Q4-"&amp;RIGHT(W$3,4)-1,$3:$3,0))+INDEX(5:5,0,MATCH("Q3-"&amp;RIGHT(W$3,4)-1,$3:$3,0))+INDEX(5:5,0,MATCH("Q2-"&amp;RIGHT(W$3,4)-1,$3:$3,0)),
IF(LEFT(W$3,2)="Q2",W5+INDEX(5:5,0,MATCH("Q4-"&amp;RIGHT(W$3,4)-1,$3:$3,0))+INDEX(5:5,0,MATCH("Q3-"&amp;RIGHT(W$3,4)-1,$3:$3,0))+INDEX(5:5,0,MATCH("Q1-"&amp;RIGHT(W$3,4),$3:$3,0)),
IF(LEFT(W$3,2)="Q3",W5+INDEX(5:5,0,MATCH("Q4-"&amp;RIGHT(W$3,4)-1,$3:$3,0))+INDEX(5:5,0,MATCH("Q2-"&amp;RIGHT(W$3,4),$3:$3,0))+INDEX(5:5,0,MATCH("Q1-"&amp;RIGHT(W$3,4),$3:$3,0)),
IF(LEFT(W$3,2)="Q4",INDEX(5:5,0,MATCH("FY"&amp;RIGHT(W$3,4),$3:$3,0))))))), "")</f>
        <v>33847.7912</v>
      </c>
      <c r="X15" s="1225">
        <f>IFERROR(IF(LEFT(X$3,1)="F",X5,
IF(LEFT(X$3,2)="Q1",X5+INDEX(5:5,0,MATCH("Q4-"&amp;RIGHT(X$3,4)-1,$3:$3,0))+INDEX(5:5,0,MATCH("Q3-"&amp;RIGHT(X$3,4)-1,$3:$3,0))+INDEX(5:5,0,MATCH("Q2-"&amp;RIGHT(X$3,4)-1,$3:$3,0)),
IF(LEFT(X$3,2)="Q2",X5+INDEX(5:5,0,MATCH("Q4-"&amp;RIGHT(X$3,4)-1,$3:$3,0))+INDEX(5:5,0,MATCH("Q3-"&amp;RIGHT(X$3,4)-1,$3:$3,0))+INDEX(5:5,0,MATCH("Q1-"&amp;RIGHT(X$3,4),$3:$3,0)),
IF(LEFT(X$3,2)="Q3",X5+INDEX(5:5,0,MATCH("Q4-"&amp;RIGHT(X$3,4)-1,$3:$3,0))+INDEX(5:5,0,MATCH("Q2-"&amp;RIGHT(X$3,4),$3:$3,0))+INDEX(5:5,0,MATCH("Q1-"&amp;RIGHT(X$3,4),$3:$3,0)),
IF(LEFT(X$3,2)="Q4",INDEX(5:5,0,MATCH("FY"&amp;RIGHT(X$3,4),$3:$3,0))))))), "")</f>
        <v>34247.139800000004</v>
      </c>
      <c r="Y15" s="1219">
        <f>IFERROR(IF(LEFT(Y$3,1)="F",Y5,
IF(LEFT(Y$3,2)="Q1",Y5+INDEX(5:5,0,MATCH("Q4-"&amp;RIGHT(Y$3,4)-1,$3:$3,0))+INDEX(5:5,0,MATCH("Q3-"&amp;RIGHT(Y$3,4)-1,$3:$3,0))+INDEX(5:5,0,MATCH("Q2-"&amp;RIGHT(Y$3,4)-1,$3:$3,0)),
IF(LEFT(Y$3,2)="Q2",Y5+INDEX(5:5,0,MATCH("Q4-"&amp;RIGHT(Y$3,4)-1,$3:$3,0))+INDEX(5:5,0,MATCH("Q3-"&amp;RIGHT(Y$3,4)-1,$3:$3,0))+INDEX(5:5,0,MATCH("Q1-"&amp;RIGHT(Y$3,4),$3:$3,0)),
IF(LEFT(Y$3,2)="Q3",Y5+INDEX(5:5,0,MATCH("Q4-"&amp;RIGHT(Y$3,4)-1,$3:$3,0))+INDEX(5:5,0,MATCH("Q2-"&amp;RIGHT(Y$3,4),$3:$3,0))+INDEX(5:5,0,MATCH("Q1-"&amp;RIGHT(Y$3,4),$3:$3,0)),
IF(LEFT(Y$3,2)="Q4",INDEX(5:5,0,MATCH("FY"&amp;RIGHT(Y$3,4),$3:$3,0))))))), "")</f>
        <v>34247.139800000004</v>
      </c>
      <c r="Z15" s="1225">
        <f>IFERROR(IF(LEFT(Z$3,1)="F",Z5,
IF(LEFT(Z$3,2)="Q1",Z5+INDEX(5:5,0,MATCH("Q4-"&amp;RIGHT(Z$3,4)-1,$3:$3,0))+INDEX(5:5,0,MATCH("Q3-"&amp;RIGHT(Z$3,4)-1,$3:$3,0))+INDEX(5:5,0,MATCH("Q2-"&amp;RIGHT(Z$3,4)-1,$3:$3,0)),
IF(LEFT(Z$3,2)="Q2",Z5+INDEX(5:5,0,MATCH("Q4-"&amp;RIGHT(Z$3,4)-1,$3:$3,0))+INDEX(5:5,0,MATCH("Q3-"&amp;RIGHT(Z$3,4)-1,$3:$3,0))+INDEX(5:5,0,MATCH("Q1-"&amp;RIGHT(Z$3,4),$3:$3,0)),
IF(LEFT(Z$3,2)="Q3",Z5+INDEX(5:5,0,MATCH("Q4-"&amp;RIGHT(Z$3,4)-1,$3:$3,0))+INDEX(5:5,0,MATCH("Q2-"&amp;RIGHT(Z$3,4),$3:$3,0))+INDEX(5:5,0,MATCH("Q1-"&amp;RIGHT(Z$3,4),$3:$3,0)),
IF(LEFT(Z$3,2)="Q4",INDEX(5:5,0,MATCH("FY"&amp;RIGHT(Z$3,4),$3:$3,0))))))), "")</f>
        <v>34880.321500000005</v>
      </c>
      <c r="AA15" s="1225">
        <f>IFERROR(IF(LEFT(AA$3,1)="F",AA5,
IF(LEFT(AA$3,2)="Q1",AA5+INDEX(5:5,0,MATCH("Q4-"&amp;RIGHT(AA$3,4)-1,$3:$3,0))+INDEX(5:5,0,MATCH("Q3-"&amp;RIGHT(AA$3,4)-1,$3:$3,0))+INDEX(5:5,0,MATCH("Q2-"&amp;RIGHT(AA$3,4)-1,$3:$3,0)),
IF(LEFT(AA$3,2)="Q2",AA5+INDEX(5:5,0,MATCH("Q4-"&amp;RIGHT(AA$3,4)-1,$3:$3,0))+INDEX(5:5,0,MATCH("Q3-"&amp;RIGHT(AA$3,4)-1,$3:$3,0))+INDEX(5:5,0,MATCH("Q1-"&amp;RIGHT(AA$3,4),$3:$3,0)),
IF(LEFT(AA$3,2)="Q3",AA5+INDEX(5:5,0,MATCH("Q4-"&amp;RIGHT(AA$3,4)-1,$3:$3,0))+INDEX(5:5,0,MATCH("Q2-"&amp;RIGHT(AA$3,4),$3:$3,0))+INDEX(5:5,0,MATCH("Q1-"&amp;RIGHT(AA$3,4),$3:$3,0)),
IF(LEFT(AA$3,2)="Q4",INDEX(5:5,0,MATCH("FY"&amp;RIGHT(AA$3,4),$3:$3,0))))))), "")</f>
        <v>35370.267783000003</v>
      </c>
      <c r="AB15" s="1225">
        <f>IFERROR(IF(LEFT(AB$3,1)="F",AB5,
IF(LEFT(AB$3,2)="Q1",AB5+INDEX(5:5,0,MATCH("Q4-"&amp;RIGHT(AB$3,4)-1,$3:$3,0))+INDEX(5:5,0,MATCH("Q3-"&amp;RIGHT(AB$3,4)-1,$3:$3,0))+INDEX(5:5,0,MATCH("Q2-"&amp;RIGHT(AB$3,4)-1,$3:$3,0)),
IF(LEFT(AB$3,2)="Q2",AB5+INDEX(5:5,0,MATCH("Q4-"&amp;RIGHT(AB$3,4)-1,$3:$3,0))+INDEX(5:5,0,MATCH("Q3-"&amp;RIGHT(AB$3,4)-1,$3:$3,0))+INDEX(5:5,0,MATCH("Q1-"&amp;RIGHT(AB$3,4),$3:$3,0)),
IF(LEFT(AB$3,2)="Q3",AB5+INDEX(5:5,0,MATCH("Q4-"&amp;RIGHT(AB$3,4)-1,$3:$3,0))+INDEX(5:5,0,MATCH("Q2-"&amp;RIGHT(AB$3,4),$3:$3,0))+INDEX(5:5,0,MATCH("Q1-"&amp;RIGHT(AB$3,4),$3:$3,0)),
IF(LEFT(AB$3,2)="Q4",INDEX(5:5,0,MATCH("FY"&amp;RIGHT(AB$3,4),$3:$3,0))))))), "")</f>
        <v>35932.695351000002</v>
      </c>
      <c r="AC15" s="1225">
        <f>IFERROR(IF(LEFT(AC$3,1)="F",AC5,
IF(LEFT(AC$3,2)="Q1",AC5+INDEX(5:5,0,MATCH("Q4-"&amp;RIGHT(AC$3,4)-1,$3:$3,0))+INDEX(5:5,0,MATCH("Q3-"&amp;RIGHT(AC$3,4)-1,$3:$3,0))+INDEX(5:5,0,MATCH("Q2-"&amp;RIGHT(AC$3,4)-1,$3:$3,0)),
IF(LEFT(AC$3,2)="Q2",AC5+INDEX(5:5,0,MATCH("Q4-"&amp;RIGHT(AC$3,4)-1,$3:$3,0))+INDEX(5:5,0,MATCH("Q3-"&amp;RIGHT(AC$3,4)-1,$3:$3,0))+INDEX(5:5,0,MATCH("Q1-"&amp;RIGHT(AC$3,4),$3:$3,0)),
IF(LEFT(AC$3,2)="Q3",AC5+INDEX(5:5,0,MATCH("Q4-"&amp;RIGHT(AC$3,4)-1,$3:$3,0))+INDEX(5:5,0,MATCH("Q2-"&amp;RIGHT(AC$3,4),$3:$3,0))+INDEX(5:5,0,MATCH("Q1-"&amp;RIGHT(AC$3,4),$3:$3,0)),
IF(LEFT(AC$3,2)="Q4",INDEX(5:5,0,MATCH("FY"&amp;RIGHT(AC$3,4),$3:$3,0))))))), "")</f>
        <v>36510.026148999998</v>
      </c>
      <c r="AD15" s="1219">
        <f>IFERROR(IF(LEFT(AD$3,1)="F",AD5,
IF(LEFT(AD$3,2)="Q1",AD5+INDEX(5:5,0,MATCH("Q4-"&amp;RIGHT(AD$3,4)-1,$3:$3,0))+INDEX(5:5,0,MATCH("Q3-"&amp;RIGHT(AD$3,4)-1,$3:$3,0))+INDEX(5:5,0,MATCH("Q2-"&amp;RIGHT(AD$3,4)-1,$3:$3,0)),
IF(LEFT(AD$3,2)="Q2",AD5+INDEX(5:5,0,MATCH("Q4-"&amp;RIGHT(AD$3,4)-1,$3:$3,0))+INDEX(5:5,0,MATCH("Q3-"&amp;RIGHT(AD$3,4)-1,$3:$3,0))+INDEX(5:5,0,MATCH("Q1-"&amp;RIGHT(AD$3,4),$3:$3,0)),
IF(LEFT(AD$3,2)="Q3",AD5+INDEX(5:5,0,MATCH("Q4-"&amp;RIGHT(AD$3,4)-1,$3:$3,0))+INDEX(5:5,0,MATCH("Q2-"&amp;RIGHT(AD$3,4),$3:$3,0))+INDEX(5:5,0,MATCH("Q1-"&amp;RIGHT(AD$3,4),$3:$3,0)),
IF(LEFT(AD$3,2)="Q4",INDEX(5:5,0,MATCH("FY"&amp;RIGHT(AD$3,4),$3:$3,0))))))), "")</f>
        <v>36510.026148999998</v>
      </c>
      <c r="AE15" s="1219">
        <f>IFERROR(IF(LEFT(AE$3,1)="F",AE5,
IF(LEFT(AE$3,2)="Q1",AE5+INDEX(5:5,0,MATCH("Q4-"&amp;RIGHT(AE$3,4)-1,$3:$3,0))+INDEX(5:5,0,MATCH("Q3-"&amp;RIGHT(AE$3,4)-1,$3:$3,0))+INDEX(5:5,0,MATCH("Q2-"&amp;RIGHT(AE$3,4)-1,$3:$3,0)),
IF(LEFT(AE$3,2)="Q2",AE5+INDEX(5:5,0,MATCH("Q4-"&amp;RIGHT(AE$3,4)-1,$3:$3,0))+INDEX(5:5,0,MATCH("Q3-"&amp;RIGHT(AE$3,4)-1,$3:$3,0))+INDEX(5:5,0,MATCH("Q1-"&amp;RIGHT(AE$3,4),$3:$3,0)),
IF(LEFT(AE$3,2)="Q3",AE5+INDEX(5:5,0,MATCH("Q4-"&amp;RIGHT(AE$3,4)-1,$3:$3,0))+INDEX(5:5,0,MATCH("Q2-"&amp;RIGHT(AE$3,4),$3:$3,0))+INDEX(5:5,0,MATCH("Q1-"&amp;RIGHT(AE$3,4),$3:$3,0)),
IF(LEFT(AE$3,2)="Q4",INDEX(5:5,0,MATCH("FY"&amp;RIGHT(AE$3,4),$3:$3,0))))))), "")</f>
        <v>38860.311656844999</v>
      </c>
      <c r="AF15" s="1219">
        <f>IFERROR(IF(LEFT(AF$3,1)="F",AF5,
IF(LEFT(AF$3,2)="Q1",AF5+INDEX(5:5,0,MATCH("Q4-"&amp;RIGHT(AF$3,4)-1,$3:$3,0))+INDEX(5:5,0,MATCH("Q3-"&amp;RIGHT(AF$3,4)-1,$3:$3,0))+INDEX(5:5,0,MATCH("Q2-"&amp;RIGHT(AF$3,4)-1,$3:$3,0)),
IF(LEFT(AF$3,2)="Q2",AF5+INDEX(5:5,0,MATCH("Q4-"&amp;RIGHT(AF$3,4)-1,$3:$3,0))+INDEX(5:5,0,MATCH("Q3-"&amp;RIGHT(AF$3,4)-1,$3:$3,0))+INDEX(5:5,0,MATCH("Q1-"&amp;RIGHT(AF$3,4),$3:$3,0)),
IF(LEFT(AF$3,2)="Q3",AF5+INDEX(5:5,0,MATCH("Q4-"&amp;RIGHT(AF$3,4)-1,$3:$3,0))+INDEX(5:5,0,MATCH("Q2-"&amp;RIGHT(AF$3,4),$3:$3,0))+INDEX(5:5,0,MATCH("Q1-"&amp;RIGHT(AF$3,4),$3:$3,0)),
IF(LEFT(AF$3,2)="Q4",INDEX(5:5,0,MATCH("FY"&amp;RIGHT(AF$3,4),$3:$3,0))))))), "")</f>
        <v>41368.44430713122</v>
      </c>
      <c r="AG15" s="1221">
        <f>IFERROR(IF(LEFT(AG$3,1)="F",AG5,
IF(LEFT(AG$3,2)="Q1",AG5+INDEX(5:5,0,MATCH("Q4-"&amp;RIGHT(AG$3,4)-1,$3:$3,0))+INDEX(5:5,0,MATCH("Q3-"&amp;RIGHT(AG$3,4)-1,$3:$3,0))+INDEX(5:5,0,MATCH("Q2-"&amp;RIGHT(AG$3,4)-1,$3:$3,0)),
IF(LEFT(AG$3,2)="Q2",AG5+INDEX(5:5,0,MATCH("Q4-"&amp;RIGHT(AG$3,4)-1,$3:$3,0))+INDEX(5:5,0,MATCH("Q3-"&amp;RIGHT(AG$3,4)-1,$3:$3,0))+INDEX(5:5,0,MATCH("Q1-"&amp;RIGHT(AG$3,4),$3:$3,0)),
IF(LEFT(AG$3,2)="Q3",AG5+INDEX(5:5,0,MATCH("Q4-"&amp;RIGHT(AG$3,4)-1,$3:$3,0))+INDEX(5:5,0,MATCH("Q2-"&amp;RIGHT(AG$3,4),$3:$3,0))+INDEX(5:5,0,MATCH("Q1-"&amp;RIGHT(AG$3,4),$3:$3,0)),
IF(LEFT(AG$3,2)="Q4",INDEX(5:5,0,MATCH("FY"&amp;RIGHT(AG$3,4),$3:$3,0))))))), "")</f>
        <v>44045.403908700471</v>
      </c>
    </row>
    <row r="16" spans="1:33" s="1222" customFormat="1" ht="14.25" customHeight="1" outlineLevel="1" x14ac:dyDescent="0.35">
      <c r="A16" s="1216" t="str">
        <f>"LTM "&amp;A7</f>
        <v>LTM Gross Profit</v>
      </c>
      <c r="B16" s="1217"/>
      <c r="C16" s="1218"/>
      <c r="D16" s="1219">
        <f>IFERROR(IF(LEFT(D$3,1)="F",D7,
IF(LEFT(D$3,2)="Q1",D7+INDEX(7:7,0,MATCH("Q4-"&amp;RIGHT(D$3,4)-1,$3:$3,0))+INDEX(7:7,0,MATCH("Q3-"&amp;RIGHT(D$3,4)-1,$3:$3,0))+INDEX(7:7,0,MATCH("Q2-"&amp;RIGHT(D$3,4)-1,$3:$3,0)),
IF(LEFT(D$3,2)="Q2",D7+INDEX(7:7,0,MATCH("Q4-"&amp;RIGHT(D$3,4)-1,$3:$3,0))+INDEX(7:7,0,MATCH("Q3-"&amp;RIGHT(D$3,4)-1,$3:$3,0))+INDEX(7:7,0,MATCH("Q1-"&amp;RIGHT(D$3,4),$3:$3,0)),
IF(LEFT(D$3,2)="Q3",D7+INDEX(7:7,0,MATCH("Q4-"&amp;RIGHT(D$3,4)-1,$3:$3,0))+INDEX(7:7,0,MATCH("Q2-"&amp;RIGHT(D$3,4),$3:$3,0))+INDEX(7:7,0,MATCH("Q1-"&amp;RIGHT(D$3,4),$3:$3,0)),
IF(LEFT(D$3,2)="Q4",INDEX(7:7,0,MATCH("FY"&amp;RIGHT(D$3,4),$3:$3,0))))))), "")</f>
        <v>15116</v>
      </c>
      <c r="E16" s="1219">
        <f>IFERROR(IF(LEFT(E$3,1)="F",E7,
IF(LEFT(E$3,2)="Q1",E7+INDEX(7:7,0,MATCH("Q4-"&amp;RIGHT(E$3,4)-1,$3:$3,0))+INDEX(7:7,0,MATCH("Q3-"&amp;RIGHT(E$3,4)-1,$3:$3,0))+INDEX(7:7,0,MATCH("Q2-"&amp;RIGHT(E$3,4)-1,$3:$3,0)),
IF(LEFT(E$3,2)="Q2",E7+INDEX(7:7,0,MATCH("Q4-"&amp;RIGHT(E$3,4)-1,$3:$3,0))+INDEX(7:7,0,MATCH("Q3-"&amp;RIGHT(E$3,4)-1,$3:$3,0))+INDEX(7:7,0,MATCH("Q1-"&amp;RIGHT(E$3,4),$3:$3,0)),
IF(LEFT(E$3,2)="Q3",E7+INDEX(7:7,0,MATCH("Q4-"&amp;RIGHT(E$3,4)-1,$3:$3,0))+INDEX(7:7,0,MATCH("Q2-"&amp;RIGHT(E$3,4),$3:$3,0))+INDEX(7:7,0,MATCH("Q1-"&amp;RIGHT(E$3,4),$3:$3,0)),
IF(LEFT(E$3,2)="Q4",INDEX(7:7,0,MATCH("FY"&amp;RIGHT(E$3,4),$3:$3,0))))))), "")</f>
        <v>15650.999999999998</v>
      </c>
      <c r="F16" s="1225" t="str">
        <f>IFERROR(IF(LEFT(F$3,1)="F",F7,
IF(LEFT(F$3,2)="Q1",F7+INDEX(7:7,0,MATCH("Q4-"&amp;RIGHT(F$3,4)-1,$3:$3,0))+INDEX(7:7,0,MATCH("Q3-"&amp;RIGHT(F$3,4)-1,$3:$3,0))+INDEX(7:7,0,MATCH("Q2-"&amp;RIGHT(F$3,4)-1,$3:$3,0)),
IF(LEFT(F$3,2)="Q2",F7+INDEX(7:7,0,MATCH("Q4-"&amp;RIGHT(F$3,4)-1,$3:$3,0))+INDEX(7:7,0,MATCH("Q3-"&amp;RIGHT(F$3,4)-1,$3:$3,0))+INDEX(7:7,0,MATCH("Q1-"&amp;RIGHT(F$3,4),$3:$3,0)),
IF(LEFT(F$3,2)="Q3",F7+INDEX(7:7,0,MATCH("Q4-"&amp;RIGHT(F$3,4)-1,$3:$3,0))+INDEX(7:7,0,MATCH("Q2-"&amp;RIGHT(F$3,4),$3:$3,0))+INDEX(7:7,0,MATCH("Q1-"&amp;RIGHT(F$3,4),$3:$3,0)),
IF(LEFT(F$3,2)="Q4",INDEX(7:7,0,MATCH("FY"&amp;RIGHT(F$3,4),$3:$3,0))))))), "")</f>
        <v/>
      </c>
      <c r="G16" s="1225" t="str">
        <f>IFERROR(IF(LEFT(G$3,1)="F",G7,
IF(LEFT(G$3,2)="Q1",G7+INDEX(7:7,0,MATCH("Q4-"&amp;RIGHT(G$3,4)-1,$3:$3,0))+INDEX(7:7,0,MATCH("Q3-"&amp;RIGHT(G$3,4)-1,$3:$3,0))+INDEX(7:7,0,MATCH("Q2-"&amp;RIGHT(G$3,4)-1,$3:$3,0)),
IF(LEFT(G$3,2)="Q2",G7+INDEX(7:7,0,MATCH("Q4-"&amp;RIGHT(G$3,4)-1,$3:$3,0))+INDEX(7:7,0,MATCH("Q3-"&amp;RIGHT(G$3,4)-1,$3:$3,0))+INDEX(7:7,0,MATCH("Q1-"&amp;RIGHT(G$3,4),$3:$3,0)),
IF(LEFT(G$3,2)="Q3",G7+INDEX(7:7,0,MATCH("Q4-"&amp;RIGHT(G$3,4)-1,$3:$3,0))+INDEX(7:7,0,MATCH("Q2-"&amp;RIGHT(G$3,4),$3:$3,0))+INDEX(7:7,0,MATCH("Q1-"&amp;RIGHT(G$3,4),$3:$3,0)),
IF(LEFT(G$3,2)="Q4",INDEX(7:7,0,MATCH("FY"&amp;RIGHT(G$3,4),$3:$3,0))))))), "")</f>
        <v/>
      </c>
      <c r="H16" s="1225" t="str">
        <f>IFERROR(IF(LEFT(H$3,1)="F",H7,
IF(LEFT(H$3,2)="Q1",H7+INDEX(7:7,0,MATCH("Q4-"&amp;RIGHT(H$3,4)-1,$3:$3,0))+INDEX(7:7,0,MATCH("Q3-"&amp;RIGHT(H$3,4)-1,$3:$3,0))+INDEX(7:7,0,MATCH("Q2-"&amp;RIGHT(H$3,4)-1,$3:$3,0)),
IF(LEFT(H$3,2)="Q2",H7+INDEX(7:7,0,MATCH("Q4-"&amp;RIGHT(H$3,4)-1,$3:$3,0))+INDEX(7:7,0,MATCH("Q3-"&amp;RIGHT(H$3,4)-1,$3:$3,0))+INDEX(7:7,0,MATCH("Q1-"&amp;RIGHT(H$3,4),$3:$3,0)),
IF(LEFT(H$3,2)="Q3",H7+INDEX(7:7,0,MATCH("Q4-"&amp;RIGHT(H$3,4)-1,$3:$3,0))+INDEX(7:7,0,MATCH("Q2-"&amp;RIGHT(H$3,4),$3:$3,0))+INDEX(7:7,0,MATCH("Q1-"&amp;RIGHT(H$3,4),$3:$3,0)),
IF(LEFT(H$3,2)="Q4",INDEX(7:7,0,MATCH("FY"&amp;RIGHT(H$3,4),$3:$3,0))))))), "")</f>
        <v/>
      </c>
      <c r="I16" s="1225">
        <f>IFERROR(IF(LEFT(I$3,1)="F",I7,
IF(LEFT(I$3,2)="Q1",I7+INDEX(7:7,0,MATCH("Q4-"&amp;RIGHT(I$3,4)-1,$3:$3,0))+INDEX(7:7,0,MATCH("Q3-"&amp;RIGHT(I$3,4)-1,$3:$3,0))+INDEX(7:7,0,MATCH("Q2-"&amp;RIGHT(I$3,4)-1,$3:$3,0)),
IF(LEFT(I$3,2)="Q2",I7+INDEX(7:7,0,MATCH("Q4-"&amp;RIGHT(I$3,4)-1,$3:$3,0))+INDEX(7:7,0,MATCH("Q3-"&amp;RIGHT(I$3,4)-1,$3:$3,0))+INDEX(7:7,0,MATCH("Q1-"&amp;RIGHT(I$3,4),$3:$3,0)),
IF(LEFT(I$3,2)="Q3",I7+INDEX(7:7,0,MATCH("Q4-"&amp;RIGHT(I$3,4)-1,$3:$3,0))+INDEX(7:7,0,MATCH("Q2-"&amp;RIGHT(I$3,4),$3:$3,0))+INDEX(7:7,0,MATCH("Q1-"&amp;RIGHT(I$3,4),$3:$3,0)),
IF(LEFT(I$3,2)="Q4",INDEX(7:7,0,MATCH("FY"&amp;RIGHT(I$3,4),$3:$3,0))))))), "")</f>
        <v>16131</v>
      </c>
      <c r="J16" s="1219">
        <f>IFERROR(IF(LEFT(J$3,1)="F",J7,
IF(LEFT(J$3,2)="Q1",J7+INDEX(7:7,0,MATCH("Q4-"&amp;RIGHT(J$3,4)-1,$3:$3,0))+INDEX(7:7,0,MATCH("Q3-"&amp;RIGHT(J$3,4)-1,$3:$3,0))+INDEX(7:7,0,MATCH("Q2-"&amp;RIGHT(J$3,4)-1,$3:$3,0)),
IF(LEFT(J$3,2)="Q2",J7+INDEX(7:7,0,MATCH("Q4-"&amp;RIGHT(J$3,4)-1,$3:$3,0))+INDEX(7:7,0,MATCH("Q3-"&amp;RIGHT(J$3,4)-1,$3:$3,0))+INDEX(7:7,0,MATCH("Q1-"&amp;RIGHT(J$3,4),$3:$3,0)),
IF(LEFT(J$3,2)="Q3",J7+INDEX(7:7,0,MATCH("Q4-"&amp;RIGHT(J$3,4)-1,$3:$3,0))+INDEX(7:7,0,MATCH("Q2-"&amp;RIGHT(J$3,4),$3:$3,0))+INDEX(7:7,0,MATCH("Q1-"&amp;RIGHT(J$3,4),$3:$3,0)),
IF(LEFT(J$3,2)="Q4",INDEX(7:7,0,MATCH("FY"&amp;RIGHT(J$3,4),$3:$3,0))))))), "")</f>
        <v>16131</v>
      </c>
      <c r="K16" s="1225">
        <f>IFERROR(IF(LEFT(K$3,1)="F",K7,
IF(LEFT(K$3,2)="Q1",K7+INDEX(7:7,0,MATCH("Q4-"&amp;RIGHT(K$3,4)-1,$3:$3,0))+INDEX(7:7,0,MATCH("Q3-"&amp;RIGHT(K$3,4)-1,$3:$3,0))+INDEX(7:7,0,MATCH("Q2-"&amp;RIGHT(K$3,4)-1,$3:$3,0)),
IF(LEFT(K$3,2)="Q2",K7+INDEX(7:7,0,MATCH("Q4-"&amp;RIGHT(K$3,4)-1,$3:$3,0))+INDEX(7:7,0,MATCH("Q3-"&amp;RIGHT(K$3,4)-1,$3:$3,0))+INDEX(7:7,0,MATCH("Q1-"&amp;RIGHT(K$3,4),$3:$3,0)),
IF(LEFT(K$3,2)="Q3",K7+INDEX(7:7,0,MATCH("Q4-"&amp;RIGHT(K$3,4)-1,$3:$3,0))+INDEX(7:7,0,MATCH("Q2-"&amp;RIGHT(K$3,4),$3:$3,0))+INDEX(7:7,0,MATCH("Q1-"&amp;RIGHT(K$3,4),$3:$3,0)),
IF(LEFT(K$3,2)="Q4",INDEX(7:7,0,MATCH("FY"&amp;RIGHT(K$3,4),$3:$3,0))))))), "")</f>
        <v>15641</v>
      </c>
      <c r="L16" s="1225">
        <f>IFERROR(IF(LEFT(L$3,1)="F",L7,
IF(LEFT(L$3,2)="Q1",L7+INDEX(7:7,0,MATCH("Q4-"&amp;RIGHT(L$3,4)-1,$3:$3,0))+INDEX(7:7,0,MATCH("Q3-"&amp;RIGHT(L$3,4)-1,$3:$3,0))+INDEX(7:7,0,MATCH("Q2-"&amp;RIGHT(L$3,4)-1,$3:$3,0)),
IF(LEFT(L$3,2)="Q2",L7+INDEX(7:7,0,MATCH("Q4-"&amp;RIGHT(L$3,4)-1,$3:$3,0))+INDEX(7:7,0,MATCH("Q3-"&amp;RIGHT(L$3,4)-1,$3:$3,0))+INDEX(7:7,0,MATCH("Q1-"&amp;RIGHT(L$3,4),$3:$3,0)),
IF(LEFT(L$3,2)="Q3",L7+INDEX(7:7,0,MATCH("Q4-"&amp;RIGHT(L$3,4)-1,$3:$3,0))+INDEX(7:7,0,MATCH("Q2-"&amp;RIGHT(L$3,4),$3:$3,0))+INDEX(7:7,0,MATCH("Q1-"&amp;RIGHT(L$3,4),$3:$3,0)),
IF(LEFT(L$3,2)="Q4",INDEX(7:7,0,MATCH("FY"&amp;RIGHT(L$3,4),$3:$3,0))))))), "")</f>
        <v>15336</v>
      </c>
      <c r="M16" s="1225">
        <f>IFERROR(IF(LEFT(M$3,1)="F",M7,
IF(LEFT(M$3,2)="Q1",M7+INDEX(7:7,0,MATCH("Q4-"&amp;RIGHT(M$3,4)-1,$3:$3,0))+INDEX(7:7,0,MATCH("Q3-"&amp;RIGHT(M$3,4)-1,$3:$3,0))+INDEX(7:7,0,MATCH("Q2-"&amp;RIGHT(M$3,4)-1,$3:$3,0)),
IF(LEFT(M$3,2)="Q2",M7+INDEX(7:7,0,MATCH("Q4-"&amp;RIGHT(M$3,4)-1,$3:$3,0))+INDEX(7:7,0,MATCH("Q3-"&amp;RIGHT(M$3,4)-1,$3:$3,0))+INDEX(7:7,0,MATCH("Q1-"&amp;RIGHT(M$3,4),$3:$3,0)),
IF(LEFT(M$3,2)="Q3",M7+INDEX(7:7,0,MATCH("Q4-"&amp;RIGHT(M$3,4)-1,$3:$3,0))+INDEX(7:7,0,MATCH("Q2-"&amp;RIGHT(M$3,4),$3:$3,0))+INDEX(7:7,0,MATCH("Q1-"&amp;RIGHT(M$3,4),$3:$3,0)),
IF(LEFT(M$3,2)="Q4",INDEX(7:7,0,MATCH("FY"&amp;RIGHT(M$3,4),$3:$3,0))))))), "")</f>
        <v>15146</v>
      </c>
      <c r="N16" s="1225">
        <f>IFERROR(IF(LEFT(N$3,1)="F",N7,
IF(LEFT(N$3,2)="Q1",N7+INDEX(7:7,0,MATCH("Q4-"&amp;RIGHT(N$3,4)-1,$3:$3,0))+INDEX(7:7,0,MATCH("Q3-"&amp;RIGHT(N$3,4)-1,$3:$3,0))+INDEX(7:7,0,MATCH("Q2-"&amp;RIGHT(N$3,4)-1,$3:$3,0)),
IF(LEFT(N$3,2)="Q2",N7+INDEX(7:7,0,MATCH("Q4-"&amp;RIGHT(N$3,4)-1,$3:$3,0))+INDEX(7:7,0,MATCH("Q3-"&amp;RIGHT(N$3,4)-1,$3:$3,0))+INDEX(7:7,0,MATCH("Q1-"&amp;RIGHT(N$3,4),$3:$3,0)),
IF(LEFT(N$3,2)="Q3",N7+INDEX(7:7,0,MATCH("Q4-"&amp;RIGHT(N$3,4)-1,$3:$3,0))+INDEX(7:7,0,MATCH("Q2-"&amp;RIGHT(N$3,4),$3:$3,0))+INDEX(7:7,0,MATCH("Q1-"&amp;RIGHT(N$3,4),$3:$3,0)),
IF(LEFT(N$3,2)="Q4",INDEX(7:7,0,MATCH("FY"&amp;RIGHT(N$3,4),$3:$3,0))))))), "")</f>
        <v>15047</v>
      </c>
      <c r="O16" s="1219">
        <f>IFERROR(IF(LEFT(O$3,1)="F",O7,
IF(LEFT(O$3,2)="Q1",O7+INDEX(7:7,0,MATCH("Q4-"&amp;RIGHT(O$3,4)-1,$3:$3,0))+INDEX(7:7,0,MATCH("Q3-"&amp;RIGHT(O$3,4)-1,$3:$3,0))+INDEX(7:7,0,MATCH("Q2-"&amp;RIGHT(O$3,4)-1,$3:$3,0)),
IF(LEFT(O$3,2)="Q2",O7+INDEX(7:7,0,MATCH("Q4-"&amp;RIGHT(O$3,4)-1,$3:$3,0))+INDEX(7:7,0,MATCH("Q3-"&amp;RIGHT(O$3,4)-1,$3:$3,0))+INDEX(7:7,0,MATCH("Q1-"&amp;RIGHT(O$3,4),$3:$3,0)),
IF(LEFT(O$3,2)="Q3",O7+INDEX(7:7,0,MATCH("Q4-"&amp;RIGHT(O$3,4)-1,$3:$3,0))+INDEX(7:7,0,MATCH("Q2-"&amp;RIGHT(O$3,4),$3:$3,0))+INDEX(7:7,0,MATCH("Q1-"&amp;RIGHT(O$3,4),$3:$3,0)),
IF(LEFT(O$3,2)="Q4",INDEX(7:7,0,MATCH("FY"&amp;RIGHT(O$3,4),$3:$3,0))))))), "")</f>
        <v>15047</v>
      </c>
      <c r="P16" s="1225">
        <f>IFERROR(IF(LEFT(P$3,1)="F",P7,
IF(LEFT(P$3,2)="Q1",P7+INDEX(7:7,0,MATCH("Q4-"&amp;RIGHT(P$3,4)-1,$3:$3,0))+INDEX(7:7,0,MATCH("Q3-"&amp;RIGHT(P$3,4)-1,$3:$3,0))+INDEX(7:7,0,MATCH("Q2-"&amp;RIGHT(P$3,4)-1,$3:$3,0)),
IF(LEFT(P$3,2)="Q2",P7+INDEX(7:7,0,MATCH("Q4-"&amp;RIGHT(P$3,4)-1,$3:$3,0))+INDEX(7:7,0,MATCH("Q3-"&amp;RIGHT(P$3,4)-1,$3:$3,0))+INDEX(7:7,0,MATCH("Q1-"&amp;RIGHT(P$3,4),$3:$3,0)),
IF(LEFT(P$3,2)="Q3",P7+INDEX(7:7,0,MATCH("Q4-"&amp;RIGHT(P$3,4)-1,$3:$3,0))+INDEX(7:7,0,MATCH("Q2-"&amp;RIGHT(P$3,4),$3:$3,0))+INDEX(7:7,0,MATCH("Q1-"&amp;RIGHT(P$3,4),$3:$3,0)),
IF(LEFT(P$3,2)="Q4",INDEX(7:7,0,MATCH("FY"&amp;RIGHT(P$3,4),$3:$3,0))))))), "")</f>
        <v>15460</v>
      </c>
      <c r="Q16" s="1225">
        <f>IFERROR(IF(LEFT(Q$3,1)="F",Q7,
IF(LEFT(Q$3,2)="Q1",Q7+INDEX(7:7,0,MATCH("Q4-"&amp;RIGHT(Q$3,4)-1,$3:$3,0))+INDEX(7:7,0,MATCH("Q3-"&amp;RIGHT(Q$3,4)-1,$3:$3,0))+INDEX(7:7,0,MATCH("Q2-"&amp;RIGHT(Q$3,4)-1,$3:$3,0)),
IF(LEFT(Q$3,2)="Q2",Q7+INDEX(7:7,0,MATCH("Q4-"&amp;RIGHT(Q$3,4)-1,$3:$3,0))+INDEX(7:7,0,MATCH("Q3-"&amp;RIGHT(Q$3,4)-1,$3:$3,0))+INDEX(7:7,0,MATCH("Q1-"&amp;RIGHT(Q$3,4),$3:$3,0)),
IF(LEFT(Q$3,2)="Q3",Q7+INDEX(7:7,0,MATCH("Q4-"&amp;RIGHT(Q$3,4)-1,$3:$3,0))+INDEX(7:7,0,MATCH("Q2-"&amp;RIGHT(Q$3,4),$3:$3,0))+INDEX(7:7,0,MATCH("Q1-"&amp;RIGHT(Q$3,4),$3:$3,0)),
IF(LEFT(Q$3,2)="Q4",INDEX(7:7,0,MATCH("FY"&amp;RIGHT(Q$3,4),$3:$3,0))))))), "")</f>
        <v>14974</v>
      </c>
      <c r="R16" s="1225">
        <f>IFERROR(IF(LEFT(R$3,1)="F",R7,
IF(LEFT(R$3,2)="Q1",R7+INDEX(7:7,0,MATCH("Q4-"&amp;RIGHT(R$3,4)-1,$3:$3,0))+INDEX(7:7,0,MATCH("Q3-"&amp;RIGHT(R$3,4)-1,$3:$3,0))+INDEX(7:7,0,MATCH("Q2-"&amp;RIGHT(R$3,4)-1,$3:$3,0)),
IF(LEFT(R$3,2)="Q2",R7+INDEX(7:7,0,MATCH("Q4-"&amp;RIGHT(R$3,4)-1,$3:$3,0))+INDEX(7:7,0,MATCH("Q3-"&amp;RIGHT(R$3,4)-1,$3:$3,0))+INDEX(7:7,0,MATCH("Q1-"&amp;RIGHT(R$3,4),$3:$3,0)),
IF(LEFT(R$3,2)="Q3",R7+INDEX(7:7,0,MATCH("Q4-"&amp;RIGHT(R$3,4)-1,$3:$3,0))+INDEX(7:7,0,MATCH("Q2-"&amp;RIGHT(R$3,4),$3:$3,0))+INDEX(7:7,0,MATCH("Q1-"&amp;RIGHT(R$3,4),$3:$3,0)),
IF(LEFT(R$3,2)="Q4",INDEX(7:7,0,MATCH("FY"&amp;RIGHT(R$3,4),$3:$3,0))))))), "")</f>
        <v>15219</v>
      </c>
      <c r="S16" s="1225">
        <f>IFERROR(IF(LEFT(S$3,1)="F",S7,
IF(LEFT(S$3,2)="Q1",S7+INDEX(7:7,0,MATCH("Q4-"&amp;RIGHT(S$3,4)-1,$3:$3,0))+INDEX(7:7,0,MATCH("Q3-"&amp;RIGHT(S$3,4)-1,$3:$3,0))+INDEX(7:7,0,MATCH("Q2-"&amp;RIGHT(S$3,4)-1,$3:$3,0)),
IF(LEFT(S$3,2)="Q2",S7+INDEX(7:7,0,MATCH("Q4-"&amp;RIGHT(S$3,4)-1,$3:$3,0))+INDEX(7:7,0,MATCH("Q3-"&amp;RIGHT(S$3,4)-1,$3:$3,0))+INDEX(7:7,0,MATCH("Q1-"&amp;RIGHT(S$3,4),$3:$3,0)),
IF(LEFT(S$3,2)="Q3",S7+INDEX(7:7,0,MATCH("Q4-"&amp;RIGHT(S$3,4)-1,$3:$3,0))+INDEX(7:7,0,MATCH("Q2-"&amp;RIGHT(S$3,4),$3:$3,0))+INDEX(7:7,0,MATCH("Q1-"&amp;RIGHT(S$3,4),$3:$3,0)),
IF(LEFT(S$3,2)="Q4",INDEX(7:7,0,MATCH("FY"&amp;RIGHT(S$3,4),$3:$3,0))))))), "")</f>
        <v>15628.999999999998</v>
      </c>
      <c r="T16" s="1219">
        <f>IFERROR(IF(LEFT(T$3,1)="F",T7,
IF(LEFT(T$3,2)="Q1",T7+INDEX(7:7,0,MATCH("Q4-"&amp;RIGHT(T$3,4)-1,$3:$3,0))+INDEX(7:7,0,MATCH("Q3-"&amp;RIGHT(T$3,4)-1,$3:$3,0))+INDEX(7:7,0,MATCH("Q2-"&amp;RIGHT(T$3,4)-1,$3:$3,0)),
IF(LEFT(T$3,2)="Q2",T7+INDEX(7:7,0,MATCH("Q4-"&amp;RIGHT(T$3,4)-1,$3:$3,0))+INDEX(7:7,0,MATCH("Q3-"&amp;RIGHT(T$3,4)-1,$3:$3,0))+INDEX(7:7,0,MATCH("Q1-"&amp;RIGHT(T$3,4),$3:$3,0)),
IF(LEFT(T$3,2)="Q3",T7+INDEX(7:7,0,MATCH("Q4-"&amp;RIGHT(T$3,4)-1,$3:$3,0))+INDEX(7:7,0,MATCH("Q2-"&amp;RIGHT(T$3,4),$3:$3,0))+INDEX(7:7,0,MATCH("Q1-"&amp;RIGHT(T$3,4),$3:$3,0)),
IF(LEFT(T$3,2)="Q4",INDEX(7:7,0,MATCH("FY"&amp;RIGHT(T$3,4),$3:$3,0))))))), "")</f>
        <v>15628.999999999998</v>
      </c>
      <c r="U16" s="1225">
        <f>IFERROR(IF(LEFT(U$3,1)="F",U7,
IF(LEFT(U$3,2)="Q1",U7+INDEX(7:7,0,MATCH("Q4-"&amp;RIGHT(U$3,4)-1,$3:$3,0))+INDEX(7:7,0,MATCH("Q3-"&amp;RIGHT(U$3,4)-1,$3:$3,0))+INDEX(7:7,0,MATCH("Q2-"&amp;RIGHT(U$3,4)-1,$3:$3,0)),
IF(LEFT(U$3,2)="Q2",U7+INDEX(7:7,0,MATCH("Q4-"&amp;RIGHT(U$3,4)-1,$3:$3,0))+INDEX(7:7,0,MATCH("Q3-"&amp;RIGHT(U$3,4)-1,$3:$3,0))+INDEX(7:7,0,MATCH("Q1-"&amp;RIGHT(U$3,4),$3:$3,0)),
IF(LEFT(U$3,2)="Q3",U7+INDEX(7:7,0,MATCH("Q4-"&amp;RIGHT(U$3,4)-1,$3:$3,0))+INDEX(7:7,0,MATCH("Q2-"&amp;RIGHT(U$3,4),$3:$3,0))+INDEX(7:7,0,MATCH("Q1-"&amp;RIGHT(U$3,4),$3:$3,0)),
IF(LEFT(U$3,2)="Q4",INDEX(7:7,0,MATCH("FY"&amp;RIGHT(U$3,4),$3:$3,0))))))), "")</f>
        <v>15989</v>
      </c>
      <c r="V16" s="1225">
        <f>IFERROR(IF(LEFT(V$3,1)="F",V7,
IF(LEFT(V$3,2)="Q1",V7+INDEX(7:7,0,MATCH("Q4-"&amp;RIGHT(V$3,4)-1,$3:$3,0))+INDEX(7:7,0,MATCH("Q3-"&amp;RIGHT(V$3,4)-1,$3:$3,0))+INDEX(7:7,0,MATCH("Q2-"&amp;RIGHT(V$3,4)-1,$3:$3,0)),
IF(LEFT(V$3,2)="Q2",V7+INDEX(7:7,0,MATCH("Q4-"&amp;RIGHT(V$3,4)-1,$3:$3,0))+INDEX(7:7,0,MATCH("Q3-"&amp;RIGHT(V$3,4)-1,$3:$3,0))+INDEX(7:7,0,MATCH("Q1-"&amp;RIGHT(V$3,4),$3:$3,0)),
IF(LEFT(V$3,2)="Q3",V7+INDEX(7:7,0,MATCH("Q4-"&amp;RIGHT(V$3,4)-1,$3:$3,0))+INDEX(7:7,0,MATCH("Q2-"&amp;RIGHT(V$3,4),$3:$3,0))+INDEX(7:7,0,MATCH("Q1-"&amp;RIGHT(V$3,4),$3:$3,0)),
IF(LEFT(V$3,2)="Q4",INDEX(7:7,0,MATCH("FY"&amp;RIGHT(V$3,4),$3:$3,0))))))), "")</f>
        <v>16278.697404</v>
      </c>
      <c r="W16" s="1225">
        <f>IFERROR(IF(LEFT(W$3,1)="F",W7,
IF(LEFT(W$3,2)="Q1",W7+INDEX(7:7,0,MATCH("Q4-"&amp;RIGHT(W$3,4)-1,$3:$3,0))+INDEX(7:7,0,MATCH("Q3-"&amp;RIGHT(W$3,4)-1,$3:$3,0))+INDEX(7:7,0,MATCH("Q2-"&amp;RIGHT(W$3,4)-1,$3:$3,0)),
IF(LEFT(W$3,2)="Q2",W7+INDEX(7:7,0,MATCH("Q4-"&amp;RIGHT(W$3,4)-1,$3:$3,0))+INDEX(7:7,0,MATCH("Q3-"&amp;RIGHT(W$3,4)-1,$3:$3,0))+INDEX(7:7,0,MATCH("Q1-"&amp;RIGHT(W$3,4),$3:$3,0)),
IF(LEFT(W$3,2)="Q3",W7+INDEX(7:7,0,MATCH("Q4-"&amp;RIGHT(W$3,4)-1,$3:$3,0))+INDEX(7:7,0,MATCH("Q2-"&amp;RIGHT(W$3,4),$3:$3,0))+INDEX(7:7,0,MATCH("Q1-"&amp;RIGHT(W$3,4),$3:$3,0)),
IF(LEFT(W$3,2)="Q4",INDEX(7:7,0,MATCH("FY"&amp;RIGHT(W$3,4),$3:$3,0))))))), "")</f>
        <v>16505.527544000004</v>
      </c>
      <c r="X16" s="1225">
        <f>IFERROR(IF(LEFT(X$3,1)="F",X7,
IF(LEFT(X$3,2)="Q1",X7+INDEX(7:7,0,MATCH("Q4-"&amp;RIGHT(X$3,4)-1,$3:$3,0))+INDEX(7:7,0,MATCH("Q3-"&amp;RIGHT(X$3,4)-1,$3:$3,0))+INDEX(7:7,0,MATCH("Q2-"&amp;RIGHT(X$3,4)-1,$3:$3,0)),
IF(LEFT(X$3,2)="Q2",X7+INDEX(7:7,0,MATCH("Q4-"&amp;RIGHT(X$3,4)-1,$3:$3,0))+INDEX(7:7,0,MATCH("Q3-"&amp;RIGHT(X$3,4)-1,$3:$3,0))+INDEX(7:7,0,MATCH("Q1-"&amp;RIGHT(X$3,4),$3:$3,0)),
IF(LEFT(X$3,2)="Q3",X7+INDEX(7:7,0,MATCH("Q4-"&amp;RIGHT(X$3,4)-1,$3:$3,0))+INDEX(7:7,0,MATCH("Q2-"&amp;RIGHT(X$3,4),$3:$3,0))+INDEX(7:7,0,MATCH("Q1-"&amp;RIGHT(X$3,4),$3:$3,0)),
IF(LEFT(X$3,2)="Q4",INDEX(7:7,0,MATCH("FY"&amp;RIGHT(X$3,4),$3:$3,0))))))), "")</f>
        <v>16746.162851000005</v>
      </c>
      <c r="Y16" s="1219">
        <f>IFERROR(IF(LEFT(Y$3,1)="F",Y7,
IF(LEFT(Y$3,2)="Q1",Y7+INDEX(7:7,0,MATCH("Q4-"&amp;RIGHT(Y$3,4)-1,$3:$3,0))+INDEX(7:7,0,MATCH("Q3-"&amp;RIGHT(Y$3,4)-1,$3:$3,0))+INDEX(7:7,0,MATCH("Q2-"&amp;RIGHT(Y$3,4)-1,$3:$3,0)),
IF(LEFT(Y$3,2)="Q2",Y7+INDEX(7:7,0,MATCH("Q4-"&amp;RIGHT(Y$3,4)-1,$3:$3,0))+INDEX(7:7,0,MATCH("Q3-"&amp;RIGHT(Y$3,4)-1,$3:$3,0))+INDEX(7:7,0,MATCH("Q1-"&amp;RIGHT(Y$3,4),$3:$3,0)),
IF(LEFT(Y$3,2)="Q3",Y7+INDEX(7:7,0,MATCH("Q4-"&amp;RIGHT(Y$3,4)-1,$3:$3,0))+INDEX(7:7,0,MATCH("Q2-"&amp;RIGHT(Y$3,4),$3:$3,0))+INDEX(7:7,0,MATCH("Q1-"&amp;RIGHT(Y$3,4),$3:$3,0)),
IF(LEFT(Y$3,2)="Q4",INDEX(7:7,0,MATCH("FY"&amp;RIGHT(Y$3,4),$3:$3,0))))))), "")</f>
        <v>16746.162851000005</v>
      </c>
      <c r="Z16" s="1225">
        <f>IFERROR(IF(LEFT(Z$3,1)="F",Z7,
IF(LEFT(Z$3,2)="Q1",Z7+INDEX(7:7,0,MATCH("Q4-"&amp;RIGHT(Z$3,4)-1,$3:$3,0))+INDEX(7:7,0,MATCH("Q3-"&amp;RIGHT(Z$3,4)-1,$3:$3,0))+INDEX(7:7,0,MATCH("Q2-"&amp;RIGHT(Z$3,4)-1,$3:$3,0)),
IF(LEFT(Z$3,2)="Q2",Z7+INDEX(7:7,0,MATCH("Q4-"&amp;RIGHT(Z$3,4)-1,$3:$3,0))+INDEX(7:7,0,MATCH("Q3-"&amp;RIGHT(Z$3,4)-1,$3:$3,0))+INDEX(7:7,0,MATCH("Q1-"&amp;RIGHT(Z$3,4),$3:$3,0)),
IF(LEFT(Z$3,2)="Q3",Z7+INDEX(7:7,0,MATCH("Q4-"&amp;RIGHT(Z$3,4)-1,$3:$3,0))+INDEX(7:7,0,MATCH("Q2-"&amp;RIGHT(Z$3,4),$3:$3,0))+INDEX(7:7,0,MATCH("Q1-"&amp;RIGHT(Z$3,4),$3:$3,0)),
IF(LEFT(Z$3,2)="Q4",INDEX(7:7,0,MATCH("FY"&amp;RIGHT(Z$3,4),$3:$3,0))))))), "")</f>
        <v>17172.438592500006</v>
      </c>
      <c r="AA16" s="1225">
        <f>IFERROR(IF(LEFT(AA$3,1)="F",AA7,
IF(LEFT(AA$3,2)="Q1",AA7+INDEX(7:7,0,MATCH("Q4-"&amp;RIGHT(AA$3,4)-1,$3:$3,0))+INDEX(7:7,0,MATCH("Q3-"&amp;RIGHT(AA$3,4)-1,$3:$3,0))+INDEX(7:7,0,MATCH("Q2-"&amp;RIGHT(AA$3,4)-1,$3:$3,0)),
IF(LEFT(AA$3,2)="Q2",AA7+INDEX(7:7,0,MATCH("Q4-"&amp;RIGHT(AA$3,4)-1,$3:$3,0))+INDEX(7:7,0,MATCH("Q3-"&amp;RIGHT(AA$3,4)-1,$3:$3,0))+INDEX(7:7,0,MATCH("Q1-"&amp;RIGHT(AA$3,4),$3:$3,0)),
IF(LEFT(AA$3,2)="Q3",AA7+INDEX(7:7,0,MATCH("Q4-"&amp;RIGHT(AA$3,4)-1,$3:$3,0))+INDEX(7:7,0,MATCH("Q2-"&amp;RIGHT(AA$3,4),$3:$3,0))+INDEX(7:7,0,MATCH("Q1-"&amp;RIGHT(AA$3,4),$3:$3,0)),
IF(LEFT(AA$3,2)="Q4",INDEX(7:7,0,MATCH("FY"&amp;RIGHT(AA$3,4),$3:$3,0))))))), "")</f>
        <v>17575.041769085004</v>
      </c>
      <c r="AB16" s="1225">
        <f>IFERROR(IF(LEFT(AB$3,1)="F",AB7,
IF(LEFT(AB$3,2)="Q1",AB7+INDEX(7:7,0,MATCH("Q4-"&amp;RIGHT(AB$3,4)-1,$3:$3,0))+INDEX(7:7,0,MATCH("Q3-"&amp;RIGHT(AB$3,4)-1,$3:$3,0))+INDEX(7:7,0,MATCH("Q2-"&amp;RIGHT(AB$3,4)-1,$3:$3,0)),
IF(LEFT(AB$3,2)="Q2",AB7+INDEX(7:7,0,MATCH("Q4-"&amp;RIGHT(AB$3,4)-1,$3:$3,0))+INDEX(7:7,0,MATCH("Q3-"&amp;RIGHT(AB$3,4)-1,$3:$3,0))+INDEX(7:7,0,MATCH("Q1-"&amp;RIGHT(AB$3,4),$3:$3,0)),
IF(LEFT(AB$3,2)="Q3",AB7+INDEX(7:7,0,MATCH("Q4-"&amp;RIGHT(AB$3,4)-1,$3:$3,0))+INDEX(7:7,0,MATCH("Q2-"&amp;RIGHT(AB$3,4),$3:$3,0))+INDEX(7:7,0,MATCH("Q1-"&amp;RIGHT(AB$3,4),$3:$3,0)),
IF(LEFT(AB$3,2)="Q4",INDEX(7:7,0,MATCH("FY"&amp;RIGHT(AB$3,4),$3:$3,0))))))), "")</f>
        <v>17795.468579245</v>
      </c>
      <c r="AC16" s="1225">
        <f>IFERROR(IF(LEFT(AC$3,1)="F",AC7,
IF(LEFT(AC$3,2)="Q1",AC7+INDEX(7:7,0,MATCH("Q4-"&amp;RIGHT(AC$3,4)-1,$3:$3,0))+INDEX(7:7,0,MATCH("Q3-"&amp;RIGHT(AC$3,4)-1,$3:$3,0))+INDEX(7:7,0,MATCH("Q2-"&amp;RIGHT(AC$3,4)-1,$3:$3,0)),
IF(LEFT(AC$3,2)="Q2",AC7+INDEX(7:7,0,MATCH("Q4-"&amp;RIGHT(AC$3,4)-1,$3:$3,0))+INDEX(7:7,0,MATCH("Q3-"&amp;RIGHT(AC$3,4)-1,$3:$3,0))+INDEX(7:7,0,MATCH("Q1-"&amp;RIGHT(AC$3,4),$3:$3,0)),
IF(LEFT(AC$3,2)="Q3",AC7+INDEX(7:7,0,MATCH("Q4-"&amp;RIGHT(AC$3,4)-1,$3:$3,0))+INDEX(7:7,0,MATCH("Q2-"&amp;RIGHT(AC$3,4),$3:$3,0))+INDEX(7:7,0,MATCH("Q1-"&amp;RIGHT(AC$3,4),$3:$3,0)),
IF(LEFT(AC$3,2)="Q4",INDEX(7:7,0,MATCH("FY"&amp;RIGHT(AC$3,4),$3:$3,0))))))), "")</f>
        <v>18140.717850754998</v>
      </c>
      <c r="AD16" s="1219">
        <f>IFERROR(IF(LEFT(AD$3,1)="F",AD7,
IF(LEFT(AD$3,2)="Q1",AD7+INDEX(7:7,0,MATCH("Q4-"&amp;RIGHT(AD$3,4)-1,$3:$3,0))+INDEX(7:7,0,MATCH("Q3-"&amp;RIGHT(AD$3,4)-1,$3:$3,0))+INDEX(7:7,0,MATCH("Q2-"&amp;RIGHT(AD$3,4)-1,$3:$3,0)),
IF(LEFT(AD$3,2)="Q2",AD7+INDEX(7:7,0,MATCH("Q4-"&amp;RIGHT(AD$3,4)-1,$3:$3,0))+INDEX(7:7,0,MATCH("Q3-"&amp;RIGHT(AD$3,4)-1,$3:$3,0))+INDEX(7:7,0,MATCH("Q1-"&amp;RIGHT(AD$3,4),$3:$3,0)),
IF(LEFT(AD$3,2)="Q3",AD7+INDEX(7:7,0,MATCH("Q4-"&amp;RIGHT(AD$3,4)-1,$3:$3,0))+INDEX(7:7,0,MATCH("Q2-"&amp;RIGHT(AD$3,4),$3:$3,0))+INDEX(7:7,0,MATCH("Q1-"&amp;RIGHT(AD$3,4),$3:$3,0)),
IF(LEFT(AD$3,2)="Q4",INDEX(7:7,0,MATCH("FY"&amp;RIGHT(AD$3,4),$3:$3,0))))))), "")</f>
        <v>18140.717850754998</v>
      </c>
      <c r="AE16" s="1219">
        <f>IFERROR(IF(LEFT(AE$3,1)="F",AE7,
IF(LEFT(AE$3,2)="Q1",AE7+INDEX(7:7,0,MATCH("Q4-"&amp;RIGHT(AE$3,4)-1,$3:$3,0))+INDEX(7:7,0,MATCH("Q3-"&amp;RIGHT(AE$3,4)-1,$3:$3,0))+INDEX(7:7,0,MATCH("Q2-"&amp;RIGHT(AE$3,4)-1,$3:$3,0)),
IF(LEFT(AE$3,2)="Q2",AE7+INDEX(7:7,0,MATCH("Q4-"&amp;RIGHT(AE$3,4)-1,$3:$3,0))+INDEX(7:7,0,MATCH("Q3-"&amp;RIGHT(AE$3,4)-1,$3:$3,0))+INDEX(7:7,0,MATCH("Q1-"&amp;RIGHT(AE$3,4),$3:$3,0)),
IF(LEFT(AE$3,2)="Q3",AE7+INDEX(7:7,0,MATCH("Q4-"&amp;RIGHT(AE$3,4)-1,$3:$3,0))+INDEX(7:7,0,MATCH("Q2-"&amp;RIGHT(AE$3,4),$3:$3,0))+INDEX(7:7,0,MATCH("Q1-"&amp;RIGHT(AE$3,4),$3:$3,0)),
IF(LEFT(AE$3,2)="Q4",INDEX(7:7,0,MATCH("FY"&amp;RIGHT(AE$3,4),$3:$3,0))))))), "")</f>
        <v>19534.527379081272</v>
      </c>
      <c r="AF16" s="1219">
        <f>IFERROR(IF(LEFT(AF$3,1)="F",AF7,
IF(LEFT(AF$3,2)="Q1",AF7+INDEX(7:7,0,MATCH("Q4-"&amp;RIGHT(AF$3,4)-1,$3:$3,0))+INDEX(7:7,0,MATCH("Q3-"&amp;RIGHT(AF$3,4)-1,$3:$3,0))+INDEX(7:7,0,MATCH("Q2-"&amp;RIGHT(AF$3,4)-1,$3:$3,0)),
IF(LEFT(AF$3,2)="Q2",AF7+INDEX(7:7,0,MATCH("Q4-"&amp;RIGHT(AF$3,4)-1,$3:$3,0))+INDEX(7:7,0,MATCH("Q3-"&amp;RIGHT(AF$3,4)-1,$3:$3,0))+INDEX(7:7,0,MATCH("Q1-"&amp;RIGHT(AF$3,4),$3:$3,0)),
IF(LEFT(AF$3,2)="Q3",AF7+INDEX(7:7,0,MATCH("Q4-"&amp;RIGHT(AF$3,4)-1,$3:$3,0))+INDEX(7:7,0,MATCH("Q2-"&amp;RIGHT(AF$3,4),$3:$3,0))+INDEX(7:7,0,MATCH("Q1-"&amp;RIGHT(AF$3,4),$3:$3,0)),
IF(LEFT(AF$3,2)="Q4",INDEX(7:7,0,MATCH("FY"&amp;RIGHT(AF$3,4),$3:$3,0))))))), "")</f>
        <v>21036.238132030718</v>
      </c>
      <c r="AG16" s="1221">
        <f>IFERROR(IF(LEFT(AG$3,1)="F",AG7,
IF(LEFT(AG$3,2)="Q1",AG7+INDEX(7:7,0,MATCH("Q4-"&amp;RIGHT(AG$3,4)-1,$3:$3,0))+INDEX(7:7,0,MATCH("Q3-"&amp;RIGHT(AG$3,4)-1,$3:$3,0))+INDEX(7:7,0,MATCH("Q2-"&amp;RIGHT(AG$3,4)-1,$3:$3,0)),
IF(LEFT(AG$3,2)="Q2",AG7+INDEX(7:7,0,MATCH("Q4-"&amp;RIGHT(AG$3,4)-1,$3:$3,0))+INDEX(7:7,0,MATCH("Q3-"&amp;RIGHT(AG$3,4)-1,$3:$3,0))+INDEX(7:7,0,MATCH("Q1-"&amp;RIGHT(AG$3,4),$3:$3,0)),
IF(LEFT(AG$3,2)="Q3",AG7+INDEX(7:7,0,MATCH("Q4-"&amp;RIGHT(AG$3,4)-1,$3:$3,0))+INDEX(7:7,0,MATCH("Q2-"&amp;RIGHT(AG$3,4),$3:$3,0))+INDEX(7:7,0,MATCH("Q1-"&amp;RIGHT(AG$3,4),$3:$3,0)),
IF(LEFT(AG$3,2)="Q4",INDEX(7:7,0,MATCH("FY"&amp;RIGHT(AG$3,4),$3:$3,0))))))), "")</f>
        <v>22654.234850935929</v>
      </c>
    </row>
    <row r="17" spans="1:34" s="1222" customFormat="1" ht="14.25" customHeight="1" outlineLevel="1" x14ac:dyDescent="0.35">
      <c r="A17" s="1216" t="str">
        <f>"LTM "&amp;A8</f>
        <v>LTM Adjusted EBITDA</v>
      </c>
      <c r="B17" s="1217"/>
      <c r="C17" s="1218"/>
      <c r="D17" s="1219">
        <f>IFERROR(IF(LEFT(D$3,1)="F",D8,
IF(LEFT(D$3,2)="Q1",D8+INDEX(8:8,0,MATCH("Q4-"&amp;RIGHT(D$3,4)-1,$3:$3,0))+INDEX(8:8,0,MATCH("Q3-"&amp;RIGHT(D$3,4)-1,$3:$3,0))+INDEX(8:8,0,MATCH("Q2-"&amp;RIGHT(D$3,4)-1,$3:$3,0)),
IF(LEFT(D$3,2)="Q2",D8+INDEX(8:8,0,MATCH("Q4-"&amp;RIGHT(D$3,4)-1,$3:$3,0))+INDEX(8:8,0,MATCH("Q3-"&amp;RIGHT(D$3,4)-1,$3:$3,0))+INDEX(8:8,0,MATCH("Q1-"&amp;RIGHT(D$3,4),$3:$3,0)),
IF(LEFT(D$3,2)="Q3",D8+INDEX(8:8,0,MATCH("Q4-"&amp;RIGHT(D$3,4)-1,$3:$3,0))+INDEX(8:8,0,MATCH("Q2-"&amp;RIGHT(D$3,4),$3:$3,0))+INDEX(8:8,0,MATCH("Q1-"&amp;RIGHT(D$3,4),$3:$3,0)),
IF(LEFT(D$3,2)="Q4",INDEX(8:8,0,MATCH("FY"&amp;RIGHT(D$3,4),$3:$3,0))))))), "")</f>
        <v>8697</v>
      </c>
      <c r="E17" s="1219">
        <f>IFERROR(IF(LEFT(E$3,1)="F",E8,
IF(LEFT(E$3,2)="Q1",E8+INDEX(8:8,0,MATCH("Q4-"&amp;RIGHT(E$3,4)-1,$3:$3,0))+INDEX(8:8,0,MATCH("Q3-"&amp;RIGHT(E$3,4)-1,$3:$3,0))+INDEX(8:8,0,MATCH("Q2-"&amp;RIGHT(E$3,4)-1,$3:$3,0)),
IF(LEFT(E$3,2)="Q2",E8+INDEX(8:8,0,MATCH("Q4-"&amp;RIGHT(E$3,4)-1,$3:$3,0))+INDEX(8:8,0,MATCH("Q3-"&amp;RIGHT(E$3,4)-1,$3:$3,0))+INDEX(8:8,0,MATCH("Q1-"&amp;RIGHT(E$3,4),$3:$3,0)),
IF(LEFT(E$3,2)="Q3",E8+INDEX(8:8,0,MATCH("Q4-"&amp;RIGHT(E$3,4)-1,$3:$3,0))+INDEX(8:8,0,MATCH("Q2-"&amp;RIGHT(E$3,4),$3:$3,0))+INDEX(8:8,0,MATCH("Q1-"&amp;RIGHT(E$3,4),$3:$3,0)),
IF(LEFT(E$3,2)="Q4",INDEX(8:8,0,MATCH("FY"&amp;RIGHT(E$3,4),$3:$3,0))))))), "")</f>
        <v>9236</v>
      </c>
      <c r="F17" s="1225" t="str">
        <f>IFERROR(IF(LEFT(F$3,1)="F",F8,
IF(LEFT(F$3,2)="Q1",F8+INDEX(8:8,0,MATCH("Q4-"&amp;RIGHT(F$3,4)-1,$3:$3,0))+INDEX(8:8,0,MATCH("Q3-"&amp;RIGHT(F$3,4)-1,$3:$3,0))+INDEX(8:8,0,MATCH("Q2-"&amp;RIGHT(F$3,4)-1,$3:$3,0)),
IF(LEFT(F$3,2)="Q2",F8+INDEX(8:8,0,MATCH("Q4-"&amp;RIGHT(F$3,4)-1,$3:$3,0))+INDEX(8:8,0,MATCH("Q3-"&amp;RIGHT(F$3,4)-1,$3:$3,0))+INDEX(8:8,0,MATCH("Q1-"&amp;RIGHT(F$3,4),$3:$3,0)),
IF(LEFT(F$3,2)="Q3",F8+INDEX(8:8,0,MATCH("Q4-"&amp;RIGHT(F$3,4)-1,$3:$3,0))+INDEX(8:8,0,MATCH("Q2-"&amp;RIGHT(F$3,4),$3:$3,0))+INDEX(8:8,0,MATCH("Q1-"&amp;RIGHT(F$3,4),$3:$3,0)),
IF(LEFT(F$3,2)="Q4",INDEX(8:8,0,MATCH("FY"&amp;RIGHT(F$3,4),$3:$3,0))))))), "")</f>
        <v/>
      </c>
      <c r="G17" s="1225" t="str">
        <f>IFERROR(IF(LEFT(G$3,1)="F",G8,
IF(LEFT(G$3,2)="Q1",G8+INDEX(8:8,0,MATCH("Q4-"&amp;RIGHT(G$3,4)-1,$3:$3,0))+INDEX(8:8,0,MATCH("Q3-"&amp;RIGHT(G$3,4)-1,$3:$3,0))+INDEX(8:8,0,MATCH("Q2-"&amp;RIGHT(G$3,4)-1,$3:$3,0)),
IF(LEFT(G$3,2)="Q2",G8+INDEX(8:8,0,MATCH("Q4-"&amp;RIGHT(G$3,4)-1,$3:$3,0))+INDEX(8:8,0,MATCH("Q3-"&amp;RIGHT(G$3,4)-1,$3:$3,0))+INDEX(8:8,0,MATCH("Q1-"&amp;RIGHT(G$3,4),$3:$3,0)),
IF(LEFT(G$3,2)="Q3",G8+INDEX(8:8,0,MATCH("Q4-"&amp;RIGHT(G$3,4)-1,$3:$3,0))+INDEX(8:8,0,MATCH("Q2-"&amp;RIGHT(G$3,4),$3:$3,0))+INDEX(8:8,0,MATCH("Q1-"&amp;RIGHT(G$3,4),$3:$3,0)),
IF(LEFT(G$3,2)="Q4",INDEX(8:8,0,MATCH("FY"&amp;RIGHT(G$3,4),$3:$3,0))))))), "")</f>
        <v/>
      </c>
      <c r="H17" s="1225" t="str">
        <f>IFERROR(IF(LEFT(H$3,1)="F",H8,
IF(LEFT(H$3,2)="Q1",H8+INDEX(8:8,0,MATCH("Q4-"&amp;RIGHT(H$3,4)-1,$3:$3,0))+INDEX(8:8,0,MATCH("Q3-"&amp;RIGHT(H$3,4)-1,$3:$3,0))+INDEX(8:8,0,MATCH("Q2-"&amp;RIGHT(H$3,4)-1,$3:$3,0)),
IF(LEFT(H$3,2)="Q2",H8+INDEX(8:8,0,MATCH("Q4-"&amp;RIGHT(H$3,4)-1,$3:$3,0))+INDEX(8:8,0,MATCH("Q3-"&amp;RIGHT(H$3,4)-1,$3:$3,0))+INDEX(8:8,0,MATCH("Q1-"&amp;RIGHT(H$3,4),$3:$3,0)),
IF(LEFT(H$3,2)="Q3",H8+INDEX(8:8,0,MATCH("Q4-"&amp;RIGHT(H$3,4)-1,$3:$3,0))+INDEX(8:8,0,MATCH("Q2-"&amp;RIGHT(H$3,4),$3:$3,0))+INDEX(8:8,0,MATCH("Q1-"&amp;RIGHT(H$3,4),$3:$3,0)),
IF(LEFT(H$3,2)="Q4",INDEX(8:8,0,MATCH("FY"&amp;RIGHT(H$3,4),$3:$3,0))))))), "")</f>
        <v/>
      </c>
      <c r="I17" s="1225">
        <f>IFERROR(IF(LEFT(I$3,1)="F",I8,
IF(LEFT(I$3,2)="Q1",I8+INDEX(8:8,0,MATCH("Q4-"&amp;RIGHT(I$3,4)-1,$3:$3,0))+INDEX(8:8,0,MATCH("Q3-"&amp;RIGHT(I$3,4)-1,$3:$3,0))+INDEX(8:8,0,MATCH("Q2-"&amp;RIGHT(I$3,4)-1,$3:$3,0)),
IF(LEFT(I$3,2)="Q2",I8+INDEX(8:8,0,MATCH("Q4-"&amp;RIGHT(I$3,4)-1,$3:$3,0))+INDEX(8:8,0,MATCH("Q3-"&amp;RIGHT(I$3,4)-1,$3:$3,0))+INDEX(8:8,0,MATCH("Q1-"&amp;RIGHT(I$3,4),$3:$3,0)),
IF(LEFT(I$3,2)="Q3",I8+INDEX(8:8,0,MATCH("Q4-"&amp;RIGHT(I$3,4)-1,$3:$3,0))+INDEX(8:8,0,MATCH("Q2-"&amp;RIGHT(I$3,4),$3:$3,0))+INDEX(8:8,0,MATCH("Q1-"&amp;RIGHT(I$3,4),$3:$3,0)),
IF(LEFT(I$3,2)="Q4",INDEX(8:8,0,MATCH("FY"&amp;RIGHT(I$3,4),$3:$3,0))))))), "")</f>
        <v>9592</v>
      </c>
      <c r="J17" s="1219">
        <f>IFERROR(IF(LEFT(J$3,1)="F",J8,
IF(LEFT(J$3,2)="Q1",J8+INDEX(8:8,0,MATCH("Q4-"&amp;RIGHT(J$3,4)-1,$3:$3,0))+INDEX(8:8,0,MATCH("Q3-"&amp;RIGHT(J$3,4)-1,$3:$3,0))+INDEX(8:8,0,MATCH("Q2-"&amp;RIGHT(J$3,4)-1,$3:$3,0)),
IF(LEFT(J$3,2)="Q2",J8+INDEX(8:8,0,MATCH("Q4-"&amp;RIGHT(J$3,4)-1,$3:$3,0))+INDEX(8:8,0,MATCH("Q3-"&amp;RIGHT(J$3,4)-1,$3:$3,0))+INDEX(8:8,0,MATCH("Q1-"&amp;RIGHT(J$3,4),$3:$3,0)),
IF(LEFT(J$3,2)="Q3",J8+INDEX(8:8,0,MATCH("Q4-"&amp;RIGHT(J$3,4)-1,$3:$3,0))+INDEX(8:8,0,MATCH("Q2-"&amp;RIGHT(J$3,4),$3:$3,0))+INDEX(8:8,0,MATCH("Q1-"&amp;RIGHT(J$3,4),$3:$3,0)),
IF(LEFT(J$3,2)="Q4",INDEX(8:8,0,MATCH("FY"&amp;RIGHT(J$3,4),$3:$3,0))))))), "")</f>
        <v>9592</v>
      </c>
      <c r="K17" s="1225">
        <f>IFERROR(IF(LEFT(K$3,1)="F",K8,
IF(LEFT(K$3,2)="Q1",K8+INDEX(8:8,0,MATCH("Q4-"&amp;RIGHT(K$3,4)-1,$3:$3,0))+INDEX(8:8,0,MATCH("Q3-"&amp;RIGHT(K$3,4)-1,$3:$3,0))+INDEX(8:8,0,MATCH("Q2-"&amp;RIGHT(K$3,4)-1,$3:$3,0)),
IF(LEFT(K$3,2)="Q2",K8+INDEX(8:8,0,MATCH("Q4-"&amp;RIGHT(K$3,4)-1,$3:$3,0))+INDEX(8:8,0,MATCH("Q3-"&amp;RIGHT(K$3,4)-1,$3:$3,0))+INDEX(8:8,0,MATCH("Q1-"&amp;RIGHT(K$3,4),$3:$3,0)),
IF(LEFT(K$3,2)="Q3",K8+INDEX(8:8,0,MATCH("Q4-"&amp;RIGHT(K$3,4)-1,$3:$3,0))+INDEX(8:8,0,MATCH("Q2-"&amp;RIGHT(K$3,4),$3:$3,0))+INDEX(8:8,0,MATCH("Q1-"&amp;RIGHT(K$3,4),$3:$3,0)),
IF(LEFT(K$3,2)="Q4",INDEX(8:8,0,MATCH("FY"&amp;RIGHT(K$3,4),$3:$3,0))))))), "")</f>
        <v>9357</v>
      </c>
      <c r="L17" s="1225">
        <f>IFERROR(IF(LEFT(L$3,1)="F",L8,
IF(LEFT(L$3,2)="Q1",L8+INDEX(8:8,0,MATCH("Q4-"&amp;RIGHT(L$3,4)-1,$3:$3,0))+INDEX(8:8,0,MATCH("Q3-"&amp;RIGHT(L$3,4)-1,$3:$3,0))+INDEX(8:8,0,MATCH("Q2-"&amp;RIGHT(L$3,4)-1,$3:$3,0)),
IF(LEFT(L$3,2)="Q2",L8+INDEX(8:8,0,MATCH("Q4-"&amp;RIGHT(L$3,4)-1,$3:$3,0))+INDEX(8:8,0,MATCH("Q3-"&amp;RIGHT(L$3,4)-1,$3:$3,0))+INDEX(8:8,0,MATCH("Q1-"&amp;RIGHT(L$3,4),$3:$3,0)),
IF(LEFT(L$3,2)="Q3",L8+INDEX(8:8,0,MATCH("Q4-"&amp;RIGHT(L$3,4)-1,$3:$3,0))+INDEX(8:8,0,MATCH("Q2-"&amp;RIGHT(L$3,4),$3:$3,0))+INDEX(8:8,0,MATCH("Q1-"&amp;RIGHT(L$3,4),$3:$3,0)),
IF(LEFT(L$3,2)="Q4",INDEX(8:8,0,MATCH("FY"&amp;RIGHT(L$3,4),$3:$3,0))))))), "")</f>
        <v>8654</v>
      </c>
      <c r="M17" s="1225">
        <f>IFERROR(IF(LEFT(M$3,1)="F",M8,
IF(LEFT(M$3,2)="Q1",M8+INDEX(8:8,0,MATCH("Q4-"&amp;RIGHT(M$3,4)-1,$3:$3,0))+INDEX(8:8,0,MATCH("Q3-"&amp;RIGHT(M$3,4)-1,$3:$3,0))+INDEX(8:8,0,MATCH("Q2-"&amp;RIGHT(M$3,4)-1,$3:$3,0)),
IF(LEFT(M$3,2)="Q2",M8+INDEX(8:8,0,MATCH("Q4-"&amp;RIGHT(M$3,4)-1,$3:$3,0))+INDEX(8:8,0,MATCH("Q3-"&amp;RIGHT(M$3,4)-1,$3:$3,0))+INDEX(8:8,0,MATCH("Q1-"&amp;RIGHT(M$3,4),$3:$3,0)),
IF(LEFT(M$3,2)="Q3",M8+INDEX(8:8,0,MATCH("Q4-"&amp;RIGHT(M$3,4)-1,$3:$3,0))+INDEX(8:8,0,MATCH("Q2-"&amp;RIGHT(M$3,4),$3:$3,0))+INDEX(8:8,0,MATCH("Q1-"&amp;RIGHT(M$3,4),$3:$3,0)),
IF(LEFT(M$3,2)="Q4",INDEX(8:8,0,MATCH("FY"&amp;RIGHT(M$3,4),$3:$3,0))))))), "")</f>
        <v>8567</v>
      </c>
      <c r="N17" s="1225">
        <f>IFERROR(IF(LEFT(N$3,1)="F",N8,
IF(LEFT(N$3,2)="Q1",N8+INDEX(8:8,0,MATCH("Q4-"&amp;RIGHT(N$3,4)-1,$3:$3,0))+INDEX(8:8,0,MATCH("Q3-"&amp;RIGHT(N$3,4)-1,$3:$3,0))+INDEX(8:8,0,MATCH("Q2-"&amp;RIGHT(N$3,4)-1,$3:$3,0)),
IF(LEFT(N$3,2)="Q2",N8+INDEX(8:8,0,MATCH("Q4-"&amp;RIGHT(N$3,4)-1,$3:$3,0))+INDEX(8:8,0,MATCH("Q3-"&amp;RIGHT(N$3,4)-1,$3:$3,0))+INDEX(8:8,0,MATCH("Q1-"&amp;RIGHT(N$3,4),$3:$3,0)),
IF(LEFT(N$3,2)="Q3",N8+INDEX(8:8,0,MATCH("Q4-"&amp;RIGHT(N$3,4)-1,$3:$3,0))+INDEX(8:8,0,MATCH("Q2-"&amp;RIGHT(N$3,4),$3:$3,0))+INDEX(8:8,0,MATCH("Q1-"&amp;RIGHT(N$3,4),$3:$3,0)),
IF(LEFT(N$3,2)="Q4",INDEX(8:8,0,MATCH("FY"&amp;RIGHT(N$3,4),$3:$3,0))))))), "")</f>
        <v>8415</v>
      </c>
      <c r="O17" s="1219">
        <f>IFERROR(IF(LEFT(O$3,1)="F",O8,
IF(LEFT(O$3,2)="Q1",O8+INDEX(8:8,0,MATCH("Q4-"&amp;RIGHT(O$3,4)-1,$3:$3,0))+INDEX(8:8,0,MATCH("Q3-"&amp;RIGHT(O$3,4)-1,$3:$3,0))+INDEX(8:8,0,MATCH("Q2-"&amp;RIGHT(O$3,4)-1,$3:$3,0)),
IF(LEFT(O$3,2)="Q2",O8+INDEX(8:8,0,MATCH("Q4-"&amp;RIGHT(O$3,4)-1,$3:$3,0))+INDEX(8:8,0,MATCH("Q3-"&amp;RIGHT(O$3,4)-1,$3:$3,0))+INDEX(8:8,0,MATCH("Q1-"&amp;RIGHT(O$3,4),$3:$3,0)),
IF(LEFT(O$3,2)="Q3",O8+INDEX(8:8,0,MATCH("Q4-"&amp;RIGHT(O$3,4)-1,$3:$3,0))+INDEX(8:8,0,MATCH("Q2-"&amp;RIGHT(O$3,4),$3:$3,0))+INDEX(8:8,0,MATCH("Q1-"&amp;RIGHT(O$3,4),$3:$3,0)),
IF(LEFT(O$3,2)="Q4",INDEX(8:8,0,MATCH("FY"&amp;RIGHT(O$3,4),$3:$3,0))))))), "")</f>
        <v>8415</v>
      </c>
      <c r="P17" s="1225">
        <f>IFERROR(IF(LEFT(P$3,1)="F",P8,
IF(LEFT(P$3,2)="Q1",P8+INDEX(8:8,0,MATCH("Q4-"&amp;RIGHT(P$3,4)-1,$3:$3,0))+INDEX(8:8,0,MATCH("Q3-"&amp;RIGHT(P$3,4)-1,$3:$3,0))+INDEX(8:8,0,MATCH("Q2-"&amp;RIGHT(P$3,4)-1,$3:$3,0)),
IF(LEFT(P$3,2)="Q2",P8+INDEX(8:8,0,MATCH("Q4-"&amp;RIGHT(P$3,4)-1,$3:$3,0))+INDEX(8:8,0,MATCH("Q3-"&amp;RIGHT(P$3,4)-1,$3:$3,0))+INDEX(8:8,0,MATCH("Q1-"&amp;RIGHT(P$3,4),$3:$3,0)),
IF(LEFT(P$3,2)="Q3",P8+INDEX(8:8,0,MATCH("Q4-"&amp;RIGHT(P$3,4)-1,$3:$3,0))+INDEX(8:8,0,MATCH("Q2-"&amp;RIGHT(P$3,4),$3:$3,0))+INDEX(8:8,0,MATCH("Q1-"&amp;RIGHT(P$3,4),$3:$3,0)),
IF(LEFT(P$3,2)="Q4",INDEX(8:8,0,MATCH("FY"&amp;RIGHT(P$3,4),$3:$3,0))))))), "")</f>
        <v>8482</v>
      </c>
      <c r="Q17" s="1225">
        <f>IFERROR(IF(LEFT(Q$3,1)="F",Q8,
IF(LEFT(Q$3,2)="Q1",Q8+INDEX(8:8,0,MATCH("Q4-"&amp;RIGHT(Q$3,4)-1,$3:$3,0))+INDEX(8:8,0,MATCH("Q3-"&amp;RIGHT(Q$3,4)-1,$3:$3,0))+INDEX(8:8,0,MATCH("Q2-"&amp;RIGHT(Q$3,4)-1,$3:$3,0)),
IF(LEFT(Q$3,2)="Q2",Q8+INDEX(8:8,0,MATCH("Q4-"&amp;RIGHT(Q$3,4)-1,$3:$3,0))+INDEX(8:8,0,MATCH("Q3-"&amp;RIGHT(Q$3,4)-1,$3:$3,0))+INDEX(8:8,0,MATCH("Q1-"&amp;RIGHT(Q$3,4),$3:$3,0)),
IF(LEFT(Q$3,2)="Q3",Q8+INDEX(8:8,0,MATCH("Q4-"&amp;RIGHT(Q$3,4)-1,$3:$3,0))+INDEX(8:8,0,MATCH("Q2-"&amp;RIGHT(Q$3,4),$3:$3,0))+INDEX(8:8,0,MATCH("Q1-"&amp;RIGHT(Q$3,4),$3:$3,0)),
IF(LEFT(Q$3,2)="Q4",INDEX(8:8,0,MATCH("FY"&amp;RIGHT(Q$3,4),$3:$3,0))))))), "")</f>
        <v>8304</v>
      </c>
      <c r="R17" s="1225">
        <f>IFERROR(IF(LEFT(R$3,1)="F",R8,
IF(LEFT(R$3,2)="Q1",R8+INDEX(8:8,0,MATCH("Q4-"&amp;RIGHT(R$3,4)-1,$3:$3,0))+INDEX(8:8,0,MATCH("Q3-"&amp;RIGHT(R$3,4)-1,$3:$3,0))+INDEX(8:8,0,MATCH("Q2-"&amp;RIGHT(R$3,4)-1,$3:$3,0)),
IF(LEFT(R$3,2)="Q2",R8+INDEX(8:8,0,MATCH("Q4-"&amp;RIGHT(R$3,4)-1,$3:$3,0))+INDEX(8:8,0,MATCH("Q3-"&amp;RIGHT(R$3,4)-1,$3:$3,0))+INDEX(8:8,0,MATCH("Q1-"&amp;RIGHT(R$3,4),$3:$3,0)),
IF(LEFT(R$3,2)="Q3",R8+INDEX(8:8,0,MATCH("Q4-"&amp;RIGHT(R$3,4)-1,$3:$3,0))+INDEX(8:8,0,MATCH("Q2-"&amp;RIGHT(R$3,4),$3:$3,0))+INDEX(8:8,0,MATCH("Q1-"&amp;RIGHT(R$3,4),$3:$3,0)),
IF(LEFT(R$3,2)="Q4",INDEX(8:8,0,MATCH("FY"&amp;RIGHT(R$3,4),$3:$3,0))))))), "")</f>
        <v>8410</v>
      </c>
      <c r="S17" s="1225">
        <f>IFERROR(IF(LEFT(S$3,1)="F",S8,
IF(LEFT(S$3,2)="Q1",S8+INDEX(8:8,0,MATCH("Q4-"&amp;RIGHT(S$3,4)-1,$3:$3,0))+INDEX(8:8,0,MATCH("Q3-"&amp;RIGHT(S$3,4)-1,$3:$3,0))+INDEX(8:8,0,MATCH("Q2-"&amp;RIGHT(S$3,4)-1,$3:$3,0)),
IF(LEFT(S$3,2)="Q2",S8+INDEX(8:8,0,MATCH("Q4-"&amp;RIGHT(S$3,4)-1,$3:$3,0))+INDEX(8:8,0,MATCH("Q3-"&amp;RIGHT(S$3,4)-1,$3:$3,0))+INDEX(8:8,0,MATCH("Q1-"&amp;RIGHT(S$3,4),$3:$3,0)),
IF(LEFT(S$3,2)="Q3",S8+INDEX(8:8,0,MATCH("Q4-"&amp;RIGHT(S$3,4)-1,$3:$3,0))+INDEX(8:8,0,MATCH("Q2-"&amp;RIGHT(S$3,4),$3:$3,0))+INDEX(8:8,0,MATCH("Q1-"&amp;RIGHT(S$3,4),$3:$3,0)),
IF(LEFT(S$3,2)="Q4",INDEX(8:8,0,MATCH("FY"&amp;RIGHT(S$3,4),$3:$3,0))))))), "")</f>
        <v>8755</v>
      </c>
      <c r="T17" s="1219">
        <f>IFERROR(IF(LEFT(T$3,1)="F",T8,
IF(LEFT(T$3,2)="Q1",T8+INDEX(8:8,0,MATCH("Q4-"&amp;RIGHT(T$3,4)-1,$3:$3,0))+INDEX(8:8,0,MATCH("Q3-"&amp;RIGHT(T$3,4)-1,$3:$3,0))+INDEX(8:8,0,MATCH("Q2-"&amp;RIGHT(T$3,4)-1,$3:$3,0)),
IF(LEFT(T$3,2)="Q2",T8+INDEX(8:8,0,MATCH("Q4-"&amp;RIGHT(T$3,4)-1,$3:$3,0))+INDEX(8:8,0,MATCH("Q3-"&amp;RIGHT(T$3,4)-1,$3:$3,0))+INDEX(8:8,0,MATCH("Q1-"&amp;RIGHT(T$3,4),$3:$3,0)),
IF(LEFT(T$3,2)="Q3",T8+INDEX(8:8,0,MATCH("Q4-"&amp;RIGHT(T$3,4)-1,$3:$3,0))+INDEX(8:8,0,MATCH("Q2-"&amp;RIGHT(T$3,4),$3:$3,0))+INDEX(8:8,0,MATCH("Q1-"&amp;RIGHT(T$3,4),$3:$3,0)),
IF(LEFT(T$3,2)="Q4",INDEX(8:8,0,MATCH("FY"&amp;RIGHT(T$3,4),$3:$3,0))))))), "")</f>
        <v>8755</v>
      </c>
      <c r="U17" s="1225">
        <f>IFERROR(IF(LEFT(U$3,1)="F",U8,
IF(LEFT(U$3,2)="Q1",U8+INDEX(8:8,0,MATCH("Q4-"&amp;RIGHT(U$3,4)-1,$3:$3,0))+INDEX(8:8,0,MATCH("Q3-"&amp;RIGHT(U$3,4)-1,$3:$3,0))+INDEX(8:8,0,MATCH("Q2-"&amp;RIGHT(U$3,4)-1,$3:$3,0)),
IF(LEFT(U$3,2)="Q2",U8+INDEX(8:8,0,MATCH("Q4-"&amp;RIGHT(U$3,4)-1,$3:$3,0))+INDEX(8:8,0,MATCH("Q3-"&amp;RIGHT(U$3,4)-1,$3:$3,0))+INDEX(8:8,0,MATCH("Q1-"&amp;RIGHT(U$3,4),$3:$3,0)),
IF(LEFT(U$3,2)="Q3",U8+INDEX(8:8,0,MATCH("Q4-"&amp;RIGHT(U$3,4)-1,$3:$3,0))+INDEX(8:8,0,MATCH("Q2-"&amp;RIGHT(U$3,4),$3:$3,0))+INDEX(8:8,0,MATCH("Q1-"&amp;RIGHT(U$3,4),$3:$3,0)),
IF(LEFT(U$3,2)="Q4",INDEX(8:8,0,MATCH("FY"&amp;RIGHT(U$3,4),$3:$3,0))))))), "")</f>
        <v>9091</v>
      </c>
      <c r="V17" s="1225">
        <f>IFERROR(IF(LEFT(V$3,1)="F",V8,
IF(LEFT(V$3,2)="Q1",V8+INDEX(8:8,0,MATCH("Q4-"&amp;RIGHT(V$3,4)-1,$3:$3,0))+INDEX(8:8,0,MATCH("Q3-"&amp;RIGHT(V$3,4)-1,$3:$3,0))+INDEX(8:8,0,MATCH("Q2-"&amp;RIGHT(V$3,4)-1,$3:$3,0)),
IF(LEFT(V$3,2)="Q2",V8+INDEX(8:8,0,MATCH("Q4-"&amp;RIGHT(V$3,4)-1,$3:$3,0))+INDEX(8:8,0,MATCH("Q3-"&amp;RIGHT(V$3,4)-1,$3:$3,0))+INDEX(8:8,0,MATCH("Q1-"&amp;RIGHT(V$3,4),$3:$3,0)),
IF(LEFT(V$3,2)="Q3",V8+INDEX(8:8,0,MATCH("Q4-"&amp;RIGHT(V$3,4)-1,$3:$3,0))+INDEX(8:8,0,MATCH("Q2-"&amp;RIGHT(V$3,4),$3:$3,0))+INDEX(8:8,0,MATCH("Q1-"&amp;RIGHT(V$3,4),$3:$3,0)),
IF(LEFT(V$3,2)="Q4",INDEX(8:8,0,MATCH("FY"&amp;RIGHT(V$3,4),$3:$3,0))))))), "")</f>
        <v>9311.9743847999998</v>
      </c>
      <c r="W17" s="1225">
        <f>IFERROR(IF(LEFT(W$3,1)="F",W8,
IF(LEFT(W$3,2)="Q1",W8+INDEX(8:8,0,MATCH("Q4-"&amp;RIGHT(W$3,4)-1,$3:$3,0))+INDEX(8:8,0,MATCH("Q3-"&amp;RIGHT(W$3,4)-1,$3:$3,0))+INDEX(8:8,0,MATCH("Q2-"&amp;RIGHT(W$3,4)-1,$3:$3,0)),
IF(LEFT(W$3,2)="Q2",W8+INDEX(8:8,0,MATCH("Q4-"&amp;RIGHT(W$3,4)-1,$3:$3,0))+INDEX(8:8,0,MATCH("Q3-"&amp;RIGHT(W$3,4)-1,$3:$3,0))+INDEX(8:8,0,MATCH("Q1-"&amp;RIGHT(W$3,4),$3:$3,0)),
IF(LEFT(W$3,2)="Q3",W8+INDEX(8:8,0,MATCH("Q4-"&amp;RIGHT(W$3,4)-1,$3:$3,0))+INDEX(8:8,0,MATCH("Q2-"&amp;RIGHT(W$3,4),$3:$3,0))+INDEX(8:8,0,MATCH("Q1-"&amp;RIGHT(W$3,4),$3:$3,0)),
IF(LEFT(W$3,2)="Q4",INDEX(8:8,0,MATCH("FY"&amp;RIGHT(W$3,4),$3:$3,0))))))), "")</f>
        <v>9384.6659528</v>
      </c>
      <c r="X17" s="1225">
        <f>IFERROR(IF(LEFT(X$3,1)="F",X8,
IF(LEFT(X$3,2)="Q1",X8+INDEX(8:8,0,MATCH("Q4-"&amp;RIGHT(X$3,4)-1,$3:$3,0))+INDEX(8:8,0,MATCH("Q3-"&amp;RIGHT(X$3,4)-1,$3:$3,0))+INDEX(8:8,0,MATCH("Q2-"&amp;RIGHT(X$3,4)-1,$3:$3,0)),
IF(LEFT(X$3,2)="Q2",X8+INDEX(8:8,0,MATCH("Q4-"&amp;RIGHT(X$3,4)-1,$3:$3,0))+INDEX(8:8,0,MATCH("Q3-"&amp;RIGHT(X$3,4)-1,$3:$3,0))+INDEX(8:8,0,MATCH("Q1-"&amp;RIGHT(X$3,4),$3:$3,0)),
IF(LEFT(X$3,2)="Q3",X8+INDEX(8:8,0,MATCH("Q4-"&amp;RIGHT(X$3,4)-1,$3:$3,0))+INDEX(8:8,0,MATCH("Q2-"&amp;RIGHT(X$3,4),$3:$3,0))+INDEX(8:8,0,MATCH("Q1-"&amp;RIGHT(X$3,4),$3:$3,0)),
IF(LEFT(X$3,2)="Q4",INDEX(8:8,0,MATCH("FY"&amp;RIGHT(X$3,4),$3:$3,0))))))), "")</f>
        <v>9602.7317612000006</v>
      </c>
      <c r="Y17" s="1219">
        <f>IFERROR(IF(LEFT(Y$3,1)="F",Y8,
IF(LEFT(Y$3,2)="Q1",Y8+INDEX(8:8,0,MATCH("Q4-"&amp;RIGHT(Y$3,4)-1,$3:$3,0))+INDEX(8:8,0,MATCH("Q3-"&amp;RIGHT(Y$3,4)-1,$3:$3,0))+INDEX(8:8,0,MATCH("Q2-"&amp;RIGHT(Y$3,4)-1,$3:$3,0)),
IF(LEFT(Y$3,2)="Q2",Y8+INDEX(8:8,0,MATCH("Q4-"&amp;RIGHT(Y$3,4)-1,$3:$3,0))+INDEX(8:8,0,MATCH("Q3-"&amp;RIGHT(Y$3,4)-1,$3:$3,0))+INDEX(8:8,0,MATCH("Q1-"&amp;RIGHT(Y$3,4),$3:$3,0)),
IF(LEFT(Y$3,2)="Q3",Y8+INDEX(8:8,0,MATCH("Q4-"&amp;RIGHT(Y$3,4)-1,$3:$3,0))+INDEX(8:8,0,MATCH("Q2-"&amp;RIGHT(Y$3,4),$3:$3,0))+INDEX(8:8,0,MATCH("Q1-"&amp;RIGHT(Y$3,4),$3:$3,0)),
IF(LEFT(Y$3,2)="Q4",INDEX(8:8,0,MATCH("FY"&amp;RIGHT(Y$3,4),$3:$3,0))))))), "")</f>
        <v>9602.7317612000006</v>
      </c>
      <c r="Z17" s="1225">
        <f>IFERROR(IF(LEFT(Z$3,1)="F",Z8,
IF(LEFT(Z$3,2)="Q1",Z8+INDEX(8:8,0,MATCH("Q4-"&amp;RIGHT(Z$3,4)-1,$3:$3,0))+INDEX(8:8,0,MATCH("Q3-"&amp;RIGHT(Z$3,4)-1,$3:$3,0))+INDEX(8:8,0,MATCH("Q2-"&amp;RIGHT(Z$3,4)-1,$3:$3,0)),
IF(LEFT(Z$3,2)="Q2",Z8+INDEX(8:8,0,MATCH("Q4-"&amp;RIGHT(Z$3,4)-1,$3:$3,0))+INDEX(8:8,0,MATCH("Q3-"&amp;RIGHT(Z$3,4)-1,$3:$3,0))+INDEX(8:8,0,MATCH("Q1-"&amp;RIGHT(Z$3,4),$3:$3,0)),
IF(LEFT(Z$3,2)="Q3",Z8+INDEX(8:8,0,MATCH("Q4-"&amp;RIGHT(Z$3,4)-1,$3:$3,0))+INDEX(8:8,0,MATCH("Q2-"&amp;RIGHT(Z$3,4),$3:$3,0))+INDEX(8:8,0,MATCH("Q1-"&amp;RIGHT(Z$3,4),$3:$3,0)),
IF(LEFT(Z$3,2)="Q4",INDEX(8:8,0,MATCH("FY"&amp;RIGHT(Z$3,4),$3:$3,0))))))), "")</f>
        <v>9832.4778960000003</v>
      </c>
      <c r="AA17" s="1225">
        <f>IFERROR(IF(LEFT(AA$3,1)="F",AA8,
IF(LEFT(AA$3,2)="Q1",AA8+INDEX(8:8,0,MATCH("Q4-"&amp;RIGHT(AA$3,4)-1,$3:$3,0))+INDEX(8:8,0,MATCH("Q3-"&amp;RIGHT(AA$3,4)-1,$3:$3,0))+INDEX(8:8,0,MATCH("Q2-"&amp;RIGHT(AA$3,4)-1,$3:$3,0)),
IF(LEFT(AA$3,2)="Q2",AA8+INDEX(8:8,0,MATCH("Q4-"&amp;RIGHT(AA$3,4)-1,$3:$3,0))+INDEX(8:8,0,MATCH("Q3-"&amp;RIGHT(AA$3,4)-1,$3:$3,0))+INDEX(8:8,0,MATCH("Q1-"&amp;RIGHT(AA$3,4),$3:$3,0)),
IF(LEFT(AA$3,2)="Q3",AA8+INDEX(8:8,0,MATCH("Q4-"&amp;RIGHT(AA$3,4)-1,$3:$3,0))+INDEX(8:8,0,MATCH("Q2-"&amp;RIGHT(AA$3,4),$3:$3,0))+INDEX(8:8,0,MATCH("Q1-"&amp;RIGHT(AA$3,4),$3:$3,0)),
IF(LEFT(AA$3,2)="Q4",INDEX(8:8,0,MATCH("FY"&amp;RIGHT(AA$3,4),$3:$3,0))))))), "")</f>
        <v>10112.104555552</v>
      </c>
      <c r="AB17" s="1225">
        <f>IFERROR(IF(LEFT(AB$3,1)="F",AB8,
IF(LEFT(AB$3,2)="Q1",AB8+INDEX(8:8,0,MATCH("Q4-"&amp;RIGHT(AB$3,4)-1,$3:$3,0))+INDEX(8:8,0,MATCH("Q3-"&amp;RIGHT(AB$3,4)-1,$3:$3,0))+INDEX(8:8,0,MATCH("Q2-"&amp;RIGHT(AB$3,4)-1,$3:$3,0)),
IF(LEFT(AB$3,2)="Q2",AB8+INDEX(8:8,0,MATCH("Q4-"&amp;RIGHT(AB$3,4)-1,$3:$3,0))+INDEX(8:8,0,MATCH("Q3-"&amp;RIGHT(AB$3,4)-1,$3:$3,0))+INDEX(8:8,0,MATCH("Q1-"&amp;RIGHT(AB$3,4),$3:$3,0)),
IF(LEFT(AB$3,2)="Q3",AB8+INDEX(8:8,0,MATCH("Q4-"&amp;RIGHT(AB$3,4)-1,$3:$3,0))+INDEX(8:8,0,MATCH("Q2-"&amp;RIGHT(AB$3,4),$3:$3,0))+INDEX(8:8,0,MATCH("Q1-"&amp;RIGHT(AB$3,4),$3:$3,0)),
IF(LEFT(AB$3,2)="Q4",INDEX(8:8,0,MATCH("FY"&amp;RIGHT(AB$3,4),$3:$3,0))))))), "")</f>
        <v>10191.362046144</v>
      </c>
      <c r="AC17" s="1225">
        <f>IFERROR(IF(LEFT(AC$3,1)="F",AC8,
IF(LEFT(AC$3,2)="Q1",AC8+INDEX(8:8,0,MATCH("Q4-"&amp;RIGHT(AC$3,4)-1,$3:$3,0))+INDEX(8:8,0,MATCH("Q3-"&amp;RIGHT(AC$3,4)-1,$3:$3,0))+INDEX(8:8,0,MATCH("Q2-"&amp;RIGHT(AC$3,4)-1,$3:$3,0)),
IF(LEFT(AC$3,2)="Q2",AC8+INDEX(8:8,0,MATCH("Q4-"&amp;RIGHT(AC$3,4)-1,$3:$3,0))+INDEX(8:8,0,MATCH("Q3-"&amp;RIGHT(AC$3,4)-1,$3:$3,0))+INDEX(8:8,0,MATCH("Q1-"&amp;RIGHT(AC$3,4),$3:$3,0)),
IF(LEFT(AC$3,2)="Q3",AC8+INDEX(8:8,0,MATCH("Q4-"&amp;RIGHT(AC$3,4)-1,$3:$3,0))+INDEX(8:8,0,MATCH("Q2-"&amp;RIGHT(AC$3,4),$3:$3,0))+INDEX(8:8,0,MATCH("Q1-"&amp;RIGHT(AC$3,4),$3:$3,0)),
IF(LEFT(AC$3,2)="Q4",INDEX(8:8,0,MATCH("FY"&amp;RIGHT(AC$3,4),$3:$3,0))))))), "")</f>
        <v>10391.701287356002</v>
      </c>
      <c r="AD17" s="1219">
        <f>IFERROR(IF(LEFT(AD$3,1)="F",AD8,
IF(LEFT(AD$3,2)="Q1",AD8+INDEX(8:8,0,MATCH("Q4-"&amp;RIGHT(AD$3,4)-1,$3:$3,0))+INDEX(8:8,0,MATCH("Q3-"&amp;RIGHT(AD$3,4)-1,$3:$3,0))+INDEX(8:8,0,MATCH("Q2-"&amp;RIGHT(AD$3,4)-1,$3:$3,0)),
IF(LEFT(AD$3,2)="Q2",AD8+INDEX(8:8,0,MATCH("Q4-"&amp;RIGHT(AD$3,4)-1,$3:$3,0))+INDEX(8:8,0,MATCH("Q3-"&amp;RIGHT(AD$3,4)-1,$3:$3,0))+INDEX(8:8,0,MATCH("Q1-"&amp;RIGHT(AD$3,4),$3:$3,0)),
IF(LEFT(AD$3,2)="Q3",AD8+INDEX(8:8,0,MATCH("Q4-"&amp;RIGHT(AD$3,4)-1,$3:$3,0))+INDEX(8:8,0,MATCH("Q2-"&amp;RIGHT(AD$3,4),$3:$3,0))+INDEX(8:8,0,MATCH("Q1-"&amp;RIGHT(AD$3,4),$3:$3,0)),
IF(LEFT(AD$3,2)="Q4",INDEX(8:8,0,MATCH("FY"&amp;RIGHT(AD$3,4),$3:$3,0))))))), "")</f>
        <v>10391.701287356002</v>
      </c>
      <c r="AE17" s="1219">
        <f>IFERROR(IF(LEFT(AE$3,1)="F",AE8,
IF(LEFT(AE$3,2)="Q1",AE8+INDEX(8:8,0,MATCH("Q4-"&amp;RIGHT(AE$3,4)-1,$3:$3,0))+INDEX(8:8,0,MATCH("Q3-"&amp;RIGHT(AE$3,4)-1,$3:$3,0))+INDEX(8:8,0,MATCH("Q2-"&amp;RIGHT(AE$3,4)-1,$3:$3,0)),
IF(LEFT(AE$3,2)="Q2",AE8+INDEX(8:8,0,MATCH("Q4-"&amp;RIGHT(AE$3,4)-1,$3:$3,0))+INDEX(8:8,0,MATCH("Q3-"&amp;RIGHT(AE$3,4)-1,$3:$3,0))+INDEX(8:8,0,MATCH("Q1-"&amp;RIGHT(AE$3,4),$3:$3,0)),
IF(LEFT(AE$3,2)="Q3",AE8+INDEX(8:8,0,MATCH("Q4-"&amp;RIGHT(AE$3,4)-1,$3:$3,0))+INDEX(8:8,0,MATCH("Q2-"&amp;RIGHT(AE$3,4),$3:$3,0))+INDEX(8:8,0,MATCH("Q1-"&amp;RIGHT(AE$3,4),$3:$3,0)),
IF(LEFT(AE$3,2)="Q4",INDEX(8:8,0,MATCH("FY"&amp;RIGHT(AE$3,4),$3:$3,0))))))), "")</f>
        <v>11195.589153213179</v>
      </c>
      <c r="AF17" s="1219">
        <f>IFERROR(IF(LEFT(AF$3,1)="F",AF8,
IF(LEFT(AF$3,2)="Q1",AF8+INDEX(8:8,0,MATCH("Q4-"&amp;RIGHT(AF$3,4)-1,$3:$3,0))+INDEX(8:8,0,MATCH("Q3-"&amp;RIGHT(AF$3,4)-1,$3:$3,0))+INDEX(8:8,0,MATCH("Q2-"&amp;RIGHT(AF$3,4)-1,$3:$3,0)),
IF(LEFT(AF$3,2)="Q2",AF8+INDEX(8:8,0,MATCH("Q4-"&amp;RIGHT(AF$3,4)-1,$3:$3,0))+INDEX(8:8,0,MATCH("Q3-"&amp;RIGHT(AF$3,4)-1,$3:$3,0))+INDEX(8:8,0,MATCH("Q1-"&amp;RIGHT(AF$3,4),$3:$3,0)),
IF(LEFT(AF$3,2)="Q3",AF8+INDEX(8:8,0,MATCH("Q4-"&amp;RIGHT(AF$3,4)-1,$3:$3,0))+INDEX(8:8,0,MATCH("Q2-"&amp;RIGHT(AF$3,4),$3:$3,0))+INDEX(8:8,0,MATCH("Q1-"&amp;RIGHT(AF$3,4),$3:$3,0)),
IF(LEFT(AF$3,2)="Q4",INDEX(8:8,0,MATCH("FY"&amp;RIGHT(AF$3,4),$3:$3,0))))))), "")</f>
        <v>12067.758610940777</v>
      </c>
      <c r="AG17" s="1221">
        <f>IFERROR(IF(LEFT(AG$3,1)="F",AG8,
IF(LEFT(AG$3,2)="Q1",AG8+INDEX(8:8,0,MATCH("Q4-"&amp;RIGHT(AG$3,4)-1,$3:$3,0))+INDEX(8:8,0,MATCH("Q3-"&amp;RIGHT(AG$3,4)-1,$3:$3,0))+INDEX(8:8,0,MATCH("Q2-"&amp;RIGHT(AG$3,4)-1,$3:$3,0)),
IF(LEFT(AG$3,2)="Q2",AG8+INDEX(8:8,0,MATCH("Q4-"&amp;RIGHT(AG$3,4)-1,$3:$3,0))+INDEX(8:8,0,MATCH("Q3-"&amp;RIGHT(AG$3,4)-1,$3:$3,0))+INDEX(8:8,0,MATCH("Q1-"&amp;RIGHT(AG$3,4),$3:$3,0)),
IF(LEFT(AG$3,2)="Q3",AG8+INDEX(8:8,0,MATCH("Q4-"&amp;RIGHT(AG$3,4)-1,$3:$3,0))+INDEX(8:8,0,MATCH("Q2-"&amp;RIGHT(AG$3,4),$3:$3,0))+INDEX(8:8,0,MATCH("Q1-"&amp;RIGHT(AG$3,4),$3:$3,0)),
IF(LEFT(AG$3,2)="Q4",INDEX(8:8,0,MATCH("FY"&amp;RIGHT(AG$3,4),$3:$3,0))))))), "")</f>
        <v>13013.838469852113</v>
      </c>
    </row>
    <row r="18" spans="1:34" s="1222" customFormat="1" ht="14.25" customHeight="1" outlineLevel="1" x14ac:dyDescent="0.35">
      <c r="A18" s="1216" t="str">
        <f>"LTM "&amp;A9</f>
        <v>LTM Adjusted EBIT</v>
      </c>
      <c r="B18" s="1217"/>
      <c r="C18" s="1218"/>
      <c r="D18" s="1219">
        <f>IFERROR(IF(LEFT(D$3,1)="F",D9,
IF(LEFT(D$3,2)="Q1",D9+INDEX(9:9,0,MATCH("Q4-"&amp;RIGHT(D$3,4)-1,$3:$3,0))+INDEX(9:9,0,MATCH("Q3-"&amp;RIGHT(D$3,4)-1,$3:$3,0))+INDEX(9:9,0,MATCH("Q2-"&amp;RIGHT(D$3,4)-1,$3:$3,0)),
IF(LEFT(D$3,2)="Q2",D9+INDEX(9:9,0,MATCH("Q4-"&amp;RIGHT(D$3,4)-1,$3:$3,0))+INDEX(9:9,0,MATCH("Q3-"&amp;RIGHT(D$3,4)-1,$3:$3,0))+INDEX(9:9,0,MATCH("Q1-"&amp;RIGHT(D$3,4),$3:$3,0)),
IF(LEFT(D$3,2)="Q3",D9+INDEX(9:9,0,MATCH("Q4-"&amp;RIGHT(D$3,4)-1,$3:$3,0))+INDEX(9:9,0,MATCH("Q2-"&amp;RIGHT(D$3,4),$3:$3,0))+INDEX(9:9,0,MATCH("Q1-"&amp;RIGHT(D$3,4),$3:$3,0)),
IF(LEFT(D$3,2)="Q4",INDEX(9:9,0,MATCH("FY"&amp;RIGHT(D$3,4),$3:$3,0))))))), "")</f>
        <v>7223</v>
      </c>
      <c r="E18" s="1219">
        <f>IFERROR(IF(LEFT(E$3,1)="F",E9,
IF(LEFT(E$3,2)="Q1",E9+INDEX(9:9,0,MATCH("Q4-"&amp;RIGHT(E$3,4)-1,$3:$3,0))+INDEX(9:9,0,MATCH("Q3-"&amp;RIGHT(E$3,4)-1,$3:$3,0))+INDEX(9:9,0,MATCH("Q2-"&amp;RIGHT(E$3,4)-1,$3:$3,0)),
IF(LEFT(E$3,2)="Q2",E9+INDEX(9:9,0,MATCH("Q4-"&amp;RIGHT(E$3,4)-1,$3:$3,0))+INDEX(9:9,0,MATCH("Q3-"&amp;RIGHT(E$3,4)-1,$3:$3,0))+INDEX(9:9,0,MATCH("Q1-"&amp;RIGHT(E$3,4),$3:$3,0)),
IF(LEFT(E$3,2)="Q3",E9+INDEX(9:9,0,MATCH("Q4-"&amp;RIGHT(E$3,4)-1,$3:$3,0))+INDEX(9:9,0,MATCH("Q2-"&amp;RIGHT(E$3,4),$3:$3,0))+INDEX(9:9,0,MATCH("Q1-"&amp;RIGHT(E$3,4),$3:$3,0)),
IF(LEFT(E$3,2)="Q4",INDEX(9:9,0,MATCH("FY"&amp;RIGHT(E$3,4),$3:$3,0))))))), "")</f>
        <v>7692</v>
      </c>
      <c r="F18" s="1225" t="str">
        <f>IFERROR(IF(LEFT(F$3,1)="F",F9,
IF(LEFT(F$3,2)="Q1",F9+INDEX(9:9,0,MATCH("Q4-"&amp;RIGHT(F$3,4)-1,$3:$3,0))+INDEX(9:9,0,MATCH("Q3-"&amp;RIGHT(F$3,4)-1,$3:$3,0))+INDEX(9:9,0,MATCH("Q2-"&amp;RIGHT(F$3,4)-1,$3:$3,0)),
IF(LEFT(F$3,2)="Q2",F9+INDEX(9:9,0,MATCH("Q4-"&amp;RIGHT(F$3,4)-1,$3:$3,0))+INDEX(9:9,0,MATCH("Q3-"&amp;RIGHT(F$3,4)-1,$3:$3,0))+INDEX(9:9,0,MATCH("Q1-"&amp;RIGHT(F$3,4),$3:$3,0)),
IF(LEFT(F$3,2)="Q3",F9+INDEX(9:9,0,MATCH("Q4-"&amp;RIGHT(F$3,4)-1,$3:$3,0))+INDEX(9:9,0,MATCH("Q2-"&amp;RIGHT(F$3,4),$3:$3,0))+INDEX(9:9,0,MATCH("Q1-"&amp;RIGHT(F$3,4),$3:$3,0)),
IF(LEFT(F$3,2)="Q4",INDEX(9:9,0,MATCH("FY"&amp;RIGHT(F$3,4),$3:$3,0))))))), "")</f>
        <v/>
      </c>
      <c r="G18" s="1225" t="str">
        <f>IFERROR(IF(LEFT(G$3,1)="F",G9,
IF(LEFT(G$3,2)="Q1",G9+INDEX(9:9,0,MATCH("Q4-"&amp;RIGHT(G$3,4)-1,$3:$3,0))+INDEX(9:9,0,MATCH("Q3-"&amp;RIGHT(G$3,4)-1,$3:$3,0))+INDEX(9:9,0,MATCH("Q2-"&amp;RIGHT(G$3,4)-1,$3:$3,0)),
IF(LEFT(G$3,2)="Q2",G9+INDEX(9:9,0,MATCH("Q4-"&amp;RIGHT(G$3,4)-1,$3:$3,0))+INDEX(9:9,0,MATCH("Q3-"&amp;RIGHT(G$3,4)-1,$3:$3,0))+INDEX(9:9,0,MATCH("Q1-"&amp;RIGHT(G$3,4),$3:$3,0)),
IF(LEFT(G$3,2)="Q3",G9+INDEX(9:9,0,MATCH("Q4-"&amp;RIGHT(G$3,4)-1,$3:$3,0))+INDEX(9:9,0,MATCH("Q2-"&amp;RIGHT(G$3,4),$3:$3,0))+INDEX(9:9,0,MATCH("Q1-"&amp;RIGHT(G$3,4),$3:$3,0)),
IF(LEFT(G$3,2)="Q4",INDEX(9:9,0,MATCH("FY"&amp;RIGHT(G$3,4),$3:$3,0))))))), "")</f>
        <v/>
      </c>
      <c r="H18" s="1225" t="str">
        <f>IFERROR(IF(LEFT(H$3,1)="F",H9,
IF(LEFT(H$3,2)="Q1",H9+INDEX(9:9,0,MATCH("Q4-"&amp;RIGHT(H$3,4)-1,$3:$3,0))+INDEX(9:9,0,MATCH("Q3-"&amp;RIGHT(H$3,4)-1,$3:$3,0))+INDEX(9:9,0,MATCH("Q2-"&amp;RIGHT(H$3,4)-1,$3:$3,0)),
IF(LEFT(H$3,2)="Q2",H9+INDEX(9:9,0,MATCH("Q4-"&amp;RIGHT(H$3,4)-1,$3:$3,0))+INDEX(9:9,0,MATCH("Q3-"&amp;RIGHT(H$3,4)-1,$3:$3,0))+INDEX(9:9,0,MATCH("Q1-"&amp;RIGHT(H$3,4),$3:$3,0)),
IF(LEFT(H$3,2)="Q3",H9+INDEX(9:9,0,MATCH("Q4-"&amp;RIGHT(H$3,4)-1,$3:$3,0))+INDEX(9:9,0,MATCH("Q2-"&amp;RIGHT(H$3,4),$3:$3,0))+INDEX(9:9,0,MATCH("Q1-"&amp;RIGHT(H$3,4),$3:$3,0)),
IF(LEFT(H$3,2)="Q4",INDEX(9:9,0,MATCH("FY"&amp;RIGHT(H$3,4),$3:$3,0))))))), "")</f>
        <v/>
      </c>
      <c r="I18" s="1225">
        <f>IFERROR(IF(LEFT(I$3,1)="F",I9,
IF(LEFT(I$3,2)="Q1",I9+INDEX(9:9,0,MATCH("Q4-"&amp;RIGHT(I$3,4)-1,$3:$3,0))+INDEX(9:9,0,MATCH("Q3-"&amp;RIGHT(I$3,4)-1,$3:$3,0))+INDEX(9:9,0,MATCH("Q2-"&amp;RIGHT(I$3,4)-1,$3:$3,0)),
IF(LEFT(I$3,2)="Q2",I9+INDEX(9:9,0,MATCH("Q4-"&amp;RIGHT(I$3,4)-1,$3:$3,0))+INDEX(9:9,0,MATCH("Q3-"&amp;RIGHT(I$3,4)-1,$3:$3,0))+INDEX(9:9,0,MATCH("Q1-"&amp;RIGHT(I$3,4),$3:$3,0)),
IF(LEFT(I$3,2)="Q3",I9+INDEX(9:9,0,MATCH("Q4-"&amp;RIGHT(I$3,4)-1,$3:$3,0))+INDEX(9:9,0,MATCH("Q2-"&amp;RIGHT(I$3,4),$3:$3,0))+INDEX(9:9,0,MATCH("Q1-"&amp;RIGHT(I$3,4),$3:$3,0)),
IF(LEFT(I$3,2)="Q4",INDEX(9:9,0,MATCH("FY"&amp;RIGHT(I$3,4),$3:$3,0))))))), "")</f>
        <v>8104</v>
      </c>
      <c r="J18" s="1219">
        <f>IFERROR(IF(LEFT(J$3,1)="F",J9,
IF(LEFT(J$3,2)="Q1",J9+INDEX(9:9,0,MATCH("Q4-"&amp;RIGHT(J$3,4)-1,$3:$3,0))+INDEX(9:9,0,MATCH("Q3-"&amp;RIGHT(J$3,4)-1,$3:$3,0))+INDEX(9:9,0,MATCH("Q2-"&amp;RIGHT(J$3,4)-1,$3:$3,0)),
IF(LEFT(J$3,2)="Q2",J9+INDEX(9:9,0,MATCH("Q4-"&amp;RIGHT(J$3,4)-1,$3:$3,0))+INDEX(9:9,0,MATCH("Q3-"&amp;RIGHT(J$3,4)-1,$3:$3,0))+INDEX(9:9,0,MATCH("Q1-"&amp;RIGHT(J$3,4),$3:$3,0)),
IF(LEFT(J$3,2)="Q3",J9+INDEX(9:9,0,MATCH("Q4-"&amp;RIGHT(J$3,4)-1,$3:$3,0))+INDEX(9:9,0,MATCH("Q2-"&amp;RIGHT(J$3,4),$3:$3,0))+INDEX(9:9,0,MATCH("Q1-"&amp;RIGHT(J$3,4),$3:$3,0)),
IF(LEFT(J$3,2)="Q4",INDEX(9:9,0,MATCH("FY"&amp;RIGHT(J$3,4),$3:$3,0))))))), "")</f>
        <v>8104</v>
      </c>
      <c r="K18" s="1225">
        <f>IFERROR(IF(LEFT(K$3,1)="F",K9,
IF(LEFT(K$3,2)="Q1",K9+INDEX(9:9,0,MATCH("Q4-"&amp;RIGHT(K$3,4)-1,$3:$3,0))+INDEX(9:9,0,MATCH("Q3-"&amp;RIGHT(K$3,4)-1,$3:$3,0))+INDEX(9:9,0,MATCH("Q2-"&amp;RIGHT(K$3,4)-1,$3:$3,0)),
IF(LEFT(K$3,2)="Q2",K9+INDEX(9:9,0,MATCH("Q4-"&amp;RIGHT(K$3,4)-1,$3:$3,0))+INDEX(9:9,0,MATCH("Q3-"&amp;RIGHT(K$3,4)-1,$3:$3,0))+INDEX(9:9,0,MATCH("Q1-"&amp;RIGHT(K$3,4),$3:$3,0)),
IF(LEFT(K$3,2)="Q3",K9+INDEX(9:9,0,MATCH("Q4-"&amp;RIGHT(K$3,4)-1,$3:$3,0))+INDEX(9:9,0,MATCH("Q2-"&amp;RIGHT(K$3,4),$3:$3,0))+INDEX(9:9,0,MATCH("Q1-"&amp;RIGHT(K$3,4),$3:$3,0)),
IF(LEFT(K$3,2)="Q4",INDEX(9:9,0,MATCH("FY"&amp;RIGHT(K$3,4),$3:$3,0))))))), "")</f>
        <v>7876</v>
      </c>
      <c r="L18" s="1225">
        <f>IFERROR(IF(LEFT(L$3,1)="F",L9,
IF(LEFT(L$3,2)="Q1",L9+INDEX(9:9,0,MATCH("Q4-"&amp;RIGHT(L$3,4)-1,$3:$3,0))+INDEX(9:9,0,MATCH("Q3-"&amp;RIGHT(L$3,4)-1,$3:$3,0))+INDEX(9:9,0,MATCH("Q2-"&amp;RIGHT(L$3,4)-1,$3:$3,0)),
IF(LEFT(L$3,2)="Q2",L9+INDEX(9:9,0,MATCH("Q4-"&amp;RIGHT(L$3,4)-1,$3:$3,0))+INDEX(9:9,0,MATCH("Q3-"&amp;RIGHT(L$3,4)-1,$3:$3,0))+INDEX(9:9,0,MATCH("Q1-"&amp;RIGHT(L$3,4),$3:$3,0)),
IF(LEFT(L$3,2)="Q3",L9+INDEX(9:9,0,MATCH("Q4-"&amp;RIGHT(L$3,4)-1,$3:$3,0))+INDEX(9:9,0,MATCH("Q2-"&amp;RIGHT(L$3,4),$3:$3,0))+INDEX(9:9,0,MATCH("Q1-"&amp;RIGHT(L$3,4),$3:$3,0)),
IF(LEFT(L$3,2)="Q4",INDEX(9:9,0,MATCH("FY"&amp;RIGHT(L$3,4),$3:$3,0))))))), "")</f>
        <v>7177</v>
      </c>
      <c r="M18" s="1225">
        <f>IFERROR(IF(LEFT(M$3,1)="F",M9,
IF(LEFT(M$3,2)="Q1",M9+INDEX(9:9,0,MATCH("Q4-"&amp;RIGHT(M$3,4)-1,$3:$3,0))+INDEX(9:9,0,MATCH("Q3-"&amp;RIGHT(M$3,4)-1,$3:$3,0))+INDEX(9:9,0,MATCH("Q2-"&amp;RIGHT(M$3,4)-1,$3:$3,0)),
IF(LEFT(M$3,2)="Q2",M9+INDEX(9:9,0,MATCH("Q4-"&amp;RIGHT(M$3,4)-1,$3:$3,0))+INDEX(9:9,0,MATCH("Q3-"&amp;RIGHT(M$3,4)-1,$3:$3,0))+INDEX(9:9,0,MATCH("Q1-"&amp;RIGHT(M$3,4),$3:$3,0)),
IF(LEFT(M$3,2)="Q3",M9+INDEX(9:9,0,MATCH("Q4-"&amp;RIGHT(M$3,4)-1,$3:$3,0))+INDEX(9:9,0,MATCH("Q2-"&amp;RIGHT(M$3,4),$3:$3,0))+INDEX(9:9,0,MATCH("Q1-"&amp;RIGHT(M$3,4),$3:$3,0)),
IF(LEFT(M$3,2)="Q4",INDEX(9:9,0,MATCH("FY"&amp;RIGHT(M$3,4),$3:$3,0))))))), "")</f>
        <v>7066</v>
      </c>
      <c r="N18" s="1225">
        <f>IFERROR(IF(LEFT(N$3,1)="F",N9,
IF(LEFT(N$3,2)="Q1",N9+INDEX(9:9,0,MATCH("Q4-"&amp;RIGHT(N$3,4)-1,$3:$3,0))+INDEX(9:9,0,MATCH("Q3-"&amp;RIGHT(N$3,4)-1,$3:$3,0))+INDEX(9:9,0,MATCH("Q2-"&amp;RIGHT(N$3,4)-1,$3:$3,0)),
IF(LEFT(N$3,2)="Q2",N9+INDEX(9:9,0,MATCH("Q4-"&amp;RIGHT(N$3,4)-1,$3:$3,0))+INDEX(9:9,0,MATCH("Q3-"&amp;RIGHT(N$3,4)-1,$3:$3,0))+INDEX(9:9,0,MATCH("Q1-"&amp;RIGHT(N$3,4),$3:$3,0)),
IF(LEFT(N$3,2)="Q3",N9+INDEX(9:9,0,MATCH("Q4-"&amp;RIGHT(N$3,4)-1,$3:$3,0))+INDEX(9:9,0,MATCH("Q2-"&amp;RIGHT(N$3,4),$3:$3,0))+INDEX(9:9,0,MATCH("Q1-"&amp;RIGHT(N$3,4),$3:$3,0)),
IF(LEFT(N$3,2)="Q4",INDEX(9:9,0,MATCH("FY"&amp;RIGHT(N$3,4),$3:$3,0))))))), "")</f>
        <v>6822</v>
      </c>
      <c r="O18" s="1219">
        <f>IFERROR(IF(LEFT(O$3,1)="F",O9,
IF(LEFT(O$3,2)="Q1",O9+INDEX(9:9,0,MATCH("Q4-"&amp;RIGHT(O$3,4)-1,$3:$3,0))+INDEX(9:9,0,MATCH("Q3-"&amp;RIGHT(O$3,4)-1,$3:$3,0))+INDEX(9:9,0,MATCH("Q2-"&amp;RIGHT(O$3,4)-1,$3:$3,0)),
IF(LEFT(O$3,2)="Q2",O9+INDEX(9:9,0,MATCH("Q4-"&amp;RIGHT(O$3,4)-1,$3:$3,0))+INDEX(9:9,0,MATCH("Q3-"&amp;RIGHT(O$3,4)-1,$3:$3,0))+INDEX(9:9,0,MATCH("Q1-"&amp;RIGHT(O$3,4),$3:$3,0)),
IF(LEFT(O$3,2)="Q3",O9+INDEX(9:9,0,MATCH("Q4-"&amp;RIGHT(O$3,4)-1,$3:$3,0))+INDEX(9:9,0,MATCH("Q2-"&amp;RIGHT(O$3,4),$3:$3,0))+INDEX(9:9,0,MATCH("Q1-"&amp;RIGHT(O$3,4),$3:$3,0)),
IF(LEFT(O$3,2)="Q4",INDEX(9:9,0,MATCH("FY"&amp;RIGHT(O$3,4),$3:$3,0))))))), "")</f>
        <v>6822</v>
      </c>
      <c r="P18" s="1225">
        <f>IFERROR(IF(LEFT(P$3,1)="F",P9,
IF(LEFT(P$3,2)="Q1",P9+INDEX(9:9,0,MATCH("Q4-"&amp;RIGHT(P$3,4)-1,$3:$3,0))+INDEX(9:9,0,MATCH("Q3-"&amp;RIGHT(P$3,4)-1,$3:$3,0))+INDEX(9:9,0,MATCH("Q2-"&amp;RIGHT(P$3,4)-1,$3:$3,0)),
IF(LEFT(P$3,2)="Q2",P9+INDEX(9:9,0,MATCH("Q4-"&amp;RIGHT(P$3,4)-1,$3:$3,0))+INDEX(9:9,0,MATCH("Q3-"&amp;RIGHT(P$3,4)-1,$3:$3,0))+INDEX(9:9,0,MATCH("Q1-"&amp;RIGHT(P$3,4),$3:$3,0)),
IF(LEFT(P$3,2)="Q3",P9+INDEX(9:9,0,MATCH("Q4-"&amp;RIGHT(P$3,4)-1,$3:$3,0))+INDEX(9:9,0,MATCH("Q2-"&amp;RIGHT(P$3,4),$3:$3,0))+INDEX(9:9,0,MATCH("Q1-"&amp;RIGHT(P$3,4),$3:$3,0)),
IF(LEFT(P$3,2)="Q4",INDEX(9:9,0,MATCH("FY"&amp;RIGHT(P$3,4),$3:$3,0))))))), "")</f>
        <v>6824</v>
      </c>
      <c r="Q18" s="1225">
        <f>IFERROR(IF(LEFT(Q$3,1)="F",Q9,
IF(LEFT(Q$3,2)="Q1",Q9+INDEX(9:9,0,MATCH("Q4-"&amp;RIGHT(Q$3,4)-1,$3:$3,0))+INDEX(9:9,0,MATCH("Q3-"&amp;RIGHT(Q$3,4)-1,$3:$3,0))+INDEX(9:9,0,MATCH("Q2-"&amp;RIGHT(Q$3,4)-1,$3:$3,0)),
IF(LEFT(Q$3,2)="Q2",Q9+INDEX(9:9,0,MATCH("Q4-"&amp;RIGHT(Q$3,4)-1,$3:$3,0))+INDEX(9:9,0,MATCH("Q3-"&amp;RIGHT(Q$3,4)-1,$3:$3,0))+INDEX(9:9,0,MATCH("Q1-"&amp;RIGHT(Q$3,4),$3:$3,0)),
IF(LEFT(Q$3,2)="Q3",Q9+INDEX(9:9,0,MATCH("Q4-"&amp;RIGHT(Q$3,4)-1,$3:$3,0))+INDEX(9:9,0,MATCH("Q2-"&amp;RIGHT(Q$3,4),$3:$3,0))+INDEX(9:9,0,MATCH("Q1-"&amp;RIGHT(Q$3,4),$3:$3,0)),
IF(LEFT(Q$3,2)="Q4",INDEX(9:9,0,MATCH("FY"&amp;RIGHT(Q$3,4),$3:$3,0))))))), "")</f>
        <v>6530</v>
      </c>
      <c r="R18" s="1225">
        <f>IFERROR(IF(LEFT(R$3,1)="F",R9,
IF(LEFT(R$3,2)="Q1",R9+INDEX(9:9,0,MATCH("Q4-"&amp;RIGHT(R$3,4)-1,$3:$3,0))+INDEX(9:9,0,MATCH("Q3-"&amp;RIGHT(R$3,4)-1,$3:$3,0))+INDEX(9:9,0,MATCH("Q2-"&amp;RIGHT(R$3,4)-1,$3:$3,0)),
IF(LEFT(R$3,2)="Q2",R9+INDEX(9:9,0,MATCH("Q4-"&amp;RIGHT(R$3,4)-1,$3:$3,0))+INDEX(9:9,0,MATCH("Q3-"&amp;RIGHT(R$3,4)-1,$3:$3,0))+INDEX(9:9,0,MATCH("Q1-"&amp;RIGHT(R$3,4),$3:$3,0)),
IF(LEFT(R$3,2)="Q3",R9+INDEX(9:9,0,MATCH("Q4-"&amp;RIGHT(R$3,4)-1,$3:$3,0))+INDEX(9:9,0,MATCH("Q2-"&amp;RIGHT(R$3,4),$3:$3,0))+INDEX(9:9,0,MATCH("Q1-"&amp;RIGHT(R$3,4),$3:$3,0)),
IF(LEFT(R$3,2)="Q4",INDEX(9:9,0,MATCH("FY"&amp;RIGHT(R$3,4),$3:$3,0))))))), "")</f>
        <v>6534</v>
      </c>
      <c r="S18" s="1225">
        <f>IFERROR(IF(LEFT(S$3,1)="F",S9,
IF(LEFT(S$3,2)="Q1",S9+INDEX(9:9,0,MATCH("Q4-"&amp;RIGHT(S$3,4)-1,$3:$3,0))+INDEX(9:9,0,MATCH("Q3-"&amp;RIGHT(S$3,4)-1,$3:$3,0))+INDEX(9:9,0,MATCH("Q2-"&amp;RIGHT(S$3,4)-1,$3:$3,0)),
IF(LEFT(S$3,2)="Q2",S9+INDEX(9:9,0,MATCH("Q4-"&amp;RIGHT(S$3,4)-1,$3:$3,0))+INDEX(9:9,0,MATCH("Q3-"&amp;RIGHT(S$3,4)-1,$3:$3,0))+INDEX(9:9,0,MATCH("Q1-"&amp;RIGHT(S$3,4),$3:$3,0)),
IF(LEFT(S$3,2)="Q3",S9+INDEX(9:9,0,MATCH("Q4-"&amp;RIGHT(S$3,4)-1,$3:$3,0))+INDEX(9:9,0,MATCH("Q2-"&amp;RIGHT(S$3,4),$3:$3,0))+INDEX(9:9,0,MATCH("Q1-"&amp;RIGHT(S$3,4),$3:$3,0)),
IF(LEFT(S$3,2)="Q4",INDEX(9:9,0,MATCH("FY"&amp;RIGHT(S$3,4),$3:$3,0))))))), "")</f>
        <v>6844</v>
      </c>
      <c r="T18" s="1219">
        <f>IFERROR(IF(LEFT(T$3,1)="F",T9,
IF(LEFT(T$3,2)="Q1",T9+INDEX(9:9,0,MATCH("Q4-"&amp;RIGHT(T$3,4)-1,$3:$3,0))+INDEX(9:9,0,MATCH("Q3-"&amp;RIGHT(T$3,4)-1,$3:$3,0))+INDEX(9:9,0,MATCH("Q2-"&amp;RIGHT(T$3,4)-1,$3:$3,0)),
IF(LEFT(T$3,2)="Q2",T9+INDEX(9:9,0,MATCH("Q4-"&amp;RIGHT(T$3,4)-1,$3:$3,0))+INDEX(9:9,0,MATCH("Q3-"&amp;RIGHT(T$3,4)-1,$3:$3,0))+INDEX(9:9,0,MATCH("Q1-"&amp;RIGHT(T$3,4),$3:$3,0)),
IF(LEFT(T$3,2)="Q3",T9+INDEX(9:9,0,MATCH("Q4-"&amp;RIGHT(T$3,4)-1,$3:$3,0))+INDEX(9:9,0,MATCH("Q2-"&amp;RIGHT(T$3,4),$3:$3,0))+INDEX(9:9,0,MATCH("Q1-"&amp;RIGHT(T$3,4),$3:$3,0)),
IF(LEFT(T$3,2)="Q4",INDEX(9:9,0,MATCH("FY"&amp;RIGHT(T$3,4),$3:$3,0))))))), "")</f>
        <v>6844</v>
      </c>
      <c r="U18" s="1225">
        <f>IFERROR(IF(LEFT(U$3,1)="F",U9,
IF(LEFT(U$3,2)="Q1",U9+INDEX(9:9,0,MATCH("Q4-"&amp;RIGHT(U$3,4)-1,$3:$3,0))+INDEX(9:9,0,MATCH("Q3-"&amp;RIGHT(U$3,4)-1,$3:$3,0))+INDEX(9:9,0,MATCH("Q2-"&amp;RIGHT(U$3,4)-1,$3:$3,0)),
IF(LEFT(U$3,2)="Q2",U9+INDEX(9:9,0,MATCH("Q4-"&amp;RIGHT(U$3,4)-1,$3:$3,0))+INDEX(9:9,0,MATCH("Q3-"&amp;RIGHT(U$3,4)-1,$3:$3,0))+INDEX(9:9,0,MATCH("Q1-"&amp;RIGHT(U$3,4),$3:$3,0)),
IF(LEFT(U$3,2)="Q3",U9+INDEX(9:9,0,MATCH("Q4-"&amp;RIGHT(U$3,4)-1,$3:$3,0))+INDEX(9:9,0,MATCH("Q2-"&amp;RIGHT(U$3,4),$3:$3,0))+INDEX(9:9,0,MATCH("Q1-"&amp;RIGHT(U$3,4),$3:$3,0)),
IF(LEFT(U$3,2)="Q4",INDEX(9:9,0,MATCH("FY"&amp;RIGHT(U$3,4),$3:$3,0))))))), "")</f>
        <v>7160</v>
      </c>
      <c r="V18" s="1225">
        <f>IFERROR(IF(LEFT(V$3,1)="F",V9,
IF(LEFT(V$3,2)="Q1",V9+INDEX(9:9,0,MATCH("Q4-"&amp;RIGHT(V$3,4)-1,$3:$3,0))+INDEX(9:9,0,MATCH("Q3-"&amp;RIGHT(V$3,4)-1,$3:$3,0))+INDEX(9:9,0,MATCH("Q2-"&amp;RIGHT(V$3,4)-1,$3:$3,0)),
IF(LEFT(V$3,2)="Q2",V9+INDEX(9:9,0,MATCH("Q4-"&amp;RIGHT(V$3,4)-1,$3:$3,0))+INDEX(9:9,0,MATCH("Q3-"&amp;RIGHT(V$3,4)-1,$3:$3,0))+INDEX(9:9,0,MATCH("Q1-"&amp;RIGHT(V$3,4),$3:$3,0)),
IF(LEFT(V$3,2)="Q3",V9+INDEX(9:9,0,MATCH("Q4-"&amp;RIGHT(V$3,4)-1,$3:$3,0))+INDEX(9:9,0,MATCH("Q2-"&amp;RIGHT(V$3,4),$3:$3,0))+INDEX(9:9,0,MATCH("Q1-"&amp;RIGHT(V$3,4),$3:$3,0)),
IF(LEFT(V$3,2)="Q4",INDEX(9:9,0,MATCH("FY"&amp;RIGHT(V$3,4),$3:$3,0))))))), "")</f>
        <v>7447.9743847999998</v>
      </c>
      <c r="W18" s="1225">
        <f>IFERROR(IF(LEFT(W$3,1)="F",W9,
IF(LEFT(W$3,2)="Q1",W9+INDEX(9:9,0,MATCH("Q4-"&amp;RIGHT(W$3,4)-1,$3:$3,0))+INDEX(9:9,0,MATCH("Q3-"&amp;RIGHT(W$3,4)-1,$3:$3,0))+INDEX(9:9,0,MATCH("Q2-"&amp;RIGHT(W$3,4)-1,$3:$3,0)),
IF(LEFT(W$3,2)="Q2",W9+INDEX(9:9,0,MATCH("Q4-"&amp;RIGHT(W$3,4)-1,$3:$3,0))+INDEX(9:9,0,MATCH("Q3-"&amp;RIGHT(W$3,4)-1,$3:$3,0))+INDEX(9:9,0,MATCH("Q1-"&amp;RIGHT(W$3,4),$3:$3,0)),
IF(LEFT(W$3,2)="Q3",W9+INDEX(9:9,0,MATCH("Q4-"&amp;RIGHT(W$3,4)-1,$3:$3,0))+INDEX(9:9,0,MATCH("Q2-"&amp;RIGHT(W$3,4),$3:$3,0))+INDEX(9:9,0,MATCH("Q1-"&amp;RIGHT(W$3,4),$3:$3,0)),
IF(LEFT(W$3,2)="Q4",INDEX(9:9,0,MATCH("FY"&amp;RIGHT(W$3,4),$3:$3,0))))))), "")</f>
        <v>7576.6659528</v>
      </c>
      <c r="X18" s="1225">
        <f>IFERROR(IF(LEFT(X$3,1)="F",X9,
IF(LEFT(X$3,2)="Q1",X9+INDEX(9:9,0,MATCH("Q4-"&amp;RIGHT(X$3,4)-1,$3:$3,0))+INDEX(9:9,0,MATCH("Q3-"&amp;RIGHT(X$3,4)-1,$3:$3,0))+INDEX(9:9,0,MATCH("Q2-"&amp;RIGHT(X$3,4)-1,$3:$3,0)),
IF(LEFT(X$3,2)="Q2",X9+INDEX(9:9,0,MATCH("Q4-"&amp;RIGHT(X$3,4)-1,$3:$3,0))+INDEX(9:9,0,MATCH("Q3-"&amp;RIGHT(X$3,4)-1,$3:$3,0))+INDEX(9:9,0,MATCH("Q1-"&amp;RIGHT(X$3,4),$3:$3,0)),
IF(LEFT(X$3,2)="Q3",X9+INDEX(9:9,0,MATCH("Q4-"&amp;RIGHT(X$3,4)-1,$3:$3,0))+INDEX(9:9,0,MATCH("Q2-"&amp;RIGHT(X$3,4),$3:$3,0))+INDEX(9:9,0,MATCH("Q1-"&amp;RIGHT(X$3,4),$3:$3,0)),
IF(LEFT(X$3,2)="Q4",INDEX(9:9,0,MATCH("FY"&amp;RIGHT(X$3,4),$3:$3,0))))))), "")</f>
        <v>7867.7317612000006</v>
      </c>
      <c r="Y18" s="1219">
        <f>IFERROR(IF(LEFT(Y$3,1)="F",Y9,
IF(LEFT(Y$3,2)="Q1",Y9+INDEX(9:9,0,MATCH("Q4-"&amp;RIGHT(Y$3,4)-1,$3:$3,0))+INDEX(9:9,0,MATCH("Q3-"&amp;RIGHT(Y$3,4)-1,$3:$3,0))+INDEX(9:9,0,MATCH("Q2-"&amp;RIGHT(Y$3,4)-1,$3:$3,0)),
IF(LEFT(Y$3,2)="Q2",Y9+INDEX(9:9,0,MATCH("Q4-"&amp;RIGHT(Y$3,4)-1,$3:$3,0))+INDEX(9:9,0,MATCH("Q3-"&amp;RIGHT(Y$3,4)-1,$3:$3,0))+INDEX(9:9,0,MATCH("Q1-"&amp;RIGHT(Y$3,4),$3:$3,0)),
IF(LEFT(Y$3,2)="Q3",Y9+INDEX(9:9,0,MATCH("Q4-"&amp;RIGHT(Y$3,4)-1,$3:$3,0))+INDEX(9:9,0,MATCH("Q2-"&amp;RIGHT(Y$3,4),$3:$3,0))+INDEX(9:9,0,MATCH("Q1-"&amp;RIGHT(Y$3,4),$3:$3,0)),
IF(LEFT(Y$3,2)="Q4",INDEX(9:9,0,MATCH("FY"&amp;RIGHT(Y$3,4),$3:$3,0))))))), "")</f>
        <v>7867.7317612000006</v>
      </c>
      <c r="Z18" s="1225">
        <f>IFERROR(IF(LEFT(Z$3,1)="F",Z9,
IF(LEFT(Z$3,2)="Q1",Z9+INDEX(9:9,0,MATCH("Q4-"&amp;RIGHT(Z$3,4)-1,$3:$3,0))+INDEX(9:9,0,MATCH("Q3-"&amp;RIGHT(Z$3,4)-1,$3:$3,0))+INDEX(9:9,0,MATCH("Q2-"&amp;RIGHT(Z$3,4)-1,$3:$3,0)),
IF(LEFT(Z$3,2)="Q2",Z9+INDEX(9:9,0,MATCH("Q4-"&amp;RIGHT(Z$3,4)-1,$3:$3,0))+INDEX(9:9,0,MATCH("Q3-"&amp;RIGHT(Z$3,4)-1,$3:$3,0))+INDEX(9:9,0,MATCH("Q1-"&amp;RIGHT(Z$3,4),$3:$3,0)),
IF(LEFT(Z$3,2)="Q3",Z9+INDEX(9:9,0,MATCH("Q4-"&amp;RIGHT(Z$3,4)-1,$3:$3,0))+INDEX(9:9,0,MATCH("Q2-"&amp;RIGHT(Z$3,4),$3:$3,0))+INDEX(9:9,0,MATCH("Q1-"&amp;RIGHT(Z$3,4),$3:$3,0)),
IF(LEFT(Z$3,2)="Q4",INDEX(9:9,0,MATCH("FY"&amp;RIGHT(Z$3,4),$3:$3,0))))))), "")</f>
        <v>8132.4778960000003</v>
      </c>
      <c r="AA18" s="1225">
        <f>IFERROR(IF(LEFT(AA$3,1)="F",AA9,
IF(LEFT(AA$3,2)="Q1",AA9+INDEX(9:9,0,MATCH("Q4-"&amp;RIGHT(AA$3,4)-1,$3:$3,0))+INDEX(9:9,0,MATCH("Q3-"&amp;RIGHT(AA$3,4)-1,$3:$3,0))+INDEX(9:9,0,MATCH("Q2-"&amp;RIGHT(AA$3,4)-1,$3:$3,0)),
IF(LEFT(AA$3,2)="Q2",AA9+INDEX(9:9,0,MATCH("Q4-"&amp;RIGHT(AA$3,4)-1,$3:$3,0))+INDEX(9:9,0,MATCH("Q3-"&amp;RIGHT(AA$3,4)-1,$3:$3,0))+INDEX(9:9,0,MATCH("Q1-"&amp;RIGHT(AA$3,4),$3:$3,0)),
IF(LEFT(AA$3,2)="Q3",AA9+INDEX(9:9,0,MATCH("Q4-"&amp;RIGHT(AA$3,4)-1,$3:$3,0))+INDEX(9:9,0,MATCH("Q2-"&amp;RIGHT(AA$3,4),$3:$3,0))+INDEX(9:9,0,MATCH("Q1-"&amp;RIGHT(AA$3,4),$3:$3,0)),
IF(LEFT(AA$3,2)="Q4",INDEX(9:9,0,MATCH("FY"&amp;RIGHT(AA$3,4),$3:$3,0))))))), "")</f>
        <v>8412.1045555520013</v>
      </c>
      <c r="AB18" s="1225">
        <f>IFERROR(IF(LEFT(AB$3,1)="F",AB9,
IF(LEFT(AB$3,2)="Q1",AB9+INDEX(9:9,0,MATCH("Q4-"&amp;RIGHT(AB$3,4)-1,$3:$3,0))+INDEX(9:9,0,MATCH("Q3-"&amp;RIGHT(AB$3,4)-1,$3:$3,0))+INDEX(9:9,0,MATCH("Q2-"&amp;RIGHT(AB$3,4)-1,$3:$3,0)),
IF(LEFT(AB$3,2)="Q2",AB9+INDEX(9:9,0,MATCH("Q4-"&amp;RIGHT(AB$3,4)-1,$3:$3,0))+INDEX(9:9,0,MATCH("Q3-"&amp;RIGHT(AB$3,4)-1,$3:$3,0))+INDEX(9:9,0,MATCH("Q1-"&amp;RIGHT(AB$3,4),$3:$3,0)),
IF(LEFT(AB$3,2)="Q3",AB9+INDEX(9:9,0,MATCH("Q4-"&amp;RIGHT(AB$3,4)-1,$3:$3,0))+INDEX(9:9,0,MATCH("Q2-"&amp;RIGHT(AB$3,4),$3:$3,0))+INDEX(9:9,0,MATCH("Q1-"&amp;RIGHT(AB$3,4),$3:$3,0)),
IF(LEFT(AB$3,2)="Q4",INDEX(9:9,0,MATCH("FY"&amp;RIGHT(AB$3,4),$3:$3,0))))))), "")</f>
        <v>8491.3620461440005</v>
      </c>
      <c r="AC18" s="1225">
        <f>IFERROR(IF(LEFT(AC$3,1)="F",AC9,
IF(LEFT(AC$3,2)="Q1",AC9+INDEX(9:9,0,MATCH("Q4-"&amp;RIGHT(AC$3,4)-1,$3:$3,0))+INDEX(9:9,0,MATCH("Q3-"&amp;RIGHT(AC$3,4)-1,$3:$3,0))+INDEX(9:9,0,MATCH("Q2-"&amp;RIGHT(AC$3,4)-1,$3:$3,0)),
IF(LEFT(AC$3,2)="Q2",AC9+INDEX(9:9,0,MATCH("Q4-"&amp;RIGHT(AC$3,4)-1,$3:$3,0))+INDEX(9:9,0,MATCH("Q3-"&amp;RIGHT(AC$3,4)-1,$3:$3,0))+INDEX(9:9,0,MATCH("Q1-"&amp;RIGHT(AC$3,4),$3:$3,0)),
IF(LEFT(AC$3,2)="Q3",AC9+INDEX(9:9,0,MATCH("Q4-"&amp;RIGHT(AC$3,4)-1,$3:$3,0))+INDEX(9:9,0,MATCH("Q2-"&amp;RIGHT(AC$3,4),$3:$3,0))+INDEX(9:9,0,MATCH("Q1-"&amp;RIGHT(AC$3,4),$3:$3,0)),
IF(LEFT(AC$3,2)="Q4",INDEX(9:9,0,MATCH("FY"&amp;RIGHT(AC$3,4),$3:$3,0))))))), "")</f>
        <v>8691.7012873560016</v>
      </c>
      <c r="AD18" s="1219">
        <f>IFERROR(IF(LEFT(AD$3,1)="F",AD9,
IF(LEFT(AD$3,2)="Q1",AD9+INDEX(9:9,0,MATCH("Q4-"&amp;RIGHT(AD$3,4)-1,$3:$3,0))+INDEX(9:9,0,MATCH("Q3-"&amp;RIGHT(AD$3,4)-1,$3:$3,0))+INDEX(9:9,0,MATCH("Q2-"&amp;RIGHT(AD$3,4)-1,$3:$3,0)),
IF(LEFT(AD$3,2)="Q2",AD9+INDEX(9:9,0,MATCH("Q4-"&amp;RIGHT(AD$3,4)-1,$3:$3,0))+INDEX(9:9,0,MATCH("Q3-"&amp;RIGHT(AD$3,4)-1,$3:$3,0))+INDEX(9:9,0,MATCH("Q1-"&amp;RIGHT(AD$3,4),$3:$3,0)),
IF(LEFT(AD$3,2)="Q3",AD9+INDEX(9:9,0,MATCH("Q4-"&amp;RIGHT(AD$3,4)-1,$3:$3,0))+INDEX(9:9,0,MATCH("Q2-"&amp;RIGHT(AD$3,4),$3:$3,0))+INDEX(9:9,0,MATCH("Q1-"&amp;RIGHT(AD$3,4),$3:$3,0)),
IF(LEFT(AD$3,2)="Q4",INDEX(9:9,0,MATCH("FY"&amp;RIGHT(AD$3,4),$3:$3,0))))))), "")</f>
        <v>8691.7012873560016</v>
      </c>
      <c r="AE18" s="1219">
        <f>IFERROR(IF(LEFT(AE$3,1)="F",AE9,
IF(LEFT(AE$3,2)="Q1",AE9+INDEX(9:9,0,MATCH("Q4-"&amp;RIGHT(AE$3,4)-1,$3:$3,0))+INDEX(9:9,0,MATCH("Q3-"&amp;RIGHT(AE$3,4)-1,$3:$3,0))+INDEX(9:9,0,MATCH("Q2-"&amp;RIGHT(AE$3,4)-1,$3:$3,0)),
IF(LEFT(AE$3,2)="Q2",AE9+INDEX(9:9,0,MATCH("Q4-"&amp;RIGHT(AE$3,4)-1,$3:$3,0))+INDEX(9:9,0,MATCH("Q3-"&amp;RIGHT(AE$3,4)-1,$3:$3,0))+INDEX(9:9,0,MATCH("Q1-"&amp;RIGHT(AE$3,4),$3:$3,0)),
IF(LEFT(AE$3,2)="Q3",AE9+INDEX(9:9,0,MATCH("Q4-"&amp;RIGHT(AE$3,4)-1,$3:$3,0))+INDEX(9:9,0,MATCH("Q2-"&amp;RIGHT(AE$3,4),$3:$3,0))+INDEX(9:9,0,MATCH("Q1-"&amp;RIGHT(AE$3,4),$3:$3,0)),
IF(LEFT(AE$3,2)="Q4",INDEX(9:9,0,MATCH("FY"&amp;RIGHT(AE$3,4),$3:$3,0))))))), "")</f>
        <v>9495.5891532131791</v>
      </c>
      <c r="AF18" s="1219">
        <f>IFERROR(IF(LEFT(AF$3,1)="F",AF9,
IF(LEFT(AF$3,2)="Q1",AF9+INDEX(9:9,0,MATCH("Q4-"&amp;RIGHT(AF$3,4)-1,$3:$3,0))+INDEX(9:9,0,MATCH("Q3-"&amp;RIGHT(AF$3,4)-1,$3:$3,0))+INDEX(9:9,0,MATCH("Q2-"&amp;RIGHT(AF$3,4)-1,$3:$3,0)),
IF(LEFT(AF$3,2)="Q2",AF9+INDEX(9:9,0,MATCH("Q4-"&amp;RIGHT(AF$3,4)-1,$3:$3,0))+INDEX(9:9,0,MATCH("Q3-"&amp;RIGHT(AF$3,4)-1,$3:$3,0))+INDEX(9:9,0,MATCH("Q1-"&amp;RIGHT(AF$3,4),$3:$3,0)),
IF(LEFT(AF$3,2)="Q3",AF9+INDEX(9:9,0,MATCH("Q4-"&amp;RIGHT(AF$3,4)-1,$3:$3,0))+INDEX(9:9,0,MATCH("Q2-"&amp;RIGHT(AF$3,4),$3:$3,0))+INDEX(9:9,0,MATCH("Q1-"&amp;RIGHT(AF$3,4),$3:$3,0)),
IF(LEFT(AF$3,2)="Q4",INDEX(9:9,0,MATCH("FY"&amp;RIGHT(AF$3,4),$3:$3,0))))))), "")</f>
        <v>10367.758610940777</v>
      </c>
      <c r="AG18" s="1221">
        <f>IFERROR(IF(LEFT(AG$3,1)="F",AG9,
IF(LEFT(AG$3,2)="Q1",AG9+INDEX(9:9,0,MATCH("Q4-"&amp;RIGHT(AG$3,4)-1,$3:$3,0))+INDEX(9:9,0,MATCH("Q3-"&amp;RIGHT(AG$3,4)-1,$3:$3,0))+INDEX(9:9,0,MATCH("Q2-"&amp;RIGHT(AG$3,4)-1,$3:$3,0)),
IF(LEFT(AG$3,2)="Q2",AG9+INDEX(9:9,0,MATCH("Q4-"&amp;RIGHT(AG$3,4)-1,$3:$3,0))+INDEX(9:9,0,MATCH("Q3-"&amp;RIGHT(AG$3,4)-1,$3:$3,0))+INDEX(9:9,0,MATCH("Q1-"&amp;RIGHT(AG$3,4),$3:$3,0)),
IF(LEFT(AG$3,2)="Q3",AG9+INDEX(9:9,0,MATCH("Q4-"&amp;RIGHT(AG$3,4)-1,$3:$3,0))+INDEX(9:9,0,MATCH("Q2-"&amp;RIGHT(AG$3,4),$3:$3,0))+INDEX(9:9,0,MATCH("Q1-"&amp;RIGHT(AG$3,4),$3:$3,0)),
IF(LEFT(AG$3,2)="Q4",INDEX(9:9,0,MATCH("FY"&amp;RIGHT(AG$3,4),$3:$3,0))))))), "")</f>
        <v>11313.838469852113</v>
      </c>
    </row>
    <row r="19" spans="1:34" s="1222" customFormat="1" ht="14.25" customHeight="1" outlineLevel="1" x14ac:dyDescent="0.35">
      <c r="A19" s="1216" t="str">
        <f>"LTM "&amp;A10</f>
        <v>LTM Interest expense</v>
      </c>
      <c r="B19" s="1217"/>
      <c r="C19" s="1218"/>
      <c r="D19" s="1219">
        <f>IFERROR(IF(LEFT(D$3,1)="F",D10,
IF(LEFT(D$3,2)="Q1",D10+INDEX(10:10,0,MATCH("Q4-"&amp;RIGHT(D$3,4)-1,$3:$3,0))+INDEX(10:10,0,MATCH("Q3-"&amp;RIGHT(D$3,4)-1,$3:$3,0))+INDEX(10:10,0,MATCH("Q2-"&amp;RIGHT(D$3,4)-1,$3:$3,0)),
IF(LEFT(D$3,2)="Q2",D10+INDEX(10:10,0,MATCH("Q4-"&amp;RIGHT(D$3,4)-1,$3:$3,0))+INDEX(10:10,0,MATCH("Q3-"&amp;RIGHT(D$3,4)-1,$3:$3,0))+INDEX(10:10,0,MATCH("Q1-"&amp;RIGHT(D$3,4),$3:$3,0)),
IF(LEFT(D$3,2)="Q3",D10+INDEX(10:10,0,MATCH("Q4-"&amp;RIGHT(D$3,4)-1,$3:$3,0))+INDEX(10:10,0,MATCH("Q2-"&amp;RIGHT(D$3,4),$3:$3,0))+INDEX(10:10,0,MATCH("Q1-"&amp;RIGHT(D$3,4),$3:$3,0)),
IF(LEFT(D$3,2)="Q4",INDEX(10:10,0,MATCH("FY"&amp;RIGHT(D$3,4),$3:$3,0))))))), "")</f>
        <v>199</v>
      </c>
      <c r="E19" s="1219">
        <f>IFERROR(IF(LEFT(E$3,1)="F",E10,
IF(LEFT(E$3,2)="Q1",E10+INDEX(10:10,0,MATCH("Q4-"&amp;RIGHT(E$3,4)-1,$3:$3,0))+INDEX(10:10,0,MATCH("Q3-"&amp;RIGHT(E$3,4)-1,$3:$3,0))+INDEX(10:10,0,MATCH("Q2-"&amp;RIGHT(E$3,4)-1,$3:$3,0)),
IF(LEFT(E$3,2)="Q2",E10+INDEX(10:10,0,MATCH("Q4-"&amp;RIGHT(E$3,4)-1,$3:$3,0))+INDEX(10:10,0,MATCH("Q3-"&amp;RIGHT(E$3,4)-1,$3:$3,0))+INDEX(10:10,0,MATCH("Q1-"&amp;RIGHT(E$3,4),$3:$3,0)),
IF(LEFT(E$3,2)="Q3",E10+INDEX(10:10,0,MATCH("Q4-"&amp;RIGHT(E$3,4)-1,$3:$3,0))+INDEX(10:10,0,MATCH("Q2-"&amp;RIGHT(E$3,4),$3:$3,0))+INDEX(10:10,0,MATCH("Q1-"&amp;RIGHT(E$3,4),$3:$3,0)),
IF(LEFT(E$3,2)="Q4",INDEX(10:10,0,MATCH("FY"&amp;RIGHT(E$3,4),$3:$3,0))))))), "")</f>
        <v>322</v>
      </c>
      <c r="F19" s="1225" t="str">
        <f>IFERROR(IF(LEFT(F$3,1)="F",F10,
IF(LEFT(F$3,2)="Q1",F10+INDEX(10:10,0,MATCH("Q4-"&amp;RIGHT(F$3,4)-1,$3:$3,0))+INDEX(10:10,0,MATCH("Q3-"&amp;RIGHT(F$3,4)-1,$3:$3,0))+INDEX(10:10,0,MATCH("Q2-"&amp;RIGHT(F$3,4)-1,$3:$3,0)),
IF(LEFT(F$3,2)="Q2",F10+INDEX(10:10,0,MATCH("Q4-"&amp;RIGHT(F$3,4)-1,$3:$3,0))+INDEX(10:10,0,MATCH("Q3-"&amp;RIGHT(F$3,4)-1,$3:$3,0))+INDEX(10:10,0,MATCH("Q1-"&amp;RIGHT(F$3,4),$3:$3,0)),
IF(LEFT(F$3,2)="Q3",F10+INDEX(10:10,0,MATCH("Q4-"&amp;RIGHT(F$3,4)-1,$3:$3,0))+INDEX(10:10,0,MATCH("Q2-"&amp;RIGHT(F$3,4),$3:$3,0))+INDEX(10:10,0,MATCH("Q1-"&amp;RIGHT(F$3,4),$3:$3,0)),
IF(LEFT(F$3,2)="Q4",INDEX(10:10,0,MATCH("FY"&amp;RIGHT(F$3,4),$3:$3,0))))))), "")</f>
        <v/>
      </c>
      <c r="G19" s="1225" t="str">
        <f>IFERROR(IF(LEFT(G$3,1)="F",G10,
IF(LEFT(G$3,2)="Q1",G10+INDEX(10:10,0,MATCH("Q4-"&amp;RIGHT(G$3,4)-1,$3:$3,0))+INDEX(10:10,0,MATCH("Q3-"&amp;RIGHT(G$3,4)-1,$3:$3,0))+INDEX(10:10,0,MATCH("Q2-"&amp;RIGHT(G$3,4)-1,$3:$3,0)),
IF(LEFT(G$3,2)="Q2",G10+INDEX(10:10,0,MATCH("Q4-"&amp;RIGHT(G$3,4)-1,$3:$3,0))+INDEX(10:10,0,MATCH("Q3-"&amp;RIGHT(G$3,4)-1,$3:$3,0))+INDEX(10:10,0,MATCH("Q1-"&amp;RIGHT(G$3,4),$3:$3,0)),
IF(LEFT(G$3,2)="Q3",G10+INDEX(10:10,0,MATCH("Q4-"&amp;RIGHT(G$3,4)-1,$3:$3,0))+INDEX(10:10,0,MATCH("Q2-"&amp;RIGHT(G$3,4),$3:$3,0))+INDEX(10:10,0,MATCH("Q1-"&amp;RIGHT(G$3,4),$3:$3,0)),
IF(LEFT(G$3,2)="Q4",INDEX(10:10,0,MATCH("FY"&amp;RIGHT(G$3,4),$3:$3,0))))))), "")</f>
        <v/>
      </c>
      <c r="H19" s="1225" t="str">
        <f>IFERROR(IF(LEFT(H$3,1)="F",H10,
IF(LEFT(H$3,2)="Q1",H10+INDEX(10:10,0,MATCH("Q4-"&amp;RIGHT(H$3,4)-1,$3:$3,0))+INDEX(10:10,0,MATCH("Q3-"&amp;RIGHT(H$3,4)-1,$3:$3,0))+INDEX(10:10,0,MATCH("Q2-"&amp;RIGHT(H$3,4)-1,$3:$3,0)),
IF(LEFT(H$3,2)="Q2",H10+INDEX(10:10,0,MATCH("Q4-"&amp;RIGHT(H$3,4)-1,$3:$3,0))+INDEX(10:10,0,MATCH("Q3-"&amp;RIGHT(H$3,4)-1,$3:$3,0))+INDEX(10:10,0,MATCH("Q1-"&amp;RIGHT(H$3,4),$3:$3,0)),
IF(LEFT(H$3,2)="Q3",H10+INDEX(10:10,0,MATCH("Q4-"&amp;RIGHT(H$3,4)-1,$3:$3,0))+INDEX(10:10,0,MATCH("Q2-"&amp;RIGHT(H$3,4),$3:$3,0))+INDEX(10:10,0,MATCH("Q1-"&amp;RIGHT(H$3,4),$3:$3,0)),
IF(LEFT(H$3,2)="Q4",INDEX(10:10,0,MATCH("FY"&amp;RIGHT(H$3,4),$3:$3,0))))))), "")</f>
        <v/>
      </c>
      <c r="I19" s="1225">
        <f>IFERROR(IF(LEFT(I$3,1)="F",I10,
IF(LEFT(I$3,2)="Q1",I10+INDEX(10:10,0,MATCH("Q4-"&amp;RIGHT(I$3,4)-1,$3:$3,0))+INDEX(10:10,0,MATCH("Q3-"&amp;RIGHT(I$3,4)-1,$3:$3,0))+INDEX(10:10,0,MATCH("Q2-"&amp;RIGHT(I$3,4)-1,$3:$3,0)),
IF(LEFT(I$3,2)="Q2",I10+INDEX(10:10,0,MATCH("Q4-"&amp;RIGHT(I$3,4)-1,$3:$3,0))+INDEX(10:10,0,MATCH("Q3-"&amp;RIGHT(I$3,4)-1,$3:$3,0))+INDEX(10:10,0,MATCH("Q1-"&amp;RIGHT(I$3,4),$3:$3,0)),
IF(LEFT(I$3,2)="Q3",I10+INDEX(10:10,0,MATCH("Q4-"&amp;RIGHT(I$3,4)-1,$3:$3,0))+INDEX(10:10,0,MATCH("Q2-"&amp;RIGHT(I$3,4),$3:$3,0))+INDEX(10:10,0,MATCH("Q1-"&amp;RIGHT(I$3,4),$3:$3,0)),
IF(LEFT(I$3,2)="Q4",INDEX(10:10,0,MATCH("FY"&amp;RIGHT(I$3,4),$3:$3,0))))))), "")</f>
        <v>350</v>
      </c>
      <c r="J19" s="1219">
        <f>IFERROR(IF(LEFT(J$3,1)="F",J10,
IF(LEFT(J$3,2)="Q1",J10+INDEX(10:10,0,MATCH("Q4-"&amp;RIGHT(J$3,4)-1,$3:$3,0))+INDEX(10:10,0,MATCH("Q3-"&amp;RIGHT(J$3,4)-1,$3:$3,0))+INDEX(10:10,0,MATCH("Q2-"&amp;RIGHT(J$3,4)-1,$3:$3,0)),
IF(LEFT(J$3,2)="Q2",J10+INDEX(10:10,0,MATCH("Q4-"&amp;RIGHT(J$3,4)-1,$3:$3,0))+INDEX(10:10,0,MATCH("Q3-"&amp;RIGHT(J$3,4)-1,$3:$3,0))+INDEX(10:10,0,MATCH("Q1-"&amp;RIGHT(J$3,4),$3:$3,0)),
IF(LEFT(J$3,2)="Q3",J10+INDEX(10:10,0,MATCH("Q4-"&amp;RIGHT(J$3,4)-1,$3:$3,0))+INDEX(10:10,0,MATCH("Q2-"&amp;RIGHT(J$3,4),$3:$3,0))+INDEX(10:10,0,MATCH("Q1-"&amp;RIGHT(J$3,4),$3:$3,0)),
IF(LEFT(J$3,2)="Q4",INDEX(10:10,0,MATCH("FY"&amp;RIGHT(J$3,4),$3:$3,0))))))), "")</f>
        <v>350</v>
      </c>
      <c r="K19" s="1225">
        <f>IFERROR(IF(LEFT(K$3,1)="F",K10,
IF(LEFT(K$3,2)="Q1",K10+INDEX(10:10,0,MATCH("Q4-"&amp;RIGHT(K$3,4)-1,$3:$3,0))+INDEX(10:10,0,MATCH("Q3-"&amp;RIGHT(K$3,4)-1,$3:$3,0))+INDEX(10:10,0,MATCH("Q2-"&amp;RIGHT(K$3,4)-1,$3:$3,0)),
IF(LEFT(K$3,2)="Q2",K10+INDEX(10:10,0,MATCH("Q4-"&amp;RIGHT(K$3,4)-1,$3:$3,0))+INDEX(10:10,0,MATCH("Q3-"&amp;RIGHT(K$3,4)-1,$3:$3,0))+INDEX(10:10,0,MATCH("Q1-"&amp;RIGHT(K$3,4),$3:$3,0)),
IF(LEFT(K$3,2)="Q3",K10+INDEX(10:10,0,MATCH("Q4-"&amp;RIGHT(K$3,4)-1,$3:$3,0))+INDEX(10:10,0,MATCH("Q2-"&amp;RIGHT(K$3,4),$3:$3,0))+INDEX(10:10,0,MATCH("Q1-"&amp;RIGHT(K$3,4),$3:$3,0)),
IF(LEFT(K$3,2)="Q4",INDEX(10:10,0,MATCH("FY"&amp;RIGHT(K$3,4),$3:$3,0))))))), "")</f>
        <v>372</v>
      </c>
      <c r="L19" s="1225">
        <f>IFERROR(IF(LEFT(L$3,1)="F",L10,
IF(LEFT(L$3,2)="Q1",L10+INDEX(10:10,0,MATCH("Q4-"&amp;RIGHT(L$3,4)-1,$3:$3,0))+INDEX(10:10,0,MATCH("Q3-"&amp;RIGHT(L$3,4)-1,$3:$3,0))+INDEX(10:10,0,MATCH("Q2-"&amp;RIGHT(L$3,4)-1,$3:$3,0)),
IF(LEFT(L$3,2)="Q2",L10+INDEX(10:10,0,MATCH("Q4-"&amp;RIGHT(L$3,4)-1,$3:$3,0))+INDEX(10:10,0,MATCH("Q3-"&amp;RIGHT(L$3,4)-1,$3:$3,0))+INDEX(10:10,0,MATCH("Q1-"&amp;RIGHT(L$3,4),$3:$3,0)),
IF(LEFT(L$3,2)="Q3",L10+INDEX(10:10,0,MATCH("Q4-"&amp;RIGHT(L$3,4)-1,$3:$3,0))+INDEX(10:10,0,MATCH("Q2-"&amp;RIGHT(L$3,4),$3:$3,0))+INDEX(10:10,0,MATCH("Q1-"&amp;RIGHT(L$3,4),$3:$3,0)),
IF(LEFT(L$3,2)="Q4",INDEX(10:10,0,MATCH("FY"&amp;RIGHT(L$3,4),$3:$3,0))))))), "")</f>
        <v>395</v>
      </c>
      <c r="M19" s="1225">
        <f>IFERROR(IF(LEFT(M$3,1)="F",M10,
IF(LEFT(M$3,2)="Q1",M10+INDEX(10:10,0,MATCH("Q4-"&amp;RIGHT(M$3,4)-1,$3:$3,0))+INDEX(10:10,0,MATCH("Q3-"&amp;RIGHT(M$3,4)-1,$3:$3,0))+INDEX(10:10,0,MATCH("Q2-"&amp;RIGHT(M$3,4)-1,$3:$3,0)),
IF(LEFT(M$3,2)="Q2",M10+INDEX(10:10,0,MATCH("Q4-"&amp;RIGHT(M$3,4)-1,$3:$3,0))+INDEX(10:10,0,MATCH("Q3-"&amp;RIGHT(M$3,4)-1,$3:$3,0))+INDEX(10:10,0,MATCH("Q1-"&amp;RIGHT(M$3,4),$3:$3,0)),
IF(LEFT(M$3,2)="Q3",M10+INDEX(10:10,0,MATCH("Q4-"&amp;RIGHT(M$3,4)-1,$3:$3,0))+INDEX(10:10,0,MATCH("Q2-"&amp;RIGHT(M$3,4),$3:$3,0))+INDEX(10:10,0,MATCH("Q1-"&amp;RIGHT(M$3,4),$3:$3,0)),
IF(LEFT(M$3,2)="Q4",INDEX(10:10,0,MATCH("FY"&amp;RIGHT(M$3,4),$3:$3,0))))))), "")</f>
        <v>419</v>
      </c>
      <c r="N19" s="1225">
        <f>IFERROR(IF(LEFT(N$3,1)="F",N10,
IF(LEFT(N$3,2)="Q1",N10+INDEX(10:10,0,MATCH("Q4-"&amp;RIGHT(N$3,4)-1,$3:$3,0))+INDEX(10:10,0,MATCH("Q3-"&amp;RIGHT(N$3,4)-1,$3:$3,0))+INDEX(10:10,0,MATCH("Q2-"&amp;RIGHT(N$3,4)-1,$3:$3,0)),
IF(LEFT(N$3,2)="Q2",N10+INDEX(10:10,0,MATCH("Q4-"&amp;RIGHT(N$3,4)-1,$3:$3,0))+INDEX(10:10,0,MATCH("Q3-"&amp;RIGHT(N$3,4)-1,$3:$3,0))+INDEX(10:10,0,MATCH("Q1-"&amp;RIGHT(N$3,4),$3:$3,0)),
IF(LEFT(N$3,2)="Q3",N10+INDEX(10:10,0,MATCH("Q4-"&amp;RIGHT(N$3,4)-1,$3:$3,0))+INDEX(10:10,0,MATCH("Q2-"&amp;RIGHT(N$3,4),$3:$3,0))+INDEX(10:10,0,MATCH("Q1-"&amp;RIGHT(N$3,4),$3:$3,0)),
IF(LEFT(N$3,2)="Q4",INDEX(10:10,0,MATCH("FY"&amp;RIGHT(N$3,4),$3:$3,0))))))), "")</f>
        <v>448</v>
      </c>
      <c r="O19" s="1219">
        <f>IFERROR(IF(LEFT(O$3,1)="F",O10,
IF(LEFT(O$3,2)="Q1",O10+INDEX(10:10,0,MATCH("Q4-"&amp;RIGHT(O$3,4)-1,$3:$3,0))+INDEX(10:10,0,MATCH("Q3-"&amp;RIGHT(O$3,4)-1,$3:$3,0))+INDEX(10:10,0,MATCH("Q2-"&amp;RIGHT(O$3,4)-1,$3:$3,0)),
IF(LEFT(O$3,2)="Q2",O10+INDEX(10:10,0,MATCH("Q4-"&amp;RIGHT(O$3,4)-1,$3:$3,0))+INDEX(10:10,0,MATCH("Q3-"&amp;RIGHT(O$3,4)-1,$3:$3,0))+INDEX(10:10,0,MATCH("Q1-"&amp;RIGHT(O$3,4),$3:$3,0)),
IF(LEFT(O$3,2)="Q3",O10+INDEX(10:10,0,MATCH("Q4-"&amp;RIGHT(O$3,4)-1,$3:$3,0))+INDEX(10:10,0,MATCH("Q2-"&amp;RIGHT(O$3,4),$3:$3,0))+INDEX(10:10,0,MATCH("Q1-"&amp;RIGHT(O$3,4),$3:$3,0)),
IF(LEFT(O$3,2)="Q4",INDEX(10:10,0,MATCH("FY"&amp;RIGHT(O$3,4),$3:$3,0))))))), "")</f>
        <v>448</v>
      </c>
      <c r="P19" s="1225">
        <f>IFERROR(IF(LEFT(P$3,1)="F",P10,
IF(LEFT(P$3,2)="Q1",P10+INDEX(10:10,0,MATCH("Q4-"&amp;RIGHT(P$3,4)-1,$3:$3,0))+INDEX(10:10,0,MATCH("Q3-"&amp;RIGHT(P$3,4)-1,$3:$3,0))+INDEX(10:10,0,MATCH("Q2-"&amp;RIGHT(P$3,4)-1,$3:$3,0)),
IF(LEFT(P$3,2)="Q2",P10+INDEX(10:10,0,MATCH("Q4-"&amp;RIGHT(P$3,4)-1,$3:$3,0))+INDEX(10:10,0,MATCH("Q3-"&amp;RIGHT(P$3,4)-1,$3:$3,0))+INDEX(10:10,0,MATCH("Q1-"&amp;RIGHT(P$3,4),$3:$3,0)),
IF(LEFT(P$3,2)="Q3",P10+INDEX(10:10,0,MATCH("Q4-"&amp;RIGHT(P$3,4)-1,$3:$3,0))+INDEX(10:10,0,MATCH("Q2-"&amp;RIGHT(P$3,4),$3:$3,0))+INDEX(10:10,0,MATCH("Q1-"&amp;RIGHT(P$3,4),$3:$3,0)),
IF(LEFT(P$3,2)="Q4",INDEX(10:10,0,MATCH("FY"&amp;RIGHT(P$3,4),$3:$3,0))))))), "")</f>
        <v>467</v>
      </c>
      <c r="Q19" s="1225">
        <f>IFERROR(IF(LEFT(Q$3,1)="F",Q10,
IF(LEFT(Q$3,2)="Q1",Q10+INDEX(10:10,0,MATCH("Q4-"&amp;RIGHT(Q$3,4)-1,$3:$3,0))+INDEX(10:10,0,MATCH("Q3-"&amp;RIGHT(Q$3,4)-1,$3:$3,0))+INDEX(10:10,0,MATCH("Q2-"&amp;RIGHT(Q$3,4)-1,$3:$3,0)),
IF(LEFT(Q$3,2)="Q2",Q10+INDEX(10:10,0,MATCH("Q4-"&amp;RIGHT(Q$3,4)-1,$3:$3,0))+INDEX(10:10,0,MATCH("Q3-"&amp;RIGHT(Q$3,4)-1,$3:$3,0))+INDEX(10:10,0,MATCH("Q1-"&amp;RIGHT(Q$3,4),$3:$3,0)),
IF(LEFT(Q$3,2)="Q3",Q10+INDEX(10:10,0,MATCH("Q4-"&amp;RIGHT(Q$3,4)-1,$3:$3,0))+INDEX(10:10,0,MATCH("Q2-"&amp;RIGHT(Q$3,4),$3:$3,0))+INDEX(10:10,0,MATCH("Q1-"&amp;RIGHT(Q$3,4),$3:$3,0)),
IF(LEFT(Q$3,2)="Q4",INDEX(10:10,0,MATCH("FY"&amp;RIGHT(Q$3,4),$3:$3,0))))))), "")</f>
        <v>493</v>
      </c>
      <c r="R19" s="1225">
        <f>IFERROR(IF(LEFT(R$3,1)="F",R10,
IF(LEFT(R$3,2)="Q1",R10+INDEX(10:10,0,MATCH("Q4-"&amp;RIGHT(R$3,4)-1,$3:$3,0))+INDEX(10:10,0,MATCH("Q3-"&amp;RIGHT(R$3,4)-1,$3:$3,0))+INDEX(10:10,0,MATCH("Q2-"&amp;RIGHT(R$3,4)-1,$3:$3,0)),
IF(LEFT(R$3,2)="Q2",R10+INDEX(10:10,0,MATCH("Q4-"&amp;RIGHT(R$3,4)-1,$3:$3,0))+INDEX(10:10,0,MATCH("Q3-"&amp;RIGHT(R$3,4)-1,$3:$3,0))+INDEX(10:10,0,MATCH("Q1-"&amp;RIGHT(R$3,4),$3:$3,0)),
IF(LEFT(R$3,2)="Q3",R10+INDEX(10:10,0,MATCH("Q4-"&amp;RIGHT(R$3,4)-1,$3:$3,0))+INDEX(10:10,0,MATCH("Q2-"&amp;RIGHT(R$3,4),$3:$3,0))+INDEX(10:10,0,MATCH("Q1-"&amp;RIGHT(R$3,4),$3:$3,0)),
IF(LEFT(R$3,2)="Q4",INDEX(10:10,0,MATCH("FY"&amp;RIGHT(R$3,4),$3:$3,0))))))), "")</f>
        <v>512</v>
      </c>
      <c r="S19" s="1225">
        <f>IFERROR(IF(LEFT(S$3,1)="F",S10,
IF(LEFT(S$3,2)="Q1",S10+INDEX(10:10,0,MATCH("Q4-"&amp;RIGHT(S$3,4)-1,$3:$3,0))+INDEX(10:10,0,MATCH("Q3-"&amp;RIGHT(S$3,4)-1,$3:$3,0))+INDEX(10:10,0,MATCH("Q2-"&amp;RIGHT(S$3,4)-1,$3:$3,0)),
IF(LEFT(S$3,2)="Q2",S10+INDEX(10:10,0,MATCH("Q4-"&amp;RIGHT(S$3,4)-1,$3:$3,0))+INDEX(10:10,0,MATCH("Q3-"&amp;RIGHT(S$3,4)-1,$3:$3,0))+INDEX(10:10,0,MATCH("Q1-"&amp;RIGHT(S$3,4),$3:$3,0)),
IF(LEFT(S$3,2)="Q3",S10+INDEX(10:10,0,MATCH("Q4-"&amp;RIGHT(S$3,4)-1,$3:$3,0))+INDEX(10:10,0,MATCH("Q2-"&amp;RIGHT(S$3,4),$3:$3,0))+INDEX(10:10,0,MATCH("Q1-"&amp;RIGHT(S$3,4),$3:$3,0)),
IF(LEFT(S$3,2)="Q4",INDEX(10:10,0,MATCH("FY"&amp;RIGHT(S$3,4),$3:$3,0))))))), "")</f>
        <v>529</v>
      </c>
      <c r="T19" s="1219">
        <f>IFERROR(IF(LEFT(T$3,1)="F",T10,
IF(LEFT(T$3,2)="Q1",T10+INDEX(10:10,0,MATCH("Q4-"&amp;RIGHT(T$3,4)-1,$3:$3,0))+INDEX(10:10,0,MATCH("Q3-"&amp;RIGHT(T$3,4)-1,$3:$3,0))+INDEX(10:10,0,MATCH("Q2-"&amp;RIGHT(T$3,4)-1,$3:$3,0)),
IF(LEFT(T$3,2)="Q2",T10+INDEX(10:10,0,MATCH("Q4-"&amp;RIGHT(T$3,4)-1,$3:$3,0))+INDEX(10:10,0,MATCH("Q3-"&amp;RIGHT(T$3,4)-1,$3:$3,0))+INDEX(10:10,0,MATCH("Q1-"&amp;RIGHT(T$3,4),$3:$3,0)),
IF(LEFT(T$3,2)="Q3",T10+INDEX(10:10,0,MATCH("Q4-"&amp;RIGHT(T$3,4)-1,$3:$3,0))+INDEX(10:10,0,MATCH("Q2-"&amp;RIGHT(T$3,4),$3:$3,0))+INDEX(10:10,0,MATCH("Q1-"&amp;RIGHT(T$3,4),$3:$3,0)),
IF(LEFT(T$3,2)="Q4",INDEX(10:10,0,MATCH("FY"&amp;RIGHT(T$3,4),$3:$3,0))))))), "")</f>
        <v>529</v>
      </c>
      <c r="U19" s="1225">
        <f>IFERROR(IF(LEFT(U$3,1)="F",U10,
IF(LEFT(U$3,2)="Q1",U10+INDEX(10:10,0,MATCH("Q4-"&amp;RIGHT(U$3,4)-1,$3:$3,0))+INDEX(10:10,0,MATCH("Q3-"&amp;RIGHT(U$3,4)-1,$3:$3,0))+INDEX(10:10,0,MATCH("Q2-"&amp;RIGHT(U$3,4)-1,$3:$3,0)),
IF(LEFT(U$3,2)="Q2",U10+INDEX(10:10,0,MATCH("Q4-"&amp;RIGHT(U$3,4)-1,$3:$3,0))+INDEX(10:10,0,MATCH("Q3-"&amp;RIGHT(U$3,4)-1,$3:$3,0))+INDEX(10:10,0,MATCH("Q1-"&amp;RIGHT(U$3,4),$3:$3,0)),
IF(LEFT(U$3,2)="Q3",U10+INDEX(10:10,0,MATCH("Q4-"&amp;RIGHT(U$3,4)-1,$3:$3,0))+INDEX(10:10,0,MATCH("Q2-"&amp;RIGHT(U$3,4),$3:$3,0))+INDEX(10:10,0,MATCH("Q1-"&amp;RIGHT(U$3,4),$3:$3,0)),
IF(LEFT(U$3,2)="Q4",INDEX(10:10,0,MATCH("FY"&amp;RIGHT(U$3,4),$3:$3,0))))))), "")</f>
        <v>538</v>
      </c>
      <c r="V19" s="1225">
        <f>IFERROR(IF(LEFT(V$3,1)="F",V10,
IF(LEFT(V$3,2)="Q1",V10+INDEX(10:10,0,MATCH("Q4-"&amp;RIGHT(V$3,4)-1,$3:$3,0))+INDEX(10:10,0,MATCH("Q3-"&amp;RIGHT(V$3,4)-1,$3:$3,0))+INDEX(10:10,0,MATCH("Q2-"&amp;RIGHT(V$3,4)-1,$3:$3,0)),
IF(LEFT(V$3,2)="Q2",V10+INDEX(10:10,0,MATCH("Q4-"&amp;RIGHT(V$3,4)-1,$3:$3,0))+INDEX(10:10,0,MATCH("Q3-"&amp;RIGHT(V$3,4)-1,$3:$3,0))+INDEX(10:10,0,MATCH("Q1-"&amp;RIGHT(V$3,4),$3:$3,0)),
IF(LEFT(V$3,2)="Q3",V10+INDEX(10:10,0,MATCH("Q4-"&amp;RIGHT(V$3,4)-1,$3:$3,0))+INDEX(10:10,0,MATCH("Q2-"&amp;RIGHT(V$3,4),$3:$3,0))+INDEX(10:10,0,MATCH("Q1-"&amp;RIGHT(V$3,4),$3:$3,0)),
IF(LEFT(V$3,2)="Q4",INDEX(10:10,0,MATCH("FY"&amp;RIGHT(V$3,4),$3:$3,0))))))), "")</f>
        <v>532.49450136986297</v>
      </c>
      <c r="W19" s="1225">
        <f>IFERROR(IF(LEFT(W$3,1)="F",W10,
IF(LEFT(W$3,2)="Q1",W10+INDEX(10:10,0,MATCH("Q4-"&amp;RIGHT(W$3,4)-1,$3:$3,0))+INDEX(10:10,0,MATCH("Q3-"&amp;RIGHT(W$3,4)-1,$3:$3,0))+INDEX(10:10,0,MATCH("Q2-"&amp;RIGHT(W$3,4)-1,$3:$3,0)),
IF(LEFT(W$3,2)="Q2",W10+INDEX(10:10,0,MATCH("Q4-"&amp;RIGHT(W$3,4)-1,$3:$3,0))+INDEX(10:10,0,MATCH("Q3-"&amp;RIGHT(W$3,4)-1,$3:$3,0))+INDEX(10:10,0,MATCH("Q1-"&amp;RIGHT(W$3,4),$3:$3,0)),
IF(LEFT(W$3,2)="Q3",W10+INDEX(10:10,0,MATCH("Q4-"&amp;RIGHT(W$3,4)-1,$3:$3,0))+INDEX(10:10,0,MATCH("Q2-"&amp;RIGHT(W$3,4),$3:$3,0))+INDEX(10:10,0,MATCH("Q1-"&amp;RIGHT(W$3,4),$3:$3,0)),
IF(LEFT(W$3,2)="Q4",INDEX(10:10,0,MATCH("FY"&amp;RIGHT(W$3,4),$3:$3,0))))))), "")</f>
        <v>537.43399726027405</v>
      </c>
      <c r="X19" s="1225">
        <f>IFERROR(IF(LEFT(X$3,1)="F",X10,
IF(LEFT(X$3,2)="Q1",X10+INDEX(10:10,0,MATCH("Q4-"&amp;RIGHT(X$3,4)-1,$3:$3,0))+INDEX(10:10,0,MATCH("Q3-"&amp;RIGHT(X$3,4)-1,$3:$3,0))+INDEX(10:10,0,MATCH("Q2-"&amp;RIGHT(X$3,4)-1,$3:$3,0)),
IF(LEFT(X$3,2)="Q2",X10+INDEX(10:10,0,MATCH("Q4-"&amp;RIGHT(X$3,4)-1,$3:$3,0))+INDEX(10:10,0,MATCH("Q3-"&amp;RIGHT(X$3,4)-1,$3:$3,0))+INDEX(10:10,0,MATCH("Q1-"&amp;RIGHT(X$3,4),$3:$3,0)),
IF(LEFT(X$3,2)="Q3",X10+INDEX(10:10,0,MATCH("Q4-"&amp;RIGHT(X$3,4)-1,$3:$3,0))+INDEX(10:10,0,MATCH("Q2-"&amp;RIGHT(X$3,4),$3:$3,0))+INDEX(10:10,0,MATCH("Q1-"&amp;RIGHT(X$3,4),$3:$3,0)),
IF(LEFT(X$3,2)="Q4",INDEX(10:10,0,MATCH("FY"&amp;RIGHT(X$3,4),$3:$3,0))))))), "")</f>
        <v>529.37349315068491</v>
      </c>
      <c r="Y19" s="1219">
        <f>IFERROR(IF(LEFT(Y$3,1)="F",Y10,
IF(LEFT(Y$3,2)="Q1",Y10+INDEX(10:10,0,MATCH("Q4-"&amp;RIGHT(Y$3,4)-1,$3:$3,0))+INDEX(10:10,0,MATCH("Q3-"&amp;RIGHT(Y$3,4)-1,$3:$3,0))+INDEX(10:10,0,MATCH("Q2-"&amp;RIGHT(Y$3,4)-1,$3:$3,0)),
IF(LEFT(Y$3,2)="Q2",Y10+INDEX(10:10,0,MATCH("Q4-"&amp;RIGHT(Y$3,4)-1,$3:$3,0))+INDEX(10:10,0,MATCH("Q3-"&amp;RIGHT(Y$3,4)-1,$3:$3,0))+INDEX(10:10,0,MATCH("Q1-"&amp;RIGHT(Y$3,4),$3:$3,0)),
IF(LEFT(Y$3,2)="Q3",Y10+INDEX(10:10,0,MATCH("Q4-"&amp;RIGHT(Y$3,4)-1,$3:$3,0))+INDEX(10:10,0,MATCH("Q2-"&amp;RIGHT(Y$3,4),$3:$3,0))+INDEX(10:10,0,MATCH("Q1-"&amp;RIGHT(Y$3,4),$3:$3,0)),
IF(LEFT(Y$3,2)="Q4",INDEX(10:10,0,MATCH("FY"&amp;RIGHT(Y$3,4),$3:$3,0))))))), "")</f>
        <v>529.37349315068491</v>
      </c>
      <c r="Z19" s="1225">
        <f>IFERROR(IF(LEFT(Z$3,1)="F",Z10,
IF(LEFT(Z$3,2)="Q1",Z10+INDEX(10:10,0,MATCH("Q4-"&amp;RIGHT(Z$3,4)-1,$3:$3,0))+INDEX(10:10,0,MATCH("Q3-"&amp;RIGHT(Z$3,4)-1,$3:$3,0))+INDEX(10:10,0,MATCH("Q2-"&amp;RIGHT(Z$3,4)-1,$3:$3,0)),
IF(LEFT(Z$3,2)="Q2",Z10+INDEX(10:10,0,MATCH("Q4-"&amp;RIGHT(Z$3,4)-1,$3:$3,0))+INDEX(10:10,0,MATCH("Q3-"&amp;RIGHT(Z$3,4)-1,$3:$3,0))+INDEX(10:10,0,MATCH("Q1-"&amp;RIGHT(Z$3,4),$3:$3,0)),
IF(LEFT(Z$3,2)="Q3",Z10+INDEX(10:10,0,MATCH("Q4-"&amp;RIGHT(Z$3,4)-1,$3:$3,0))+INDEX(10:10,0,MATCH("Q2-"&amp;RIGHT(Z$3,4),$3:$3,0))+INDEX(10:10,0,MATCH("Q1-"&amp;RIGHT(Z$3,4),$3:$3,0)),
IF(LEFT(Z$3,2)="Q4",INDEX(10:10,0,MATCH("FY"&amp;RIGHT(Z$3,4),$3:$3,0))))))), "")</f>
        <v>527.423</v>
      </c>
      <c r="AA19" s="1225">
        <f>IFERROR(IF(LEFT(AA$3,1)="F",AA10,
IF(LEFT(AA$3,2)="Q1",AA10+INDEX(10:10,0,MATCH("Q4-"&amp;RIGHT(AA$3,4)-1,$3:$3,0))+INDEX(10:10,0,MATCH("Q3-"&amp;RIGHT(AA$3,4)-1,$3:$3,0))+INDEX(10:10,0,MATCH("Q2-"&amp;RIGHT(AA$3,4)-1,$3:$3,0)),
IF(LEFT(AA$3,2)="Q2",AA10+INDEX(10:10,0,MATCH("Q4-"&amp;RIGHT(AA$3,4)-1,$3:$3,0))+INDEX(10:10,0,MATCH("Q3-"&amp;RIGHT(AA$3,4)-1,$3:$3,0))+INDEX(10:10,0,MATCH("Q1-"&amp;RIGHT(AA$3,4),$3:$3,0)),
IF(LEFT(AA$3,2)="Q3",AA10+INDEX(10:10,0,MATCH("Q4-"&amp;RIGHT(AA$3,4)-1,$3:$3,0))+INDEX(10:10,0,MATCH("Q2-"&amp;RIGHT(AA$3,4),$3:$3,0))+INDEX(10:10,0,MATCH("Q1-"&amp;RIGHT(AA$3,4),$3:$3,0)),
IF(LEFT(AA$3,2)="Q4",INDEX(10:10,0,MATCH("FY"&amp;RIGHT(AA$3,4),$3:$3,0))))))), "")</f>
        <v>527.423</v>
      </c>
      <c r="AB19" s="1225">
        <f>IFERROR(IF(LEFT(AB$3,1)="F",AB10,
IF(LEFT(AB$3,2)="Q1",AB10+INDEX(10:10,0,MATCH("Q4-"&amp;RIGHT(AB$3,4)-1,$3:$3,0))+INDEX(10:10,0,MATCH("Q3-"&amp;RIGHT(AB$3,4)-1,$3:$3,0))+INDEX(10:10,0,MATCH("Q2-"&amp;RIGHT(AB$3,4)-1,$3:$3,0)),
IF(LEFT(AB$3,2)="Q2",AB10+INDEX(10:10,0,MATCH("Q4-"&amp;RIGHT(AB$3,4)-1,$3:$3,0))+INDEX(10:10,0,MATCH("Q3-"&amp;RIGHT(AB$3,4)-1,$3:$3,0))+INDEX(10:10,0,MATCH("Q1-"&amp;RIGHT(AB$3,4),$3:$3,0)),
IF(LEFT(AB$3,2)="Q3",AB10+INDEX(10:10,0,MATCH("Q4-"&amp;RIGHT(AB$3,4)-1,$3:$3,0))+INDEX(10:10,0,MATCH("Q2-"&amp;RIGHT(AB$3,4),$3:$3,0))+INDEX(10:10,0,MATCH("Q1-"&amp;RIGHT(AB$3,4),$3:$3,0)),
IF(LEFT(AB$3,2)="Q4",INDEX(10:10,0,MATCH("FY"&amp;RIGHT(AB$3,4),$3:$3,0))))))), "")</f>
        <v>527.423</v>
      </c>
      <c r="AC19" s="1225">
        <f>IFERROR(IF(LEFT(AC$3,1)="F",AC10,
IF(LEFT(AC$3,2)="Q1",AC10+INDEX(10:10,0,MATCH("Q4-"&amp;RIGHT(AC$3,4)-1,$3:$3,0))+INDEX(10:10,0,MATCH("Q3-"&amp;RIGHT(AC$3,4)-1,$3:$3,0))+INDEX(10:10,0,MATCH("Q2-"&amp;RIGHT(AC$3,4)-1,$3:$3,0)),
IF(LEFT(AC$3,2)="Q2",AC10+INDEX(10:10,0,MATCH("Q4-"&amp;RIGHT(AC$3,4)-1,$3:$3,0))+INDEX(10:10,0,MATCH("Q3-"&amp;RIGHT(AC$3,4)-1,$3:$3,0))+INDEX(10:10,0,MATCH("Q1-"&amp;RIGHT(AC$3,4),$3:$3,0)),
IF(LEFT(AC$3,2)="Q3",AC10+INDEX(10:10,0,MATCH("Q4-"&amp;RIGHT(AC$3,4)-1,$3:$3,0))+INDEX(10:10,0,MATCH("Q2-"&amp;RIGHT(AC$3,4),$3:$3,0))+INDEX(10:10,0,MATCH("Q1-"&amp;RIGHT(AC$3,4),$3:$3,0)),
IF(LEFT(AC$3,2)="Q4",INDEX(10:10,0,MATCH("FY"&amp;RIGHT(AC$3,4),$3:$3,0))))))), "")</f>
        <v>527.423</v>
      </c>
      <c r="AD19" s="1219">
        <f>IFERROR(IF(LEFT(AD$3,1)="F",AD10,
IF(LEFT(AD$3,2)="Q1",AD10+INDEX(10:10,0,MATCH("Q4-"&amp;RIGHT(AD$3,4)-1,$3:$3,0))+INDEX(10:10,0,MATCH("Q3-"&amp;RIGHT(AD$3,4)-1,$3:$3,0))+INDEX(10:10,0,MATCH("Q2-"&amp;RIGHT(AD$3,4)-1,$3:$3,0)),
IF(LEFT(AD$3,2)="Q2",AD10+INDEX(10:10,0,MATCH("Q4-"&amp;RIGHT(AD$3,4)-1,$3:$3,0))+INDEX(10:10,0,MATCH("Q3-"&amp;RIGHT(AD$3,4)-1,$3:$3,0))+INDEX(10:10,0,MATCH("Q1-"&amp;RIGHT(AD$3,4),$3:$3,0)),
IF(LEFT(AD$3,2)="Q3",AD10+INDEX(10:10,0,MATCH("Q4-"&amp;RIGHT(AD$3,4)-1,$3:$3,0))+INDEX(10:10,0,MATCH("Q2-"&amp;RIGHT(AD$3,4),$3:$3,0))+INDEX(10:10,0,MATCH("Q1-"&amp;RIGHT(AD$3,4),$3:$3,0)),
IF(LEFT(AD$3,2)="Q4",INDEX(10:10,0,MATCH("FY"&amp;RIGHT(AD$3,4),$3:$3,0))))))), "")</f>
        <v>527.423</v>
      </c>
      <c r="AE19" s="1219">
        <f>IFERROR(IF(LEFT(AE$3,1)="F",AE10,
IF(LEFT(AE$3,2)="Q1",AE10+INDEX(10:10,0,MATCH("Q4-"&amp;RIGHT(AE$3,4)-1,$3:$3,0))+INDEX(10:10,0,MATCH("Q3-"&amp;RIGHT(AE$3,4)-1,$3:$3,0))+INDEX(10:10,0,MATCH("Q2-"&amp;RIGHT(AE$3,4)-1,$3:$3,0)),
IF(LEFT(AE$3,2)="Q2",AE10+INDEX(10:10,0,MATCH("Q4-"&amp;RIGHT(AE$3,4)-1,$3:$3,0))+INDEX(10:10,0,MATCH("Q3-"&amp;RIGHT(AE$3,4)-1,$3:$3,0))+INDEX(10:10,0,MATCH("Q1-"&amp;RIGHT(AE$3,4),$3:$3,0)),
IF(LEFT(AE$3,2)="Q3",AE10+INDEX(10:10,0,MATCH("Q4-"&amp;RIGHT(AE$3,4)-1,$3:$3,0))+INDEX(10:10,0,MATCH("Q2-"&amp;RIGHT(AE$3,4),$3:$3,0))+INDEX(10:10,0,MATCH("Q1-"&amp;RIGHT(AE$3,4),$3:$3,0)),
IF(LEFT(AE$3,2)="Q4",INDEX(10:10,0,MATCH("FY"&amp;RIGHT(AE$3,4),$3:$3,0))))))), "")</f>
        <v>527.423</v>
      </c>
      <c r="AF19" s="1219">
        <f>IFERROR(IF(LEFT(AF$3,1)="F",AF10,
IF(LEFT(AF$3,2)="Q1",AF10+INDEX(10:10,0,MATCH("Q4-"&amp;RIGHT(AF$3,4)-1,$3:$3,0))+INDEX(10:10,0,MATCH("Q3-"&amp;RIGHT(AF$3,4)-1,$3:$3,0))+INDEX(10:10,0,MATCH("Q2-"&amp;RIGHT(AF$3,4)-1,$3:$3,0)),
IF(LEFT(AF$3,2)="Q2",AF10+INDEX(10:10,0,MATCH("Q4-"&amp;RIGHT(AF$3,4)-1,$3:$3,0))+INDEX(10:10,0,MATCH("Q3-"&amp;RIGHT(AF$3,4)-1,$3:$3,0))+INDEX(10:10,0,MATCH("Q1-"&amp;RIGHT(AF$3,4),$3:$3,0)),
IF(LEFT(AF$3,2)="Q3",AF10+INDEX(10:10,0,MATCH("Q4-"&amp;RIGHT(AF$3,4)-1,$3:$3,0))+INDEX(10:10,0,MATCH("Q2-"&amp;RIGHT(AF$3,4),$3:$3,0))+INDEX(10:10,0,MATCH("Q1-"&amp;RIGHT(AF$3,4),$3:$3,0)),
IF(LEFT(AF$3,2)="Q4",INDEX(10:10,0,MATCH("FY"&amp;RIGHT(AF$3,4),$3:$3,0))))))), "")</f>
        <v>527.423</v>
      </c>
      <c r="AG19" s="1221">
        <f>IFERROR(IF(LEFT(AG$3,1)="F",AG10,
IF(LEFT(AG$3,2)="Q1",AG10+INDEX(10:10,0,MATCH("Q4-"&amp;RIGHT(AG$3,4)-1,$3:$3,0))+INDEX(10:10,0,MATCH("Q3-"&amp;RIGHT(AG$3,4)-1,$3:$3,0))+INDEX(10:10,0,MATCH("Q2-"&amp;RIGHT(AG$3,4)-1,$3:$3,0)),
IF(LEFT(AG$3,2)="Q2",AG10+INDEX(10:10,0,MATCH("Q4-"&amp;RIGHT(AG$3,4)-1,$3:$3,0))+INDEX(10:10,0,MATCH("Q3-"&amp;RIGHT(AG$3,4)-1,$3:$3,0))+INDEX(10:10,0,MATCH("Q1-"&amp;RIGHT(AG$3,4),$3:$3,0)),
IF(LEFT(AG$3,2)="Q3",AG10+INDEX(10:10,0,MATCH("Q4-"&amp;RIGHT(AG$3,4)-1,$3:$3,0))+INDEX(10:10,0,MATCH("Q2-"&amp;RIGHT(AG$3,4),$3:$3,0))+INDEX(10:10,0,MATCH("Q1-"&amp;RIGHT(AG$3,4),$3:$3,0)),
IF(LEFT(AG$3,2)="Q4",INDEX(10:10,0,MATCH("FY"&amp;RIGHT(AG$3,4),$3:$3,0))))))), "")</f>
        <v>527.423</v>
      </c>
    </row>
    <row r="20" spans="1:34" s="1222" customFormat="1" ht="14.25" customHeight="1" outlineLevel="1" x14ac:dyDescent="0.35">
      <c r="A20" s="1216" t="str">
        <f>"LTM "&amp;A11</f>
        <v>LTM Interest income</v>
      </c>
      <c r="B20" s="1217"/>
      <c r="C20" s="1218"/>
      <c r="D20" s="1219">
        <f>IFERROR(IF(LEFT(D$3,1)="F",D11,
IF(LEFT(D$3,2)="Q1",D11+INDEX(11:11,0,MATCH("Q4-"&amp;RIGHT(D$3,4)-1,$3:$3,0))+INDEX(11:11,0,MATCH("Q3-"&amp;RIGHT(D$3,4)-1,$3:$3,0))+INDEX(11:11,0,MATCH("Q2-"&amp;RIGHT(D$3,4)-1,$3:$3,0)),
IF(LEFT(D$3,2)="Q2",D11+INDEX(11:11,0,MATCH("Q4-"&amp;RIGHT(D$3,4)-1,$3:$3,0))+INDEX(11:11,0,MATCH("Q3-"&amp;RIGHT(D$3,4)-1,$3:$3,0))+INDEX(11:11,0,MATCH("Q1-"&amp;RIGHT(D$3,4),$3:$3,0)),
IF(LEFT(D$3,2)="Q3",D11+INDEX(11:11,0,MATCH("Q4-"&amp;RIGHT(D$3,4)-1,$3:$3,0))+INDEX(11:11,0,MATCH("Q2-"&amp;RIGHT(D$3,4),$3:$3,0))+INDEX(11:11,0,MATCH("Q1-"&amp;RIGHT(D$3,4),$3:$3,0)),
IF(LEFT(D$3,2)="Q4",INDEX(11:11,0,MATCH("FY"&amp;RIGHT(D$3,4),$3:$3,0))))))), "")</f>
        <v>-29</v>
      </c>
      <c r="E20" s="1219">
        <f>IFERROR(IF(LEFT(E$3,1)="F",E11,
IF(LEFT(E$3,2)="Q1",E11+INDEX(11:11,0,MATCH("Q4-"&amp;RIGHT(E$3,4)-1,$3:$3,0))+INDEX(11:11,0,MATCH("Q3-"&amp;RIGHT(E$3,4)-1,$3:$3,0))+INDEX(11:11,0,MATCH("Q2-"&amp;RIGHT(E$3,4)-1,$3:$3,0)),
IF(LEFT(E$3,2)="Q2",E11+INDEX(11:11,0,MATCH("Q4-"&amp;RIGHT(E$3,4)-1,$3:$3,0))+INDEX(11:11,0,MATCH("Q3-"&amp;RIGHT(E$3,4)-1,$3:$3,0))+INDEX(11:11,0,MATCH("Q1-"&amp;RIGHT(E$3,4),$3:$3,0)),
IF(LEFT(E$3,2)="Q3",E11+INDEX(11:11,0,MATCH("Q4-"&amp;RIGHT(E$3,4)-1,$3:$3,0))+INDEX(11:11,0,MATCH("Q2-"&amp;RIGHT(E$3,4),$3:$3,0))+INDEX(11:11,0,MATCH("Q1-"&amp;RIGHT(E$3,4),$3:$3,0)),
IF(LEFT(E$3,2)="Q4",INDEX(11:11,0,MATCH("FY"&amp;RIGHT(E$3,4),$3:$3,0))))))), "")</f>
        <v>-50</v>
      </c>
      <c r="F20" s="1225" t="str">
        <f>IFERROR(IF(LEFT(F$3,1)="F",F11,
IF(LEFT(F$3,2)="Q1",F11+INDEX(11:11,0,MATCH("Q4-"&amp;RIGHT(F$3,4)-1,$3:$3,0))+INDEX(11:11,0,MATCH("Q3-"&amp;RIGHT(F$3,4)-1,$3:$3,0))+INDEX(11:11,0,MATCH("Q2-"&amp;RIGHT(F$3,4)-1,$3:$3,0)),
IF(LEFT(F$3,2)="Q2",F11+INDEX(11:11,0,MATCH("Q4-"&amp;RIGHT(F$3,4)-1,$3:$3,0))+INDEX(11:11,0,MATCH("Q3-"&amp;RIGHT(F$3,4)-1,$3:$3,0))+INDEX(11:11,0,MATCH("Q1-"&amp;RIGHT(F$3,4),$3:$3,0)),
IF(LEFT(F$3,2)="Q3",F11+INDEX(11:11,0,MATCH("Q4-"&amp;RIGHT(F$3,4)-1,$3:$3,0))+INDEX(11:11,0,MATCH("Q2-"&amp;RIGHT(F$3,4),$3:$3,0))+INDEX(11:11,0,MATCH("Q1-"&amp;RIGHT(F$3,4),$3:$3,0)),
IF(LEFT(F$3,2)="Q4",INDEX(11:11,0,MATCH("FY"&amp;RIGHT(F$3,4),$3:$3,0))))))), "")</f>
        <v/>
      </c>
      <c r="G20" s="1225" t="str">
        <f>IFERROR(IF(LEFT(G$3,1)="F",G11,
IF(LEFT(G$3,2)="Q1",G11+INDEX(11:11,0,MATCH("Q4-"&amp;RIGHT(G$3,4)-1,$3:$3,0))+INDEX(11:11,0,MATCH("Q3-"&amp;RIGHT(G$3,4)-1,$3:$3,0))+INDEX(11:11,0,MATCH("Q2-"&amp;RIGHT(G$3,4)-1,$3:$3,0)),
IF(LEFT(G$3,2)="Q2",G11+INDEX(11:11,0,MATCH("Q4-"&amp;RIGHT(G$3,4)-1,$3:$3,0))+INDEX(11:11,0,MATCH("Q3-"&amp;RIGHT(G$3,4)-1,$3:$3,0))+INDEX(11:11,0,MATCH("Q1-"&amp;RIGHT(G$3,4),$3:$3,0)),
IF(LEFT(G$3,2)="Q3",G11+INDEX(11:11,0,MATCH("Q4-"&amp;RIGHT(G$3,4)-1,$3:$3,0))+INDEX(11:11,0,MATCH("Q2-"&amp;RIGHT(G$3,4),$3:$3,0))+INDEX(11:11,0,MATCH("Q1-"&amp;RIGHT(G$3,4),$3:$3,0)),
IF(LEFT(G$3,2)="Q4",INDEX(11:11,0,MATCH("FY"&amp;RIGHT(G$3,4),$3:$3,0))))))), "")</f>
        <v/>
      </c>
      <c r="H20" s="1225" t="str">
        <f>IFERROR(IF(LEFT(H$3,1)="F",H11,
IF(LEFT(H$3,2)="Q1",H11+INDEX(11:11,0,MATCH("Q4-"&amp;RIGHT(H$3,4)-1,$3:$3,0))+INDEX(11:11,0,MATCH("Q3-"&amp;RIGHT(H$3,4)-1,$3:$3,0))+INDEX(11:11,0,MATCH("Q2-"&amp;RIGHT(H$3,4)-1,$3:$3,0)),
IF(LEFT(H$3,2)="Q2",H11+INDEX(11:11,0,MATCH("Q4-"&amp;RIGHT(H$3,4)-1,$3:$3,0))+INDEX(11:11,0,MATCH("Q3-"&amp;RIGHT(H$3,4)-1,$3:$3,0))+INDEX(11:11,0,MATCH("Q1-"&amp;RIGHT(H$3,4),$3:$3,0)),
IF(LEFT(H$3,2)="Q3",H11+INDEX(11:11,0,MATCH("Q4-"&amp;RIGHT(H$3,4)-1,$3:$3,0))+INDEX(11:11,0,MATCH("Q2-"&amp;RIGHT(H$3,4),$3:$3,0))+INDEX(11:11,0,MATCH("Q1-"&amp;RIGHT(H$3,4),$3:$3,0)),
IF(LEFT(H$3,2)="Q4",INDEX(11:11,0,MATCH("FY"&amp;RIGHT(H$3,4),$3:$3,0))))))), "")</f>
        <v/>
      </c>
      <c r="I20" s="1225">
        <f>IFERROR(IF(LEFT(I$3,1)="F",I11,
IF(LEFT(I$3,2)="Q1",I11+INDEX(11:11,0,MATCH("Q4-"&amp;RIGHT(I$3,4)-1,$3:$3,0))+INDEX(11:11,0,MATCH("Q3-"&amp;RIGHT(I$3,4)-1,$3:$3,0))+INDEX(11:11,0,MATCH("Q2-"&amp;RIGHT(I$3,4)-1,$3:$3,0)),
IF(LEFT(I$3,2)="Q2",I11+INDEX(11:11,0,MATCH("Q4-"&amp;RIGHT(I$3,4)-1,$3:$3,0))+INDEX(11:11,0,MATCH("Q3-"&amp;RIGHT(I$3,4)-1,$3:$3,0))+INDEX(11:11,0,MATCH("Q1-"&amp;RIGHT(I$3,4),$3:$3,0)),
IF(LEFT(I$3,2)="Q3",I11+INDEX(11:11,0,MATCH("Q4-"&amp;RIGHT(I$3,4)-1,$3:$3,0))+INDEX(11:11,0,MATCH("Q2-"&amp;RIGHT(I$3,4),$3:$3,0))+INDEX(11:11,0,MATCH("Q1-"&amp;RIGHT(I$3,4),$3:$3,0)),
IF(LEFT(I$3,2)="Q4",INDEX(11:11,0,MATCH("FY"&amp;RIGHT(I$3,4),$3:$3,0))))))), "")</f>
        <v>-70</v>
      </c>
      <c r="J20" s="1219">
        <f>IFERROR(IF(LEFT(J$3,1)="F",J11,
IF(LEFT(J$3,2)="Q1",J11+INDEX(11:11,0,MATCH("Q4-"&amp;RIGHT(J$3,4)-1,$3:$3,0))+INDEX(11:11,0,MATCH("Q3-"&amp;RIGHT(J$3,4)-1,$3:$3,0))+INDEX(11:11,0,MATCH("Q2-"&amp;RIGHT(J$3,4)-1,$3:$3,0)),
IF(LEFT(J$3,2)="Q2",J11+INDEX(11:11,0,MATCH("Q4-"&amp;RIGHT(J$3,4)-1,$3:$3,0))+INDEX(11:11,0,MATCH("Q3-"&amp;RIGHT(J$3,4)-1,$3:$3,0))+INDEX(11:11,0,MATCH("Q1-"&amp;RIGHT(J$3,4),$3:$3,0)),
IF(LEFT(J$3,2)="Q3",J11+INDEX(11:11,0,MATCH("Q4-"&amp;RIGHT(J$3,4)-1,$3:$3,0))+INDEX(11:11,0,MATCH("Q2-"&amp;RIGHT(J$3,4),$3:$3,0))+INDEX(11:11,0,MATCH("Q1-"&amp;RIGHT(J$3,4),$3:$3,0)),
IF(LEFT(J$3,2)="Q4",INDEX(11:11,0,MATCH("FY"&amp;RIGHT(J$3,4),$3:$3,0))))))), "")</f>
        <v>-70</v>
      </c>
      <c r="K20" s="1225">
        <f>IFERROR(IF(LEFT(K$3,1)="F",K11,
IF(LEFT(K$3,2)="Q1",K11+INDEX(11:11,0,MATCH("Q4-"&amp;RIGHT(K$3,4)-1,$3:$3,0))+INDEX(11:11,0,MATCH("Q3-"&amp;RIGHT(K$3,4)-1,$3:$3,0))+INDEX(11:11,0,MATCH("Q2-"&amp;RIGHT(K$3,4)-1,$3:$3,0)),
IF(LEFT(K$3,2)="Q2",K11+INDEX(11:11,0,MATCH("Q4-"&amp;RIGHT(K$3,4)-1,$3:$3,0))+INDEX(11:11,0,MATCH("Q3-"&amp;RIGHT(K$3,4)-1,$3:$3,0))+INDEX(11:11,0,MATCH("Q1-"&amp;RIGHT(K$3,4),$3:$3,0)),
IF(LEFT(K$3,2)="Q3",K11+INDEX(11:11,0,MATCH("Q4-"&amp;RIGHT(K$3,4)-1,$3:$3,0))+INDEX(11:11,0,MATCH("Q2-"&amp;RIGHT(K$3,4),$3:$3,0))+INDEX(11:11,0,MATCH("Q1-"&amp;RIGHT(K$3,4),$3:$3,0)),
IF(LEFT(K$3,2)="Q4",INDEX(11:11,0,MATCH("FY"&amp;RIGHT(K$3,4),$3:$3,0))))))), "")</f>
        <v>-69</v>
      </c>
      <c r="L20" s="1225">
        <f>IFERROR(IF(LEFT(L$3,1)="F",L11,
IF(LEFT(L$3,2)="Q1",L11+INDEX(11:11,0,MATCH("Q4-"&amp;RIGHT(L$3,4)-1,$3:$3,0))+INDEX(11:11,0,MATCH("Q3-"&amp;RIGHT(L$3,4)-1,$3:$3,0))+INDEX(11:11,0,MATCH("Q2-"&amp;RIGHT(L$3,4)-1,$3:$3,0)),
IF(LEFT(L$3,2)="Q2",L11+INDEX(11:11,0,MATCH("Q4-"&amp;RIGHT(L$3,4)-1,$3:$3,0))+INDEX(11:11,0,MATCH("Q3-"&amp;RIGHT(L$3,4)-1,$3:$3,0))+INDEX(11:11,0,MATCH("Q1-"&amp;RIGHT(L$3,4),$3:$3,0)),
IF(LEFT(L$3,2)="Q3",L11+INDEX(11:11,0,MATCH("Q4-"&amp;RIGHT(L$3,4)-1,$3:$3,0))+INDEX(11:11,0,MATCH("Q2-"&amp;RIGHT(L$3,4),$3:$3,0))+INDEX(11:11,0,MATCH("Q1-"&amp;RIGHT(L$3,4),$3:$3,0)),
IF(LEFT(L$3,2)="Q4",INDEX(11:11,0,MATCH("FY"&amp;RIGHT(L$3,4),$3:$3,0))))))), "")</f>
        <v>-71</v>
      </c>
      <c r="M20" s="1225">
        <f>IFERROR(IF(LEFT(M$3,1)="F",M11,
IF(LEFT(M$3,2)="Q1",M11+INDEX(11:11,0,MATCH("Q4-"&amp;RIGHT(M$3,4)-1,$3:$3,0))+INDEX(11:11,0,MATCH("Q3-"&amp;RIGHT(M$3,4)-1,$3:$3,0))+INDEX(11:11,0,MATCH("Q2-"&amp;RIGHT(M$3,4)-1,$3:$3,0)),
IF(LEFT(M$3,2)="Q2",M11+INDEX(11:11,0,MATCH("Q4-"&amp;RIGHT(M$3,4)-1,$3:$3,0))+INDEX(11:11,0,MATCH("Q3-"&amp;RIGHT(M$3,4)-1,$3:$3,0))+INDEX(11:11,0,MATCH("Q1-"&amp;RIGHT(M$3,4),$3:$3,0)),
IF(LEFT(M$3,2)="Q3",M11+INDEX(11:11,0,MATCH("Q4-"&amp;RIGHT(M$3,4)-1,$3:$3,0))+INDEX(11:11,0,MATCH("Q2-"&amp;RIGHT(M$3,4),$3:$3,0))+INDEX(11:11,0,MATCH("Q1-"&amp;RIGHT(M$3,4),$3:$3,0)),
IF(LEFT(M$3,2)="Q4",INDEX(11:11,0,MATCH("FY"&amp;RIGHT(M$3,4),$3:$3,0))))))), "")</f>
        <v>-82</v>
      </c>
      <c r="N20" s="1225">
        <f>IFERROR(IF(LEFT(N$3,1)="F",N11,
IF(LEFT(N$3,2)="Q1",N11+INDEX(11:11,0,MATCH("Q4-"&amp;RIGHT(N$3,4)-1,$3:$3,0))+INDEX(11:11,0,MATCH("Q3-"&amp;RIGHT(N$3,4)-1,$3:$3,0))+INDEX(11:11,0,MATCH("Q2-"&amp;RIGHT(N$3,4)-1,$3:$3,0)),
IF(LEFT(N$3,2)="Q2",N11+INDEX(11:11,0,MATCH("Q4-"&amp;RIGHT(N$3,4)-1,$3:$3,0))+INDEX(11:11,0,MATCH("Q3-"&amp;RIGHT(N$3,4)-1,$3:$3,0))+INDEX(11:11,0,MATCH("Q1-"&amp;RIGHT(N$3,4),$3:$3,0)),
IF(LEFT(N$3,2)="Q3",N11+INDEX(11:11,0,MATCH("Q4-"&amp;RIGHT(N$3,4)-1,$3:$3,0))+INDEX(11:11,0,MATCH("Q2-"&amp;RIGHT(N$3,4),$3:$3,0))+INDEX(11:11,0,MATCH("Q1-"&amp;RIGHT(N$3,4),$3:$3,0)),
IF(LEFT(N$3,2)="Q4",INDEX(11:11,0,MATCH("FY"&amp;RIGHT(N$3,4),$3:$3,0))))))), "")</f>
        <v>-80</v>
      </c>
      <c r="O20" s="1219">
        <f>IFERROR(IF(LEFT(O$3,1)="F",O11,
IF(LEFT(O$3,2)="Q1",O11+INDEX(11:11,0,MATCH("Q4-"&amp;RIGHT(O$3,4)-1,$3:$3,0))+INDEX(11:11,0,MATCH("Q3-"&amp;RIGHT(O$3,4)-1,$3:$3,0))+INDEX(11:11,0,MATCH("Q2-"&amp;RIGHT(O$3,4)-1,$3:$3,0)),
IF(LEFT(O$3,2)="Q2",O11+INDEX(11:11,0,MATCH("Q4-"&amp;RIGHT(O$3,4)-1,$3:$3,0))+INDEX(11:11,0,MATCH("Q3-"&amp;RIGHT(O$3,4)-1,$3:$3,0))+INDEX(11:11,0,MATCH("Q1-"&amp;RIGHT(O$3,4),$3:$3,0)),
IF(LEFT(O$3,2)="Q3",O11+INDEX(11:11,0,MATCH("Q4-"&amp;RIGHT(O$3,4)-1,$3:$3,0))+INDEX(11:11,0,MATCH("Q2-"&amp;RIGHT(O$3,4),$3:$3,0))+INDEX(11:11,0,MATCH("Q1-"&amp;RIGHT(O$3,4),$3:$3,0)),
IF(LEFT(O$3,2)="Q4",INDEX(11:11,0,MATCH("FY"&amp;RIGHT(O$3,4),$3:$3,0))))))), "")</f>
        <v>-80</v>
      </c>
      <c r="P20" s="1225">
        <f>IFERROR(IF(LEFT(P$3,1)="F",P11,
IF(LEFT(P$3,2)="Q1",P11+INDEX(11:11,0,MATCH("Q4-"&amp;RIGHT(P$3,4)-1,$3:$3,0))+INDEX(11:11,0,MATCH("Q3-"&amp;RIGHT(P$3,4)-1,$3:$3,0))+INDEX(11:11,0,MATCH("Q2-"&amp;RIGHT(P$3,4)-1,$3:$3,0)),
IF(LEFT(P$3,2)="Q2",P11+INDEX(11:11,0,MATCH("Q4-"&amp;RIGHT(P$3,4)-1,$3:$3,0))+INDEX(11:11,0,MATCH("Q3-"&amp;RIGHT(P$3,4)-1,$3:$3,0))+INDEX(11:11,0,MATCH("Q1-"&amp;RIGHT(P$3,4),$3:$3,0)),
IF(LEFT(P$3,2)="Q3",P11+INDEX(11:11,0,MATCH("Q4-"&amp;RIGHT(P$3,4)-1,$3:$3,0))+INDEX(11:11,0,MATCH("Q2-"&amp;RIGHT(P$3,4),$3:$3,0))+INDEX(11:11,0,MATCH("Q1-"&amp;RIGHT(P$3,4),$3:$3,0)),
IF(LEFT(P$3,2)="Q4",INDEX(11:11,0,MATCH("FY"&amp;RIGHT(P$3,4),$3:$3,0))))))), "")</f>
        <v>-70</v>
      </c>
      <c r="Q20" s="1225">
        <f>IFERROR(IF(LEFT(Q$3,1)="F",Q11,
IF(LEFT(Q$3,2)="Q1",Q11+INDEX(11:11,0,MATCH("Q4-"&amp;RIGHT(Q$3,4)-1,$3:$3,0))+INDEX(11:11,0,MATCH("Q3-"&amp;RIGHT(Q$3,4)-1,$3:$3,0))+INDEX(11:11,0,MATCH("Q2-"&amp;RIGHT(Q$3,4)-1,$3:$3,0)),
IF(LEFT(Q$3,2)="Q2",Q11+INDEX(11:11,0,MATCH("Q4-"&amp;RIGHT(Q$3,4)-1,$3:$3,0))+INDEX(11:11,0,MATCH("Q3-"&amp;RIGHT(Q$3,4)-1,$3:$3,0))+INDEX(11:11,0,MATCH("Q1-"&amp;RIGHT(Q$3,4),$3:$3,0)),
IF(LEFT(Q$3,2)="Q3",Q11+INDEX(11:11,0,MATCH("Q4-"&amp;RIGHT(Q$3,4)-1,$3:$3,0))+INDEX(11:11,0,MATCH("Q2-"&amp;RIGHT(Q$3,4),$3:$3,0))+INDEX(11:11,0,MATCH("Q1-"&amp;RIGHT(Q$3,4),$3:$3,0)),
IF(LEFT(Q$3,2)="Q4",INDEX(11:11,0,MATCH("FY"&amp;RIGHT(Q$3,4),$3:$3,0))))))), "")</f>
        <v>-61</v>
      </c>
      <c r="R20" s="1225">
        <f>IFERROR(IF(LEFT(R$3,1)="F",R11,
IF(LEFT(R$3,2)="Q1",R11+INDEX(11:11,0,MATCH("Q4-"&amp;RIGHT(R$3,4)-1,$3:$3,0))+INDEX(11:11,0,MATCH("Q3-"&amp;RIGHT(R$3,4)-1,$3:$3,0))+INDEX(11:11,0,MATCH("Q2-"&amp;RIGHT(R$3,4)-1,$3:$3,0)),
IF(LEFT(R$3,2)="Q2",R11+INDEX(11:11,0,MATCH("Q4-"&amp;RIGHT(R$3,4)-1,$3:$3,0))+INDEX(11:11,0,MATCH("Q3-"&amp;RIGHT(R$3,4)-1,$3:$3,0))+INDEX(11:11,0,MATCH("Q1-"&amp;RIGHT(R$3,4),$3:$3,0)),
IF(LEFT(R$3,2)="Q3",R11+INDEX(11:11,0,MATCH("Q4-"&amp;RIGHT(R$3,4)-1,$3:$3,0))+INDEX(11:11,0,MATCH("Q2-"&amp;RIGHT(R$3,4),$3:$3,0))+INDEX(11:11,0,MATCH("Q1-"&amp;RIGHT(R$3,4),$3:$3,0)),
IF(LEFT(R$3,2)="Q4",INDEX(11:11,0,MATCH("FY"&amp;RIGHT(R$3,4),$3:$3,0))))))), "")</f>
        <v>-40</v>
      </c>
      <c r="S20" s="1225">
        <f>IFERROR(IF(LEFT(S$3,1)="F",S11,
IF(LEFT(S$3,2)="Q1",S11+INDEX(11:11,0,MATCH("Q4-"&amp;RIGHT(S$3,4)-1,$3:$3,0))+INDEX(11:11,0,MATCH("Q3-"&amp;RIGHT(S$3,4)-1,$3:$3,0))+INDEX(11:11,0,MATCH("Q2-"&amp;RIGHT(S$3,4)-1,$3:$3,0)),
IF(LEFT(S$3,2)="Q2",S11+INDEX(11:11,0,MATCH("Q4-"&amp;RIGHT(S$3,4)-1,$3:$3,0))+INDEX(11:11,0,MATCH("Q3-"&amp;RIGHT(S$3,4)-1,$3:$3,0))+INDEX(11:11,0,MATCH("Q1-"&amp;RIGHT(S$3,4),$3:$3,0)),
IF(LEFT(S$3,2)="Q3",S11+INDEX(11:11,0,MATCH("Q4-"&amp;RIGHT(S$3,4)-1,$3:$3,0))+INDEX(11:11,0,MATCH("Q2-"&amp;RIGHT(S$3,4),$3:$3,0))+INDEX(11:11,0,MATCH("Q1-"&amp;RIGHT(S$3,4),$3:$3,0)),
IF(LEFT(S$3,2)="Q4",INDEX(11:11,0,MATCH("FY"&amp;RIGHT(S$3,4),$3:$3,0))))))), "")</f>
        <v>-29</v>
      </c>
      <c r="T20" s="1219">
        <f>IFERROR(IF(LEFT(T$3,1)="F",T11,
IF(LEFT(T$3,2)="Q1",T11+INDEX(11:11,0,MATCH("Q4-"&amp;RIGHT(T$3,4)-1,$3:$3,0))+INDEX(11:11,0,MATCH("Q3-"&amp;RIGHT(T$3,4)-1,$3:$3,0))+INDEX(11:11,0,MATCH("Q2-"&amp;RIGHT(T$3,4)-1,$3:$3,0)),
IF(LEFT(T$3,2)="Q2",T11+INDEX(11:11,0,MATCH("Q4-"&amp;RIGHT(T$3,4)-1,$3:$3,0))+INDEX(11:11,0,MATCH("Q3-"&amp;RIGHT(T$3,4)-1,$3:$3,0))+INDEX(11:11,0,MATCH("Q1-"&amp;RIGHT(T$3,4),$3:$3,0)),
IF(LEFT(T$3,2)="Q3",T11+INDEX(11:11,0,MATCH("Q4-"&amp;RIGHT(T$3,4)-1,$3:$3,0))+INDEX(11:11,0,MATCH("Q2-"&amp;RIGHT(T$3,4),$3:$3,0))+INDEX(11:11,0,MATCH("Q1-"&amp;RIGHT(T$3,4),$3:$3,0)),
IF(LEFT(T$3,2)="Q4",INDEX(11:11,0,MATCH("FY"&amp;RIGHT(T$3,4),$3:$3,0))))))), "")</f>
        <v>-29</v>
      </c>
      <c r="U20" s="1225">
        <f>IFERROR(IF(LEFT(U$3,1)="F",U11,
IF(LEFT(U$3,2)="Q1",U11+INDEX(11:11,0,MATCH("Q4-"&amp;RIGHT(U$3,4)-1,$3:$3,0))+INDEX(11:11,0,MATCH("Q3-"&amp;RIGHT(U$3,4)-1,$3:$3,0))+INDEX(11:11,0,MATCH("Q2-"&amp;RIGHT(U$3,4)-1,$3:$3,0)),
IF(LEFT(U$3,2)="Q2",U11+INDEX(11:11,0,MATCH("Q4-"&amp;RIGHT(U$3,4)-1,$3:$3,0))+INDEX(11:11,0,MATCH("Q3-"&amp;RIGHT(U$3,4)-1,$3:$3,0))+INDEX(11:11,0,MATCH("Q1-"&amp;RIGHT(U$3,4),$3:$3,0)),
IF(LEFT(U$3,2)="Q3",U11+INDEX(11:11,0,MATCH("Q4-"&amp;RIGHT(U$3,4)-1,$3:$3,0))+INDEX(11:11,0,MATCH("Q2-"&amp;RIGHT(U$3,4),$3:$3,0))+INDEX(11:11,0,MATCH("Q1-"&amp;RIGHT(U$3,4),$3:$3,0)),
IF(LEFT(U$3,2)="Q4",INDEX(11:11,0,MATCH("FY"&amp;RIGHT(U$3,4),$3:$3,0))))))), "")</f>
        <v>-23</v>
      </c>
      <c r="V20" s="1225">
        <f>IFERROR(IF(LEFT(V$3,1)="F",V11,
IF(LEFT(V$3,2)="Q1",V11+INDEX(11:11,0,MATCH("Q4-"&amp;RIGHT(V$3,4)-1,$3:$3,0))+INDEX(11:11,0,MATCH("Q3-"&amp;RIGHT(V$3,4)-1,$3:$3,0))+INDEX(11:11,0,MATCH("Q2-"&amp;RIGHT(V$3,4)-1,$3:$3,0)),
IF(LEFT(V$3,2)="Q2",V11+INDEX(11:11,0,MATCH("Q4-"&amp;RIGHT(V$3,4)-1,$3:$3,0))+INDEX(11:11,0,MATCH("Q3-"&amp;RIGHT(V$3,4)-1,$3:$3,0))+INDEX(11:11,0,MATCH("Q1-"&amp;RIGHT(V$3,4),$3:$3,0)),
IF(LEFT(V$3,2)="Q3",V11+INDEX(11:11,0,MATCH("Q4-"&amp;RIGHT(V$3,4)-1,$3:$3,0))+INDEX(11:11,0,MATCH("Q2-"&amp;RIGHT(V$3,4),$3:$3,0))+INDEX(11:11,0,MATCH("Q1-"&amp;RIGHT(V$3,4),$3:$3,0)),
IF(LEFT(V$3,2)="Q4",INDEX(11:11,0,MATCH("FY"&amp;RIGHT(V$3,4),$3:$3,0))))))), "")</f>
        <v>-21.684389041095891</v>
      </c>
      <c r="W20" s="1225">
        <f>IFERROR(IF(LEFT(W$3,1)="F",W11,
IF(LEFT(W$3,2)="Q1",W11+INDEX(11:11,0,MATCH("Q4-"&amp;RIGHT(W$3,4)-1,$3:$3,0))+INDEX(11:11,0,MATCH("Q3-"&amp;RIGHT(W$3,4)-1,$3:$3,0))+INDEX(11:11,0,MATCH("Q2-"&amp;RIGHT(W$3,4)-1,$3:$3,0)),
IF(LEFT(W$3,2)="Q2",W11+INDEX(11:11,0,MATCH("Q4-"&amp;RIGHT(W$3,4)-1,$3:$3,0))+INDEX(11:11,0,MATCH("Q3-"&amp;RIGHT(W$3,4)-1,$3:$3,0))+INDEX(11:11,0,MATCH("Q1-"&amp;RIGHT(W$3,4),$3:$3,0)),
IF(LEFT(W$3,2)="Q3",W11+INDEX(11:11,0,MATCH("Q4-"&amp;RIGHT(W$3,4)-1,$3:$3,0))+INDEX(11:11,0,MATCH("Q2-"&amp;RIGHT(W$3,4),$3:$3,0))+INDEX(11:11,0,MATCH("Q1-"&amp;RIGHT(W$3,4),$3:$3,0)),
IF(LEFT(W$3,2)="Q4",INDEX(11:11,0,MATCH("FY"&amp;RIGHT(W$3,4),$3:$3,0))))))), "")</f>
        <v>-23.478955777320316</v>
      </c>
      <c r="X20" s="1225">
        <f>IFERROR(IF(LEFT(X$3,1)="F",X11,
IF(LEFT(X$3,2)="Q1",X11+INDEX(11:11,0,MATCH("Q4-"&amp;RIGHT(X$3,4)-1,$3:$3,0))+INDEX(11:11,0,MATCH("Q3-"&amp;RIGHT(X$3,4)-1,$3:$3,0))+INDEX(11:11,0,MATCH("Q2-"&amp;RIGHT(X$3,4)-1,$3:$3,0)),
IF(LEFT(X$3,2)="Q2",X11+INDEX(11:11,0,MATCH("Q4-"&amp;RIGHT(X$3,4)-1,$3:$3,0))+INDEX(11:11,0,MATCH("Q3-"&amp;RIGHT(X$3,4)-1,$3:$3,0))+INDEX(11:11,0,MATCH("Q1-"&amp;RIGHT(X$3,4),$3:$3,0)),
IF(LEFT(X$3,2)="Q3",X11+INDEX(11:11,0,MATCH("Q4-"&amp;RIGHT(X$3,4)-1,$3:$3,0))+INDEX(11:11,0,MATCH("Q2-"&amp;RIGHT(X$3,4),$3:$3,0))+INDEX(11:11,0,MATCH("Q1-"&amp;RIGHT(X$3,4),$3:$3,0)),
IF(LEFT(X$3,2)="Q4",INDEX(11:11,0,MATCH("FY"&amp;RIGHT(X$3,4),$3:$3,0))))))), "")</f>
        <v>-26.057608024179626</v>
      </c>
      <c r="Y20" s="1219">
        <f>IFERROR(IF(LEFT(Y$3,1)="F",Y11,
IF(LEFT(Y$3,2)="Q1",Y11+INDEX(11:11,0,MATCH("Q4-"&amp;RIGHT(Y$3,4)-1,$3:$3,0))+INDEX(11:11,0,MATCH("Q3-"&amp;RIGHT(Y$3,4)-1,$3:$3,0))+INDEX(11:11,0,MATCH("Q2-"&amp;RIGHT(Y$3,4)-1,$3:$3,0)),
IF(LEFT(Y$3,2)="Q2",Y11+INDEX(11:11,0,MATCH("Q4-"&amp;RIGHT(Y$3,4)-1,$3:$3,0))+INDEX(11:11,0,MATCH("Q3-"&amp;RIGHT(Y$3,4)-1,$3:$3,0))+INDEX(11:11,0,MATCH("Q1-"&amp;RIGHT(Y$3,4),$3:$3,0)),
IF(LEFT(Y$3,2)="Q3",Y11+INDEX(11:11,0,MATCH("Q4-"&amp;RIGHT(Y$3,4)-1,$3:$3,0))+INDEX(11:11,0,MATCH("Q2-"&amp;RIGHT(Y$3,4),$3:$3,0))+INDEX(11:11,0,MATCH("Q1-"&amp;RIGHT(Y$3,4),$3:$3,0)),
IF(LEFT(Y$3,2)="Q4",INDEX(11:11,0,MATCH("FY"&amp;RIGHT(Y$3,4),$3:$3,0))))))), "")</f>
        <v>-26.057608024179626</v>
      </c>
      <c r="Z20" s="1225">
        <f>IFERROR(IF(LEFT(Z$3,1)="F",Z11,
IF(LEFT(Z$3,2)="Q1",Z11+INDEX(11:11,0,MATCH("Q4-"&amp;RIGHT(Z$3,4)-1,$3:$3,0))+INDEX(11:11,0,MATCH("Q3-"&amp;RIGHT(Z$3,4)-1,$3:$3,0))+INDEX(11:11,0,MATCH("Q2-"&amp;RIGHT(Z$3,4)-1,$3:$3,0)),
IF(LEFT(Z$3,2)="Q2",Z11+INDEX(11:11,0,MATCH("Q4-"&amp;RIGHT(Z$3,4)-1,$3:$3,0))+INDEX(11:11,0,MATCH("Q3-"&amp;RIGHT(Z$3,4)-1,$3:$3,0))+INDEX(11:11,0,MATCH("Q1-"&amp;RIGHT(Z$3,4),$3:$3,0)),
IF(LEFT(Z$3,2)="Q3",Z11+INDEX(11:11,0,MATCH("Q4-"&amp;RIGHT(Z$3,4)-1,$3:$3,0))+INDEX(11:11,0,MATCH("Q2-"&amp;RIGHT(Z$3,4),$3:$3,0))+INDEX(11:11,0,MATCH("Q1-"&amp;RIGHT(Z$3,4),$3:$3,0)),
IF(LEFT(Z$3,2)="Q4",INDEX(11:11,0,MATCH("FY"&amp;RIGHT(Z$3,4),$3:$3,0))))))), "")</f>
        <v>-29.953398473120153</v>
      </c>
      <c r="AA20" s="1225">
        <f ca="1">IFERROR(IF(LEFT(AA$3,1)="F",AA11,
IF(LEFT(AA$3,2)="Q1",AA11+INDEX(11:11,0,MATCH("Q4-"&amp;RIGHT(AA$3,4)-1,$3:$3,0))+INDEX(11:11,0,MATCH("Q3-"&amp;RIGHT(AA$3,4)-1,$3:$3,0))+INDEX(11:11,0,MATCH("Q2-"&amp;RIGHT(AA$3,4)-1,$3:$3,0)),
IF(LEFT(AA$3,2)="Q2",AA11+INDEX(11:11,0,MATCH("Q4-"&amp;RIGHT(AA$3,4)-1,$3:$3,0))+INDEX(11:11,0,MATCH("Q3-"&amp;RIGHT(AA$3,4)-1,$3:$3,0))+INDEX(11:11,0,MATCH("Q1-"&amp;RIGHT(AA$3,4),$3:$3,0)),
IF(LEFT(AA$3,2)="Q3",AA11+INDEX(11:11,0,MATCH("Q4-"&amp;RIGHT(AA$3,4)-1,$3:$3,0))+INDEX(11:11,0,MATCH("Q2-"&amp;RIGHT(AA$3,4),$3:$3,0))+INDEX(11:11,0,MATCH("Q1-"&amp;RIGHT(AA$3,4),$3:$3,0)),
IF(LEFT(AA$3,2)="Q4",INDEX(11:11,0,MATCH("FY"&amp;RIGHT(AA$3,4),$3:$3,0))))))), "")</f>
        <v>-30.633443445316196</v>
      </c>
      <c r="AB20" s="1225">
        <f ca="1">IFERROR(IF(LEFT(AB$3,1)="F",AB11,
IF(LEFT(AB$3,2)="Q1",AB11+INDEX(11:11,0,MATCH("Q4-"&amp;RIGHT(AB$3,4)-1,$3:$3,0))+INDEX(11:11,0,MATCH("Q3-"&amp;RIGHT(AB$3,4)-1,$3:$3,0))+INDEX(11:11,0,MATCH("Q2-"&amp;RIGHT(AB$3,4)-1,$3:$3,0)),
IF(LEFT(AB$3,2)="Q2",AB11+INDEX(11:11,0,MATCH("Q4-"&amp;RIGHT(AB$3,4)-1,$3:$3,0))+INDEX(11:11,0,MATCH("Q3-"&amp;RIGHT(AB$3,4)-1,$3:$3,0))+INDEX(11:11,0,MATCH("Q1-"&amp;RIGHT(AB$3,4),$3:$3,0)),
IF(LEFT(AB$3,2)="Q3",AB11+INDEX(11:11,0,MATCH("Q4-"&amp;RIGHT(AB$3,4)-1,$3:$3,0))+INDEX(11:11,0,MATCH("Q2-"&amp;RIGHT(AB$3,4),$3:$3,0))+INDEX(11:11,0,MATCH("Q1-"&amp;RIGHT(AB$3,4),$3:$3,0)),
IF(LEFT(AB$3,2)="Q4",INDEX(11:11,0,MATCH("FY"&amp;RIGHT(AB$3,4),$3:$3,0))))))), "")</f>
        <v>-31.647607319499333</v>
      </c>
      <c r="AC20" s="1225">
        <f ca="1">IFERROR(IF(LEFT(AC$3,1)="F",AC11,
IF(LEFT(AC$3,2)="Q1",AC11+INDEX(11:11,0,MATCH("Q4-"&amp;RIGHT(AC$3,4)-1,$3:$3,0))+INDEX(11:11,0,MATCH("Q3-"&amp;RIGHT(AC$3,4)-1,$3:$3,0))+INDEX(11:11,0,MATCH("Q2-"&amp;RIGHT(AC$3,4)-1,$3:$3,0)),
IF(LEFT(AC$3,2)="Q2",AC11+INDEX(11:11,0,MATCH("Q4-"&amp;RIGHT(AC$3,4)-1,$3:$3,0))+INDEX(11:11,0,MATCH("Q3-"&amp;RIGHT(AC$3,4)-1,$3:$3,0))+INDEX(11:11,0,MATCH("Q1-"&amp;RIGHT(AC$3,4),$3:$3,0)),
IF(LEFT(AC$3,2)="Q3",AC11+INDEX(11:11,0,MATCH("Q4-"&amp;RIGHT(AC$3,4)-1,$3:$3,0))+INDEX(11:11,0,MATCH("Q2-"&amp;RIGHT(AC$3,4),$3:$3,0))+INDEX(11:11,0,MATCH("Q1-"&amp;RIGHT(AC$3,4),$3:$3,0)),
IF(LEFT(AC$3,2)="Q4",INDEX(11:11,0,MATCH("FY"&amp;RIGHT(AC$3,4),$3:$3,0))))))), "")</f>
        <v>-32.761977451134079</v>
      </c>
      <c r="AD20" s="1219">
        <f ca="1">IFERROR(IF(LEFT(AD$3,1)="F",AD11,
IF(LEFT(AD$3,2)="Q1",AD11+INDEX(11:11,0,MATCH("Q4-"&amp;RIGHT(AD$3,4)-1,$3:$3,0))+INDEX(11:11,0,MATCH("Q3-"&amp;RIGHT(AD$3,4)-1,$3:$3,0))+INDEX(11:11,0,MATCH("Q2-"&amp;RIGHT(AD$3,4)-1,$3:$3,0)),
IF(LEFT(AD$3,2)="Q2",AD11+INDEX(11:11,0,MATCH("Q4-"&amp;RIGHT(AD$3,4)-1,$3:$3,0))+INDEX(11:11,0,MATCH("Q3-"&amp;RIGHT(AD$3,4)-1,$3:$3,0))+INDEX(11:11,0,MATCH("Q1-"&amp;RIGHT(AD$3,4),$3:$3,0)),
IF(LEFT(AD$3,2)="Q3",AD11+INDEX(11:11,0,MATCH("Q4-"&amp;RIGHT(AD$3,4)-1,$3:$3,0))+INDEX(11:11,0,MATCH("Q2-"&amp;RIGHT(AD$3,4),$3:$3,0))+INDEX(11:11,0,MATCH("Q1-"&amp;RIGHT(AD$3,4),$3:$3,0)),
IF(LEFT(AD$3,2)="Q4",INDEX(11:11,0,MATCH("FY"&amp;RIGHT(AD$3,4),$3:$3,0))))))), "")</f>
        <v>-32.761977451134079</v>
      </c>
      <c r="AE20" s="1219">
        <f ca="1">IFERROR(IF(LEFT(AE$3,1)="F",AE11,
IF(LEFT(AE$3,2)="Q1",AE11+INDEX(11:11,0,MATCH("Q4-"&amp;RIGHT(AE$3,4)-1,$3:$3,0))+INDEX(11:11,0,MATCH("Q3-"&amp;RIGHT(AE$3,4)-1,$3:$3,0))+INDEX(11:11,0,MATCH("Q2-"&amp;RIGHT(AE$3,4)-1,$3:$3,0)),
IF(LEFT(AE$3,2)="Q2",AE11+INDEX(11:11,0,MATCH("Q4-"&amp;RIGHT(AE$3,4)-1,$3:$3,0))+INDEX(11:11,0,MATCH("Q3-"&amp;RIGHT(AE$3,4)-1,$3:$3,0))+INDEX(11:11,0,MATCH("Q1-"&amp;RIGHT(AE$3,4),$3:$3,0)),
IF(LEFT(AE$3,2)="Q3",AE11+INDEX(11:11,0,MATCH("Q4-"&amp;RIGHT(AE$3,4)-1,$3:$3,0))+INDEX(11:11,0,MATCH("Q2-"&amp;RIGHT(AE$3,4),$3:$3,0))+INDEX(11:11,0,MATCH("Q1-"&amp;RIGHT(AE$3,4),$3:$3,0)),
IF(LEFT(AE$3,2)="Q4",INDEX(11:11,0,MATCH("FY"&amp;RIGHT(AE$3,4),$3:$3,0))))))), "")</f>
        <v>-36.866939727945322</v>
      </c>
      <c r="AF20" s="1219">
        <f ca="1">IFERROR(IF(LEFT(AF$3,1)="F",AF11,
IF(LEFT(AF$3,2)="Q1",AF11+INDEX(11:11,0,MATCH("Q4-"&amp;RIGHT(AF$3,4)-1,$3:$3,0))+INDEX(11:11,0,MATCH("Q3-"&amp;RIGHT(AF$3,4)-1,$3:$3,0))+INDEX(11:11,0,MATCH("Q2-"&amp;RIGHT(AF$3,4)-1,$3:$3,0)),
IF(LEFT(AF$3,2)="Q2",AF11+INDEX(11:11,0,MATCH("Q4-"&amp;RIGHT(AF$3,4)-1,$3:$3,0))+INDEX(11:11,0,MATCH("Q3-"&amp;RIGHT(AF$3,4)-1,$3:$3,0))+INDEX(11:11,0,MATCH("Q1-"&amp;RIGHT(AF$3,4),$3:$3,0)),
IF(LEFT(AF$3,2)="Q3",AF11+INDEX(11:11,0,MATCH("Q4-"&amp;RIGHT(AF$3,4)-1,$3:$3,0))+INDEX(11:11,0,MATCH("Q2-"&amp;RIGHT(AF$3,4),$3:$3,0))+INDEX(11:11,0,MATCH("Q1-"&amp;RIGHT(AF$3,4),$3:$3,0)),
IF(LEFT(AF$3,2)="Q4",INDEX(11:11,0,MATCH("FY"&amp;RIGHT(AF$3,4),$3:$3,0))))))), "")</f>
        <v>-46.295009120298438</v>
      </c>
      <c r="AG20" s="1221">
        <f ca="1">IFERROR(IF(LEFT(AG$3,1)="F",AG11,
IF(LEFT(AG$3,2)="Q1",AG11+INDEX(11:11,0,MATCH("Q4-"&amp;RIGHT(AG$3,4)-1,$3:$3,0))+INDEX(11:11,0,MATCH("Q3-"&amp;RIGHT(AG$3,4)-1,$3:$3,0))+INDEX(11:11,0,MATCH("Q2-"&amp;RIGHT(AG$3,4)-1,$3:$3,0)),
IF(LEFT(AG$3,2)="Q2",AG11+INDEX(11:11,0,MATCH("Q4-"&amp;RIGHT(AG$3,4)-1,$3:$3,0))+INDEX(11:11,0,MATCH("Q3-"&amp;RIGHT(AG$3,4)-1,$3:$3,0))+INDEX(11:11,0,MATCH("Q1-"&amp;RIGHT(AG$3,4),$3:$3,0)),
IF(LEFT(AG$3,2)="Q3",AG11+INDEX(11:11,0,MATCH("Q4-"&amp;RIGHT(AG$3,4)-1,$3:$3,0))+INDEX(11:11,0,MATCH("Q2-"&amp;RIGHT(AG$3,4),$3:$3,0))+INDEX(11:11,0,MATCH("Q1-"&amp;RIGHT(AG$3,4),$3:$3,0)),
IF(LEFT(AG$3,2)="Q4",INDEX(11:11,0,MATCH("FY"&amp;RIGHT(AG$3,4),$3:$3,0))))))), "")</f>
        <v>-60.027789256724667</v>
      </c>
    </row>
    <row r="21" spans="1:34" s="1222" customFormat="1" ht="14.25" customHeight="1" outlineLevel="1" x14ac:dyDescent="0.35">
      <c r="A21" s="1216" t="str">
        <f>"LTM "&amp;A12</f>
        <v>LTM EBT</v>
      </c>
      <c r="B21" s="1217"/>
      <c r="C21" s="1218"/>
      <c r="D21" s="1219">
        <f>IFERROR(IF(LEFT(D$3,1)="F",D12,
IF(LEFT(D$3,2)="Q1",D12+INDEX(12:12,0,MATCH("Q4-"&amp;RIGHT(D$3,4)-1,$3:$3,0))+INDEX(12:12,0,MATCH("Q3-"&amp;RIGHT(D$3,4)-1,$3:$3,0))+INDEX(12:12,0,MATCH("Q2-"&amp;RIGHT(D$3,4)-1,$3:$3,0)),
IF(LEFT(D$3,2)="Q2",D12+INDEX(12:12,0,MATCH("Q4-"&amp;RIGHT(D$3,4)-1,$3:$3,0))+INDEX(12:12,0,MATCH("Q3-"&amp;RIGHT(D$3,4)-1,$3:$3,0))+INDEX(12:12,0,MATCH("Q1-"&amp;RIGHT(D$3,4),$3:$3,0)),
IF(LEFT(D$3,2)="Q3",D12+INDEX(12:12,0,MATCH("Q4-"&amp;RIGHT(D$3,4)-1,$3:$3,0))+INDEX(12:12,0,MATCH("Q2-"&amp;RIGHT(D$3,4),$3:$3,0))+INDEX(12:12,0,MATCH("Q1-"&amp;RIGHT(D$3,4),$3:$3,0)),
IF(LEFT(D$3,2)="Q4",INDEX(12:12,0,MATCH("FY"&amp;RIGHT(D$3,4),$3:$3,0))))))), "")</f>
        <v>7053</v>
      </c>
      <c r="E21" s="1219">
        <f>IFERROR(IF(LEFT(E$3,1)="F",E12,
IF(LEFT(E$3,2)="Q1",E12+INDEX(12:12,0,MATCH("Q4-"&amp;RIGHT(E$3,4)-1,$3:$3,0))+INDEX(12:12,0,MATCH("Q3-"&amp;RIGHT(E$3,4)-1,$3:$3,0))+INDEX(12:12,0,MATCH("Q2-"&amp;RIGHT(E$3,4)-1,$3:$3,0)),
IF(LEFT(E$3,2)="Q2",E12+INDEX(12:12,0,MATCH("Q4-"&amp;RIGHT(E$3,4)-1,$3:$3,0))+INDEX(12:12,0,MATCH("Q3-"&amp;RIGHT(E$3,4)-1,$3:$3,0))+INDEX(12:12,0,MATCH("Q1-"&amp;RIGHT(E$3,4),$3:$3,0)),
IF(LEFT(E$3,2)="Q3",E12+INDEX(12:12,0,MATCH("Q4-"&amp;RIGHT(E$3,4)-1,$3:$3,0))+INDEX(12:12,0,MATCH("Q2-"&amp;RIGHT(E$3,4),$3:$3,0))+INDEX(12:12,0,MATCH("Q1-"&amp;RIGHT(E$3,4),$3:$3,0)),
IF(LEFT(E$3,2)="Q4",INDEX(12:12,0,MATCH("FY"&amp;RIGHT(E$3,4),$3:$3,0))))))), "")</f>
        <v>7548</v>
      </c>
      <c r="F21" s="1225" t="str">
        <f>IFERROR(IF(LEFT(F$3,1)="F",F12,
IF(LEFT(F$3,2)="Q1",F12+INDEX(12:12,0,MATCH("Q4-"&amp;RIGHT(F$3,4)-1,$3:$3,0))+INDEX(12:12,0,MATCH("Q3-"&amp;RIGHT(F$3,4)-1,$3:$3,0))+INDEX(12:12,0,MATCH("Q2-"&amp;RIGHT(F$3,4)-1,$3:$3,0)),
IF(LEFT(F$3,2)="Q2",F12+INDEX(12:12,0,MATCH("Q4-"&amp;RIGHT(F$3,4)-1,$3:$3,0))+INDEX(12:12,0,MATCH("Q3-"&amp;RIGHT(F$3,4)-1,$3:$3,0))+INDEX(12:12,0,MATCH("Q1-"&amp;RIGHT(F$3,4),$3:$3,0)),
IF(LEFT(F$3,2)="Q3",F12+INDEX(12:12,0,MATCH("Q4-"&amp;RIGHT(F$3,4)-1,$3:$3,0))+INDEX(12:12,0,MATCH("Q2-"&amp;RIGHT(F$3,4),$3:$3,0))+INDEX(12:12,0,MATCH("Q1-"&amp;RIGHT(F$3,4),$3:$3,0)),
IF(LEFT(F$3,2)="Q4",INDEX(12:12,0,MATCH("FY"&amp;RIGHT(F$3,4),$3:$3,0))))))), "")</f>
        <v/>
      </c>
      <c r="G21" s="1225" t="str">
        <f>IFERROR(IF(LEFT(G$3,1)="F",G12,
IF(LEFT(G$3,2)="Q1",G12+INDEX(12:12,0,MATCH("Q4-"&amp;RIGHT(G$3,4)-1,$3:$3,0))+INDEX(12:12,0,MATCH("Q3-"&amp;RIGHT(G$3,4)-1,$3:$3,0))+INDEX(12:12,0,MATCH("Q2-"&amp;RIGHT(G$3,4)-1,$3:$3,0)),
IF(LEFT(G$3,2)="Q2",G12+INDEX(12:12,0,MATCH("Q4-"&amp;RIGHT(G$3,4)-1,$3:$3,0))+INDEX(12:12,0,MATCH("Q3-"&amp;RIGHT(G$3,4)-1,$3:$3,0))+INDEX(12:12,0,MATCH("Q1-"&amp;RIGHT(G$3,4),$3:$3,0)),
IF(LEFT(G$3,2)="Q3",G12+INDEX(12:12,0,MATCH("Q4-"&amp;RIGHT(G$3,4)-1,$3:$3,0))+INDEX(12:12,0,MATCH("Q2-"&amp;RIGHT(G$3,4),$3:$3,0))+INDEX(12:12,0,MATCH("Q1-"&amp;RIGHT(G$3,4),$3:$3,0)),
IF(LEFT(G$3,2)="Q4",INDEX(12:12,0,MATCH("FY"&amp;RIGHT(G$3,4),$3:$3,0))))))), "")</f>
        <v/>
      </c>
      <c r="H21" s="1225" t="str">
        <f>IFERROR(IF(LEFT(H$3,1)="F",H12,
IF(LEFT(H$3,2)="Q1",H12+INDEX(12:12,0,MATCH("Q4-"&amp;RIGHT(H$3,4)-1,$3:$3,0))+INDEX(12:12,0,MATCH("Q3-"&amp;RIGHT(H$3,4)-1,$3:$3,0))+INDEX(12:12,0,MATCH("Q2-"&amp;RIGHT(H$3,4)-1,$3:$3,0)),
IF(LEFT(H$3,2)="Q2",H12+INDEX(12:12,0,MATCH("Q4-"&amp;RIGHT(H$3,4)-1,$3:$3,0))+INDEX(12:12,0,MATCH("Q3-"&amp;RIGHT(H$3,4)-1,$3:$3,0))+INDEX(12:12,0,MATCH("Q1-"&amp;RIGHT(H$3,4),$3:$3,0)),
IF(LEFT(H$3,2)="Q3",H12+INDEX(12:12,0,MATCH("Q4-"&amp;RIGHT(H$3,4)-1,$3:$3,0))+INDEX(12:12,0,MATCH("Q2-"&amp;RIGHT(H$3,4),$3:$3,0))+INDEX(12:12,0,MATCH("Q1-"&amp;RIGHT(H$3,4),$3:$3,0)),
IF(LEFT(H$3,2)="Q4",INDEX(12:12,0,MATCH("FY"&amp;RIGHT(H$3,4),$3:$3,0))))))), "")</f>
        <v/>
      </c>
      <c r="I21" s="1225">
        <f>IFERROR(IF(LEFT(I$3,1)="F",I12,
IF(LEFT(I$3,2)="Q1",I12+INDEX(12:12,0,MATCH("Q4-"&amp;RIGHT(I$3,4)-1,$3:$3,0))+INDEX(12:12,0,MATCH("Q3-"&amp;RIGHT(I$3,4)-1,$3:$3,0))+INDEX(12:12,0,MATCH("Q2-"&amp;RIGHT(I$3,4)-1,$3:$3,0)),
IF(LEFT(I$3,2)="Q2",I12+INDEX(12:12,0,MATCH("Q4-"&amp;RIGHT(I$3,4)-1,$3:$3,0))+INDEX(12:12,0,MATCH("Q3-"&amp;RIGHT(I$3,4)-1,$3:$3,0))+INDEX(12:12,0,MATCH("Q1-"&amp;RIGHT(I$3,4),$3:$3,0)),
IF(LEFT(I$3,2)="Q3",I12+INDEX(12:12,0,MATCH("Q4-"&amp;RIGHT(I$3,4)-1,$3:$3,0))+INDEX(12:12,0,MATCH("Q2-"&amp;RIGHT(I$3,4),$3:$3,0))+INDEX(12:12,0,MATCH("Q1-"&amp;RIGHT(I$3,4),$3:$3,0)),
IF(LEFT(I$3,2)="Q4",INDEX(12:12,0,MATCH("FY"&amp;RIGHT(I$3,4),$3:$3,0))))))), "")</f>
        <v>7000</v>
      </c>
      <c r="J21" s="1219">
        <f>IFERROR(IF(LEFT(J$3,1)="F",J12,
IF(LEFT(J$3,2)="Q1",J12+INDEX(12:12,0,MATCH("Q4-"&amp;RIGHT(J$3,4)-1,$3:$3,0))+INDEX(12:12,0,MATCH("Q3-"&amp;RIGHT(J$3,4)-1,$3:$3,0))+INDEX(12:12,0,MATCH("Q2-"&amp;RIGHT(J$3,4)-1,$3:$3,0)),
IF(LEFT(J$3,2)="Q2",J12+INDEX(12:12,0,MATCH("Q4-"&amp;RIGHT(J$3,4)-1,$3:$3,0))+INDEX(12:12,0,MATCH("Q3-"&amp;RIGHT(J$3,4)-1,$3:$3,0))+INDEX(12:12,0,MATCH("Q1-"&amp;RIGHT(J$3,4),$3:$3,0)),
IF(LEFT(J$3,2)="Q3",J12+INDEX(12:12,0,MATCH("Q4-"&amp;RIGHT(J$3,4)-1,$3:$3,0))+INDEX(12:12,0,MATCH("Q2-"&amp;RIGHT(J$3,4),$3:$3,0))+INDEX(12:12,0,MATCH("Q1-"&amp;RIGHT(J$3,4),$3:$3,0)),
IF(LEFT(J$3,2)="Q4",INDEX(12:12,0,MATCH("FY"&amp;RIGHT(J$3,4),$3:$3,0))))))), "")</f>
        <v>7000</v>
      </c>
      <c r="K21" s="1225">
        <f>IFERROR(IF(LEFT(K$3,1)="F",K12,
IF(LEFT(K$3,2)="Q1",K12+INDEX(12:12,0,MATCH("Q4-"&amp;RIGHT(K$3,4)-1,$3:$3,0))+INDEX(12:12,0,MATCH("Q3-"&amp;RIGHT(K$3,4)-1,$3:$3,0))+INDEX(12:12,0,MATCH("Q2-"&amp;RIGHT(K$3,4)-1,$3:$3,0)),
IF(LEFT(K$3,2)="Q2",K12+INDEX(12:12,0,MATCH("Q4-"&amp;RIGHT(K$3,4)-1,$3:$3,0))+INDEX(12:12,0,MATCH("Q3-"&amp;RIGHT(K$3,4)-1,$3:$3,0))+INDEX(12:12,0,MATCH("Q1-"&amp;RIGHT(K$3,4),$3:$3,0)),
IF(LEFT(K$3,2)="Q3",K12+INDEX(12:12,0,MATCH("Q4-"&amp;RIGHT(K$3,4)-1,$3:$3,0))+INDEX(12:12,0,MATCH("Q2-"&amp;RIGHT(K$3,4),$3:$3,0))+INDEX(12:12,0,MATCH("Q1-"&amp;RIGHT(K$3,4),$3:$3,0)),
IF(LEFT(K$3,2)="Q4",INDEX(12:12,0,MATCH("FY"&amp;RIGHT(K$3,4),$3:$3,0))))))), "")</f>
        <v>7123</v>
      </c>
      <c r="L21" s="1225">
        <f>IFERROR(IF(LEFT(L$3,1)="F",L12,
IF(LEFT(L$3,2)="Q1",L12+INDEX(12:12,0,MATCH("Q4-"&amp;RIGHT(L$3,4)-1,$3:$3,0))+INDEX(12:12,0,MATCH("Q3-"&amp;RIGHT(L$3,4)-1,$3:$3,0))+INDEX(12:12,0,MATCH("Q2-"&amp;RIGHT(L$3,4)-1,$3:$3,0)),
IF(LEFT(L$3,2)="Q2",L12+INDEX(12:12,0,MATCH("Q4-"&amp;RIGHT(L$3,4)-1,$3:$3,0))+INDEX(12:12,0,MATCH("Q3-"&amp;RIGHT(L$3,4)-1,$3:$3,0))+INDEX(12:12,0,MATCH("Q1-"&amp;RIGHT(L$3,4),$3:$3,0)),
IF(LEFT(L$3,2)="Q3",L12+INDEX(12:12,0,MATCH("Q4-"&amp;RIGHT(L$3,4)-1,$3:$3,0))+INDEX(12:12,0,MATCH("Q2-"&amp;RIGHT(L$3,4),$3:$3,0))+INDEX(12:12,0,MATCH("Q1-"&amp;RIGHT(L$3,4),$3:$3,0)),
IF(LEFT(L$3,2)="Q4",INDEX(12:12,0,MATCH("FY"&amp;RIGHT(L$3,4),$3:$3,0))))))), "")</f>
        <v>6219</v>
      </c>
      <c r="M21" s="1225">
        <f>IFERROR(IF(LEFT(M$3,1)="F",M12,
IF(LEFT(M$3,2)="Q1",M12+INDEX(12:12,0,MATCH("Q4-"&amp;RIGHT(M$3,4)-1,$3:$3,0))+INDEX(12:12,0,MATCH("Q3-"&amp;RIGHT(M$3,4)-1,$3:$3,0))+INDEX(12:12,0,MATCH("Q2-"&amp;RIGHT(M$3,4)-1,$3:$3,0)),
IF(LEFT(M$3,2)="Q2",M12+INDEX(12:12,0,MATCH("Q4-"&amp;RIGHT(M$3,4)-1,$3:$3,0))+INDEX(12:12,0,MATCH("Q3-"&amp;RIGHT(M$3,4)-1,$3:$3,0))+INDEX(12:12,0,MATCH("Q1-"&amp;RIGHT(M$3,4),$3:$3,0)),
IF(LEFT(M$3,2)="Q3",M12+INDEX(12:12,0,MATCH("Q4-"&amp;RIGHT(M$3,4)-1,$3:$3,0))+INDEX(12:12,0,MATCH("Q2-"&amp;RIGHT(M$3,4),$3:$3,0))+INDEX(12:12,0,MATCH("Q1-"&amp;RIGHT(M$3,4),$3:$3,0)),
IF(LEFT(M$3,2)="Q4",INDEX(12:12,0,MATCH("FY"&amp;RIGHT(M$3,4),$3:$3,0))))))), "")</f>
        <v>6220</v>
      </c>
      <c r="N21" s="1225">
        <f>IFERROR(IF(LEFT(N$3,1)="F",N12,
IF(LEFT(N$3,2)="Q1",N12+INDEX(12:12,0,MATCH("Q4-"&amp;RIGHT(N$3,4)-1,$3:$3,0))+INDEX(12:12,0,MATCH("Q3-"&amp;RIGHT(N$3,4)-1,$3:$3,0))+INDEX(12:12,0,MATCH("Q2-"&amp;RIGHT(N$3,4)-1,$3:$3,0)),
IF(LEFT(N$3,2)="Q2",N12+INDEX(12:12,0,MATCH("Q4-"&amp;RIGHT(N$3,4)-1,$3:$3,0))+INDEX(12:12,0,MATCH("Q3-"&amp;RIGHT(N$3,4)-1,$3:$3,0))+INDEX(12:12,0,MATCH("Q1-"&amp;RIGHT(N$3,4),$3:$3,0)),
IF(LEFT(N$3,2)="Q3",N12+INDEX(12:12,0,MATCH("Q4-"&amp;RIGHT(N$3,4)-1,$3:$3,0))+INDEX(12:12,0,MATCH("Q2-"&amp;RIGHT(N$3,4),$3:$3,0))+INDEX(12:12,0,MATCH("Q1-"&amp;RIGHT(N$3,4),$3:$3,0)),
IF(LEFT(N$3,2)="Q4",INDEX(12:12,0,MATCH("FY"&amp;RIGHT(N$3,4),$3:$3,0))))))), "")</f>
        <v>5712</v>
      </c>
      <c r="O21" s="1219">
        <f>IFERROR(IF(LEFT(O$3,1)="F",O12,
IF(LEFT(O$3,2)="Q1",O12+INDEX(12:12,0,MATCH("Q4-"&amp;RIGHT(O$3,4)-1,$3:$3,0))+INDEX(12:12,0,MATCH("Q3-"&amp;RIGHT(O$3,4)-1,$3:$3,0))+INDEX(12:12,0,MATCH("Q2-"&amp;RIGHT(O$3,4)-1,$3:$3,0)),
IF(LEFT(O$3,2)="Q2",O12+INDEX(12:12,0,MATCH("Q4-"&amp;RIGHT(O$3,4)-1,$3:$3,0))+INDEX(12:12,0,MATCH("Q3-"&amp;RIGHT(O$3,4)-1,$3:$3,0))+INDEX(12:12,0,MATCH("Q1-"&amp;RIGHT(O$3,4),$3:$3,0)),
IF(LEFT(O$3,2)="Q3",O12+INDEX(12:12,0,MATCH("Q4-"&amp;RIGHT(O$3,4)-1,$3:$3,0))+INDEX(12:12,0,MATCH("Q2-"&amp;RIGHT(O$3,4),$3:$3,0))+INDEX(12:12,0,MATCH("Q1-"&amp;RIGHT(O$3,4),$3:$3,0)),
IF(LEFT(O$3,2)="Q4",INDEX(12:12,0,MATCH("FY"&amp;RIGHT(O$3,4),$3:$3,0))))))), "")</f>
        <v>5712</v>
      </c>
      <c r="P21" s="1225">
        <f>IFERROR(IF(LEFT(P$3,1)="F",P12,
IF(LEFT(P$3,2)="Q1",P12+INDEX(12:12,0,MATCH("Q4-"&amp;RIGHT(P$3,4)-1,$3:$3,0))+INDEX(12:12,0,MATCH("Q3-"&amp;RIGHT(P$3,4)-1,$3:$3,0))+INDEX(12:12,0,MATCH("Q2-"&amp;RIGHT(P$3,4)-1,$3:$3,0)),
IF(LEFT(P$3,2)="Q2",P12+INDEX(12:12,0,MATCH("Q4-"&amp;RIGHT(P$3,4)-1,$3:$3,0))+INDEX(12:12,0,MATCH("Q3-"&amp;RIGHT(P$3,4)-1,$3:$3,0))+INDEX(12:12,0,MATCH("Q1-"&amp;RIGHT(P$3,4),$3:$3,0)),
IF(LEFT(P$3,2)="Q3",P12+INDEX(12:12,0,MATCH("Q4-"&amp;RIGHT(P$3,4)-1,$3:$3,0))+INDEX(12:12,0,MATCH("Q2-"&amp;RIGHT(P$3,4),$3:$3,0))+INDEX(12:12,0,MATCH("Q1-"&amp;RIGHT(P$3,4),$3:$3,0)),
IF(LEFT(P$3,2)="Q4",INDEX(12:12,0,MATCH("FY"&amp;RIGHT(P$3,4),$3:$3,0))))))), "")</f>
        <v>6191</v>
      </c>
      <c r="Q21" s="1225">
        <f>IFERROR(IF(LEFT(Q$3,1)="F",Q12,
IF(LEFT(Q$3,2)="Q1",Q12+INDEX(12:12,0,MATCH("Q4-"&amp;RIGHT(Q$3,4)-1,$3:$3,0))+INDEX(12:12,0,MATCH("Q3-"&amp;RIGHT(Q$3,4)-1,$3:$3,0))+INDEX(12:12,0,MATCH("Q2-"&amp;RIGHT(Q$3,4)-1,$3:$3,0)),
IF(LEFT(Q$3,2)="Q2",Q12+INDEX(12:12,0,MATCH("Q4-"&amp;RIGHT(Q$3,4)-1,$3:$3,0))+INDEX(12:12,0,MATCH("Q3-"&amp;RIGHT(Q$3,4)-1,$3:$3,0))+INDEX(12:12,0,MATCH("Q1-"&amp;RIGHT(Q$3,4),$3:$3,0)),
IF(LEFT(Q$3,2)="Q3",Q12+INDEX(12:12,0,MATCH("Q4-"&amp;RIGHT(Q$3,4)-1,$3:$3,0))+INDEX(12:12,0,MATCH("Q2-"&amp;RIGHT(Q$3,4),$3:$3,0))+INDEX(12:12,0,MATCH("Q1-"&amp;RIGHT(Q$3,4),$3:$3,0)),
IF(LEFT(Q$3,2)="Q4",INDEX(12:12,0,MATCH("FY"&amp;RIGHT(Q$3,4),$3:$3,0))))))), "")</f>
        <v>6374</v>
      </c>
      <c r="R21" s="1225">
        <f>IFERROR(IF(LEFT(R$3,1)="F",R12,
IF(LEFT(R$3,2)="Q1",R12+INDEX(12:12,0,MATCH("Q4-"&amp;RIGHT(R$3,4)-1,$3:$3,0))+INDEX(12:12,0,MATCH("Q3-"&amp;RIGHT(R$3,4)-1,$3:$3,0))+INDEX(12:12,0,MATCH("Q2-"&amp;RIGHT(R$3,4)-1,$3:$3,0)),
IF(LEFT(R$3,2)="Q2",R12+INDEX(12:12,0,MATCH("Q4-"&amp;RIGHT(R$3,4)-1,$3:$3,0))+INDEX(12:12,0,MATCH("Q3-"&amp;RIGHT(R$3,4)-1,$3:$3,0))+INDEX(12:12,0,MATCH("Q1-"&amp;RIGHT(R$3,4),$3:$3,0)),
IF(LEFT(R$3,2)="Q3",R12+INDEX(12:12,0,MATCH("Q4-"&amp;RIGHT(R$3,4)-1,$3:$3,0))+INDEX(12:12,0,MATCH("Q2-"&amp;RIGHT(R$3,4),$3:$3,0))+INDEX(12:12,0,MATCH("Q1-"&amp;RIGHT(R$3,4),$3:$3,0)),
IF(LEFT(R$3,2)="Q4",INDEX(12:12,0,MATCH("FY"&amp;RIGHT(R$3,4),$3:$3,0))))))), "")</f>
        <v>6213</v>
      </c>
      <c r="S21" s="1225">
        <f>IFERROR(IF(LEFT(S$3,1)="F",S12,
IF(LEFT(S$3,2)="Q1",S12+INDEX(12:12,0,MATCH("Q4-"&amp;RIGHT(S$3,4)-1,$3:$3,0))+INDEX(12:12,0,MATCH("Q3-"&amp;RIGHT(S$3,4)-1,$3:$3,0))+INDEX(12:12,0,MATCH("Q2-"&amp;RIGHT(S$3,4)-1,$3:$3,0)),
IF(LEFT(S$3,2)="Q2",S12+INDEX(12:12,0,MATCH("Q4-"&amp;RIGHT(S$3,4)-1,$3:$3,0))+INDEX(12:12,0,MATCH("Q3-"&amp;RIGHT(S$3,4)-1,$3:$3,0))+INDEX(12:12,0,MATCH("Q1-"&amp;RIGHT(S$3,4),$3:$3,0)),
IF(LEFT(S$3,2)="Q3",S12+INDEX(12:12,0,MATCH("Q4-"&amp;RIGHT(S$3,4)-1,$3:$3,0))+INDEX(12:12,0,MATCH("Q2-"&amp;RIGHT(S$3,4),$3:$3,0))+INDEX(12:12,0,MATCH("Q1-"&amp;RIGHT(S$3,4),$3:$3,0)),
IF(LEFT(S$3,2)="Q4",INDEX(12:12,0,MATCH("FY"&amp;RIGHT(S$3,4),$3:$3,0))))))), "")</f>
        <v>6711</v>
      </c>
      <c r="T21" s="1219">
        <f>IFERROR(IF(LEFT(T$3,1)="F",T12,
IF(LEFT(T$3,2)="Q1",T12+INDEX(12:12,0,MATCH("Q4-"&amp;RIGHT(T$3,4)-1,$3:$3,0))+INDEX(12:12,0,MATCH("Q3-"&amp;RIGHT(T$3,4)-1,$3:$3,0))+INDEX(12:12,0,MATCH("Q2-"&amp;RIGHT(T$3,4)-1,$3:$3,0)),
IF(LEFT(T$3,2)="Q2",T12+INDEX(12:12,0,MATCH("Q4-"&amp;RIGHT(T$3,4)-1,$3:$3,0))+INDEX(12:12,0,MATCH("Q3-"&amp;RIGHT(T$3,4)-1,$3:$3,0))+INDEX(12:12,0,MATCH("Q1-"&amp;RIGHT(T$3,4),$3:$3,0)),
IF(LEFT(T$3,2)="Q3",T12+INDEX(12:12,0,MATCH("Q4-"&amp;RIGHT(T$3,4)-1,$3:$3,0))+INDEX(12:12,0,MATCH("Q2-"&amp;RIGHT(T$3,4),$3:$3,0))+INDEX(12:12,0,MATCH("Q1-"&amp;RIGHT(T$3,4),$3:$3,0)),
IF(LEFT(T$3,2)="Q4",INDEX(12:12,0,MATCH("FY"&amp;RIGHT(T$3,4),$3:$3,0))))))), "")</f>
        <v>6711</v>
      </c>
      <c r="U21" s="1225">
        <f>IFERROR(IF(LEFT(U$3,1)="F",U12,
IF(LEFT(U$3,2)="Q1",U12+INDEX(12:12,0,MATCH("Q4-"&amp;RIGHT(U$3,4)-1,$3:$3,0))+INDEX(12:12,0,MATCH("Q3-"&amp;RIGHT(U$3,4)-1,$3:$3,0))+INDEX(12:12,0,MATCH("Q2-"&amp;RIGHT(U$3,4)-1,$3:$3,0)),
IF(LEFT(U$3,2)="Q2",U12+INDEX(12:12,0,MATCH("Q4-"&amp;RIGHT(U$3,4)-1,$3:$3,0))+INDEX(12:12,0,MATCH("Q3-"&amp;RIGHT(U$3,4)-1,$3:$3,0))+INDEX(12:12,0,MATCH("Q1-"&amp;RIGHT(U$3,4),$3:$3,0)),
IF(LEFT(U$3,2)="Q3",U12+INDEX(12:12,0,MATCH("Q4-"&amp;RIGHT(U$3,4)-1,$3:$3,0))+INDEX(12:12,0,MATCH("Q2-"&amp;RIGHT(U$3,4),$3:$3,0))+INDEX(12:12,0,MATCH("Q1-"&amp;RIGHT(U$3,4),$3:$3,0)),
IF(LEFT(U$3,2)="Q4",INDEX(12:12,0,MATCH("FY"&amp;RIGHT(U$3,4),$3:$3,0))))))), "")</f>
        <v>7089</v>
      </c>
      <c r="V21" s="1225">
        <f>IFERROR(IF(LEFT(V$3,1)="F",V12,
IF(LEFT(V$3,2)="Q1",V12+INDEX(12:12,0,MATCH("Q4-"&amp;RIGHT(V$3,4)-1,$3:$3,0))+INDEX(12:12,0,MATCH("Q3-"&amp;RIGHT(V$3,4)-1,$3:$3,0))+INDEX(12:12,0,MATCH("Q2-"&amp;RIGHT(V$3,4)-1,$3:$3,0)),
IF(LEFT(V$3,2)="Q2",V12+INDEX(12:12,0,MATCH("Q4-"&amp;RIGHT(V$3,4)-1,$3:$3,0))+INDEX(12:12,0,MATCH("Q3-"&amp;RIGHT(V$3,4)-1,$3:$3,0))+INDEX(12:12,0,MATCH("Q1-"&amp;RIGHT(V$3,4),$3:$3,0)),
IF(LEFT(V$3,2)="Q3",V12+INDEX(12:12,0,MATCH("Q4-"&amp;RIGHT(V$3,4)-1,$3:$3,0))+INDEX(12:12,0,MATCH("Q2-"&amp;RIGHT(V$3,4),$3:$3,0))+INDEX(12:12,0,MATCH("Q1-"&amp;RIGHT(V$3,4),$3:$3,0)),
IF(LEFT(V$3,2)="Q4",INDEX(12:12,0,MATCH("FY"&amp;RIGHT(V$3,4),$3:$3,0))))))), "")</f>
        <v>7032.1642724712328</v>
      </c>
      <c r="W21" s="1225">
        <f>IFERROR(IF(LEFT(W$3,1)="F",W12,
IF(LEFT(W$3,2)="Q1",W12+INDEX(12:12,0,MATCH("Q4-"&amp;RIGHT(W$3,4)-1,$3:$3,0))+INDEX(12:12,0,MATCH("Q3-"&amp;RIGHT(W$3,4)-1,$3:$3,0))+INDEX(12:12,0,MATCH("Q2-"&amp;RIGHT(W$3,4)-1,$3:$3,0)),
IF(LEFT(W$3,2)="Q2",W12+INDEX(12:12,0,MATCH("Q4-"&amp;RIGHT(W$3,4)-1,$3:$3,0))+INDEX(12:12,0,MATCH("Q3-"&amp;RIGHT(W$3,4)-1,$3:$3,0))+INDEX(12:12,0,MATCH("Q1-"&amp;RIGHT(W$3,4),$3:$3,0)),
IF(LEFT(W$3,2)="Q3",W12+INDEX(12:12,0,MATCH("Q4-"&amp;RIGHT(W$3,4)-1,$3:$3,0))+INDEX(12:12,0,MATCH("Q2-"&amp;RIGHT(W$3,4),$3:$3,0))+INDEX(12:12,0,MATCH("Q1-"&amp;RIGHT(W$3,4),$3:$3,0)),
IF(LEFT(W$3,2)="Q4",INDEX(12:12,0,MATCH("FY"&amp;RIGHT(W$3,4),$3:$3,0))))))), "")</f>
        <v>7138.7109113170463</v>
      </c>
      <c r="X21" s="1225">
        <f>IFERROR(IF(LEFT(X$3,1)="F",X12,
IF(LEFT(X$3,2)="Q1",X12+INDEX(12:12,0,MATCH("Q4-"&amp;RIGHT(X$3,4)-1,$3:$3,0))+INDEX(12:12,0,MATCH("Q3-"&amp;RIGHT(X$3,4)-1,$3:$3,0))+INDEX(12:12,0,MATCH("Q2-"&amp;RIGHT(X$3,4)-1,$3:$3,0)),
IF(LEFT(X$3,2)="Q2",X12+INDEX(12:12,0,MATCH("Q4-"&amp;RIGHT(X$3,4)-1,$3:$3,0))+INDEX(12:12,0,MATCH("Q3-"&amp;RIGHT(X$3,4)-1,$3:$3,0))+INDEX(12:12,0,MATCH("Q1-"&amp;RIGHT(X$3,4),$3:$3,0)),
IF(LEFT(X$3,2)="Q3",X12+INDEX(12:12,0,MATCH("Q4-"&amp;RIGHT(X$3,4)-1,$3:$3,0))+INDEX(12:12,0,MATCH("Q2-"&amp;RIGHT(X$3,4),$3:$3,0))+INDEX(12:12,0,MATCH("Q1-"&amp;RIGHT(X$3,4),$3:$3,0)),
IF(LEFT(X$3,2)="Q4",INDEX(12:12,0,MATCH("FY"&amp;RIGHT(X$3,4),$3:$3,0))))))), "")</f>
        <v>7443.4158760734954</v>
      </c>
      <c r="Y21" s="1219">
        <f>IFERROR(IF(LEFT(Y$3,1)="F",Y12,
IF(LEFT(Y$3,2)="Q1",Y12+INDEX(12:12,0,MATCH("Q4-"&amp;RIGHT(Y$3,4)-1,$3:$3,0))+INDEX(12:12,0,MATCH("Q3-"&amp;RIGHT(Y$3,4)-1,$3:$3,0))+INDEX(12:12,0,MATCH("Q2-"&amp;RIGHT(Y$3,4)-1,$3:$3,0)),
IF(LEFT(Y$3,2)="Q2",Y12+INDEX(12:12,0,MATCH("Q4-"&amp;RIGHT(Y$3,4)-1,$3:$3,0))+INDEX(12:12,0,MATCH("Q3-"&amp;RIGHT(Y$3,4)-1,$3:$3,0))+INDEX(12:12,0,MATCH("Q1-"&amp;RIGHT(Y$3,4),$3:$3,0)),
IF(LEFT(Y$3,2)="Q3",Y12+INDEX(12:12,0,MATCH("Q4-"&amp;RIGHT(Y$3,4)-1,$3:$3,0))+INDEX(12:12,0,MATCH("Q2-"&amp;RIGHT(Y$3,4),$3:$3,0))+INDEX(12:12,0,MATCH("Q1-"&amp;RIGHT(Y$3,4),$3:$3,0)),
IF(LEFT(Y$3,2)="Q4",INDEX(12:12,0,MATCH("FY"&amp;RIGHT(Y$3,4),$3:$3,0))))))), "")</f>
        <v>7443.4158760734954</v>
      </c>
      <c r="Z21" s="1225">
        <f>IFERROR(IF(LEFT(Z$3,1)="F",Z12,
IF(LEFT(Z$3,2)="Q1",Z12+INDEX(12:12,0,MATCH("Q4-"&amp;RIGHT(Z$3,4)-1,$3:$3,0))+INDEX(12:12,0,MATCH("Q3-"&amp;RIGHT(Z$3,4)-1,$3:$3,0))+INDEX(12:12,0,MATCH("Q2-"&amp;RIGHT(Z$3,4)-1,$3:$3,0)),
IF(LEFT(Z$3,2)="Q2",Z12+INDEX(12:12,0,MATCH("Q4-"&amp;RIGHT(Z$3,4)-1,$3:$3,0))+INDEX(12:12,0,MATCH("Q3-"&amp;RIGHT(Z$3,4)-1,$3:$3,0))+INDEX(12:12,0,MATCH("Q1-"&amp;RIGHT(Z$3,4),$3:$3,0)),
IF(LEFT(Z$3,2)="Q3",Z12+INDEX(12:12,0,MATCH("Q4-"&amp;RIGHT(Z$3,4)-1,$3:$3,0))+INDEX(12:12,0,MATCH("Q2-"&amp;RIGHT(Z$3,4),$3:$3,0))+INDEX(12:12,0,MATCH("Q1-"&amp;RIGHT(Z$3,4),$3:$3,0)),
IF(LEFT(Z$3,2)="Q4",INDEX(12:12,0,MATCH("FY"&amp;RIGHT(Z$3,4),$3:$3,0))))))), "")</f>
        <v>7635.0082944731212</v>
      </c>
      <c r="AA21" s="1225">
        <f ca="1">IFERROR(IF(LEFT(AA$3,1)="F",AA12,
IF(LEFT(AA$3,2)="Q1",AA12+INDEX(12:12,0,MATCH("Q4-"&amp;RIGHT(AA$3,4)-1,$3:$3,0))+INDEX(12:12,0,MATCH("Q3-"&amp;RIGHT(AA$3,4)-1,$3:$3,0))+INDEX(12:12,0,MATCH("Q2-"&amp;RIGHT(AA$3,4)-1,$3:$3,0)),
IF(LEFT(AA$3,2)="Q2",AA12+INDEX(12:12,0,MATCH("Q4-"&amp;RIGHT(AA$3,4)-1,$3:$3,0))+INDEX(12:12,0,MATCH("Q3-"&amp;RIGHT(AA$3,4)-1,$3:$3,0))+INDEX(12:12,0,MATCH("Q1-"&amp;RIGHT(AA$3,4),$3:$3,0)),
IF(LEFT(AA$3,2)="Q3",AA12+INDEX(12:12,0,MATCH("Q4-"&amp;RIGHT(AA$3,4)-1,$3:$3,0))+INDEX(12:12,0,MATCH("Q2-"&amp;RIGHT(AA$3,4),$3:$3,0))+INDEX(12:12,0,MATCH("Q1-"&amp;RIGHT(AA$3,4),$3:$3,0)),
IF(LEFT(AA$3,2)="Q4",INDEX(12:12,0,MATCH("FY"&amp;RIGHT(AA$3,4),$3:$3,0))))))), "")</f>
        <v>7915.3149989973172</v>
      </c>
      <c r="AB21" s="1225">
        <f ca="1">IFERROR(IF(LEFT(AB$3,1)="F",AB12,
IF(LEFT(AB$3,2)="Q1",AB12+INDEX(12:12,0,MATCH("Q4-"&amp;RIGHT(AB$3,4)-1,$3:$3,0))+INDEX(12:12,0,MATCH("Q3-"&amp;RIGHT(AB$3,4)-1,$3:$3,0))+INDEX(12:12,0,MATCH("Q2-"&amp;RIGHT(AB$3,4)-1,$3:$3,0)),
IF(LEFT(AB$3,2)="Q2",AB12+INDEX(12:12,0,MATCH("Q4-"&amp;RIGHT(AB$3,4)-1,$3:$3,0))+INDEX(12:12,0,MATCH("Q3-"&amp;RIGHT(AB$3,4)-1,$3:$3,0))+INDEX(12:12,0,MATCH("Q1-"&amp;RIGHT(AB$3,4),$3:$3,0)),
IF(LEFT(AB$3,2)="Q3",AB12+INDEX(12:12,0,MATCH("Q4-"&amp;RIGHT(AB$3,4)-1,$3:$3,0))+INDEX(12:12,0,MATCH("Q2-"&amp;RIGHT(AB$3,4),$3:$3,0))+INDEX(12:12,0,MATCH("Q1-"&amp;RIGHT(AB$3,4),$3:$3,0)),
IF(LEFT(AB$3,2)="Q4",INDEX(12:12,0,MATCH("FY"&amp;RIGHT(AB$3,4),$3:$3,0))))))), "")</f>
        <v>7995.5866534635006</v>
      </c>
      <c r="AC21" s="1225">
        <f ca="1">IFERROR(IF(LEFT(AC$3,1)="F",AC12,
IF(LEFT(AC$3,2)="Q1",AC12+INDEX(12:12,0,MATCH("Q4-"&amp;RIGHT(AC$3,4)-1,$3:$3,0))+INDEX(12:12,0,MATCH("Q3-"&amp;RIGHT(AC$3,4)-1,$3:$3,0))+INDEX(12:12,0,MATCH("Q2-"&amp;RIGHT(AC$3,4)-1,$3:$3,0)),
IF(LEFT(AC$3,2)="Q2",AC12+INDEX(12:12,0,MATCH("Q4-"&amp;RIGHT(AC$3,4)-1,$3:$3,0))+INDEX(12:12,0,MATCH("Q3-"&amp;RIGHT(AC$3,4)-1,$3:$3,0))+INDEX(12:12,0,MATCH("Q1-"&amp;RIGHT(AC$3,4),$3:$3,0)),
IF(LEFT(AC$3,2)="Q3",AC12+INDEX(12:12,0,MATCH("Q4-"&amp;RIGHT(AC$3,4)-1,$3:$3,0))+INDEX(12:12,0,MATCH("Q2-"&amp;RIGHT(AC$3,4),$3:$3,0))+INDEX(12:12,0,MATCH("Q1-"&amp;RIGHT(AC$3,4),$3:$3,0)),
IF(LEFT(AC$3,2)="Q4",INDEX(12:12,0,MATCH("FY"&amp;RIGHT(AC$3,4),$3:$3,0))))))), "")</f>
        <v>8197.0402648071358</v>
      </c>
      <c r="AD21" s="1219">
        <f ca="1">IFERROR(IF(LEFT(AD$3,1)="F",AD12,
IF(LEFT(AD$3,2)="Q1",AD12+INDEX(12:12,0,MATCH("Q4-"&amp;RIGHT(AD$3,4)-1,$3:$3,0))+INDEX(12:12,0,MATCH("Q3-"&amp;RIGHT(AD$3,4)-1,$3:$3,0))+INDEX(12:12,0,MATCH("Q2-"&amp;RIGHT(AD$3,4)-1,$3:$3,0)),
IF(LEFT(AD$3,2)="Q2",AD12+INDEX(12:12,0,MATCH("Q4-"&amp;RIGHT(AD$3,4)-1,$3:$3,0))+INDEX(12:12,0,MATCH("Q3-"&amp;RIGHT(AD$3,4)-1,$3:$3,0))+INDEX(12:12,0,MATCH("Q1-"&amp;RIGHT(AD$3,4),$3:$3,0)),
IF(LEFT(AD$3,2)="Q3",AD12+INDEX(12:12,0,MATCH("Q4-"&amp;RIGHT(AD$3,4)-1,$3:$3,0))+INDEX(12:12,0,MATCH("Q2-"&amp;RIGHT(AD$3,4),$3:$3,0))+INDEX(12:12,0,MATCH("Q1-"&amp;RIGHT(AD$3,4),$3:$3,0)),
IF(LEFT(AD$3,2)="Q4",INDEX(12:12,0,MATCH("FY"&amp;RIGHT(AD$3,4),$3:$3,0))))))), "")</f>
        <v>8197.0402648071358</v>
      </c>
      <c r="AE21" s="1219">
        <f ca="1">IFERROR(IF(LEFT(AE$3,1)="F",AE12,
IF(LEFT(AE$3,2)="Q1",AE12+INDEX(12:12,0,MATCH("Q4-"&amp;RIGHT(AE$3,4)-1,$3:$3,0))+INDEX(12:12,0,MATCH("Q3-"&amp;RIGHT(AE$3,4)-1,$3:$3,0))+INDEX(12:12,0,MATCH("Q2-"&amp;RIGHT(AE$3,4)-1,$3:$3,0)),
IF(LEFT(AE$3,2)="Q2",AE12+INDEX(12:12,0,MATCH("Q4-"&amp;RIGHT(AE$3,4)-1,$3:$3,0))+INDEX(12:12,0,MATCH("Q3-"&amp;RIGHT(AE$3,4)-1,$3:$3,0))+INDEX(12:12,0,MATCH("Q1-"&amp;RIGHT(AE$3,4),$3:$3,0)),
IF(LEFT(AE$3,2)="Q3",AE12+INDEX(12:12,0,MATCH("Q4-"&amp;RIGHT(AE$3,4)-1,$3:$3,0))+INDEX(12:12,0,MATCH("Q2-"&amp;RIGHT(AE$3,4),$3:$3,0))+INDEX(12:12,0,MATCH("Q1-"&amp;RIGHT(AE$3,4),$3:$3,0)),
IF(LEFT(AE$3,2)="Q4",INDEX(12:12,0,MATCH("FY"&amp;RIGHT(AE$3,4),$3:$3,0))))))), "")</f>
        <v>9005.0330929411248</v>
      </c>
      <c r="AF21" s="1219">
        <f ca="1">IFERROR(IF(LEFT(AF$3,1)="F",AF12,
IF(LEFT(AF$3,2)="Q1",AF12+INDEX(12:12,0,MATCH("Q4-"&amp;RIGHT(AF$3,4)-1,$3:$3,0))+INDEX(12:12,0,MATCH("Q3-"&amp;RIGHT(AF$3,4)-1,$3:$3,0))+INDEX(12:12,0,MATCH("Q2-"&amp;RIGHT(AF$3,4)-1,$3:$3,0)),
IF(LEFT(AF$3,2)="Q2",AF12+INDEX(12:12,0,MATCH("Q4-"&amp;RIGHT(AF$3,4)-1,$3:$3,0))+INDEX(12:12,0,MATCH("Q3-"&amp;RIGHT(AF$3,4)-1,$3:$3,0))+INDEX(12:12,0,MATCH("Q1-"&amp;RIGHT(AF$3,4),$3:$3,0)),
IF(LEFT(AF$3,2)="Q3",AF12+INDEX(12:12,0,MATCH("Q4-"&amp;RIGHT(AF$3,4)-1,$3:$3,0))+INDEX(12:12,0,MATCH("Q2-"&amp;RIGHT(AF$3,4),$3:$3,0))+INDEX(12:12,0,MATCH("Q1-"&amp;RIGHT(AF$3,4),$3:$3,0)),
IF(LEFT(AF$3,2)="Q4",INDEX(12:12,0,MATCH("FY"&amp;RIGHT(AF$3,4),$3:$3,0))))))), "")</f>
        <v>9886.6306200610743</v>
      </c>
      <c r="AG21" s="1221">
        <f ca="1">IFERROR(IF(LEFT(AG$3,1)="F",AG12,
IF(LEFT(AG$3,2)="Q1",AG12+INDEX(12:12,0,MATCH("Q4-"&amp;RIGHT(AG$3,4)-1,$3:$3,0))+INDEX(12:12,0,MATCH("Q3-"&amp;RIGHT(AG$3,4)-1,$3:$3,0))+INDEX(12:12,0,MATCH("Q2-"&amp;RIGHT(AG$3,4)-1,$3:$3,0)),
IF(LEFT(AG$3,2)="Q2",AG12+INDEX(12:12,0,MATCH("Q4-"&amp;RIGHT(AG$3,4)-1,$3:$3,0))+INDEX(12:12,0,MATCH("Q3-"&amp;RIGHT(AG$3,4)-1,$3:$3,0))+INDEX(12:12,0,MATCH("Q1-"&amp;RIGHT(AG$3,4),$3:$3,0)),
IF(LEFT(AG$3,2)="Q3",AG12+INDEX(12:12,0,MATCH("Q4-"&amp;RIGHT(AG$3,4)-1,$3:$3,0))+INDEX(12:12,0,MATCH("Q2-"&amp;RIGHT(AG$3,4),$3:$3,0))+INDEX(12:12,0,MATCH("Q1-"&amp;RIGHT(AG$3,4),$3:$3,0)),
IF(LEFT(AG$3,2)="Q4",INDEX(12:12,0,MATCH("FY"&amp;RIGHT(AG$3,4),$3:$3,0))))))), "")</f>
        <v>10846.443259108837</v>
      </c>
    </row>
    <row r="22" spans="1:34" s="1222" customFormat="1" ht="14.25" customHeight="1" outlineLevel="1" x14ac:dyDescent="0.35">
      <c r="A22" s="1216" t="str">
        <f>"LTM "&amp;A13</f>
        <v>LTM Adj. Net Income</v>
      </c>
      <c r="B22" s="1217"/>
      <c r="C22" s="1218"/>
      <c r="D22" s="1219">
        <f>IFERROR(IF(LEFT(D$3,1)="F",D13,
IF(LEFT(D$3,2)="Q1",D13+INDEX(13:13,0,MATCH("Q4-"&amp;RIGHT(D$3,4)-1,$3:$3,0))+INDEX(13:13,0,MATCH("Q3-"&amp;RIGHT(D$3,4)-1,$3:$3,0))+INDEX(13:13,0,MATCH("Q2-"&amp;RIGHT(D$3,4)-1,$3:$3,0)),
IF(LEFT(D$3,2)="Q2",D13+INDEX(13:13,0,MATCH("Q4-"&amp;RIGHT(D$3,4)-1,$3:$3,0))+INDEX(13:13,0,MATCH("Q3-"&amp;RIGHT(D$3,4)-1,$3:$3,0))+INDEX(13:13,0,MATCH("Q1-"&amp;RIGHT(D$3,4),$3:$3,0)),
IF(LEFT(D$3,2)="Q3",D13+INDEX(13:13,0,MATCH("Q4-"&amp;RIGHT(D$3,4)-1,$3:$3,0))+INDEX(13:13,0,MATCH("Q2-"&amp;RIGHT(D$3,4),$3:$3,0))+INDEX(13:13,0,MATCH("Q1-"&amp;RIGHT(D$3,4),$3:$3,0)),
IF(LEFT(D$3,2)="Q4",INDEX(13:13,0,MATCH("FY"&amp;RIGHT(D$3,4),$3:$3,0))))))), "")</f>
        <v>5050</v>
      </c>
      <c r="E22" s="1219">
        <f>IFERROR(IF(LEFT(E$3,1)="F",E13,
IF(LEFT(E$3,2)="Q1",E13+INDEX(13:13,0,MATCH("Q4-"&amp;RIGHT(E$3,4)-1,$3:$3,0))+INDEX(13:13,0,MATCH("Q3-"&amp;RIGHT(E$3,4)-1,$3:$3,0))+INDEX(13:13,0,MATCH("Q2-"&amp;RIGHT(E$3,4)-1,$3:$3,0)),
IF(LEFT(E$3,2)="Q2",E13+INDEX(13:13,0,MATCH("Q4-"&amp;RIGHT(E$3,4)-1,$3:$3,0))+INDEX(13:13,0,MATCH("Q3-"&amp;RIGHT(E$3,4)-1,$3:$3,0))+INDEX(13:13,0,MATCH("Q1-"&amp;RIGHT(E$3,4),$3:$3,0)),
IF(LEFT(E$3,2)="Q3",E13+INDEX(13:13,0,MATCH("Q4-"&amp;RIGHT(E$3,4)-1,$3:$3,0))+INDEX(13:13,0,MATCH("Q2-"&amp;RIGHT(E$3,4),$3:$3,0))+INDEX(13:13,0,MATCH("Q1-"&amp;RIGHT(E$3,4),$3:$3,0)),
IF(LEFT(E$3,2)="Q4",INDEX(13:13,0,MATCH("FY"&amp;RIGHT(E$3,4),$3:$3,0))))))), "")</f>
        <v>5620</v>
      </c>
      <c r="F22" s="1225" t="str">
        <f>IFERROR(IF(LEFT(F$3,1)="F",F13,
IF(LEFT(F$3,2)="Q1",F13+INDEX(13:13,0,MATCH("Q4-"&amp;RIGHT(F$3,4)-1,$3:$3,0))+INDEX(13:13,0,MATCH("Q3-"&amp;RIGHT(F$3,4)-1,$3:$3,0))+INDEX(13:13,0,MATCH("Q2-"&amp;RIGHT(F$3,4)-1,$3:$3,0)),
IF(LEFT(F$3,2)="Q2",F13+INDEX(13:13,0,MATCH("Q4-"&amp;RIGHT(F$3,4)-1,$3:$3,0))+INDEX(13:13,0,MATCH("Q3-"&amp;RIGHT(F$3,4)-1,$3:$3,0))+INDEX(13:13,0,MATCH("Q1-"&amp;RIGHT(F$3,4),$3:$3,0)),
IF(LEFT(F$3,2)="Q3",F13+INDEX(13:13,0,MATCH("Q4-"&amp;RIGHT(F$3,4)-1,$3:$3,0))+INDEX(13:13,0,MATCH("Q2-"&amp;RIGHT(F$3,4),$3:$3,0))+INDEX(13:13,0,MATCH("Q1-"&amp;RIGHT(F$3,4),$3:$3,0)),
IF(LEFT(F$3,2)="Q4",INDEX(13:13,0,MATCH("FY"&amp;RIGHT(F$3,4),$3:$3,0))))))), "")</f>
        <v/>
      </c>
      <c r="G22" s="1225" t="str">
        <f>IFERROR(IF(LEFT(G$3,1)="F",G13,
IF(LEFT(G$3,2)="Q1",G13+INDEX(13:13,0,MATCH("Q4-"&amp;RIGHT(G$3,4)-1,$3:$3,0))+INDEX(13:13,0,MATCH("Q3-"&amp;RIGHT(G$3,4)-1,$3:$3,0))+INDEX(13:13,0,MATCH("Q2-"&amp;RIGHT(G$3,4)-1,$3:$3,0)),
IF(LEFT(G$3,2)="Q2",G13+INDEX(13:13,0,MATCH("Q4-"&amp;RIGHT(G$3,4)-1,$3:$3,0))+INDEX(13:13,0,MATCH("Q3-"&amp;RIGHT(G$3,4)-1,$3:$3,0))+INDEX(13:13,0,MATCH("Q1-"&amp;RIGHT(G$3,4),$3:$3,0)),
IF(LEFT(G$3,2)="Q3",G13+INDEX(13:13,0,MATCH("Q4-"&amp;RIGHT(G$3,4)-1,$3:$3,0))+INDEX(13:13,0,MATCH("Q2-"&amp;RIGHT(G$3,4),$3:$3,0))+INDEX(13:13,0,MATCH("Q1-"&amp;RIGHT(G$3,4),$3:$3,0)),
IF(LEFT(G$3,2)="Q4",INDEX(13:13,0,MATCH("FY"&amp;RIGHT(G$3,4),$3:$3,0))))))), "")</f>
        <v/>
      </c>
      <c r="H22" s="1225" t="str">
        <f>IFERROR(IF(LEFT(H$3,1)="F",H13,
IF(LEFT(H$3,2)="Q1",H13+INDEX(13:13,0,MATCH("Q4-"&amp;RIGHT(H$3,4)-1,$3:$3,0))+INDEX(13:13,0,MATCH("Q3-"&amp;RIGHT(H$3,4)-1,$3:$3,0))+INDEX(13:13,0,MATCH("Q2-"&amp;RIGHT(H$3,4)-1,$3:$3,0)),
IF(LEFT(H$3,2)="Q2",H13+INDEX(13:13,0,MATCH("Q4-"&amp;RIGHT(H$3,4)-1,$3:$3,0))+INDEX(13:13,0,MATCH("Q3-"&amp;RIGHT(H$3,4)-1,$3:$3,0))+INDEX(13:13,0,MATCH("Q1-"&amp;RIGHT(H$3,4),$3:$3,0)),
IF(LEFT(H$3,2)="Q3",H13+INDEX(13:13,0,MATCH("Q4-"&amp;RIGHT(H$3,4)-1,$3:$3,0))+INDEX(13:13,0,MATCH("Q2-"&amp;RIGHT(H$3,4),$3:$3,0))+INDEX(13:13,0,MATCH("Q1-"&amp;RIGHT(H$3,4),$3:$3,0)),
IF(LEFT(H$3,2)="Q4",INDEX(13:13,0,MATCH("FY"&amp;RIGHT(H$3,4),$3:$3,0))))))), "")</f>
        <v/>
      </c>
      <c r="I22" s="1225">
        <f>IFERROR(IF(LEFT(I$3,1)="F",I13,
IF(LEFT(I$3,2)="Q1",I13+INDEX(13:13,0,MATCH("Q4-"&amp;RIGHT(I$3,4)-1,$3:$3,0))+INDEX(13:13,0,MATCH("Q3-"&amp;RIGHT(I$3,4)-1,$3:$3,0))+INDEX(13:13,0,MATCH("Q2-"&amp;RIGHT(I$3,4)-1,$3:$3,0)),
IF(LEFT(I$3,2)="Q2",I13+INDEX(13:13,0,MATCH("Q4-"&amp;RIGHT(I$3,4)-1,$3:$3,0))+INDEX(13:13,0,MATCH("Q3-"&amp;RIGHT(I$3,4)-1,$3:$3,0))+INDEX(13:13,0,MATCH("Q1-"&amp;RIGHT(I$3,4),$3:$3,0)),
IF(LEFT(I$3,2)="Q3",I13+INDEX(13:13,0,MATCH("Q4-"&amp;RIGHT(I$3,4)-1,$3:$3,0))+INDEX(13:13,0,MATCH("Q2-"&amp;RIGHT(I$3,4),$3:$3,0))+INDEX(13:13,0,MATCH("Q1-"&amp;RIGHT(I$3,4),$3:$3,0)),
IF(LEFT(I$3,2)="Q4",INDEX(13:13,0,MATCH("FY"&amp;RIGHT(I$3,4),$3:$3,0))))))), "")</f>
        <v>6295</v>
      </c>
      <c r="J22" s="1219">
        <f>IFERROR(IF(LEFT(J$3,1)="F",J13,
IF(LEFT(J$3,2)="Q1",J13+INDEX(13:13,0,MATCH("Q4-"&amp;RIGHT(J$3,4)-1,$3:$3,0))+INDEX(13:13,0,MATCH("Q3-"&amp;RIGHT(J$3,4)-1,$3:$3,0))+INDEX(13:13,0,MATCH("Q2-"&amp;RIGHT(J$3,4)-1,$3:$3,0)),
IF(LEFT(J$3,2)="Q2",J13+INDEX(13:13,0,MATCH("Q4-"&amp;RIGHT(J$3,4)-1,$3:$3,0))+INDEX(13:13,0,MATCH("Q3-"&amp;RIGHT(J$3,4)-1,$3:$3,0))+INDEX(13:13,0,MATCH("Q1-"&amp;RIGHT(J$3,4),$3:$3,0)),
IF(LEFT(J$3,2)="Q3",J13+INDEX(13:13,0,MATCH("Q4-"&amp;RIGHT(J$3,4)-1,$3:$3,0))+INDEX(13:13,0,MATCH("Q2-"&amp;RIGHT(J$3,4),$3:$3,0))+INDEX(13:13,0,MATCH("Q1-"&amp;RIGHT(J$3,4),$3:$3,0)),
IF(LEFT(J$3,2)="Q4",INDEX(13:13,0,MATCH("FY"&amp;RIGHT(J$3,4),$3:$3,0))))))), "")</f>
        <v>6295</v>
      </c>
      <c r="K22" s="1225">
        <f>IFERROR(IF(LEFT(K$3,1)="F",K13,
IF(LEFT(K$3,2)="Q1",K13+INDEX(13:13,0,MATCH("Q4-"&amp;RIGHT(K$3,4)-1,$3:$3,0))+INDEX(13:13,0,MATCH("Q3-"&amp;RIGHT(K$3,4)-1,$3:$3,0))+INDEX(13:13,0,MATCH("Q2-"&amp;RIGHT(K$3,4)-1,$3:$3,0)),
IF(LEFT(K$3,2)="Q2",K13+INDEX(13:13,0,MATCH("Q4-"&amp;RIGHT(K$3,4)-1,$3:$3,0))+INDEX(13:13,0,MATCH("Q3-"&amp;RIGHT(K$3,4)-1,$3:$3,0))+INDEX(13:13,0,MATCH("Q1-"&amp;RIGHT(K$3,4),$3:$3,0)),
IF(LEFT(K$3,2)="Q3",K13+INDEX(13:13,0,MATCH("Q4-"&amp;RIGHT(K$3,4)-1,$3:$3,0))+INDEX(13:13,0,MATCH("Q2-"&amp;RIGHT(K$3,4),$3:$3,0))+INDEX(13:13,0,MATCH("Q1-"&amp;RIGHT(K$3,4),$3:$3,0)),
IF(LEFT(K$3,2)="Q4",INDEX(13:13,0,MATCH("FY"&amp;RIGHT(K$3,4),$3:$3,0))))))), "")</f>
        <v>6074</v>
      </c>
      <c r="L22" s="1225">
        <f>IFERROR(IF(LEFT(L$3,1)="F",L13,
IF(LEFT(L$3,2)="Q1",L13+INDEX(13:13,0,MATCH("Q4-"&amp;RIGHT(L$3,4)-1,$3:$3,0))+INDEX(13:13,0,MATCH("Q3-"&amp;RIGHT(L$3,4)-1,$3:$3,0))+INDEX(13:13,0,MATCH("Q2-"&amp;RIGHT(L$3,4)-1,$3:$3,0)),
IF(LEFT(L$3,2)="Q2",L13+INDEX(13:13,0,MATCH("Q4-"&amp;RIGHT(L$3,4)-1,$3:$3,0))+INDEX(13:13,0,MATCH("Q3-"&amp;RIGHT(L$3,4)-1,$3:$3,0))+INDEX(13:13,0,MATCH("Q1-"&amp;RIGHT(L$3,4),$3:$3,0)),
IF(LEFT(L$3,2)="Q3",L13+INDEX(13:13,0,MATCH("Q4-"&amp;RIGHT(L$3,4)-1,$3:$3,0))+INDEX(13:13,0,MATCH("Q2-"&amp;RIGHT(L$3,4),$3:$3,0))+INDEX(13:13,0,MATCH("Q1-"&amp;RIGHT(L$3,4),$3:$3,0)),
IF(LEFT(L$3,2)="Q4",INDEX(13:13,0,MATCH("FY"&amp;RIGHT(L$3,4),$3:$3,0))))))), "")</f>
        <v>5463</v>
      </c>
      <c r="M22" s="1225">
        <f>IFERROR(IF(LEFT(M$3,1)="F",M13,
IF(LEFT(M$3,2)="Q1",M13+INDEX(13:13,0,MATCH("Q4-"&amp;RIGHT(M$3,4)-1,$3:$3,0))+INDEX(13:13,0,MATCH("Q3-"&amp;RIGHT(M$3,4)-1,$3:$3,0))+INDEX(13:13,0,MATCH("Q2-"&amp;RIGHT(M$3,4)-1,$3:$3,0)),
IF(LEFT(M$3,2)="Q2",M13+INDEX(13:13,0,MATCH("Q4-"&amp;RIGHT(M$3,4)-1,$3:$3,0))+INDEX(13:13,0,MATCH("Q3-"&amp;RIGHT(M$3,4)-1,$3:$3,0))+INDEX(13:13,0,MATCH("Q1-"&amp;RIGHT(M$3,4),$3:$3,0)),
IF(LEFT(M$3,2)="Q3",M13+INDEX(13:13,0,MATCH("Q4-"&amp;RIGHT(M$3,4)-1,$3:$3,0))+INDEX(13:13,0,MATCH("Q2-"&amp;RIGHT(M$3,4),$3:$3,0))+INDEX(13:13,0,MATCH("Q1-"&amp;RIGHT(M$3,4),$3:$3,0)),
IF(LEFT(M$3,2)="Q4",INDEX(13:13,0,MATCH("FY"&amp;RIGHT(M$3,4),$3:$3,0))))))), "")</f>
        <v>5424</v>
      </c>
      <c r="N22" s="1225">
        <f>IFERROR(IF(LEFT(N$3,1)="F",N13,
IF(LEFT(N$3,2)="Q1",N13+INDEX(13:13,0,MATCH("Q4-"&amp;RIGHT(N$3,4)-1,$3:$3,0))+INDEX(13:13,0,MATCH("Q3-"&amp;RIGHT(N$3,4)-1,$3:$3,0))+INDEX(13:13,0,MATCH("Q2-"&amp;RIGHT(N$3,4)-1,$3:$3,0)),
IF(LEFT(N$3,2)="Q2",N13+INDEX(13:13,0,MATCH("Q4-"&amp;RIGHT(N$3,4)-1,$3:$3,0))+INDEX(13:13,0,MATCH("Q3-"&amp;RIGHT(N$3,4)-1,$3:$3,0))+INDEX(13:13,0,MATCH("Q1-"&amp;RIGHT(N$3,4),$3:$3,0)),
IF(LEFT(N$3,2)="Q3",N13+INDEX(13:13,0,MATCH("Q4-"&amp;RIGHT(N$3,4)-1,$3:$3,0))+INDEX(13:13,0,MATCH("Q2-"&amp;RIGHT(N$3,4),$3:$3,0))+INDEX(13:13,0,MATCH("Q1-"&amp;RIGHT(N$3,4),$3:$3,0)),
IF(LEFT(N$3,2)="Q4",INDEX(13:13,0,MATCH("FY"&amp;RIGHT(N$3,4),$3:$3,0))))))), "")</f>
        <v>5193</v>
      </c>
      <c r="O22" s="1219">
        <f>IFERROR(IF(LEFT(O$3,1)="F",O13,
IF(LEFT(O$3,2)="Q1",O13+INDEX(13:13,0,MATCH("Q4-"&amp;RIGHT(O$3,4)-1,$3:$3,0))+INDEX(13:13,0,MATCH("Q3-"&amp;RIGHT(O$3,4)-1,$3:$3,0))+INDEX(13:13,0,MATCH("Q2-"&amp;RIGHT(O$3,4)-1,$3:$3,0)),
IF(LEFT(O$3,2)="Q2",O13+INDEX(13:13,0,MATCH("Q4-"&amp;RIGHT(O$3,4)-1,$3:$3,0))+INDEX(13:13,0,MATCH("Q3-"&amp;RIGHT(O$3,4)-1,$3:$3,0))+INDEX(13:13,0,MATCH("Q1-"&amp;RIGHT(O$3,4),$3:$3,0)),
IF(LEFT(O$3,2)="Q3",O13+INDEX(13:13,0,MATCH("Q4-"&amp;RIGHT(O$3,4)-1,$3:$3,0))+INDEX(13:13,0,MATCH("Q2-"&amp;RIGHT(O$3,4),$3:$3,0))+INDEX(13:13,0,MATCH("Q1-"&amp;RIGHT(O$3,4),$3:$3,0)),
IF(LEFT(O$3,2)="Q4",INDEX(13:13,0,MATCH("FY"&amp;RIGHT(O$3,4),$3:$3,0))))))), "")</f>
        <v>5193</v>
      </c>
      <c r="P22" s="1225">
        <f>IFERROR(IF(LEFT(P$3,1)="F",P13,
IF(LEFT(P$3,2)="Q1",P13+INDEX(13:13,0,MATCH("Q4-"&amp;RIGHT(P$3,4)-1,$3:$3,0))+INDEX(13:13,0,MATCH("Q3-"&amp;RIGHT(P$3,4)-1,$3:$3,0))+INDEX(13:13,0,MATCH("Q2-"&amp;RIGHT(P$3,4)-1,$3:$3,0)),
IF(LEFT(P$3,2)="Q2",P13+INDEX(13:13,0,MATCH("Q4-"&amp;RIGHT(P$3,4)-1,$3:$3,0))+INDEX(13:13,0,MATCH("Q3-"&amp;RIGHT(P$3,4)-1,$3:$3,0))+INDEX(13:13,0,MATCH("Q1-"&amp;RIGHT(P$3,4),$3:$3,0)),
IF(LEFT(P$3,2)="Q3",P13+INDEX(13:13,0,MATCH("Q4-"&amp;RIGHT(P$3,4)-1,$3:$3,0))+INDEX(13:13,0,MATCH("Q2-"&amp;RIGHT(P$3,4),$3:$3,0))+INDEX(13:13,0,MATCH("Q1-"&amp;RIGHT(P$3,4),$3:$3,0)),
IF(LEFT(P$3,2)="Q4",INDEX(13:13,0,MATCH("FY"&amp;RIGHT(P$3,4),$3:$3,0))))))), "")</f>
        <v>5139</v>
      </c>
      <c r="Q22" s="1225">
        <f>IFERROR(IF(LEFT(Q$3,1)="F",Q13,
IF(LEFT(Q$3,2)="Q1",Q13+INDEX(13:13,0,MATCH("Q4-"&amp;RIGHT(Q$3,4)-1,$3:$3,0))+INDEX(13:13,0,MATCH("Q3-"&amp;RIGHT(Q$3,4)-1,$3:$3,0))+INDEX(13:13,0,MATCH("Q2-"&amp;RIGHT(Q$3,4)-1,$3:$3,0)),
IF(LEFT(Q$3,2)="Q2",Q13+INDEX(13:13,0,MATCH("Q4-"&amp;RIGHT(Q$3,4)-1,$3:$3,0))+INDEX(13:13,0,MATCH("Q3-"&amp;RIGHT(Q$3,4)-1,$3:$3,0))+INDEX(13:13,0,MATCH("Q1-"&amp;RIGHT(Q$3,4),$3:$3,0)),
IF(LEFT(Q$3,2)="Q3",Q13+INDEX(13:13,0,MATCH("Q4-"&amp;RIGHT(Q$3,4)-1,$3:$3,0))+INDEX(13:13,0,MATCH("Q2-"&amp;RIGHT(Q$3,4),$3:$3,0))+INDEX(13:13,0,MATCH("Q1-"&amp;RIGHT(Q$3,4),$3:$3,0)),
IF(LEFT(Q$3,2)="Q4",INDEX(13:13,0,MATCH("FY"&amp;RIGHT(Q$3,4),$3:$3,0))))))), "")</f>
        <v>4925</v>
      </c>
      <c r="R22" s="1225">
        <f>IFERROR(IF(LEFT(R$3,1)="F",R13,
IF(LEFT(R$3,2)="Q1",R13+INDEX(13:13,0,MATCH("Q4-"&amp;RIGHT(R$3,4)-1,$3:$3,0))+INDEX(13:13,0,MATCH("Q3-"&amp;RIGHT(R$3,4)-1,$3:$3,0))+INDEX(13:13,0,MATCH("Q2-"&amp;RIGHT(R$3,4)-1,$3:$3,0)),
IF(LEFT(R$3,2)="Q2",R13+INDEX(13:13,0,MATCH("Q4-"&amp;RIGHT(R$3,4)-1,$3:$3,0))+INDEX(13:13,0,MATCH("Q3-"&amp;RIGHT(R$3,4)-1,$3:$3,0))+INDEX(13:13,0,MATCH("Q1-"&amp;RIGHT(R$3,4),$3:$3,0)),
IF(LEFT(R$3,2)="Q3",R13+INDEX(13:13,0,MATCH("Q4-"&amp;RIGHT(R$3,4)-1,$3:$3,0))+INDEX(13:13,0,MATCH("Q2-"&amp;RIGHT(R$3,4),$3:$3,0))+INDEX(13:13,0,MATCH("Q1-"&amp;RIGHT(R$3,4),$3:$3,0)),
IF(LEFT(R$3,2)="Q4",INDEX(13:13,0,MATCH("FY"&amp;RIGHT(R$3,4),$3:$3,0))))))), "")</f>
        <v>4834</v>
      </c>
      <c r="S22" s="1225">
        <f>IFERROR(IF(LEFT(S$3,1)="F",S13,
IF(LEFT(S$3,2)="Q1",S13+INDEX(13:13,0,MATCH("Q4-"&amp;RIGHT(S$3,4)-1,$3:$3,0))+INDEX(13:13,0,MATCH("Q3-"&amp;RIGHT(S$3,4)-1,$3:$3,0))+INDEX(13:13,0,MATCH("Q2-"&amp;RIGHT(S$3,4)-1,$3:$3,0)),
IF(LEFT(S$3,2)="Q2",S13+INDEX(13:13,0,MATCH("Q4-"&amp;RIGHT(S$3,4)-1,$3:$3,0))+INDEX(13:13,0,MATCH("Q3-"&amp;RIGHT(S$3,4)-1,$3:$3,0))+INDEX(13:13,0,MATCH("Q1-"&amp;RIGHT(S$3,4),$3:$3,0)),
IF(LEFT(S$3,2)="Q3",S13+INDEX(13:13,0,MATCH("Q4-"&amp;RIGHT(S$3,4)-1,$3:$3,0))+INDEX(13:13,0,MATCH("Q2-"&amp;RIGHT(S$3,4),$3:$3,0))+INDEX(13:13,0,MATCH("Q1-"&amp;RIGHT(S$3,4),$3:$3,0)),
IF(LEFT(S$3,2)="Q4",INDEX(13:13,0,MATCH("FY"&amp;RIGHT(S$3,4),$3:$3,0))))))), "")</f>
        <v>5088</v>
      </c>
      <c r="T22" s="1219">
        <f>IFERROR(IF(LEFT(T$3,1)="F",T13,
IF(LEFT(T$3,2)="Q1",T13+INDEX(13:13,0,MATCH("Q4-"&amp;RIGHT(T$3,4)-1,$3:$3,0))+INDEX(13:13,0,MATCH("Q3-"&amp;RIGHT(T$3,4)-1,$3:$3,0))+INDEX(13:13,0,MATCH("Q2-"&amp;RIGHT(T$3,4)-1,$3:$3,0)),
IF(LEFT(T$3,2)="Q2",T13+INDEX(13:13,0,MATCH("Q4-"&amp;RIGHT(T$3,4)-1,$3:$3,0))+INDEX(13:13,0,MATCH("Q3-"&amp;RIGHT(T$3,4)-1,$3:$3,0))+INDEX(13:13,0,MATCH("Q1-"&amp;RIGHT(T$3,4),$3:$3,0)),
IF(LEFT(T$3,2)="Q3",T13+INDEX(13:13,0,MATCH("Q4-"&amp;RIGHT(T$3,4)-1,$3:$3,0))+INDEX(13:13,0,MATCH("Q2-"&amp;RIGHT(T$3,4),$3:$3,0))+INDEX(13:13,0,MATCH("Q1-"&amp;RIGHT(T$3,4),$3:$3,0)),
IF(LEFT(T$3,2)="Q4",INDEX(13:13,0,MATCH("FY"&amp;RIGHT(T$3,4),$3:$3,0))))))), "")</f>
        <v>5088</v>
      </c>
      <c r="U22" s="1225">
        <f>IFERROR(IF(LEFT(U$3,1)="F",U13,
IF(LEFT(U$3,2)="Q1",U13+INDEX(13:13,0,MATCH("Q4-"&amp;RIGHT(U$3,4)-1,$3:$3,0))+INDEX(13:13,0,MATCH("Q3-"&amp;RIGHT(U$3,4)-1,$3:$3,0))+INDEX(13:13,0,MATCH("Q2-"&amp;RIGHT(U$3,4)-1,$3:$3,0)),
IF(LEFT(U$3,2)="Q2",U13+INDEX(13:13,0,MATCH("Q4-"&amp;RIGHT(U$3,4)-1,$3:$3,0))+INDEX(13:13,0,MATCH("Q3-"&amp;RIGHT(U$3,4)-1,$3:$3,0))+INDEX(13:13,0,MATCH("Q1-"&amp;RIGHT(U$3,4),$3:$3,0)),
IF(LEFT(U$3,2)="Q3",U13+INDEX(13:13,0,MATCH("Q4-"&amp;RIGHT(U$3,4)-1,$3:$3,0))+INDEX(13:13,0,MATCH("Q2-"&amp;RIGHT(U$3,4),$3:$3,0))+INDEX(13:13,0,MATCH("Q1-"&amp;RIGHT(U$3,4),$3:$3,0)),
IF(LEFT(U$3,2)="Q4",INDEX(13:13,0,MATCH("FY"&amp;RIGHT(U$3,4),$3:$3,0))))))), "")</f>
        <v>5458</v>
      </c>
      <c r="V22" s="1225">
        <f>IFERROR(IF(LEFT(V$3,1)="F",V13,
IF(LEFT(V$3,2)="Q1",V13+INDEX(13:13,0,MATCH("Q4-"&amp;RIGHT(V$3,4)-1,$3:$3,0))+INDEX(13:13,0,MATCH("Q3-"&amp;RIGHT(V$3,4)-1,$3:$3,0))+INDEX(13:13,0,MATCH("Q2-"&amp;RIGHT(V$3,4)-1,$3:$3,0)),
IF(LEFT(V$3,2)="Q2",V13+INDEX(13:13,0,MATCH("Q4-"&amp;RIGHT(V$3,4)-1,$3:$3,0))+INDEX(13:13,0,MATCH("Q3-"&amp;RIGHT(V$3,4)-1,$3:$3,0))+INDEX(13:13,0,MATCH("Q1-"&amp;RIGHT(V$3,4),$3:$3,0)),
IF(LEFT(V$3,2)="Q3",V13+INDEX(13:13,0,MATCH("Q4-"&amp;RIGHT(V$3,4)-1,$3:$3,0))+INDEX(13:13,0,MATCH("Q2-"&amp;RIGHT(V$3,4),$3:$3,0))+INDEX(13:13,0,MATCH("Q1-"&amp;RIGHT(V$3,4),$3:$3,0)),
IF(LEFT(V$3,2)="Q4",INDEX(13:13,0,MATCH("FY"&amp;RIGHT(V$3,4),$3:$3,0))))))), "")</f>
        <v>5668.0097752522743</v>
      </c>
      <c r="W22" s="1225">
        <f>IFERROR(IF(LEFT(W$3,1)="F",W13,
IF(LEFT(W$3,2)="Q1",W13+INDEX(13:13,0,MATCH("Q4-"&amp;RIGHT(W$3,4)-1,$3:$3,0))+INDEX(13:13,0,MATCH("Q3-"&amp;RIGHT(W$3,4)-1,$3:$3,0))+INDEX(13:13,0,MATCH("Q2-"&amp;RIGHT(W$3,4)-1,$3:$3,0)),
IF(LEFT(W$3,2)="Q2",W13+INDEX(13:13,0,MATCH("Q4-"&amp;RIGHT(W$3,4)-1,$3:$3,0))+INDEX(13:13,0,MATCH("Q3-"&amp;RIGHT(W$3,4)-1,$3:$3,0))+INDEX(13:13,0,MATCH("Q1-"&amp;RIGHT(W$3,4),$3:$3,0)),
IF(LEFT(W$3,2)="Q3",W13+INDEX(13:13,0,MATCH("Q4-"&amp;RIGHT(W$3,4)-1,$3:$3,0))+INDEX(13:13,0,MATCH("Q2-"&amp;RIGHT(W$3,4),$3:$3,0))+INDEX(13:13,0,MATCH("Q1-"&amp;RIGHT(W$3,4),$3:$3,0)),
IF(LEFT(W$3,2)="Q4",INDEX(13:13,0,MATCH("FY"&amp;RIGHT(W$3,4),$3:$3,0))))))), "")</f>
        <v>5765.1316199404664</v>
      </c>
      <c r="X22" s="1225">
        <f>IFERROR(IF(LEFT(X$3,1)="F",X13,
IF(LEFT(X$3,2)="Q1",X13+INDEX(13:13,0,MATCH("Q4-"&amp;RIGHT(X$3,4)-1,$3:$3,0))+INDEX(13:13,0,MATCH("Q3-"&amp;RIGHT(X$3,4)-1,$3:$3,0))+INDEX(13:13,0,MATCH("Q2-"&amp;RIGHT(X$3,4)-1,$3:$3,0)),
IF(LEFT(X$3,2)="Q2",X13+INDEX(13:13,0,MATCH("Q4-"&amp;RIGHT(X$3,4)-1,$3:$3,0))+INDEX(13:13,0,MATCH("Q3-"&amp;RIGHT(X$3,4)-1,$3:$3,0))+INDEX(13:13,0,MATCH("Q1-"&amp;RIGHT(X$3,4),$3:$3,0)),
IF(LEFT(X$3,2)="Q3",X13+INDEX(13:13,0,MATCH("Q4-"&amp;RIGHT(X$3,4)-1,$3:$3,0))+INDEX(13:13,0,MATCH("Q2-"&amp;RIGHT(X$3,4),$3:$3,0))+INDEX(13:13,0,MATCH("Q1-"&amp;RIGHT(X$3,4),$3:$3,0)),
IF(LEFT(X$3,2)="Q4",INDEX(13:13,0,MATCH("FY"&amp;RIGHT(X$3,4),$3:$3,0))))))), "")</f>
        <v>5967.7485420980611</v>
      </c>
      <c r="Y22" s="1219">
        <f>IFERROR(IF(LEFT(Y$3,1)="F",Y13,
IF(LEFT(Y$3,2)="Q1",Y13+INDEX(13:13,0,MATCH("Q4-"&amp;RIGHT(Y$3,4)-1,$3:$3,0))+INDEX(13:13,0,MATCH("Q3-"&amp;RIGHT(Y$3,4)-1,$3:$3,0))+INDEX(13:13,0,MATCH("Q2-"&amp;RIGHT(Y$3,4)-1,$3:$3,0)),
IF(LEFT(Y$3,2)="Q2",Y13+INDEX(13:13,0,MATCH("Q4-"&amp;RIGHT(Y$3,4)-1,$3:$3,0))+INDEX(13:13,0,MATCH("Q3-"&amp;RIGHT(Y$3,4)-1,$3:$3,0))+INDEX(13:13,0,MATCH("Q1-"&amp;RIGHT(Y$3,4),$3:$3,0)),
IF(LEFT(Y$3,2)="Q3",Y13+INDEX(13:13,0,MATCH("Q4-"&amp;RIGHT(Y$3,4)-1,$3:$3,0))+INDEX(13:13,0,MATCH("Q2-"&amp;RIGHT(Y$3,4),$3:$3,0))+INDEX(13:13,0,MATCH("Q1-"&amp;RIGHT(Y$3,4),$3:$3,0)),
IF(LEFT(Y$3,2)="Q4",INDEX(13:13,0,MATCH("FY"&amp;RIGHT(Y$3,4),$3:$3,0))))))), "")</f>
        <v>5967.7485420980611</v>
      </c>
      <c r="Z22" s="1225">
        <f>IFERROR(IF(LEFT(Z$3,1)="F",Z13,
IF(LEFT(Z$3,2)="Q1",Z13+INDEX(13:13,0,MATCH("Q4-"&amp;RIGHT(Z$3,4)-1,$3:$3,0))+INDEX(13:13,0,MATCH("Q3-"&amp;RIGHT(Z$3,4)-1,$3:$3,0))+INDEX(13:13,0,MATCH("Q2-"&amp;RIGHT(Z$3,4)-1,$3:$3,0)),
IF(LEFT(Z$3,2)="Q2",Z13+INDEX(13:13,0,MATCH("Q4-"&amp;RIGHT(Z$3,4)-1,$3:$3,0))+INDEX(13:13,0,MATCH("Q3-"&amp;RIGHT(Z$3,4)-1,$3:$3,0))+INDEX(13:13,0,MATCH("Q1-"&amp;RIGHT(Z$3,4),$3:$3,0)),
IF(LEFT(Z$3,2)="Q3",Z13+INDEX(13:13,0,MATCH("Q4-"&amp;RIGHT(Z$3,4)-1,$3:$3,0))+INDEX(13:13,0,MATCH("Q2-"&amp;RIGHT(Z$3,4),$3:$3,0))+INDEX(13:13,0,MATCH("Q1-"&amp;RIGHT(Z$3,4),$3:$3,0)),
IF(LEFT(Z$3,2)="Q4",INDEX(13:13,0,MATCH("FY"&amp;RIGHT(Z$3,4),$3:$3,0))))))), "")</f>
        <v>6031.6565526337654</v>
      </c>
      <c r="AA22" s="1225">
        <f ca="1">IFERROR(IF(LEFT(AA$3,1)="F",AA13,
IF(LEFT(AA$3,2)="Q1",AA13+INDEX(13:13,0,MATCH("Q4-"&amp;RIGHT(AA$3,4)-1,$3:$3,0))+INDEX(13:13,0,MATCH("Q3-"&amp;RIGHT(AA$3,4)-1,$3:$3,0))+INDEX(13:13,0,MATCH("Q2-"&amp;RIGHT(AA$3,4)-1,$3:$3,0)),
IF(LEFT(AA$3,2)="Q2",AA13+INDEX(13:13,0,MATCH("Q4-"&amp;RIGHT(AA$3,4)-1,$3:$3,0))+INDEX(13:13,0,MATCH("Q3-"&amp;RIGHT(AA$3,4)-1,$3:$3,0))+INDEX(13:13,0,MATCH("Q1-"&amp;RIGHT(AA$3,4),$3:$3,0)),
IF(LEFT(AA$3,2)="Q3",AA13+INDEX(13:13,0,MATCH("Q4-"&amp;RIGHT(AA$3,4)-1,$3:$3,0))+INDEX(13:13,0,MATCH("Q2-"&amp;RIGHT(AA$3,4),$3:$3,0))+INDEX(13:13,0,MATCH("Q1-"&amp;RIGHT(AA$3,4),$3:$3,0)),
IF(LEFT(AA$3,2)="Q4",INDEX(13:13,0,MATCH("FY"&amp;RIGHT(AA$3,4),$3:$3,0))))))), "")</f>
        <v>6253.0988492078795</v>
      </c>
      <c r="AB22" s="1225">
        <f ca="1">IFERROR(IF(LEFT(AB$3,1)="F",AB13,
IF(LEFT(AB$3,2)="Q1",AB13+INDEX(13:13,0,MATCH("Q4-"&amp;RIGHT(AB$3,4)-1,$3:$3,0))+INDEX(13:13,0,MATCH("Q3-"&amp;RIGHT(AB$3,4)-1,$3:$3,0))+INDEX(13:13,0,MATCH("Q2-"&amp;RIGHT(AB$3,4)-1,$3:$3,0)),
IF(LEFT(AB$3,2)="Q2",AB13+INDEX(13:13,0,MATCH("Q4-"&amp;RIGHT(AB$3,4)-1,$3:$3,0))+INDEX(13:13,0,MATCH("Q3-"&amp;RIGHT(AB$3,4)-1,$3:$3,0))+INDEX(13:13,0,MATCH("Q1-"&amp;RIGHT(AB$3,4),$3:$3,0)),
IF(LEFT(AB$3,2)="Q3",AB13+INDEX(13:13,0,MATCH("Q4-"&amp;RIGHT(AB$3,4)-1,$3:$3,0))+INDEX(13:13,0,MATCH("Q2-"&amp;RIGHT(AB$3,4),$3:$3,0))+INDEX(13:13,0,MATCH("Q1-"&amp;RIGHT(AB$3,4),$3:$3,0)),
IF(LEFT(AB$3,2)="Q4",INDEX(13:13,0,MATCH("FY"&amp;RIGHT(AB$3,4),$3:$3,0))))))), "")</f>
        <v>6316.5134562361654</v>
      </c>
      <c r="AC22" s="1225">
        <f ca="1">IFERROR(IF(LEFT(AC$3,1)="F",AC13,
IF(LEFT(AC$3,2)="Q1",AC13+INDEX(13:13,0,MATCH("Q4-"&amp;RIGHT(AC$3,4)-1,$3:$3,0))+INDEX(13:13,0,MATCH("Q3-"&amp;RIGHT(AC$3,4)-1,$3:$3,0))+INDEX(13:13,0,MATCH("Q2-"&amp;RIGHT(AC$3,4)-1,$3:$3,0)),
IF(LEFT(AC$3,2)="Q2",AC13+INDEX(13:13,0,MATCH("Q4-"&amp;RIGHT(AC$3,4)-1,$3:$3,0))+INDEX(13:13,0,MATCH("Q3-"&amp;RIGHT(AC$3,4)-1,$3:$3,0))+INDEX(13:13,0,MATCH("Q1-"&amp;RIGHT(AC$3,4),$3:$3,0)),
IF(LEFT(AC$3,2)="Q3",AC13+INDEX(13:13,0,MATCH("Q4-"&amp;RIGHT(AC$3,4)-1,$3:$3,0))+INDEX(13:13,0,MATCH("Q2-"&amp;RIGHT(AC$3,4),$3:$3,0))+INDEX(13:13,0,MATCH("Q1-"&amp;RIGHT(AC$3,4),$3:$3,0)),
IF(LEFT(AC$3,2)="Q4",INDEX(13:13,0,MATCH("FY"&amp;RIGHT(AC$3,4),$3:$3,0))))))), "")</f>
        <v>6475.6618091976379</v>
      </c>
      <c r="AD22" s="1219">
        <f ca="1">IFERROR(IF(LEFT(AD$3,1)="F",AD13,
IF(LEFT(AD$3,2)="Q1",AD13+INDEX(13:13,0,MATCH("Q4-"&amp;RIGHT(AD$3,4)-1,$3:$3,0))+INDEX(13:13,0,MATCH("Q3-"&amp;RIGHT(AD$3,4)-1,$3:$3,0))+INDEX(13:13,0,MATCH("Q2-"&amp;RIGHT(AD$3,4)-1,$3:$3,0)),
IF(LEFT(AD$3,2)="Q2",AD13+INDEX(13:13,0,MATCH("Q4-"&amp;RIGHT(AD$3,4)-1,$3:$3,0))+INDEX(13:13,0,MATCH("Q3-"&amp;RIGHT(AD$3,4)-1,$3:$3,0))+INDEX(13:13,0,MATCH("Q1-"&amp;RIGHT(AD$3,4),$3:$3,0)),
IF(LEFT(AD$3,2)="Q3",AD13+INDEX(13:13,0,MATCH("Q4-"&amp;RIGHT(AD$3,4)-1,$3:$3,0))+INDEX(13:13,0,MATCH("Q2-"&amp;RIGHT(AD$3,4),$3:$3,0))+INDEX(13:13,0,MATCH("Q1-"&amp;RIGHT(AD$3,4),$3:$3,0)),
IF(LEFT(AD$3,2)="Q4",INDEX(13:13,0,MATCH("FY"&amp;RIGHT(AD$3,4),$3:$3,0))))))), "")</f>
        <v>6475.6618091976379</v>
      </c>
      <c r="AE22" s="1219">
        <f ca="1">IFERROR(IF(LEFT(AE$3,1)="F",AE13,
IF(LEFT(AE$3,2)="Q1",AE13+INDEX(13:13,0,MATCH("Q4-"&amp;RIGHT(AE$3,4)-1,$3:$3,0))+INDEX(13:13,0,MATCH("Q3-"&amp;RIGHT(AE$3,4)-1,$3:$3,0))+INDEX(13:13,0,MATCH("Q2-"&amp;RIGHT(AE$3,4)-1,$3:$3,0)),
IF(LEFT(AE$3,2)="Q2",AE13+INDEX(13:13,0,MATCH("Q4-"&amp;RIGHT(AE$3,4)-1,$3:$3,0))+INDEX(13:13,0,MATCH("Q3-"&amp;RIGHT(AE$3,4)-1,$3:$3,0))+INDEX(13:13,0,MATCH("Q1-"&amp;RIGHT(AE$3,4),$3:$3,0)),
IF(LEFT(AE$3,2)="Q3",AE13+INDEX(13:13,0,MATCH("Q4-"&amp;RIGHT(AE$3,4)-1,$3:$3,0))+INDEX(13:13,0,MATCH("Q2-"&amp;RIGHT(AE$3,4),$3:$3,0))+INDEX(13:13,0,MATCH("Q1-"&amp;RIGHT(AE$3,4),$3:$3,0)),
IF(LEFT(AE$3,2)="Q4",INDEX(13:13,0,MATCH("FY"&amp;RIGHT(AE$3,4),$3:$3,0))))))), "")</f>
        <v>7113.9761434234888</v>
      </c>
      <c r="AF22" s="1219">
        <f ca="1">IFERROR(IF(LEFT(AF$3,1)="F",AF13,
IF(LEFT(AF$3,2)="Q1",AF13+INDEX(13:13,0,MATCH("Q4-"&amp;RIGHT(AF$3,4)-1,$3:$3,0))+INDEX(13:13,0,MATCH("Q3-"&amp;RIGHT(AF$3,4)-1,$3:$3,0))+INDEX(13:13,0,MATCH("Q2-"&amp;RIGHT(AF$3,4)-1,$3:$3,0)),
IF(LEFT(AF$3,2)="Q2",AF13+INDEX(13:13,0,MATCH("Q4-"&amp;RIGHT(AF$3,4)-1,$3:$3,0))+INDEX(13:13,0,MATCH("Q3-"&amp;RIGHT(AF$3,4)-1,$3:$3,0))+INDEX(13:13,0,MATCH("Q1-"&amp;RIGHT(AF$3,4),$3:$3,0)),
IF(LEFT(AF$3,2)="Q3",AF13+INDEX(13:13,0,MATCH("Q4-"&amp;RIGHT(AF$3,4)-1,$3:$3,0))+INDEX(13:13,0,MATCH("Q2-"&amp;RIGHT(AF$3,4),$3:$3,0))+INDEX(13:13,0,MATCH("Q1-"&amp;RIGHT(AF$3,4),$3:$3,0)),
IF(LEFT(AF$3,2)="Q4",INDEX(13:13,0,MATCH("FY"&amp;RIGHT(AF$3,4),$3:$3,0))))))), "")</f>
        <v>7810.4381898482488</v>
      </c>
      <c r="AG22" s="1221">
        <f ca="1">IFERROR(IF(LEFT(AG$3,1)="F",AG13,
IF(LEFT(AG$3,2)="Q1",AG13+INDEX(13:13,0,MATCH("Q4-"&amp;RIGHT(AG$3,4)-1,$3:$3,0))+INDEX(13:13,0,MATCH("Q3-"&amp;RIGHT(AG$3,4)-1,$3:$3,0))+INDEX(13:13,0,MATCH("Q2-"&amp;RIGHT(AG$3,4)-1,$3:$3,0)),
IF(LEFT(AG$3,2)="Q2",AG13+INDEX(13:13,0,MATCH("Q4-"&amp;RIGHT(AG$3,4)-1,$3:$3,0))+INDEX(13:13,0,MATCH("Q3-"&amp;RIGHT(AG$3,4)-1,$3:$3,0))+INDEX(13:13,0,MATCH("Q1-"&amp;RIGHT(AG$3,4),$3:$3,0)),
IF(LEFT(AG$3,2)="Q3",AG13+INDEX(13:13,0,MATCH("Q4-"&amp;RIGHT(AG$3,4)-1,$3:$3,0))+INDEX(13:13,0,MATCH("Q2-"&amp;RIGHT(AG$3,4),$3:$3,0))+INDEX(13:13,0,MATCH("Q1-"&amp;RIGHT(AG$3,4),$3:$3,0)),
IF(LEFT(AG$3,2)="Q4",INDEX(13:13,0,MATCH("FY"&amp;RIGHT(AG$3,4),$3:$3,0))))))), "")</f>
        <v>8568.6901746959811</v>
      </c>
    </row>
    <row r="23" spans="1:34" s="1232" customFormat="1" ht="14.25" customHeight="1" outlineLevel="1" x14ac:dyDescent="0.35">
      <c r="A23" s="1226"/>
      <c r="B23" s="1227"/>
      <c r="C23" s="1228"/>
      <c r="D23" s="1229"/>
      <c r="E23" s="1229"/>
      <c r="F23" s="1230"/>
      <c r="G23" s="1230"/>
      <c r="H23" s="1230"/>
      <c r="I23" s="1230"/>
      <c r="J23" s="1229"/>
      <c r="K23" s="1230"/>
      <c r="L23" s="1230"/>
      <c r="M23" s="1230"/>
      <c r="N23" s="1230"/>
      <c r="O23" s="1229"/>
      <c r="P23" s="1230"/>
      <c r="Q23" s="1230"/>
      <c r="R23" s="1230"/>
      <c r="S23" s="1230"/>
      <c r="T23" s="1229"/>
      <c r="U23" s="1230"/>
      <c r="V23" s="1230"/>
      <c r="W23" s="1230"/>
      <c r="X23" s="1230"/>
      <c r="Y23" s="1229"/>
      <c r="Z23" s="1230"/>
      <c r="AA23" s="1230"/>
      <c r="AB23" s="1230"/>
      <c r="AC23" s="1230"/>
      <c r="AD23" s="1229"/>
      <c r="AE23" s="1229"/>
      <c r="AF23" s="1229"/>
      <c r="AG23" s="1231"/>
      <c r="AH23" s="1222"/>
    </row>
    <row r="24" spans="1:34" s="1240" customFormat="1" ht="14.25" customHeight="1" x14ac:dyDescent="0.35">
      <c r="A24" s="1233" t="str">
        <f>IFERROR( IFERROR(IFERROR(INDEX(MO_MA_GM_NONGAAP,0,COLUMN(MO_Common_Column_A)),INDEX(MO_MA_GM_DA_Including,0,COLUMN(MO_Common_Column_A))),INDEX(MO_MA_GM,0,COLUMN(MO_Common_Column_A))), "Gross Margin %")</f>
        <v>Gross Margin (Including D&amp;A), %</v>
      </c>
      <c r="B24" s="1234"/>
      <c r="C24" s="1235"/>
      <c r="D24" s="1236">
        <f>IFERROR(D7/D5, "")</f>
        <v>0.50204257863097412</v>
      </c>
      <c r="E24" s="1236">
        <f>IFERROR(E7/E5, "")</f>
        <v>0.49439302523928352</v>
      </c>
      <c r="F24" s="1237">
        <f>IFERROR(F7/F5, "")</f>
        <v>0.49106064266731098</v>
      </c>
      <c r="G24" s="1238">
        <f>IFERROR(G7/G5, "")</f>
        <v>0.49725864123957092</v>
      </c>
      <c r="H24" s="1238">
        <f>IFERROR(H7/H5, "")</f>
        <v>0.49079980372914622</v>
      </c>
      <c r="I24" s="1238">
        <f>IFERROR(I7/I5, "")</f>
        <v>0.48999370673379483</v>
      </c>
      <c r="J24" s="1236">
        <f>IFERROR(J7/J5, "")</f>
        <v>0.49232412635434153</v>
      </c>
      <c r="K24" s="1238">
        <f>IFERROR(K7/K5, "")</f>
        <v>0.45466107083810253</v>
      </c>
      <c r="L24" s="1238">
        <f>IFERROR(L7/L5, "")</f>
        <v>0.47325908701505326</v>
      </c>
      <c r="M24" s="1238">
        <f>IFERROR(M7/M5, "")</f>
        <v>0.47691152546614946</v>
      </c>
      <c r="N24" s="1238">
        <f>IFERROR(N7/N5, "")</f>
        <v>0.46775983232647023</v>
      </c>
      <c r="O24" s="1236">
        <f>IFERROR(O7/O5, "")</f>
        <v>0.46822877769479709</v>
      </c>
      <c r="P24" s="1238">
        <f>IFERROR(P7/P5, "")</f>
        <v>0.49386996904024771</v>
      </c>
      <c r="Q24" s="1238">
        <f>IFERROR(Q7/Q5, "")</f>
        <v>0.47115384615384615</v>
      </c>
      <c r="R24" s="1238">
        <f>IFERROR(R7/R5, "")</f>
        <v>0.48574850299401195</v>
      </c>
      <c r="S24" s="1238">
        <f>IFERROR(S7/S5, "")</f>
        <v>0.48980542933706162</v>
      </c>
      <c r="T24" s="1236">
        <f>IFERROR(T7/T5, "")</f>
        <v>0.48561396967437231</v>
      </c>
      <c r="U24" s="1238">
        <f>IFERROR(U7/U5, "")</f>
        <v>0.49124392723985988</v>
      </c>
      <c r="V24" s="1238">
        <f>IFERROR(V7/V5, "")</f>
        <v>0.47868968117134691</v>
      </c>
      <c r="W24" s="1238">
        <f>IFERROR(W7/W5, "")</f>
        <v>0.48971412504522299</v>
      </c>
      <c r="X24" s="1238">
        <f>IFERROR(X7/X5, "")</f>
        <v>0.49481883913968777</v>
      </c>
      <c r="Y24" s="1236">
        <f>IFERROR(Y7/Y5, "")</f>
        <v>0.48897989580432066</v>
      </c>
      <c r="Z24" s="1238">
        <f>IFERROR(Z7/Z5, "")</f>
        <v>0.50339353383539676</v>
      </c>
      <c r="AA24" s="1238">
        <f>IFERROR(AA7/AA5, "")</f>
        <v>0.49929124250702583</v>
      </c>
      <c r="AB24" s="1238">
        <f>IFERROR(AB7/AB5, "")</f>
        <v>0.48380502354574223</v>
      </c>
      <c r="AC24" s="1238">
        <f>IFERROR(AC7/AC5, "")</f>
        <v>0.5010507548518941</v>
      </c>
      <c r="AD24" s="1236">
        <f>IFERROR(AD7/AD5, "")</f>
        <v>0.49686948392535918</v>
      </c>
      <c r="AE24" s="1236">
        <f>IFERROR(AE7/AE5, "")</f>
        <v>0.50268581352564601</v>
      </c>
      <c r="AF24" s="1236">
        <f>IFERROR(AF7/AF5, "")</f>
        <v>0.50850928731696166</v>
      </c>
      <c r="AG24" s="1239">
        <f>IFERROR(AG7/AG5, "")</f>
        <v>0.51433822466232271</v>
      </c>
      <c r="AH24" s="1222"/>
    </row>
    <row r="25" spans="1:34" s="1247" customFormat="1" ht="14.25" customHeight="1" x14ac:dyDescent="0.35">
      <c r="A25" s="1241" t="s">
        <v>1161</v>
      </c>
      <c r="B25" s="1242"/>
      <c r="C25" s="1243"/>
      <c r="D25" s="1244">
        <f>IFERROR(D8/D5, "")</f>
        <v>0.28885050981434124</v>
      </c>
      <c r="E25" s="1244">
        <f>IFERROR(E8/E5, "")</f>
        <v>0.29175221909846166</v>
      </c>
      <c r="F25" s="1245">
        <f>IFERROR(F8/F5, "")</f>
        <v>0.27615366030442134</v>
      </c>
      <c r="G25" s="1245">
        <f>IFERROR(G8/G5, "")</f>
        <v>0.33146603098927296</v>
      </c>
      <c r="H25" s="1245">
        <f>IFERROR(H8/H5, "")</f>
        <v>0.29084887144259075</v>
      </c>
      <c r="I25" s="1245">
        <f>IFERROR(I8/I5, "")</f>
        <v>0.27111390811831343</v>
      </c>
      <c r="J25" s="1244">
        <f>IFERROR(J8/J5, "")</f>
        <v>0.29275141156722112</v>
      </c>
      <c r="K25" s="1245">
        <f>IFERROR(K8/K5, "")</f>
        <v>0.26084191784306243</v>
      </c>
      <c r="L25" s="1245">
        <f>IFERROR(L8/L5, "")</f>
        <v>0.25431403744951658</v>
      </c>
      <c r="M25" s="1245">
        <f>IFERROR(M8/M5, "")</f>
        <v>0.28582154924289827</v>
      </c>
      <c r="N25" s="1245">
        <f>IFERROR(N8/N5, "")</f>
        <v>0.2468252989766983</v>
      </c>
      <c r="O25" s="1244">
        <f>IFERROR(O8/O5, "")</f>
        <v>0.26185586258401794</v>
      </c>
      <c r="P25" s="1245">
        <f>IFERROR(P8/P5, "")</f>
        <v>0.26229102167182661</v>
      </c>
      <c r="Q25" s="1245">
        <f>IFERROR(Q8/Q5, "")</f>
        <v>0.26477146042363436</v>
      </c>
      <c r="R25" s="1245">
        <f>IFERROR(R8/R5, "")</f>
        <v>0.28622754491017965</v>
      </c>
      <c r="S25" s="1245">
        <f>IFERROR(S8/S5, "")</f>
        <v>0.27344751252475824</v>
      </c>
      <c r="T25" s="1244">
        <f>IFERROR(T8/T5, "")</f>
        <v>0.27202957991548593</v>
      </c>
      <c r="U25" s="1245">
        <f>IFERROR(U8/U5, "")</f>
        <v>0.2772568071404361</v>
      </c>
      <c r="V25" s="1245">
        <f>IFERROR(V8/V5, "")</f>
        <v>0.27659282155105841</v>
      </c>
      <c r="W25" s="1245">
        <f>IFERROR(W8/W5, "")</f>
        <v>0.281592967046638</v>
      </c>
      <c r="X25" s="1245">
        <f>IFERROR(X8/X5, "")</f>
        <v>0.28556738583937835</v>
      </c>
      <c r="Y25" s="1244">
        <f>IFERROR(Y8/Y5, "")</f>
        <v>0.28039514590938186</v>
      </c>
      <c r="Z25" s="1245">
        <f>IFERROR(Z8/Z5, "")</f>
        <v>0.28297076328683163</v>
      </c>
      <c r="AA25" s="1245">
        <f>IFERROR(AA8/AA5, "")</f>
        <v>0.29425745890474719</v>
      </c>
      <c r="AB25" s="1245">
        <f>IFERROR(AB8/AB5, "")</f>
        <v>0.27309294978170978</v>
      </c>
      <c r="AC25" s="1245">
        <f>IFERROR(AC8/AC5, "")</f>
        <v>0.28927801179091378</v>
      </c>
      <c r="AD25" s="1244">
        <f>IFERROR(AD8/AD5, "")</f>
        <v>0.28462596123450401</v>
      </c>
      <c r="AE25" s="1244">
        <f>IFERROR(AE8/AE5, "")</f>
        <v>0.28809828526532538</v>
      </c>
      <c r="AF25" s="1244">
        <f>IFERROR(AF8/AF5, "")</f>
        <v>0.29171410269494952</v>
      </c>
      <c r="AG25" s="1246">
        <f>IFERROR(AG8/AG5, "")</f>
        <v>0.29546416458861069</v>
      </c>
      <c r="AH25" s="1222"/>
    </row>
    <row r="26" spans="1:34" s="1247" customFormat="1" ht="14.25" customHeight="1" x14ac:dyDescent="0.35">
      <c r="A26" s="1248" t="str">
        <f>A9&amp;" Margin, %"</f>
        <v>Adjusted EBIT Margin, %</v>
      </c>
      <c r="B26" s="1234"/>
      <c r="C26" s="1243"/>
      <c r="D26" s="1244">
        <f>IFERROR(D9/D5, "")</f>
        <v>0.23989504799229466</v>
      </c>
      <c r="E26" s="1244">
        <f>IFERROR(E9/E5, "")</f>
        <v>0.24297943582777901</v>
      </c>
      <c r="F26" s="1245">
        <f>IFERROR(F9/F5, "")</f>
        <v>0.23000724812756704</v>
      </c>
      <c r="G26" s="1245">
        <f>IFERROR(G9/G5, "")</f>
        <v>0.28617401668653158</v>
      </c>
      <c r="H26" s="1245">
        <f>IFERROR(H9/H5, "")</f>
        <v>0.24730127576054955</v>
      </c>
      <c r="I26" s="1245">
        <f>IFERROR(I9/I5, "")</f>
        <v>0.22441787287602266</v>
      </c>
      <c r="J26" s="1244">
        <f>IFERROR(J9/J5, "")</f>
        <v>0.24733709751258964</v>
      </c>
      <c r="K26" s="1245">
        <f>IFERROR(K9/K5, "")</f>
        <v>0.21315019712577896</v>
      </c>
      <c r="L26" s="1245">
        <f>IFERROR(L9/L5, "")</f>
        <v>0.20829763798800635</v>
      </c>
      <c r="M26" s="1245">
        <f>IFERROR(M9/M5, "")</f>
        <v>0.23839319234138406</v>
      </c>
      <c r="N26" s="1245">
        <f>IFERROR(N9/N5, "")</f>
        <v>0.189742325237332</v>
      </c>
      <c r="O26" s="1244">
        <f>IFERROR(O9/O5, "")</f>
        <v>0.21228528752800596</v>
      </c>
      <c r="P26" s="1245">
        <f>IFERROR(P9/P5, "")</f>
        <v>0.20780185758513933</v>
      </c>
      <c r="Q26" s="1245">
        <f>IFERROR(Q9/Q5, "")</f>
        <v>0.19620958751393533</v>
      </c>
      <c r="R26" s="1245">
        <f>IFERROR(R9/R5, "")</f>
        <v>0.22862275449101796</v>
      </c>
      <c r="S26" s="1245">
        <f>IFERROR(S9/S5, "")</f>
        <v>0.21542584178026331</v>
      </c>
      <c r="T26" s="1244">
        <f>IFERROR(T9/T5, "")</f>
        <v>0.21265224956500126</v>
      </c>
      <c r="U26" s="1245">
        <f>IFERROR(U9/U5, "")</f>
        <v>0.22528527849960456</v>
      </c>
      <c r="V26" s="1245">
        <f>IFERROR(V9/V5, "")</f>
        <v>0.22116926245405194</v>
      </c>
      <c r="W26" s="1245">
        <f>IFERROR(W9/W5, "")</f>
        <v>0.23299694611170085</v>
      </c>
      <c r="X26" s="1245">
        <f>IFERROR(X9/X5, "")</f>
        <v>0.23825236624639573</v>
      </c>
      <c r="Y26" s="1244">
        <f>IFERROR(Y9/Y5, "")</f>
        <v>0.22973398091480912</v>
      </c>
      <c r="Z26" s="1245">
        <f>IFERROR(Z9/Z5, "")</f>
        <v>0.23815930633214255</v>
      </c>
      <c r="AA26" s="1245">
        <f>IFERROR(AA9/AA5, "")</f>
        <v>0.24216241365399624</v>
      </c>
      <c r="AB26" s="1245">
        <f>IFERROR(AB9/AB5, "")</f>
        <v>0.22743330004761345</v>
      </c>
      <c r="AC26" s="1245">
        <f>IFERROR(AC9/AC5, "")</f>
        <v>0.24482045392669138</v>
      </c>
      <c r="AD26" s="1244">
        <f>IFERROR(AD9/AD5, "")</f>
        <v>0.23806340899030184</v>
      </c>
      <c r="AE26" s="1244">
        <f>IFERROR(AE9/AE5, "")</f>
        <v>0.24435185278655866</v>
      </c>
      <c r="AF26" s="1244">
        <f>IFERROR(AF9/AF5, "")</f>
        <v>0.25061997821256116</v>
      </c>
      <c r="AG26" s="1246">
        <f>IFERROR(AG9/AG5, "")</f>
        <v>0.25686762898812343</v>
      </c>
      <c r="AH26" s="1222"/>
    </row>
    <row r="27" spans="1:34" s="1247" customFormat="1" ht="14.25" customHeight="1" x14ac:dyDescent="0.35">
      <c r="A27" s="1248" t="str">
        <f>A12&amp;" Margin, %"</f>
        <v>EBT Margin, %</v>
      </c>
      <c r="B27" s="1234"/>
      <c r="C27" s="1243"/>
      <c r="D27" s="1244">
        <f>IFERROR(D12/D5, "")</f>
        <v>0.23424889567903284</v>
      </c>
      <c r="E27" s="1244">
        <f>IFERROR(E12/E5, "")</f>
        <v>0.23843067883880342</v>
      </c>
      <c r="F27" s="1245">
        <f>IFERROR(F12/F5, "")</f>
        <v>0.11657405170330998</v>
      </c>
      <c r="G27" s="1245">
        <f>IFERROR(G12/G5, "")</f>
        <v>0.28009535160905841</v>
      </c>
      <c r="H27" s="1245">
        <f>IFERROR(H12/H5, "")</f>
        <v>0.241045142296369</v>
      </c>
      <c r="I27" s="1245">
        <f>IFERROR(I12/I5, "")</f>
        <v>0.21648835745752046</v>
      </c>
      <c r="J27" s="1244">
        <f>IFERROR(J12/J5, "")</f>
        <v>0.21364260643979857</v>
      </c>
      <c r="K27" s="1245">
        <f>IFERROR(K12/K5, "")</f>
        <v>0.13836957904107847</v>
      </c>
      <c r="L27" s="1245">
        <f>IFERROR(L12/L5, "")</f>
        <v>0.17696732346102068</v>
      </c>
      <c r="M27" s="1245">
        <f>IFERROR(M12/M5, "")</f>
        <v>0.24602678012764359</v>
      </c>
      <c r="N27" s="1245">
        <f>IFERROR(N12/N5, "")</f>
        <v>0.14942670447540377</v>
      </c>
      <c r="O27" s="1244">
        <f>IFERROR(O12/O5, "")</f>
        <v>0.17774458551157579</v>
      </c>
      <c r="P27" s="1245">
        <f>IFERROR(P12/P5, "")</f>
        <v>0.19405572755417957</v>
      </c>
      <c r="Q27" s="1245">
        <f>IFERROR(Q12/Q5, "")</f>
        <v>0.22700668896321069</v>
      </c>
      <c r="R27" s="1245">
        <f>IFERROR(R12/R5, "")</f>
        <v>0.21616766467065868</v>
      </c>
      <c r="S27" s="1245">
        <f>IFERROR(S12/S5, "")</f>
        <v>0.19923103809856693</v>
      </c>
      <c r="T27" s="1244">
        <f>IFERROR(T12/T5, "")</f>
        <v>0.20851976137211037</v>
      </c>
      <c r="U27" s="1245">
        <f>IFERROR(U12/U5, "")</f>
        <v>0.219749180883516</v>
      </c>
      <c r="V27" s="1245">
        <f>IFERROR(V12/V5, "")</f>
        <v>0.20502338697767442</v>
      </c>
      <c r="W27" s="1245">
        <f>IFERROR(W12/W5, "")</f>
        <v>0.21857308348108204</v>
      </c>
      <c r="X27" s="1245">
        <f>IFERROR(X12/X5, "")</f>
        <v>0.2242960114859546</v>
      </c>
      <c r="Y27" s="1244">
        <f>IFERROR(Y12/Y5, "")</f>
        <v>0.21734416128010475</v>
      </c>
      <c r="Z27" s="1245">
        <f>IFERROR(Z12/Z5, "")</f>
        <v>0.22527957455724684</v>
      </c>
      <c r="AA27" s="1245">
        <f ca="1">IFERROR(AA12/AA5, "")</f>
        <v>0.22706955146418778</v>
      </c>
      <c r="AB27" s="1245">
        <f ca="1">IFERROR(AB12/AB5, "")</f>
        <v>0.21398994260374435</v>
      </c>
      <c r="AC27" s="1245">
        <f ca="1">IFERROR(AC12/AC5, "")</f>
        <v>0.23182352501944048</v>
      </c>
      <c r="AD27" s="1244">
        <f ca="1">IFERROR(AD12/AD5, "")</f>
        <v>0.22451477386935947</v>
      </c>
      <c r="AE27" s="1244">
        <f ca="1">IFERROR(AE12/AE5, "")</f>
        <v>0.2317282777467109</v>
      </c>
      <c r="AF27" s="1244">
        <f ca="1">IFERROR(AF12/AF5, "")</f>
        <v>0.23898966436010713</v>
      </c>
      <c r="AG27" s="1246">
        <f ca="1">IFERROR(AG12/AG5, "")</f>
        <v>0.24625596081697629</v>
      </c>
      <c r="AH27" s="1222"/>
    </row>
    <row r="28" spans="1:34" s="1247" customFormat="1" ht="14.25" customHeight="1" x14ac:dyDescent="0.35">
      <c r="A28" s="1248" t="s">
        <v>1162</v>
      </c>
      <c r="B28" s="1234"/>
      <c r="C28" s="1243"/>
      <c r="D28" s="1244">
        <f>IFERROR(IFERROR(INDEX(MO_RIS_TaxRate_NONGAAP,0,MATCH(D$3,MO_Common_ColumnHeader,0)),INDEX(MO_RIS_TaxRate_Current,0,MATCH(D$3,MO_Common_ColumnHeader,0))+INDEX(MO_RIS_TaxRate_Deferred,0,MATCH(D$3,MO_Common_ColumnHeader,0))), "")</f>
        <v>0.28285835814547</v>
      </c>
      <c r="E28" s="1244">
        <f>IFERROR(IFERROR(INDEX(MO_RIS_TaxRate_NONGAAP,0,MATCH(E$3,MO_Common_ColumnHeader,0)),INDEX(MO_RIS_TaxRate_Current,0,MATCH(E$3,MO_Common_ColumnHeader,0))+INDEX(MO_RIS_TaxRate_Deferred,0,MATCH(E$3,MO_Common_ColumnHeader,0))), "")</f>
        <v>0.35492845786963434</v>
      </c>
      <c r="F28" s="1245">
        <f>IFERROR(IFERROR(INDEX(MO_RIS_TaxRate_NONGAAP,0,MATCH(F$3,MO_Common_ColumnHeader,0)),INDEX(MO_RIS_TaxRate_Current,0,MATCH(F$3,MO_Common_ColumnHeader,0))+INDEX(MO_RIS_TaxRate_Deferred,0,MATCH(F$3,MO_Common_ColumnHeader,0))), "")</f>
        <v>0.37202072538860104</v>
      </c>
      <c r="G28" s="1245">
        <f>IFERROR(IFERROR(INDEX(MO_RIS_TaxRate_NONGAAP,0,MATCH(G$3,MO_Common_ColumnHeader,0)),INDEX(MO_RIS_TaxRate_Current,0,MATCH(G$3,MO_Common_ColumnHeader,0))+INDEX(MO_RIS_TaxRate_Deferred,0,MATCH(G$3,MO_Common_ColumnHeader,0))), "")</f>
        <v>0.20765957446808511</v>
      </c>
      <c r="H28" s="1245">
        <f>IFERROR(IFERROR(INDEX(MO_RIS_TaxRate_NONGAAP,0,MATCH(H$3,MO_Common_ColumnHeader,0)),INDEX(MO_RIS_TaxRate_Current,0,MATCH(H$3,MO_Common_ColumnHeader,0))+INDEX(MO_RIS_TaxRate_Deferred,0,MATCH(H$3,MO_Common_ColumnHeader,0))), "")</f>
        <v>0.21323155216284989</v>
      </c>
      <c r="I28" s="1245">
        <f>IFERROR(IFERROR(INDEX(MO_RIS_TaxRate_NONGAAP,0,MATCH(I$3,MO_Common_ColumnHeader,0)),INDEX(MO_RIS_TaxRate_Current,0,MATCH(I$3,MO_Common_ColumnHeader,0))+INDEX(MO_RIS_TaxRate_Deferred,0,MATCH(I$3,MO_Common_ColumnHeader,0))), "")</f>
        <v>0.21569767441860466</v>
      </c>
      <c r="J28" s="1244">
        <f>IFERROR(IFERROR(INDEX(MO_RIS_TaxRate_NONGAAP,0,MATCH(J$3,MO_Common_ColumnHeader,0)),INDEX(MO_RIS_TaxRate_Current,0,MATCH(J$3,MO_Common_ColumnHeader,0))+INDEX(MO_RIS_TaxRate_Deferred,0,MATCH(J$3,MO_Common_ColumnHeader,0))), "")</f>
        <v>0.23385714285714285</v>
      </c>
      <c r="K28" s="1245">
        <f>IFERROR(IFERROR(INDEX(MO_RIS_TaxRate_NONGAAP,0,MATCH(K$3,MO_Common_ColumnHeader,0)),INDEX(MO_RIS_TaxRate_Current,0,MATCH(K$3,MO_Common_ColumnHeader,0))+INDEX(MO_RIS_TaxRate_Deferred,0,MATCH(K$3,MO_Common_ColumnHeader,0))), "")</f>
        <v>0.17922794117647062</v>
      </c>
      <c r="L28" s="1245">
        <f>IFERROR(IFERROR(INDEX(MO_RIS_TaxRate_NONGAAP,0,MATCH(L$3,MO_Common_ColumnHeader,0)),INDEX(MO_RIS_TaxRate_Current,0,MATCH(L$3,MO_Common_ColumnHeader,0))+INDEX(MO_RIS_TaxRate_Deferred,0,MATCH(L$3,MO_Common_ColumnHeader,0))), "")</f>
        <v>0.21784232365145226</v>
      </c>
      <c r="M28" s="1245">
        <f>IFERROR(IFERROR(INDEX(MO_RIS_TaxRate_NONGAAP,0,MATCH(M$3,MO_Common_ColumnHeader,0)),INDEX(MO_RIS_TaxRate_Current,0,MATCH(M$3,MO_Common_ColumnHeader,0))+INDEX(MO_RIS_TaxRate_Deferred,0,MATCH(M$3,MO_Common_ColumnHeader,0))), "")</f>
        <v>0.19226856561546288</v>
      </c>
      <c r="N28" s="1245">
        <f>IFERROR(IFERROR(INDEX(MO_RIS_TaxRate_NONGAAP,0,MATCH(N$3,MO_Common_ColumnHeader,0)),INDEX(MO_RIS_TaxRate_Current,0,MATCH(N$3,MO_Common_ColumnHeader,0))+INDEX(MO_RIS_TaxRate_Deferred,0,MATCH(N$3,MO_Common_ColumnHeader,0))), "")</f>
        <v>0.1996699669966997</v>
      </c>
      <c r="O28" s="1244">
        <f>IFERROR(IFERROR(INDEX(MO_RIS_TaxRate_NONGAAP,0,MATCH(O$3,MO_Common_ColumnHeader,0)),INDEX(MO_RIS_TaxRate_Current,0,MATCH(O$3,MO_Common_ColumnHeader,0))+INDEX(MO_RIS_TaxRate_Deferred,0,MATCH(O$3,MO_Common_ColumnHeader,0))), "")</f>
        <v>0.19782913165266106</v>
      </c>
      <c r="P28" s="1245">
        <f>IFERROR(IFERROR(INDEX(MO_RIS_TaxRate_NONGAAP,0,MATCH(P$3,MO_Common_ColumnHeader,0)),INDEX(MO_RIS_TaxRate_Current,0,MATCH(P$3,MO_Common_ColumnHeader,0))+INDEX(MO_RIS_TaxRate_Deferred,0,MATCH(P$3,MO_Common_ColumnHeader,0))), "")</f>
        <v>0.1742182514358647</v>
      </c>
      <c r="Q28" s="1245">
        <f>IFERROR(IFERROR(INDEX(MO_RIS_TaxRate_NONGAAP,0,MATCH(Q$3,MO_Common_ColumnHeader,0)),INDEX(MO_RIS_TaxRate_Current,0,MATCH(Q$3,MO_Common_ColumnHeader,0))+INDEX(MO_RIS_TaxRate_Deferred,0,MATCH(Q$3,MO_Common_ColumnHeader,0))), "")</f>
        <v>0.20994475138121549</v>
      </c>
      <c r="R28" s="1245">
        <f>IFERROR(IFERROR(INDEX(MO_RIS_TaxRate_NONGAAP,0,MATCH(R$3,MO_Common_ColumnHeader,0)),INDEX(MO_RIS_TaxRate_Current,0,MATCH(R$3,MO_Common_ColumnHeader,0))+INDEX(MO_RIS_TaxRate_Deferred,0,MATCH(R$3,MO_Common_ColumnHeader,0))), "")</f>
        <v>0.21440443213296398</v>
      </c>
      <c r="S28" s="1245">
        <f>IFERROR(IFERROR(INDEX(MO_RIS_TaxRate_NONGAAP,0,MATCH(S$3,MO_Common_ColumnHeader,0)),INDEX(MO_RIS_TaxRate_Current,0,MATCH(S$3,MO_Common_ColumnHeader,0))+INDEX(MO_RIS_TaxRate_Deferred,0,MATCH(S$3,MO_Common_ColumnHeader,0))), "")</f>
        <v>0.1847953216374269</v>
      </c>
      <c r="T28" s="1244">
        <f>IFERROR(IFERROR(INDEX(MO_RIS_TaxRate_NONGAAP,0,MATCH(T$3,MO_Common_ColumnHeader,0)),INDEX(MO_RIS_TaxRate_Current,0,MATCH(T$3,MO_Common_ColumnHeader,0))+INDEX(MO_RIS_TaxRate_Deferred,0,MATCH(T$3,MO_Common_ColumnHeader,0))), "")</f>
        <v>0.196393980032782</v>
      </c>
      <c r="U28" s="1245">
        <f>IFERROR(IFERROR(INDEX(MO_RIS_TaxRate_NONGAAP,0,MATCH(U$3,MO_Common_ColumnHeader,0)),INDEX(MO_RIS_TaxRate_Current,0,MATCH(U$3,MO_Common_ColumnHeader,0))+INDEX(MO_RIS_TaxRate_Deferred,0,MATCH(U$3,MO_Common_ColumnHeader,0))), "")</f>
        <v>0.1640102827763496</v>
      </c>
      <c r="V28" s="1245">
        <f>IFERROR(IFERROR(INDEX(MO_RIS_TaxRate_NONGAAP,0,MATCH(V$3,MO_Common_ColumnHeader,0)),INDEX(MO_RIS_TaxRate_Current,0,MATCH(V$3,MO_Common_ColumnHeader,0))+INDEX(MO_RIS_TaxRate_Deferred,0,MATCH(V$3,MO_Common_ColumnHeader,0))), "")</f>
        <v>0.21</v>
      </c>
      <c r="W28" s="1245">
        <f>IFERROR(IFERROR(INDEX(MO_RIS_TaxRate_NONGAAP,0,MATCH(W$3,MO_Common_ColumnHeader,0)),INDEX(MO_RIS_TaxRate_Current,0,MATCH(W$3,MO_Common_ColumnHeader,0))+INDEX(MO_RIS_TaxRate_Deferred,0,MATCH(W$3,MO_Common_ColumnHeader,0))), "")</f>
        <v>0.21</v>
      </c>
      <c r="X28" s="1245">
        <f>IFERROR(IFERROR(INDEX(MO_RIS_TaxRate_NONGAAP,0,MATCH(X$3,MO_Common_ColumnHeader,0)),INDEX(MO_RIS_TaxRate_Current,0,MATCH(X$3,MO_Common_ColumnHeader,0))+INDEX(MO_RIS_TaxRate_Deferred,0,MATCH(X$3,MO_Common_ColumnHeader,0))), "")</f>
        <v>0.21</v>
      </c>
      <c r="Y28" s="1244">
        <f>IFERROR(IFERROR(INDEX(MO_RIS_TaxRate_NONGAAP,0,MATCH(Y$3,MO_Common_ColumnHeader,0)),INDEX(MO_RIS_TaxRate_Current,0,MATCH(Y$3,MO_Common_ColumnHeader,0))+INDEX(MO_RIS_TaxRate_Deferred,0,MATCH(Y$3,MO_Common_ColumnHeader,0))), "")</f>
        <v>0.19798266797270692</v>
      </c>
      <c r="Z28" s="1245">
        <f>IFERROR(IFERROR(INDEX(MO_RIS_TaxRate_NONGAAP,0,MATCH(Z$3,MO_Common_ColumnHeader,0)),INDEX(MO_RIS_TaxRate_Current,0,MATCH(Z$3,MO_Common_ColumnHeader,0))+INDEX(MO_RIS_TaxRate_Deferred,0,MATCH(Z$3,MO_Common_ColumnHeader,0))), "")</f>
        <v>0.21</v>
      </c>
      <c r="AA28" s="1245">
        <f>IFERROR(IFERROR(INDEX(MO_RIS_TaxRate_NONGAAP,0,MATCH(AA$3,MO_Common_ColumnHeader,0)),INDEX(MO_RIS_TaxRate_Current,0,MATCH(AA$3,MO_Common_ColumnHeader,0))+INDEX(MO_RIS_TaxRate_Deferred,0,MATCH(AA$3,MO_Common_ColumnHeader,0))), "")</f>
        <v>0.21</v>
      </c>
      <c r="AB28" s="1245">
        <f>IFERROR(IFERROR(INDEX(MO_RIS_TaxRate_NONGAAP,0,MATCH(AB$3,MO_Common_ColumnHeader,0)),INDEX(MO_RIS_TaxRate_Current,0,MATCH(AB$3,MO_Common_ColumnHeader,0))+INDEX(MO_RIS_TaxRate_Deferred,0,MATCH(AB$3,MO_Common_ColumnHeader,0))), "")</f>
        <v>0.21</v>
      </c>
      <c r="AC28" s="1245">
        <f>IFERROR(IFERROR(INDEX(MO_RIS_TaxRate_NONGAAP,0,MATCH(AC$3,MO_Common_ColumnHeader,0)),INDEX(MO_RIS_TaxRate_Current,0,MATCH(AC$3,MO_Common_ColumnHeader,0))+INDEX(MO_RIS_TaxRate_Deferred,0,MATCH(AC$3,MO_Common_ColumnHeader,0))), "")</f>
        <v>0.21</v>
      </c>
      <c r="AD28" s="1244">
        <f ca="1">IFERROR(IFERROR(INDEX(MO_RIS_TaxRate_NONGAAP,0,MATCH(AD$3,MO_Common_ColumnHeader,0)),INDEX(MO_RIS_TaxRate_Current,0,MATCH(AD$3,MO_Common_ColumnHeader,0))+INDEX(MO_RIS_TaxRate_Deferred,0,MATCH(AD$3,MO_Common_ColumnHeader,0))), "")</f>
        <v>0.21</v>
      </c>
      <c r="AE28" s="1244">
        <f>IFERROR(IFERROR(INDEX(MO_RIS_TaxRate_NONGAAP,0,MATCH(AE$3,MO_Common_ColumnHeader,0)),INDEX(MO_RIS_TaxRate_Current,0,MATCH(AE$3,MO_Common_ColumnHeader,0))+INDEX(MO_RIS_TaxRate_Deferred,0,MATCH(AE$3,MO_Common_ColumnHeader,0))), "")</f>
        <v>0.21</v>
      </c>
      <c r="AF28" s="1244">
        <f>IFERROR(IFERROR(INDEX(MO_RIS_TaxRate_NONGAAP,0,MATCH(AF$3,MO_Common_ColumnHeader,0)),INDEX(MO_RIS_TaxRate_Current,0,MATCH(AF$3,MO_Common_ColumnHeader,0))+INDEX(MO_RIS_TaxRate_Deferred,0,MATCH(AF$3,MO_Common_ColumnHeader,0))), "")</f>
        <v>0.21</v>
      </c>
      <c r="AG28" s="1246">
        <f>IFERROR(IFERROR(INDEX(MO_RIS_TaxRate_NONGAAP,0,MATCH(AG$3,MO_Common_ColumnHeader,0)),INDEX(MO_RIS_TaxRate_Current,0,MATCH(AG$3,MO_Common_ColumnHeader,0))+INDEX(MO_RIS_TaxRate_Deferred,0,MATCH(AG$3,MO_Common_ColumnHeader,0))), "")</f>
        <v>0.21</v>
      </c>
      <c r="AH28" s="1222"/>
    </row>
    <row r="29" spans="1:34" s="1247" customFormat="1" ht="14.25" customHeight="1" x14ac:dyDescent="0.35">
      <c r="A29" s="1248" t="s">
        <v>1163</v>
      </c>
      <c r="B29" s="1234"/>
      <c r="C29" s="1243"/>
      <c r="D29" s="1244">
        <f>IFERROR(D13/D5, "")</f>
        <v>0.16772393636454216</v>
      </c>
      <c r="E29" s="1244">
        <f>IFERROR(E13/E5, "")</f>
        <v>0.17752787693085256</v>
      </c>
      <c r="F29" s="1245">
        <f>IFERROR(F13/F5, "")</f>
        <v>0.18470645083353468</v>
      </c>
      <c r="G29" s="1245">
        <f>IFERROR(G13/G5, "")</f>
        <v>0.22133492252681763</v>
      </c>
      <c r="H29" s="1245">
        <f>IFERROR(H13/H5, "")</f>
        <v>0.18927870461236507</v>
      </c>
      <c r="I29" s="1245">
        <f>IFERROR(I13/I5, "")</f>
        <v>0.17193203272498428</v>
      </c>
      <c r="J29" s="1244">
        <f>IFERROR(J13/J5, "")</f>
        <v>0.192125743934076</v>
      </c>
      <c r="K29" s="1245">
        <f>IFERROR(K13/K5, "")</f>
        <v>0.16634872186188476</v>
      </c>
      <c r="L29" s="1245">
        <f>IFERROR(L13/L5, "")</f>
        <v>0.15249051523681312</v>
      </c>
      <c r="M29" s="1245">
        <f>IFERROR(M13/M5, "")</f>
        <v>0.18821173820548118</v>
      </c>
      <c r="N29" s="1245">
        <f>IFERROR(N13/N5, "")</f>
        <v>0.13993342374553075</v>
      </c>
      <c r="O29" s="1244">
        <f>IFERROR(O13/O5, "")</f>
        <v>0.16159447348767736</v>
      </c>
      <c r="P29" s="1245">
        <f>IFERROR(P13/P5, "")</f>
        <v>0.15529411764705883</v>
      </c>
      <c r="Q29" s="1245">
        <f>IFERROR(Q13/Q5, "")</f>
        <v>0.14381270903010032</v>
      </c>
      <c r="R29" s="1245">
        <f>IFERROR(R13/R5, "")</f>
        <v>0.16922155688622756</v>
      </c>
      <c r="S29" s="1245">
        <f>IFERROR(S13/S5, "")</f>
        <v>0.16183152743795876</v>
      </c>
      <c r="T29" s="1244">
        <f>IFERROR(T13/T5, "")</f>
        <v>0.1580909768829232</v>
      </c>
      <c r="U29" s="1245">
        <f>IFERROR(U13/U5, "")</f>
        <v>0.1834820924189357</v>
      </c>
      <c r="V29" s="1245">
        <f>IFERROR(V13/V5, "")</f>
        <v>0.16196847571236281</v>
      </c>
      <c r="W29" s="1245">
        <f>IFERROR(W13/W5, "")</f>
        <v>0.17267273595005478</v>
      </c>
      <c r="X29" s="1245">
        <f>IFERROR(X13/X5, "")</f>
        <v>0.17719384907390412</v>
      </c>
      <c r="Y29" s="1244">
        <f>IFERROR(Y13/Y5, "")</f>
        <v>0.17425538532412158</v>
      </c>
      <c r="Z29" s="1245">
        <f>IFERROR(Z13/Z5, "")</f>
        <v>0.17797086390022501</v>
      </c>
      <c r="AA29" s="1245">
        <f ca="1">IFERROR(AA13/AA5, "")</f>
        <v>0.17938494565670834</v>
      </c>
      <c r="AB29" s="1245">
        <f ca="1">IFERROR(AB13/AB5, "")</f>
        <v>0.16905205465695802</v>
      </c>
      <c r="AC29" s="1245">
        <f ca="1">IFERROR(AC13/AC5, "")</f>
        <v>0.18314058476535799</v>
      </c>
      <c r="AD29" s="1244">
        <f ca="1">IFERROR(AD13/AD5, "")</f>
        <v>0.17736667135679401</v>
      </c>
      <c r="AE29" s="1244">
        <f ca="1">IFERROR(AE13/AE5, "")</f>
        <v>0.18306533941990161</v>
      </c>
      <c r="AF29" s="1244">
        <f ca="1">IFERROR(AF13/AF5, "")</f>
        <v>0.18880183484448462</v>
      </c>
      <c r="AG29" s="1246">
        <f ca="1">IFERROR(AG13/AG5, "")</f>
        <v>0.19454220904541125</v>
      </c>
      <c r="AH29" s="1222"/>
    </row>
    <row r="30" spans="1:34" ht="14.25" customHeight="1" x14ac:dyDescent="0.35">
      <c r="A30" s="1249"/>
      <c r="B30" s="1250"/>
      <c r="C30" s="1251"/>
      <c r="D30" s="1252"/>
      <c r="E30" s="1252"/>
      <c r="F30" s="1253"/>
      <c r="J30" s="1252"/>
      <c r="O30" s="1252"/>
      <c r="T30" s="1252"/>
      <c r="Y30" s="1252"/>
      <c r="AD30" s="1252"/>
      <c r="AE30" s="1252"/>
      <c r="AF30" s="1252"/>
      <c r="AG30" s="1254"/>
      <c r="AH30" s="1222"/>
    </row>
    <row r="31" spans="1:34" ht="14.25" customHeight="1" x14ac:dyDescent="0.35">
      <c r="A31" s="1210" t="s">
        <v>1146</v>
      </c>
      <c r="B31" s="1211"/>
      <c r="C31" s="1212"/>
      <c r="D31" s="1213"/>
      <c r="E31" s="1213"/>
      <c r="F31" s="1214"/>
      <c r="G31" s="1213"/>
      <c r="H31" s="1213"/>
      <c r="I31" s="1213"/>
      <c r="J31" s="1213"/>
      <c r="K31" s="1213"/>
      <c r="L31" s="1213"/>
      <c r="M31" s="1213"/>
      <c r="N31" s="1213"/>
      <c r="O31" s="1213"/>
      <c r="P31" s="1213"/>
      <c r="Q31" s="1213"/>
      <c r="R31" s="1213"/>
      <c r="S31" s="1213"/>
      <c r="T31" s="1213"/>
      <c r="U31" s="1213"/>
      <c r="V31" s="1213"/>
      <c r="W31" s="1213"/>
      <c r="X31" s="1213"/>
      <c r="Y31" s="1213"/>
      <c r="Z31" s="1213"/>
      <c r="AA31" s="1213"/>
      <c r="AB31" s="1213"/>
      <c r="AC31" s="1213"/>
      <c r="AD31" s="1213"/>
      <c r="AE31" s="1213"/>
      <c r="AF31" s="1213"/>
      <c r="AG31" s="1215"/>
      <c r="AH31" s="1222"/>
    </row>
    <row r="32" spans="1:34" s="1222" customFormat="1" ht="14.25" customHeight="1" outlineLevel="1" x14ac:dyDescent="0.35">
      <c r="A32" s="1255" t="s">
        <v>1164</v>
      </c>
      <c r="B32" s="1256"/>
      <c r="C32" s="1218"/>
      <c r="D32" s="1257">
        <f>IFERROR(INDEX(MO_Common_FPDays,0,MATCH(D$3,MO_Common_ColumnHeader,0)),0)</f>
        <v>366</v>
      </c>
      <c r="E32" s="1257">
        <f>IFERROR(INDEX(MO_Common_FPDays,0,MATCH(E$3,MO_Common_ColumnHeader,0)),0)</f>
        <v>365</v>
      </c>
      <c r="F32" s="1258">
        <f>IFERROR(INDEX(MO_Common_FPDays,0,MATCH(F$3,MO_Common_ColumnHeader,0)),0)</f>
        <v>90</v>
      </c>
      <c r="G32" s="1258">
        <f>IFERROR(INDEX(MO_Common_FPDays,0,MATCH(G$3,MO_Common_ColumnHeader,0)),0)</f>
        <v>91</v>
      </c>
      <c r="H32" s="1258">
        <f>IFERROR(INDEX(MO_Common_FPDays,0,MATCH(H$3,MO_Common_ColumnHeader,0)),0)</f>
        <v>92</v>
      </c>
      <c r="I32" s="1258">
        <f>IFERROR(INDEX(MO_Common_FPDays,0,MATCH(I$3,MO_Common_ColumnHeader,0)),0)</f>
        <v>92</v>
      </c>
      <c r="J32" s="1257">
        <f>IFERROR(INDEX(MO_Common_FPDays,0,MATCH(J$3,MO_Common_ColumnHeader,0)),0)</f>
        <v>365</v>
      </c>
      <c r="K32" s="1258">
        <f>IFERROR(INDEX(MO_Common_FPDays,0,MATCH(K$3,MO_Common_ColumnHeader,0)),0)</f>
        <v>90</v>
      </c>
      <c r="L32" s="1258">
        <f>IFERROR(INDEX(MO_Common_FPDays,0,MATCH(L$3,MO_Common_ColumnHeader,0)),0)</f>
        <v>91</v>
      </c>
      <c r="M32" s="1258">
        <f>IFERROR(INDEX(MO_Common_FPDays,0,MATCH(M$3,MO_Common_ColumnHeader,0)),0)</f>
        <v>92</v>
      </c>
      <c r="N32" s="1258">
        <f>IFERROR(INDEX(MO_Common_FPDays,0,MATCH(N$3,MO_Common_ColumnHeader,0)),0)</f>
        <v>92</v>
      </c>
      <c r="O32" s="1257">
        <f>IFERROR(INDEX(MO_Common_FPDays,0,MATCH(O$3,MO_Common_ColumnHeader,0)),0)</f>
        <v>365</v>
      </c>
      <c r="P32" s="1258">
        <f>IFERROR(INDEX(MO_Common_FPDays,0,MATCH(P$3,MO_Common_ColumnHeader,0)),0)</f>
        <v>91</v>
      </c>
      <c r="Q32" s="1258">
        <f>IFERROR(INDEX(MO_Common_FPDays,0,MATCH(Q$3,MO_Common_ColumnHeader,0)),0)</f>
        <v>91</v>
      </c>
      <c r="R32" s="1258">
        <f>IFERROR(INDEX(MO_Common_FPDays,0,MATCH(R$3,MO_Common_ColumnHeader,0)),0)</f>
        <v>92</v>
      </c>
      <c r="S32" s="1258">
        <f>IFERROR(INDEX(MO_Common_FPDays,0,MATCH(S$3,MO_Common_ColumnHeader,0)),0)</f>
        <v>92</v>
      </c>
      <c r="T32" s="1257">
        <f>IFERROR(INDEX(MO_Common_FPDays,0,MATCH(T$3,MO_Common_ColumnHeader,0)),0)</f>
        <v>366</v>
      </c>
      <c r="U32" s="1258">
        <f>IFERROR(INDEX(MO_Common_FPDays,0,MATCH(U$3,MO_Common_ColumnHeader,0)),0)</f>
        <v>90</v>
      </c>
      <c r="V32" s="1258">
        <f>IFERROR(INDEX(MO_Common_FPDays,0,MATCH(V$3,MO_Common_ColumnHeader,0)),0)</f>
        <v>91</v>
      </c>
      <c r="W32" s="1258">
        <f>IFERROR(INDEX(MO_Common_FPDays,0,MATCH(W$3,MO_Common_ColumnHeader,0)),0)</f>
        <v>92</v>
      </c>
      <c r="X32" s="1258">
        <f>IFERROR(INDEX(MO_Common_FPDays,0,MATCH(X$3,MO_Common_ColumnHeader,0)),0)</f>
        <v>92</v>
      </c>
      <c r="Y32" s="1257">
        <f>IFERROR(INDEX(MO_Common_FPDays,0,MATCH(Y$3,MO_Common_ColumnHeader,0)),0)</f>
        <v>365</v>
      </c>
      <c r="Z32" s="1258">
        <f>IFERROR(INDEX(MO_Common_FPDays,0,MATCH(Z$3,MO_Common_ColumnHeader,0)),0)</f>
        <v>90</v>
      </c>
      <c r="AA32" s="1258">
        <f>IFERROR(INDEX(MO_Common_FPDays,0,MATCH(AA$3,MO_Common_ColumnHeader,0)),0)</f>
        <v>91</v>
      </c>
      <c r="AB32" s="1258">
        <f>IFERROR(INDEX(MO_Common_FPDays,0,MATCH(AB$3,MO_Common_ColumnHeader,0)),0)</f>
        <v>92</v>
      </c>
      <c r="AC32" s="1258">
        <f>IFERROR(INDEX(MO_Common_FPDays,0,MATCH(AC$3,MO_Common_ColumnHeader,0)),0)</f>
        <v>92</v>
      </c>
      <c r="AD32" s="1257">
        <f>IFERROR(INDEX(MO_Common_FPDays,0,MATCH(AD$3,MO_Common_ColumnHeader,0)),0)</f>
        <v>365</v>
      </c>
      <c r="AE32" s="1257">
        <f>IFERROR(INDEX(MO_Common_FPDays,0,MATCH(AE$3,MO_Common_ColumnHeader,0)),0)</f>
        <v>365</v>
      </c>
      <c r="AF32" s="1257">
        <f>IFERROR(INDEX(MO_Common_FPDays,0,MATCH(AF$3,MO_Common_ColumnHeader,0)),0)</f>
        <v>366</v>
      </c>
      <c r="AG32" s="1259">
        <f>IFERROR(INDEX(MO_Common_FPDays,0,MATCH(AG$3,MO_Common_ColumnHeader,0)),0)</f>
        <v>365</v>
      </c>
    </row>
    <row r="33" spans="1:34" s="1222" customFormat="1" ht="14.25" customHeight="1" outlineLevel="1" x14ac:dyDescent="0.35">
      <c r="A33" s="1255"/>
      <c r="B33" s="1256"/>
      <c r="C33" s="1218"/>
      <c r="D33" s="1219"/>
      <c r="E33" s="1219"/>
      <c r="F33" s="1220"/>
      <c r="G33" s="1220"/>
      <c r="H33" s="1220"/>
      <c r="I33" s="1220"/>
      <c r="J33" s="1219"/>
      <c r="K33" s="1220"/>
      <c r="L33" s="1220"/>
      <c r="M33" s="1220"/>
      <c r="N33" s="1220"/>
      <c r="O33" s="1219"/>
      <c r="P33" s="1220"/>
      <c r="Q33" s="1220"/>
      <c r="R33" s="1220"/>
      <c r="S33" s="1220"/>
      <c r="T33" s="1219"/>
      <c r="U33" s="1220"/>
      <c r="V33" s="1220"/>
      <c r="W33" s="1220"/>
      <c r="X33" s="1220"/>
      <c r="Y33" s="1219"/>
      <c r="Z33" s="1220"/>
      <c r="AA33" s="1220"/>
      <c r="AB33" s="1220"/>
      <c r="AC33" s="1220"/>
      <c r="AD33" s="1219"/>
      <c r="AE33" s="1219"/>
      <c r="AF33" s="1219"/>
      <c r="AG33" s="1221"/>
    </row>
    <row r="34" spans="1:34" s="1222" customFormat="1" ht="14.25" customHeight="1" outlineLevel="1" x14ac:dyDescent="0.35">
      <c r="A34" s="1255" t="s">
        <v>1148</v>
      </c>
      <c r="B34" s="1256"/>
      <c r="C34" s="1218"/>
      <c r="D34" s="1219">
        <f>IFERROR(INDEX(MO_BS_AR,0,MATCH(D$3,MO_Common_ColumnHeader,0)), 0)</f>
        <v>4392</v>
      </c>
      <c r="E34" s="1219">
        <f>IFERROR(INDEX(MO_BS_AR,0,MATCH(E$3,MO_Common_ColumnHeader,0)), 0)</f>
        <v>4911</v>
      </c>
      <c r="F34" s="1220">
        <f>IFERROR(INDEX(MO_BS_AR,0,MATCH(F$3,MO_Common_ColumnHeader,0)), 0)</f>
        <v>5252</v>
      </c>
      <c r="G34" s="1220">
        <f>IFERROR(INDEX(MO_BS_AR,0,MATCH(G$3,MO_Common_ColumnHeader,0)), 0)</f>
        <v>5383</v>
      </c>
      <c r="H34" s="1220">
        <f>IFERROR(INDEX(MO_BS_AR,0,MATCH(H$3,MO_Common_ColumnHeader,0)), 0)</f>
        <v>5329</v>
      </c>
      <c r="I34" s="1220">
        <f>IFERROR(INDEX(MO_BS_AR,0,MATCH(I$3,MO_Common_ColumnHeader,0)), 0)</f>
        <v>5020</v>
      </c>
      <c r="J34" s="1219">
        <f>IFERROR(INDEX(MO_BS_AR,0,MATCH(J$3,MO_Common_ColumnHeader,0)), 0)</f>
        <v>5020</v>
      </c>
      <c r="K34" s="1220">
        <f>IFERROR(INDEX(MO_BS_AR,0,MATCH(K$3,MO_Common_ColumnHeader,0)), 0)</f>
        <v>5173</v>
      </c>
      <c r="L34" s="1220">
        <f>IFERROR(INDEX(MO_BS_AR,0,MATCH(L$3,MO_Common_ColumnHeader,0)), 0)</f>
        <v>5374</v>
      </c>
      <c r="M34" s="1220">
        <f>IFERROR(INDEX(MO_BS_AR,0,MATCH(M$3,MO_Common_ColumnHeader,0)), 0)</f>
        <v>5020</v>
      </c>
      <c r="N34" s="1220">
        <f>IFERROR(INDEX(MO_BS_AR,0,MATCH(N$3,MO_Common_ColumnHeader,0)), 0)</f>
        <v>4791</v>
      </c>
      <c r="O34" s="1219">
        <f>IFERROR(INDEX(MO_BS_AR,0,MATCH(O$3,MO_Common_ColumnHeader,0)), 0)</f>
        <v>4791</v>
      </c>
      <c r="P34" s="1220">
        <f>IFERROR(INDEX(MO_BS_AR,0,MATCH(P$3,MO_Common_ColumnHeader,0)), 0)</f>
        <v>4821</v>
      </c>
      <c r="Q34" s="1220">
        <f>IFERROR(INDEX(MO_BS_AR,0,MATCH(Q$3,MO_Common_ColumnHeader,0)), 0)</f>
        <v>4459</v>
      </c>
      <c r="R34" s="1220">
        <f>IFERROR(INDEX(MO_BS_AR,0,MATCH(R$3,MO_Common_ColumnHeader,0)), 0)</f>
        <v>4623</v>
      </c>
      <c r="S34" s="1220">
        <f>IFERROR(INDEX(MO_BS_AR,0,MATCH(S$3,MO_Common_ColumnHeader,0)), 0)</f>
        <v>4705</v>
      </c>
      <c r="T34" s="1219">
        <f>IFERROR(INDEX(MO_BS_AR,0,MATCH(T$3,MO_Common_ColumnHeader,0)), 0)</f>
        <v>4705</v>
      </c>
      <c r="U34" s="1220">
        <f>IFERROR(INDEX(MO_BS_AR,0,MATCH(U$3,MO_Common_ColumnHeader,0)), 0)</f>
        <v>4817</v>
      </c>
      <c r="V34" s="1220">
        <f>IFERROR(INDEX(MO_BS_AR,0,MATCH(V$3,MO_Common_ColumnHeader,0)), 0)</f>
        <v>4757.549370484483</v>
      </c>
      <c r="W34" s="1220">
        <f>IFERROR(INDEX(MO_BS_AR,0,MATCH(W$3,MO_Common_ColumnHeader,0)), 0)</f>
        <v>4934.357300630676</v>
      </c>
      <c r="X34" s="1220">
        <f>IFERROR(INDEX(MO_BS_AR,0,MATCH(X$3,MO_Common_ColumnHeader,0)), 0)</f>
        <v>4835.3760571210541</v>
      </c>
      <c r="Y34" s="1219">
        <f>IFERROR(INDEX(MO_BS_AR,0,MATCH(Y$3,MO_Common_ColumnHeader,0)), 0)</f>
        <v>4835.3760571210541</v>
      </c>
      <c r="Z34" s="1220">
        <f>IFERROR(INDEX(MO_BS_AR,0,MATCH(Z$3,MO_Common_ColumnHeader,0)), 0)</f>
        <v>5097.6489279581319</v>
      </c>
      <c r="AA34" s="1220">
        <f>IFERROR(INDEX(MO_BS_AR,0,MATCH(AA$3,MO_Common_ColumnHeader,0)), 0)</f>
        <v>5030.3327925365047</v>
      </c>
      <c r="AB34" s="1220">
        <f>IFERROR(INDEX(MO_BS_AR,0,MATCH(AB$3,MO_Common_ColumnHeader,0)), 0)</f>
        <v>5238.296247719255</v>
      </c>
      <c r="AC34" s="1220">
        <f>IFERROR(INDEX(MO_BS_AR,0,MATCH(AC$3,MO_Common_ColumnHeader,0)), 0)</f>
        <v>5154.8744600779237</v>
      </c>
      <c r="AD34" s="1219">
        <f>IFERROR(INDEX(MO_BS_AR,0,MATCH(AD$3,MO_Common_ColumnHeader,0)), 0)</f>
        <v>5154.8744600779237</v>
      </c>
      <c r="AE34" s="1219">
        <f>IFERROR(INDEX(MO_BS_AR,0,MATCH(AE$3,MO_Common_ColumnHeader,0)), 0)</f>
        <v>5486.7128074085322</v>
      </c>
      <c r="AF34" s="1219">
        <f>IFERROR(INDEX(MO_BS_AR,0,MATCH(AF$3,MO_Common_ColumnHeader,0)), 0)</f>
        <v>5840.8376959715642</v>
      </c>
      <c r="AG34" s="1221">
        <f>IFERROR(INDEX(MO_BS_AR,0,MATCH(AG$3,MO_Common_ColumnHeader,0)), 0)</f>
        <v>6218.7993721553448</v>
      </c>
    </row>
    <row r="35" spans="1:34" s="1222" customFormat="1" ht="14.25" customHeight="1" outlineLevel="1" x14ac:dyDescent="0.35">
      <c r="A35" s="1255" t="s">
        <v>1152</v>
      </c>
      <c r="B35" s="1256"/>
      <c r="C35" s="1218"/>
      <c r="D35" s="1219">
        <f>IFERROR(INDEX(MO_BS_INV,0,MATCH(D$3,MO_Common_ColumnHeader,0)), 0)</f>
        <v>3385</v>
      </c>
      <c r="E35" s="1219">
        <f>IFERROR(INDEX(MO_BS_INV,0,MATCH(E$3,MO_Common_ColumnHeader,0)), 0)</f>
        <v>4034</v>
      </c>
      <c r="F35" s="1220">
        <f>IFERROR(INDEX(MO_BS_INV,0,MATCH(F$3,MO_Common_ColumnHeader,0)), 0)</f>
        <v>4295</v>
      </c>
      <c r="G35" s="1220">
        <f>IFERROR(INDEX(MO_BS_INV,0,MATCH(G$3,MO_Common_ColumnHeader,0)), 0)</f>
        <v>4238</v>
      </c>
      <c r="H35" s="1220">
        <f>IFERROR(INDEX(MO_BS_INV,0,MATCH(H$3,MO_Common_ColumnHeader,0)), 0)</f>
        <v>4437</v>
      </c>
      <c r="I35" s="1220">
        <f>IFERROR(INDEX(MO_BS_INV,0,MATCH(I$3,MO_Common_ColumnHeader,0)), 0)</f>
        <v>4366</v>
      </c>
      <c r="J35" s="1219">
        <f>IFERROR(INDEX(MO_BS_INV,0,MATCH(J$3,MO_Common_ColumnHeader,0)), 0)</f>
        <v>4366</v>
      </c>
      <c r="K35" s="1220">
        <f>IFERROR(INDEX(MO_BS_INV,0,MATCH(K$3,MO_Common_ColumnHeader,0)), 0)</f>
        <v>4538</v>
      </c>
      <c r="L35" s="1220">
        <f>IFERROR(INDEX(MO_BS_INV,0,MATCH(L$3,MO_Common_ColumnHeader,0)), 0)</f>
        <v>4300</v>
      </c>
      <c r="M35" s="1220">
        <f>IFERROR(INDEX(MO_BS_INV,0,MATCH(M$3,MO_Common_ColumnHeader,0)), 0)</f>
        <v>4007</v>
      </c>
      <c r="N35" s="1220">
        <f>IFERROR(INDEX(MO_BS_INV,0,MATCH(N$3,MO_Common_ColumnHeader,0)), 0)</f>
        <v>4134</v>
      </c>
      <c r="O35" s="1219">
        <f>IFERROR(INDEX(MO_BS_INV,0,MATCH(O$3,MO_Common_ColumnHeader,0)), 0)</f>
        <v>4134</v>
      </c>
      <c r="P35" s="1220">
        <f>IFERROR(INDEX(MO_BS_INV,0,MATCH(P$3,MO_Common_ColumnHeader,0)), 0)</f>
        <v>4217</v>
      </c>
      <c r="Q35" s="1220">
        <f>IFERROR(INDEX(MO_BS_INV,0,MATCH(Q$3,MO_Common_ColumnHeader,0)), 0)</f>
        <v>4168</v>
      </c>
      <c r="R35" s="1220">
        <f>IFERROR(INDEX(MO_BS_INV,0,MATCH(R$3,MO_Common_ColumnHeader,0)), 0)</f>
        <v>3984</v>
      </c>
      <c r="S35" s="1220">
        <f>IFERROR(INDEX(MO_BS_INV,0,MATCH(S$3,MO_Common_ColumnHeader,0)), 0)</f>
        <v>4239</v>
      </c>
      <c r="T35" s="1219">
        <f>IFERROR(INDEX(MO_BS_INV,0,MATCH(T$3,MO_Common_ColumnHeader,0)), 0)</f>
        <v>4239</v>
      </c>
      <c r="U35" s="1220">
        <f>IFERROR(INDEX(MO_BS_INV,0,MATCH(U$3,MO_Common_ColumnHeader,0)), 0)</f>
        <v>4458</v>
      </c>
      <c r="V35" s="1220">
        <f>IFERROR(INDEX(MO_BS_INV,0,MATCH(V$3,MO_Common_ColumnHeader,0)), 0)</f>
        <v>4447.0656596051413</v>
      </c>
      <c r="W35" s="1220">
        <f>IFERROR(INDEX(MO_BS_INV,0,MATCH(W$3,MO_Common_ColumnHeader,0)), 0)</f>
        <v>4252.3208924318869</v>
      </c>
      <c r="X35" s="1220">
        <f>IFERROR(INDEX(MO_BS_INV,0,MATCH(X$3,MO_Common_ColumnHeader,0)), 0)</f>
        <v>4510.7390508389262</v>
      </c>
      <c r="Y35" s="1219">
        <f>IFERROR(INDEX(MO_BS_INV,0,MATCH(Y$3,MO_Common_ColumnHeader,0)), 0)</f>
        <v>4510.7390508389262</v>
      </c>
      <c r="Z35" s="1220">
        <f>IFERROR(INDEX(MO_BS_INV,0,MATCH(Z$3,MO_Common_ColumnHeader,0)), 0)</f>
        <v>4717.7328048240297</v>
      </c>
      <c r="AA35" s="1220">
        <f>IFERROR(INDEX(MO_BS_INV,0,MATCH(AA$3,MO_Common_ColumnHeader,0)), 0)</f>
        <v>4702.0468892783465</v>
      </c>
      <c r="AB35" s="1220">
        <f>IFERROR(INDEX(MO_BS_INV,0,MATCH(AB$3,MO_Common_ColumnHeader,0)), 0)</f>
        <v>4514.2488104939457</v>
      </c>
      <c r="AC35" s="1220">
        <f>IFERROR(INDEX(MO_BS_INV,0,MATCH(AC$3,MO_Common_ColumnHeader,0)), 0)</f>
        <v>4808.7870011686236</v>
      </c>
      <c r="AD35" s="1219">
        <f>IFERROR(INDEX(MO_BS_INV,0,MATCH(AD$3,MO_Common_ColumnHeader,0)), 0)</f>
        <v>4808.7870011686236</v>
      </c>
      <c r="AE35" s="1219">
        <f>IFERROR(INDEX(MO_BS_INV,0,MATCH(AE$3,MO_Common_ColumnHeader,0)), 0)</f>
        <v>5118.3464178898193</v>
      </c>
      <c r="AF35" s="1219">
        <f>IFERROR(INDEX(MO_BS_INV,0,MATCH(AF$3,MO_Common_ColumnHeader,0)), 0)</f>
        <v>5448.6961042110743</v>
      </c>
      <c r="AG35" s="1221">
        <f>IFERROR(INDEX(MO_BS_INV,0,MATCH(AG$3,MO_Common_ColumnHeader,0)), 0)</f>
        <v>5801.2822262298432</v>
      </c>
    </row>
    <row r="36" spans="1:34" s="1222" customFormat="1" ht="14.25" customHeight="1" outlineLevel="1" x14ac:dyDescent="0.35">
      <c r="A36" s="1255" t="str">
        <f>IFERROR(IFERROR(INDEX(MO_BS_AP,0,COLUMN(MO_Common_Column_A)),INDEX(MO_BS_APandAE,0,COLUMN(MO_Common_Column_A))),"Accounts Payable")</f>
        <v>Accounts payable</v>
      </c>
      <c r="B36" s="1256"/>
      <c r="C36" s="1218"/>
      <c r="D36" s="1219">
        <f>IFERROR(IFERROR(INDEX(MO_BS_AP,0,MATCH(D$3,MO_Common_ColumnHeader,0)),INDEX(MO_BS_APandAE,0,MATCH(D$3,MO_Common_ColumnHeader,0))),0)</f>
        <v>1798</v>
      </c>
      <c r="E36" s="1219">
        <f>IFERROR(IFERROR(INDEX(MO_BS_AP,0,MATCH(E$3,MO_Common_ColumnHeader,0)),INDEX(MO_BS_APandAE,0,MATCH(E$3,MO_Common_ColumnHeader,0))),0)</f>
        <v>1945</v>
      </c>
      <c r="F36" s="1220">
        <f>IFERROR(IFERROR(INDEX(MO_BS_AP,0,MATCH(F$3,MO_Common_ColumnHeader,0)),INDEX(MO_BS_APandAE,0,MATCH(F$3,MO_Common_ColumnHeader,0))),0)</f>
        <v>1874</v>
      </c>
      <c r="G36" s="1220">
        <f>IFERROR(IFERROR(INDEX(MO_BS_AP,0,MATCH(G$3,MO_Common_ColumnHeader,0)),INDEX(MO_BS_APandAE,0,MATCH(G$3,MO_Common_ColumnHeader,0))),0)</f>
        <v>1871</v>
      </c>
      <c r="H36" s="1220">
        <f>IFERROR(IFERROR(INDEX(MO_BS_AP,0,MATCH(H$3,MO_Common_ColumnHeader,0)),INDEX(MO_BS_APandAE,0,MATCH(H$3,MO_Common_ColumnHeader,0))),0)</f>
        <v>2029</v>
      </c>
      <c r="I36" s="1220">
        <f>IFERROR(IFERROR(INDEX(MO_BS_AP,0,MATCH(I$3,MO_Common_ColumnHeader,0)),INDEX(MO_BS_APandAE,0,MATCH(I$3,MO_Common_ColumnHeader,0))),0)</f>
        <v>2266</v>
      </c>
      <c r="J36" s="1219">
        <f>IFERROR(IFERROR(INDEX(MO_BS_AP,0,MATCH(J$3,MO_Common_ColumnHeader,0)),INDEX(MO_BS_APandAE,0,MATCH(J$3,MO_Common_ColumnHeader,0))),0)</f>
        <v>2266</v>
      </c>
      <c r="K36" s="1220">
        <f>IFERROR(IFERROR(INDEX(MO_BS_AP,0,MATCH(K$3,MO_Common_ColumnHeader,0)),INDEX(MO_BS_APandAE,0,MATCH(K$3,MO_Common_ColumnHeader,0))),0)</f>
        <v>2309</v>
      </c>
      <c r="L36" s="1220">
        <f>IFERROR(IFERROR(INDEX(MO_BS_AP,0,MATCH(L$3,MO_Common_ColumnHeader,0)),INDEX(MO_BS_APandAE,0,MATCH(L$3,MO_Common_ColumnHeader,0))),0)</f>
        <v>2130</v>
      </c>
      <c r="M36" s="1220">
        <f>IFERROR(IFERROR(INDEX(MO_BS_AP,0,MATCH(M$3,MO_Common_ColumnHeader,0)),INDEX(MO_BS_APandAE,0,MATCH(M$3,MO_Common_ColumnHeader,0))),0)</f>
        <v>2079</v>
      </c>
      <c r="N36" s="1220">
        <f>IFERROR(IFERROR(INDEX(MO_BS_AP,0,MATCH(N$3,MO_Common_ColumnHeader,0)),INDEX(MO_BS_APandAE,0,MATCH(N$3,MO_Common_ColumnHeader,0))),0)</f>
        <v>2228</v>
      </c>
      <c r="O36" s="1219">
        <f>IFERROR(IFERROR(INDEX(MO_BS_AP,0,MATCH(O$3,MO_Common_ColumnHeader,0)),INDEX(MO_BS_APandAE,0,MATCH(O$3,MO_Common_ColumnHeader,0))),0)</f>
        <v>2228</v>
      </c>
      <c r="P36" s="1220">
        <f>IFERROR(IFERROR(INDEX(MO_BS_AP,0,MATCH(P$3,MO_Common_ColumnHeader,0)),INDEX(MO_BS_APandAE,0,MATCH(P$3,MO_Common_ColumnHeader,0))),0)</f>
        <v>2207</v>
      </c>
      <c r="Q36" s="1220">
        <f>IFERROR(IFERROR(INDEX(MO_BS_AP,0,MATCH(Q$3,MO_Common_ColumnHeader,0)),INDEX(MO_BS_APandAE,0,MATCH(Q$3,MO_Common_ColumnHeader,0))),0)</f>
        <v>1975</v>
      </c>
      <c r="R36" s="1220">
        <f>IFERROR(IFERROR(INDEX(MO_BS_AP,0,MATCH(R$3,MO_Common_ColumnHeader,0)),INDEX(MO_BS_APandAE,0,MATCH(R$3,MO_Common_ColumnHeader,0))),0)</f>
        <v>2208</v>
      </c>
      <c r="S36" s="1220">
        <f>IFERROR(IFERROR(INDEX(MO_BS_AP,0,MATCH(S$3,MO_Common_ColumnHeader,0)),INDEX(MO_BS_APandAE,0,MATCH(S$3,MO_Common_ColumnHeader,0))),0)</f>
        <v>2561</v>
      </c>
      <c r="T36" s="1219">
        <f>IFERROR(IFERROR(INDEX(MO_BS_AP,0,MATCH(T$3,MO_Common_ColumnHeader,0)),INDEX(MO_BS_APandAE,0,MATCH(T$3,MO_Common_ColumnHeader,0))),0)</f>
        <v>2561</v>
      </c>
      <c r="U36" s="1220">
        <f>IFERROR(IFERROR(INDEX(MO_BS_AP,0,MATCH(U$3,MO_Common_ColumnHeader,0)),INDEX(MO_BS_APandAE,0,MATCH(U$3,MO_Common_ColumnHeader,0))),0)</f>
        <v>2670</v>
      </c>
      <c r="V36" s="1220">
        <f>IFERROR(IFERROR(INDEX(MO_BS_AP,0,MATCH(V$3,MO_Common_ColumnHeader,0)),INDEX(MO_BS_APandAE,0,MATCH(V$3,MO_Common_ColumnHeader,0))),0)</f>
        <v>2107.2348075144323</v>
      </c>
      <c r="W36" s="1220">
        <f>IFERROR(IFERROR(INDEX(MO_BS_AP,0,MATCH(W$3,MO_Common_ColumnHeader,0)),INDEX(MO_BS_APandAE,0,MATCH(W$3,MO_Common_ColumnHeader,0))),0)</f>
        <v>2356.707964480323</v>
      </c>
      <c r="X36" s="1220">
        <f>IFERROR(IFERROR(INDEX(MO_BS_AP,0,MATCH(X$3,MO_Common_ColumnHeader,0)),INDEX(MO_BS_APandAE,0,MATCH(X$3,MO_Common_ColumnHeader,0))),0)</f>
        <v>2725.1716700161573</v>
      </c>
      <c r="Y36" s="1219">
        <f>IFERROR(IFERROR(INDEX(MO_BS_AP,0,MATCH(Y$3,MO_Common_ColumnHeader,0)),INDEX(MO_BS_APandAE,0,MATCH(Y$3,MO_Common_ColumnHeader,0))),0)</f>
        <v>2725.1716700161573</v>
      </c>
      <c r="Z36" s="1220">
        <f>IFERROR(IFERROR(INDEX(MO_BS_AP,0,MATCH(Z$3,MO_Common_ColumnHeader,0)),INDEX(MO_BS_APandAE,0,MATCH(Z$3,MO_Common_ColumnHeader,0))),0)</f>
        <v>2825.5600244235443</v>
      </c>
      <c r="AA36" s="1220">
        <f>IFERROR(IFERROR(INDEX(MO_BS_AP,0,MATCH(AA$3,MO_Common_ColumnHeader,0)),INDEX(MO_BS_APandAE,0,MATCH(AA$3,MO_Common_ColumnHeader,0))),0)</f>
        <v>2228.057247198833</v>
      </c>
      <c r="AB36" s="1220">
        <f>IFERROR(IFERROR(INDEX(MO_BS_AP,0,MATCH(AB$3,MO_Common_ColumnHeader,0)),INDEX(MO_BS_APandAE,0,MATCH(AB$3,MO_Common_ColumnHeader,0))),0)</f>
        <v>2501.8728347315841</v>
      </c>
      <c r="AC36" s="1220">
        <f>IFERROR(IFERROR(INDEX(MO_BS_AP,0,MATCH(AC$3,MO_Common_ColumnHeader,0)),INDEX(MO_BS_APandAE,0,MATCH(AC$3,MO_Common_ColumnHeader,0))),0)</f>
        <v>2905.237912241766</v>
      </c>
      <c r="AD36" s="1219">
        <f>IFERROR(IFERROR(INDEX(MO_BS_AP,0,MATCH(AD$3,MO_Common_ColumnHeader,0)),INDEX(MO_BS_APandAE,0,MATCH(AD$3,MO_Common_ColumnHeader,0))),0)</f>
        <v>2905.237912241766</v>
      </c>
      <c r="AE36" s="1219">
        <f>IFERROR(IFERROR(INDEX(MO_BS_AP,0,MATCH(AE$3,MO_Common_ColumnHeader,0)),INDEX(MO_BS_APandAE,0,MATCH(AE$3,MO_Common_ColumnHeader,0))),0)</f>
        <v>3092.258829020011</v>
      </c>
      <c r="AF36" s="1219">
        <f>IFERROR(IFERROR(INDEX(MO_BS_AP,0,MATCH(AF$3,MO_Common_ColumnHeader,0)),INDEX(MO_BS_APandAE,0,MATCH(AF$3,MO_Common_ColumnHeader,0))),0)</f>
        <v>3291.8402271489886</v>
      </c>
      <c r="AG36" s="1221">
        <f>IFERROR(IFERROR(INDEX(MO_BS_AP,0,MATCH(AG$3,MO_Common_ColumnHeader,0)),INDEX(MO_BS_APandAE,0,MATCH(AG$3,MO_Common_ColumnHeader,0))),0)</f>
        <v>3504.8558106569076</v>
      </c>
    </row>
    <row r="37" spans="1:34" s="1232" customFormat="1" ht="14.25" customHeight="1" outlineLevel="1" x14ac:dyDescent="0.35">
      <c r="A37" s="1226"/>
      <c r="B37" s="1227"/>
      <c r="C37" s="1228"/>
      <c r="D37" s="1229"/>
      <c r="E37" s="1229"/>
      <c r="F37" s="1230"/>
      <c r="G37" s="1230"/>
      <c r="H37" s="1230"/>
      <c r="I37" s="1230"/>
      <c r="J37" s="1229"/>
      <c r="K37" s="1230"/>
      <c r="L37" s="1230"/>
      <c r="M37" s="1230"/>
      <c r="N37" s="1230"/>
      <c r="O37" s="1229"/>
      <c r="P37" s="1230"/>
      <c r="Q37" s="1230"/>
      <c r="R37" s="1230"/>
      <c r="S37" s="1230"/>
      <c r="T37" s="1229"/>
      <c r="U37" s="1230"/>
      <c r="V37" s="1230"/>
      <c r="W37" s="1230"/>
      <c r="X37" s="1230"/>
      <c r="Y37" s="1229"/>
      <c r="Z37" s="1230"/>
      <c r="AA37" s="1230"/>
      <c r="AB37" s="1230"/>
      <c r="AC37" s="1230"/>
      <c r="AD37" s="1229"/>
      <c r="AE37" s="1229"/>
      <c r="AF37" s="1229"/>
      <c r="AG37" s="1231"/>
      <c r="AH37" s="1222"/>
    </row>
    <row r="38" spans="1:34" s="1264" customFormat="1" ht="14.25" customHeight="1" x14ac:dyDescent="0.35">
      <c r="A38" s="1255" t="str">
        <f>A34&amp;" Turnover"</f>
        <v>Accounts Receivable Turnover</v>
      </c>
      <c r="B38" s="1256"/>
      <c r="C38" s="1260" t="str">
        <f>"=LTM Rev / Avg "&amp;A34</f>
        <v>=LTM Rev / Avg Accounts Receivable</v>
      </c>
      <c r="D38" s="1261"/>
      <c r="E38" s="1261">
        <f>IFERROR(E$15/
(IF(LEFT(E$3,1)="F",AVERAGE(E34,INDEX(34:34,0,MATCH("FY"&amp;RIGHT(E$3,4)-1,$3:$3,0))),
IF(LEFT(E$3,2)="Q1",AVERAGE(E34,INDEX(34:34,0,MATCH("Q4-"&amp;RIGHT(E$3,4)-1,$3:$3,0))),
IF(LEFT(E$3,2)="Q2",AVERAGE(E34,INDEX(34:34,0,MATCH("Q1-"&amp;RIGHT(E$3,4),$3:$3,0))),
IF(LEFT(E$3,2)="Q3",AVERAGE(E34,INDEX(34:34,0,MATCH("Q2-"&amp;RIGHT(E$3,4),$3:$3,0))),
IF(LEFT(E$3,2)="Q4",AVERAGE(E34,INDEX(34:34,0,MATCH("Q3-"&amp;RIGHT(E$3,4),$3:$3,0))))))))), "")</f>
        <v>6.8057615822852844</v>
      </c>
      <c r="F38" s="1262" t="str">
        <f>IFERROR(F$15/
(IF(LEFT(F$3,1)="F",AVERAGE(F34,INDEX(34:34,0,MATCH("FY"&amp;RIGHT(F$3,4)-1,$3:$3,0))),
IF(LEFT(F$3,2)="Q1",AVERAGE(F34,INDEX(34:34,0,MATCH("Q4-"&amp;RIGHT(F$3,4)-1,$3:$3,0))),
IF(LEFT(F$3,2)="Q2",AVERAGE(F34,INDEX(34:34,0,MATCH("Q1-"&amp;RIGHT(F$3,4),$3:$3,0))),
IF(LEFT(F$3,2)="Q3",AVERAGE(F34,INDEX(34:34,0,MATCH("Q2-"&amp;RIGHT(F$3,4),$3:$3,0))),
IF(LEFT(F$3,2)="Q4",AVERAGE(F34,INDEX(34:34,0,MATCH("Q3-"&amp;RIGHT(F$3,4),$3:$3,0))))))))), "")</f>
        <v/>
      </c>
      <c r="G38" s="1262" t="str">
        <f>IFERROR(G$15/
(IF(LEFT(G$3,1)="F",AVERAGE(G34,INDEX(34:34,0,MATCH("FY"&amp;RIGHT(G$3,4)-1,$3:$3,0))),
IF(LEFT(G$3,2)="Q1",AVERAGE(G34,INDEX(34:34,0,MATCH("Q4-"&amp;RIGHT(G$3,4)-1,$3:$3,0))),
IF(LEFT(G$3,2)="Q2",AVERAGE(G34,INDEX(34:34,0,MATCH("Q1-"&amp;RIGHT(G$3,4),$3:$3,0))),
IF(LEFT(G$3,2)="Q3",AVERAGE(G34,INDEX(34:34,0,MATCH("Q2-"&amp;RIGHT(G$3,4),$3:$3,0))),
IF(LEFT(G$3,2)="Q4",AVERAGE(G34,INDEX(34:34,0,MATCH("Q3-"&amp;RIGHT(G$3,4),$3:$3,0))))))))), "")</f>
        <v/>
      </c>
      <c r="H38" s="1262" t="str">
        <f>IFERROR(H$15/
(IF(LEFT(H$3,1)="F",AVERAGE(H34,INDEX(34:34,0,MATCH("FY"&amp;RIGHT(H$3,4)-1,$3:$3,0))),
IF(LEFT(H$3,2)="Q1",AVERAGE(H34,INDEX(34:34,0,MATCH("Q4-"&amp;RIGHT(H$3,4)-1,$3:$3,0))),
IF(LEFT(H$3,2)="Q2",AVERAGE(H34,INDEX(34:34,0,MATCH("Q1-"&amp;RIGHT(H$3,4),$3:$3,0))),
IF(LEFT(H$3,2)="Q3",AVERAGE(H34,INDEX(34:34,0,MATCH("Q2-"&amp;RIGHT(H$3,4),$3:$3,0))),
IF(LEFT(H$3,2)="Q4",AVERAGE(H34,INDEX(34:34,0,MATCH("Q3-"&amp;RIGHT(H$3,4),$3:$3,0))))))))), "")</f>
        <v/>
      </c>
      <c r="I38" s="1262">
        <f>IFERROR(I$15/
(IF(LEFT(I$3,1)="F",AVERAGE(I34,INDEX(34:34,0,MATCH("FY"&amp;RIGHT(I$3,4)-1,$3:$3,0))),
IF(LEFT(I$3,2)="Q1",AVERAGE(I34,INDEX(34:34,0,MATCH("Q4-"&amp;RIGHT(I$3,4)-1,$3:$3,0))),
IF(LEFT(I$3,2)="Q2",AVERAGE(I34,INDEX(34:34,0,MATCH("Q1-"&amp;RIGHT(I$3,4),$3:$3,0))),
IF(LEFT(I$3,2)="Q3",AVERAGE(I34,INDEX(34:34,0,MATCH("Q2-"&amp;RIGHT(I$3,4),$3:$3,0))),
IF(LEFT(I$3,2)="Q4",AVERAGE(I34,INDEX(34:34,0,MATCH("Q3-"&amp;RIGHT(I$3,4),$3:$3,0))))))))), "")</f>
        <v>6.3320127548555414</v>
      </c>
      <c r="J38" s="1261">
        <f>IFERROR(J$15/
(IF(LEFT(J$3,1)="F",AVERAGE(J34,INDEX(34:34,0,MATCH("FY"&amp;RIGHT(J$3,4)-1,$3:$3,0))),
IF(LEFT(J$3,2)="Q1",AVERAGE(J34,INDEX(34:34,0,MATCH("Q4-"&amp;RIGHT(J$3,4)-1,$3:$3,0))),
IF(LEFT(J$3,2)="Q2",AVERAGE(J34,INDEX(34:34,0,MATCH("Q1-"&amp;RIGHT(J$3,4),$3:$3,0))),
IF(LEFT(J$3,2)="Q3",AVERAGE(J34,INDEX(34:34,0,MATCH("Q2-"&amp;RIGHT(J$3,4),$3:$3,0))),
IF(LEFT(J$3,2)="Q4",AVERAGE(J34,INDEX(34:34,0,MATCH("Q3-"&amp;RIGHT(J$3,4),$3:$3,0))))))))), "")</f>
        <v>6.5985298560064445</v>
      </c>
      <c r="K38" s="1262">
        <f>IFERROR(K$15/
(IF(LEFT(K$3,1)="F",AVERAGE(K34,INDEX(34:34,0,MATCH("FY"&amp;RIGHT(K$3,4)-1,$3:$3,0))),
IF(LEFT(K$3,2)="Q1",AVERAGE(K34,INDEX(34:34,0,MATCH("Q4-"&amp;RIGHT(K$3,4)-1,$3:$3,0))),
IF(LEFT(K$3,2)="Q2",AVERAGE(K34,INDEX(34:34,0,MATCH("Q1-"&amp;RIGHT(K$3,4),$3:$3,0))),
IF(LEFT(K$3,2)="Q3",AVERAGE(K34,INDEX(34:34,0,MATCH("Q2-"&amp;RIGHT(K$3,4),$3:$3,0))),
IF(LEFT(K$3,2)="Q4",AVERAGE(K34,INDEX(34:34,0,MATCH("Q3-"&amp;RIGHT(K$3,4),$3:$3,0))))))))), "")</f>
        <v>6.3474933778083003</v>
      </c>
      <c r="L38" s="1262">
        <f>IFERROR(L$15/
(IF(LEFT(L$3,1)="F",AVERAGE(L34,INDEX(34:34,0,MATCH("FY"&amp;RIGHT(L$3,4)-1,$3:$3,0))),
IF(LEFT(L$3,2)="Q1",AVERAGE(L34,INDEX(34:34,0,MATCH("Q4-"&amp;RIGHT(L$3,4)-1,$3:$3,0))),
IF(LEFT(L$3,2)="Q2",AVERAGE(L34,INDEX(34:34,0,MATCH("Q1-"&amp;RIGHT(L$3,4),$3:$3,0))),
IF(LEFT(L$3,2)="Q3",AVERAGE(L34,INDEX(34:34,0,MATCH("Q2-"&amp;RIGHT(L$3,4),$3:$3,0))),
IF(LEFT(L$3,2)="Q4",AVERAGE(L34,INDEX(34:34,0,MATCH("Q3-"&amp;RIGHT(L$3,4),$3:$3,0))))))))), "")</f>
        <v>6.0929174172750544</v>
      </c>
      <c r="M38" s="1262">
        <f>IFERROR(M$15/
(IF(LEFT(M$3,1)="F",AVERAGE(M34,INDEX(34:34,0,MATCH("FY"&amp;RIGHT(M$3,4)-1,$3:$3,0))),
IF(LEFT(M$3,2)="Q1",AVERAGE(M34,INDEX(34:34,0,MATCH("Q4-"&amp;RIGHT(M$3,4)-1,$3:$3,0))),
IF(LEFT(M$3,2)="Q2",AVERAGE(M34,INDEX(34:34,0,MATCH("Q1-"&amp;RIGHT(M$3,4),$3:$3,0))),
IF(LEFT(M$3,2)="Q3",AVERAGE(M34,INDEX(34:34,0,MATCH("Q2-"&amp;RIGHT(M$3,4),$3:$3,0))),
IF(LEFT(M$3,2)="Q4",AVERAGE(M34,INDEX(34:34,0,MATCH("Q3-"&amp;RIGHT(M$3,4),$3:$3,0))))))))), "")</f>
        <v>6.1516259380411773</v>
      </c>
      <c r="N38" s="1262">
        <f>IFERROR(N$15/
(IF(LEFT(N$3,1)="F",AVERAGE(N34,INDEX(34:34,0,MATCH("FY"&amp;RIGHT(N$3,4)-1,$3:$3,0))),
IF(LEFT(N$3,2)="Q1",AVERAGE(N34,INDEX(34:34,0,MATCH("Q4-"&amp;RIGHT(N$3,4)-1,$3:$3,0))),
IF(LEFT(N$3,2)="Q2",AVERAGE(N34,INDEX(34:34,0,MATCH("Q1-"&amp;RIGHT(N$3,4),$3:$3,0))),
IF(LEFT(N$3,2)="Q3",AVERAGE(N34,INDEX(34:34,0,MATCH("Q2-"&amp;RIGHT(N$3,4),$3:$3,0))),
IF(LEFT(N$3,2)="Q4",AVERAGE(N34,INDEX(34:34,0,MATCH("Q3-"&amp;RIGHT(N$3,4),$3:$3,0))))))))), "")</f>
        <v>6.5510141677708695</v>
      </c>
      <c r="O38" s="1261">
        <f>IFERROR(O$15/
(IF(LEFT(O$3,1)="F",AVERAGE(O34,INDEX(34:34,0,MATCH("FY"&amp;RIGHT(O$3,4)-1,$3:$3,0))),
IF(LEFT(O$3,2)="Q1",AVERAGE(O34,INDEX(34:34,0,MATCH("Q4-"&amp;RIGHT(O$3,4)-1,$3:$3,0))),
IF(LEFT(O$3,2)="Q2",AVERAGE(O34,INDEX(34:34,0,MATCH("Q1-"&amp;RIGHT(O$3,4),$3:$3,0))),
IF(LEFT(O$3,2)="Q3",AVERAGE(O34,INDEX(34:34,0,MATCH("Q2-"&amp;RIGHT(O$3,4),$3:$3,0))),
IF(LEFT(O$3,2)="Q4",AVERAGE(O34,INDEX(34:34,0,MATCH("Q3-"&amp;RIGHT(O$3,4),$3:$3,0))))))))), "")</f>
        <v>6.5510141677708695</v>
      </c>
      <c r="P38" s="1262">
        <f>IFERROR(P$15/
(IF(LEFT(P$3,1)="F",AVERAGE(P34,INDEX(34:34,0,MATCH("FY"&amp;RIGHT(P$3,4)-1,$3:$3,0))),
IF(LEFT(P$3,2)="Q1",AVERAGE(P34,INDEX(34:34,0,MATCH("Q4-"&amp;RIGHT(P$3,4)-1,$3:$3,0))),
IF(LEFT(P$3,2)="Q2",AVERAGE(P34,INDEX(34:34,0,MATCH("Q1-"&amp;RIGHT(P$3,4),$3:$3,0))),
IF(LEFT(P$3,2)="Q3",AVERAGE(P34,INDEX(34:34,0,MATCH("Q2-"&amp;RIGHT(P$3,4),$3:$3,0))),
IF(LEFT(P$3,2)="Q4",AVERAGE(P34,INDEX(34:34,0,MATCH("Q3-"&amp;RIGHT(P$3,4),$3:$3,0))))))))), "")</f>
        <v>6.7307532251352473</v>
      </c>
      <c r="Q38" s="1262">
        <f>IFERROR(Q$15/
(IF(LEFT(Q$3,1)="F",AVERAGE(Q34,INDEX(34:34,0,MATCH("FY"&amp;RIGHT(Q$3,4)-1,$3:$3,0))),
IF(LEFT(Q$3,2)="Q1",AVERAGE(Q34,INDEX(34:34,0,MATCH("Q4-"&amp;RIGHT(Q$3,4)-1,$3:$3,0))),
IF(LEFT(Q$3,2)="Q2",AVERAGE(Q34,INDEX(34:34,0,MATCH("Q1-"&amp;RIGHT(Q$3,4),$3:$3,0))),
IF(LEFT(Q$3,2)="Q3",AVERAGE(Q34,INDEX(34:34,0,MATCH("Q2-"&amp;RIGHT(Q$3,4),$3:$3,0))),
IF(LEFT(Q$3,2)="Q4",AVERAGE(Q34,INDEX(34:34,0,MATCH("Q3-"&amp;RIGHT(Q$3,4),$3:$3,0))))))))), "")</f>
        <v>6.7571120689655171</v>
      </c>
      <c r="R38" s="1262">
        <f>IFERROR(R$15/
(IF(LEFT(R$3,1)="F",AVERAGE(R34,INDEX(34:34,0,MATCH("FY"&amp;RIGHT(R$3,4)-1,$3:$3,0))),
IF(LEFT(R$3,2)="Q1",AVERAGE(R34,INDEX(34:34,0,MATCH("Q4-"&amp;RIGHT(R$3,4)-1,$3:$3,0))),
IF(LEFT(R$3,2)="Q2",AVERAGE(R34,INDEX(34:34,0,MATCH("Q1-"&amp;RIGHT(R$3,4),$3:$3,0))),
IF(LEFT(R$3,2)="Q3",AVERAGE(R34,INDEX(34:34,0,MATCH("Q2-"&amp;RIGHT(R$3,4),$3:$3,0))),
IF(LEFT(R$3,2)="Q4",AVERAGE(R34,INDEX(34:34,0,MATCH("Q3-"&amp;RIGHT(R$3,4),$3:$3,0))))))))), "")</f>
        <v>6.9834838141378555</v>
      </c>
      <c r="S38" s="1262">
        <f>IFERROR(S$15/
(IF(LEFT(S$3,1)="F",AVERAGE(S34,INDEX(34:34,0,MATCH("FY"&amp;RIGHT(S$3,4)-1,$3:$3,0))),
IF(LEFT(S$3,2)="Q1",AVERAGE(S34,INDEX(34:34,0,MATCH("Q4-"&amp;RIGHT(S$3,4)-1,$3:$3,0))),
IF(LEFT(S$3,2)="Q2",AVERAGE(S34,INDEX(34:34,0,MATCH("Q1-"&amp;RIGHT(S$3,4),$3:$3,0))),
IF(LEFT(S$3,2)="Q3",AVERAGE(S34,INDEX(34:34,0,MATCH("Q2-"&amp;RIGHT(S$3,4),$3:$3,0))),
IF(LEFT(S$3,2)="Q4",AVERAGE(S34,INDEX(34:34,0,MATCH("Q3-"&amp;RIGHT(S$3,4),$3:$3,0))))))))), "")</f>
        <v>6.9005145797598626</v>
      </c>
      <c r="T38" s="1261">
        <f>IFERROR(T$15/
(IF(LEFT(T$3,1)="F",AVERAGE(T34,INDEX(34:34,0,MATCH("FY"&amp;RIGHT(T$3,4)-1,$3:$3,0))),
IF(LEFT(T$3,2)="Q1",AVERAGE(T34,INDEX(34:34,0,MATCH("Q4-"&amp;RIGHT(T$3,4)-1,$3:$3,0))),
IF(LEFT(T$3,2)="Q2",AVERAGE(T34,INDEX(34:34,0,MATCH("Q1-"&amp;RIGHT(T$3,4),$3:$3,0))),
IF(LEFT(T$3,2)="Q3",AVERAGE(T34,INDEX(34:34,0,MATCH("Q2-"&amp;RIGHT(T$3,4),$3:$3,0))),
IF(LEFT(T$3,2)="Q4",AVERAGE(T34,INDEX(34:34,0,MATCH("Q3-"&amp;RIGHT(T$3,4),$3:$3,0))))))))), "")</f>
        <v>6.7784330244313393</v>
      </c>
      <c r="U38" s="1262">
        <f>IFERROR(U$15/
(IF(LEFT(U$3,1)="F",AVERAGE(U34,INDEX(34:34,0,MATCH("FY"&amp;RIGHT(U$3,4)-1,$3:$3,0))),
IF(LEFT(U$3,2)="Q1",AVERAGE(U34,INDEX(34:34,0,MATCH("Q4-"&amp;RIGHT(U$3,4)-1,$3:$3,0))),
IF(LEFT(U$3,2)="Q2",AVERAGE(U34,INDEX(34:34,0,MATCH("Q1-"&amp;RIGHT(U$3,4),$3:$3,0))),
IF(LEFT(U$3,2)="Q3",AVERAGE(U34,INDEX(34:34,0,MATCH("Q2-"&amp;RIGHT(U$3,4),$3:$3,0))),
IF(LEFT(U$3,2)="Q4",AVERAGE(U34,INDEX(34:34,0,MATCH("Q3-"&amp;RIGHT(U$3,4),$3:$3,0))))))))), "")</f>
        <v>6.9229153539172446</v>
      </c>
      <c r="V38" s="1262">
        <f>IFERROR(V$15/
(IF(LEFT(V$3,1)="F",AVERAGE(V34,INDEX(34:34,0,MATCH("FY"&amp;RIGHT(V$3,4)-1,$3:$3,0))),
IF(LEFT(V$3,2)="Q1",AVERAGE(V34,INDEX(34:34,0,MATCH("Q4-"&amp;RIGHT(V$3,4)-1,$3:$3,0))),
IF(LEFT(V$3,2)="Q2",AVERAGE(V34,INDEX(34:34,0,MATCH("Q1-"&amp;RIGHT(V$3,4),$3:$3,0))),
IF(LEFT(V$3,2)="Q3",AVERAGE(V34,INDEX(34:34,0,MATCH("Q2-"&amp;RIGHT(V$3,4),$3:$3,0))),
IF(LEFT(V$3,2)="Q4",AVERAGE(V34,INDEX(34:34,0,MATCH("Q3-"&amp;RIGHT(V$3,4),$3:$3,0))))))))), "")</f>
        <v>6.987737575018067</v>
      </c>
      <c r="W38" s="1262">
        <f>IFERROR(W$15/
(IF(LEFT(W$3,1)="F",AVERAGE(W34,INDEX(34:34,0,MATCH("FY"&amp;RIGHT(W$3,4)-1,$3:$3,0))),
IF(LEFT(W$3,2)="Q1",AVERAGE(W34,INDEX(34:34,0,MATCH("Q4-"&amp;RIGHT(W$3,4)-1,$3:$3,0))),
IF(LEFT(W$3,2)="Q2",AVERAGE(W34,INDEX(34:34,0,MATCH("Q1-"&amp;RIGHT(W$3,4),$3:$3,0))),
IF(LEFT(W$3,2)="Q3",AVERAGE(W34,INDEX(34:34,0,MATCH("Q2-"&amp;RIGHT(W$3,4),$3:$3,0))),
IF(LEFT(W$3,2)="Q4",AVERAGE(W34,INDEX(34:34,0,MATCH("Q3-"&amp;RIGHT(W$3,4),$3:$3,0))))))))), "")</f>
        <v>6.9847538463977887</v>
      </c>
      <c r="X38" s="1262">
        <f>IFERROR(X$15/
(IF(LEFT(X$3,1)="F",AVERAGE(X34,INDEX(34:34,0,MATCH("FY"&amp;RIGHT(X$3,4)-1,$3:$3,0))),
IF(LEFT(X$3,2)="Q1",AVERAGE(X34,INDEX(34:34,0,MATCH("Q4-"&amp;RIGHT(X$3,4)-1,$3:$3,0))),
IF(LEFT(X$3,2)="Q2",AVERAGE(X34,INDEX(34:34,0,MATCH("Q1-"&amp;RIGHT(X$3,4),$3:$3,0))),
IF(LEFT(X$3,2)="Q3",AVERAGE(X34,INDEX(34:34,0,MATCH("Q2-"&amp;RIGHT(X$3,4),$3:$3,0))),
IF(LEFT(X$3,2)="Q4",AVERAGE(X34,INDEX(34:34,0,MATCH("Q3-"&amp;RIGHT(X$3,4),$3:$3,0))))))))), "")</f>
        <v>7.0108647894319116</v>
      </c>
      <c r="Y38" s="1261">
        <f>IFERROR(Y$15/
(IF(LEFT(Y$3,1)="F",AVERAGE(Y34,INDEX(34:34,0,MATCH("FY"&amp;RIGHT(Y$3,4)-1,$3:$3,0))),
IF(LEFT(Y$3,2)="Q1",AVERAGE(Y34,INDEX(34:34,0,MATCH("Q4-"&amp;RIGHT(Y$3,4)-1,$3:$3,0))),
IF(LEFT(Y$3,2)="Q2",AVERAGE(Y34,INDEX(34:34,0,MATCH("Q1-"&amp;RIGHT(Y$3,4),$3:$3,0))),
IF(LEFT(Y$3,2)="Q3",AVERAGE(Y34,INDEX(34:34,0,MATCH("Q2-"&amp;RIGHT(Y$3,4),$3:$3,0))),
IF(LEFT(Y$3,2)="Q4",AVERAGE(Y34,INDEX(34:34,0,MATCH("Q3-"&amp;RIGHT(Y$3,4),$3:$3,0))))))))), "")</f>
        <v>7.1794108733140583</v>
      </c>
      <c r="Z38" s="1262">
        <f>IFERROR(Z$15/
(IF(LEFT(Z$3,1)="F",AVERAGE(Z34,INDEX(34:34,0,MATCH("FY"&amp;RIGHT(Z$3,4)-1,$3:$3,0))),
IF(LEFT(Z$3,2)="Q1",AVERAGE(Z34,INDEX(34:34,0,MATCH("Q4-"&amp;RIGHT(Z$3,4)-1,$3:$3,0))),
IF(LEFT(Z$3,2)="Q2",AVERAGE(Z34,INDEX(34:34,0,MATCH("Q1-"&amp;RIGHT(Z$3,4),$3:$3,0))),
IF(LEFT(Z$3,2)="Q3",AVERAGE(Z34,INDEX(34:34,0,MATCH("Q2-"&amp;RIGHT(Z$3,4),$3:$3,0))),
IF(LEFT(Z$3,2)="Q4",AVERAGE(Z34,INDEX(34:34,0,MATCH("Q3-"&amp;RIGHT(Z$3,4),$3:$3,0))))))))), "")</f>
        <v>7.0231015329962831</v>
      </c>
      <c r="AA38" s="1262">
        <f>IFERROR(AA$15/
(IF(LEFT(AA$3,1)="F",AVERAGE(AA34,INDEX(34:34,0,MATCH("FY"&amp;RIGHT(AA$3,4)-1,$3:$3,0))),
IF(LEFT(AA$3,2)="Q1",AVERAGE(AA34,INDEX(34:34,0,MATCH("Q4-"&amp;RIGHT(AA$3,4)-1,$3:$3,0))),
IF(LEFT(AA$3,2)="Q2",AVERAGE(AA34,INDEX(34:34,0,MATCH("Q1-"&amp;RIGHT(AA$3,4),$3:$3,0))),
IF(LEFT(AA$3,2)="Q3",AVERAGE(AA34,INDEX(34:34,0,MATCH("Q2-"&amp;RIGHT(AA$3,4),$3:$3,0))),
IF(LEFT(AA$3,2)="Q4",AVERAGE(AA34,INDEX(34:34,0,MATCH("Q3-"&amp;RIGHT(AA$3,4),$3:$3,0))))))))), "")</f>
        <v>6.9846626423951648</v>
      </c>
      <c r="AB38" s="1262">
        <f>IFERROR(AB$15/
(IF(LEFT(AB$3,1)="F",AVERAGE(AB34,INDEX(34:34,0,MATCH("FY"&amp;RIGHT(AB$3,4)-1,$3:$3,0))),
IF(LEFT(AB$3,2)="Q1",AVERAGE(AB34,INDEX(34:34,0,MATCH("Q4-"&amp;RIGHT(AB$3,4)-1,$3:$3,0))),
IF(LEFT(AB$3,2)="Q2",AVERAGE(AB34,INDEX(34:34,0,MATCH("Q1-"&amp;RIGHT(AB$3,4),$3:$3,0))),
IF(LEFT(AB$3,2)="Q3",AVERAGE(AB34,INDEX(34:34,0,MATCH("Q2-"&amp;RIGHT(AB$3,4),$3:$3,0))),
IF(LEFT(AB$3,2)="Q4",AVERAGE(AB34,INDEX(34:34,0,MATCH("Q3-"&amp;RIGHT(AB$3,4),$3:$3,0))))))))), "")</f>
        <v>6.9985380151789043</v>
      </c>
      <c r="AC38" s="1262">
        <f>IFERROR(AC$15/
(IF(LEFT(AC$3,1)="F",AVERAGE(AC34,INDEX(34:34,0,MATCH("FY"&amp;RIGHT(AC$3,4)-1,$3:$3,0))),
IF(LEFT(AC$3,2)="Q1",AVERAGE(AC34,INDEX(34:34,0,MATCH("Q4-"&amp;RIGHT(AC$3,4)-1,$3:$3,0))),
IF(LEFT(AC$3,2)="Q2",AVERAGE(AC34,INDEX(34:34,0,MATCH("Q1-"&amp;RIGHT(AC$3,4),$3:$3,0))),
IF(LEFT(AC$3,2)="Q3",AVERAGE(AC34,INDEX(34:34,0,MATCH("Q2-"&amp;RIGHT(AC$3,4),$3:$3,0))),
IF(LEFT(AC$3,2)="Q4",AVERAGE(AC34,INDEX(34:34,0,MATCH("Q3-"&amp;RIGHT(AC$3,4),$3:$3,0))))))))), "")</f>
        <v>7.0257724375891168</v>
      </c>
      <c r="AD38" s="1261">
        <f>IFERROR(AD$15/
(IF(LEFT(AD$3,1)="F",AVERAGE(AD34,INDEX(34:34,0,MATCH("FY"&amp;RIGHT(AD$3,4)-1,$3:$3,0))),
IF(LEFT(AD$3,2)="Q1",AVERAGE(AD34,INDEX(34:34,0,MATCH("Q4-"&amp;RIGHT(AD$3,4)-1,$3:$3,0))),
IF(LEFT(AD$3,2)="Q2",AVERAGE(AD34,INDEX(34:34,0,MATCH("Q1-"&amp;RIGHT(AD$3,4),$3:$3,0))),
IF(LEFT(AD$3,2)="Q3",AVERAGE(AD34,INDEX(34:34,0,MATCH("Q2-"&amp;RIGHT(AD$3,4),$3:$3,0))),
IF(LEFT(AD$3,2)="Q4",AVERAGE(AD34,INDEX(34:34,0,MATCH("Q3-"&amp;RIGHT(AD$3,4),$3:$3,0))))))))), "")</f>
        <v>7.3091312547458553</v>
      </c>
      <c r="AE38" s="1261">
        <f>IFERROR(AE$15/
(IF(LEFT(AE$3,1)="F",AVERAGE(AE34,INDEX(34:34,0,MATCH("FY"&amp;RIGHT(AE$3,4)-1,$3:$3,0))),
IF(LEFT(AE$3,2)="Q1",AVERAGE(AE34,INDEX(34:34,0,MATCH("Q4-"&amp;RIGHT(AE$3,4)-1,$3:$3,0))),
IF(LEFT(AE$3,2)="Q2",AVERAGE(AE34,INDEX(34:34,0,MATCH("Q1-"&amp;RIGHT(AE$3,4),$3:$3,0))),
IF(LEFT(AE$3,2)="Q3",AVERAGE(AE34,INDEX(34:34,0,MATCH("Q2-"&amp;RIGHT(AE$3,4),$3:$3,0))),
IF(LEFT(AE$3,2)="Q4",AVERAGE(AE34,INDEX(34:34,0,MATCH("Q3-"&amp;RIGHT(AE$3,4),$3:$3,0))))))))), "")</f>
        <v>7.3034803324079327</v>
      </c>
      <c r="AF38" s="1261">
        <f>IFERROR(AF$15/
(IF(LEFT(AF$3,1)="F",AVERAGE(AF34,INDEX(34:34,0,MATCH("FY"&amp;RIGHT(AF$3,4)-1,$3:$3,0))),
IF(LEFT(AF$3,2)="Q1",AVERAGE(AF34,INDEX(34:34,0,MATCH("Q4-"&amp;RIGHT(AF$3,4)-1,$3:$3,0))),
IF(LEFT(AF$3,2)="Q2",AVERAGE(AF34,INDEX(34:34,0,MATCH("Q1-"&amp;RIGHT(AF$3,4),$3:$3,0))),
IF(LEFT(AF$3,2)="Q3",AVERAGE(AF34,INDEX(34:34,0,MATCH("Q2-"&amp;RIGHT(AF$3,4),$3:$3,0))),
IF(LEFT(AF$3,2)="Q4",AVERAGE(AF34,INDEX(34:34,0,MATCH("Q3-"&amp;RIGHT(AF$3,4),$3:$3,0))))))))), "")</f>
        <v>7.3040405857889645</v>
      </c>
      <c r="AG38" s="1263">
        <f>IFERROR(AG$15/
(IF(LEFT(AG$3,1)="F",AVERAGE(AG34,INDEX(34:34,0,MATCH("FY"&amp;RIGHT(AG$3,4)-1,$3:$3,0))),
IF(LEFT(AG$3,2)="Q1",AVERAGE(AG34,INDEX(34:34,0,MATCH("Q4-"&amp;RIGHT(AG$3,4)-1,$3:$3,0))),
IF(LEFT(AG$3,2)="Q2",AVERAGE(AG34,INDEX(34:34,0,MATCH("Q1-"&amp;RIGHT(AG$3,4),$3:$3,0))),
IF(LEFT(AG$3,2)="Q3",AVERAGE(AG34,INDEX(34:34,0,MATCH("Q2-"&amp;RIGHT(AG$3,4),$3:$3,0))),
IF(LEFT(AG$3,2)="Q4",AVERAGE(AG34,INDEX(34:34,0,MATCH("Q3-"&amp;RIGHT(AG$3,4),$3:$3,0))))))))), "")</f>
        <v>7.3045985811812759</v>
      </c>
      <c r="AH38" s="1222"/>
    </row>
    <row r="39" spans="1:34" s="1264" customFormat="1" ht="14.25" customHeight="1" x14ac:dyDescent="0.35">
      <c r="A39" s="1255" t="str">
        <f>A35&amp;" Turnover"</f>
        <v>Inventory Turnover</v>
      </c>
      <c r="B39" s="1256"/>
      <c r="C39" s="1260" t="str">
        <f>"=LTM "&amp;A6&amp;" / Avg "&amp;A35</f>
        <v>=LTM COGS / Avg Inventory</v>
      </c>
      <c r="D39" s="1261"/>
      <c r="E39" s="1261">
        <f>IFERROR((E15-E16)/
(IF(LEFT(E$3,1)="F",AVERAGE(E35,INDEX(35:35,0,MATCH("FY"&amp;RIGHT(E$3,4)-1,$3:$3,0))),
IF(LEFT(E$3,2)="Q1",AVERAGE(E35,INDEX(35:35,0,MATCH("Q4-"&amp;RIGHT(E$3,4)-1,$3:$3,0))),
IF(LEFT(E$3,2)="Q2",AVERAGE(E35,INDEX(35:35,0,MATCH("Q1-"&amp;RIGHT(E$3,4),$3:$3,0))),
IF(LEFT(E$3,2)="Q3",AVERAGE(E35,INDEX(35:35,0,MATCH("Q2-"&amp;RIGHT(E$3,4),$3:$3,0))),
IF(LEFT(E$3,2)="Q4",AVERAGE(E35,INDEX(35:35,0,MATCH("Q3-"&amp;RIGHT(E$3,4),$3:$3,0))))))))), "")</f>
        <v>4.3148672327806983</v>
      </c>
      <c r="F39" s="1262" t="str">
        <f>IFERROR((F15-F16)/
(IF(LEFT(F$3,1)="F",AVERAGE(F35,INDEX(35:35,0,MATCH("FY"&amp;RIGHT(F$3,4)-1,$3:$3,0))),
IF(LEFT(F$3,2)="Q1",AVERAGE(F35,INDEX(35:35,0,MATCH("Q4-"&amp;RIGHT(F$3,4)-1,$3:$3,0))),
IF(LEFT(F$3,2)="Q2",AVERAGE(F35,INDEX(35:35,0,MATCH("Q1-"&amp;RIGHT(F$3,4),$3:$3,0))),
IF(LEFT(F$3,2)="Q3",AVERAGE(F35,INDEX(35:35,0,MATCH("Q2-"&amp;RIGHT(F$3,4),$3:$3,0))),
IF(LEFT(F$3,2)="Q4",AVERAGE(F35,INDEX(35:35,0,MATCH("Q3-"&amp;RIGHT(F$3,4),$3:$3,0))))))))), "")</f>
        <v/>
      </c>
      <c r="G39" s="1262" t="str">
        <f>IFERROR((G15-G16)/
(IF(LEFT(G$3,1)="F",AVERAGE(G35,INDEX(35:35,0,MATCH("FY"&amp;RIGHT(G$3,4)-1,$3:$3,0))),
IF(LEFT(G$3,2)="Q1",AVERAGE(G35,INDEX(35:35,0,MATCH("Q4-"&amp;RIGHT(G$3,4)-1,$3:$3,0))),
IF(LEFT(G$3,2)="Q2",AVERAGE(G35,INDEX(35:35,0,MATCH("Q1-"&amp;RIGHT(G$3,4),$3:$3,0))),
IF(LEFT(G$3,2)="Q3",AVERAGE(G35,INDEX(35:35,0,MATCH("Q2-"&amp;RIGHT(G$3,4),$3:$3,0))),
IF(LEFT(G$3,2)="Q4",AVERAGE(G35,INDEX(35:35,0,MATCH("Q3-"&amp;RIGHT(G$3,4),$3:$3,0))))))))), "")</f>
        <v/>
      </c>
      <c r="H39" s="1262" t="str">
        <f>IFERROR((H15-H16)/
(IF(LEFT(H$3,1)="F",AVERAGE(H35,INDEX(35:35,0,MATCH("FY"&amp;RIGHT(H$3,4)-1,$3:$3,0))),
IF(LEFT(H$3,2)="Q1",AVERAGE(H35,INDEX(35:35,0,MATCH("Q4-"&amp;RIGHT(H$3,4)-1,$3:$3,0))),
IF(LEFT(H$3,2)="Q2",AVERAGE(H35,INDEX(35:35,0,MATCH("Q1-"&amp;RIGHT(H$3,4),$3:$3,0))),
IF(LEFT(H$3,2)="Q3",AVERAGE(H35,INDEX(35:35,0,MATCH("Q2-"&amp;RIGHT(H$3,4),$3:$3,0))),
IF(LEFT(H$3,2)="Q4",AVERAGE(H35,INDEX(35:35,0,MATCH("Q3-"&amp;RIGHT(H$3,4),$3:$3,0))))))))), "")</f>
        <v/>
      </c>
      <c r="I39" s="1262">
        <f>IFERROR((I15-I16)/
(IF(LEFT(I$3,1)="F",AVERAGE(I35,INDEX(35:35,0,MATCH("FY"&amp;RIGHT(I$3,4)-1,$3:$3,0))),
IF(LEFT(I$3,2)="Q1",AVERAGE(I35,INDEX(35:35,0,MATCH("Q4-"&amp;RIGHT(I$3,4)-1,$3:$3,0))),
IF(LEFT(I$3,2)="Q2",AVERAGE(I35,INDEX(35:35,0,MATCH("Q1-"&amp;RIGHT(I$3,4),$3:$3,0))),
IF(LEFT(I$3,2)="Q3",AVERAGE(I35,INDEX(35:35,0,MATCH("Q2-"&amp;RIGHT(I$3,4),$3:$3,0))),
IF(LEFT(I$3,2)="Q4",AVERAGE(I35,INDEX(35:35,0,MATCH("Q3-"&amp;RIGHT(I$3,4),$3:$3,0))))))))), "")</f>
        <v>3.7791661933431784</v>
      </c>
      <c r="J39" s="1261">
        <f>IFERROR((J15-J16)/
(IF(LEFT(J$3,1)="F",AVERAGE(J35,INDEX(35:35,0,MATCH("FY"&amp;RIGHT(J$3,4)-1,$3:$3,0))),
IF(LEFT(J$3,2)="Q1",AVERAGE(J35,INDEX(35:35,0,MATCH("Q4-"&amp;RIGHT(J$3,4)-1,$3:$3,0))),
IF(LEFT(J$3,2)="Q2",AVERAGE(J35,INDEX(35:35,0,MATCH("Q1-"&amp;RIGHT(J$3,4),$3:$3,0))),
IF(LEFT(J$3,2)="Q3",AVERAGE(J35,INDEX(35:35,0,MATCH("Q2-"&amp;RIGHT(J$3,4),$3:$3,0))),
IF(LEFT(J$3,2)="Q4",AVERAGE(J35,INDEX(35:35,0,MATCH("Q3-"&amp;RIGHT(J$3,4),$3:$3,0))))))))), "")</f>
        <v>3.9604761904761903</v>
      </c>
      <c r="K39" s="1262">
        <f>IFERROR((K15-K16)/
(IF(LEFT(K$3,1)="F",AVERAGE(K35,INDEX(35:35,0,MATCH("FY"&amp;RIGHT(K$3,4)-1,$3:$3,0))),
IF(LEFT(K$3,2)="Q1",AVERAGE(K35,INDEX(35:35,0,MATCH("Q4-"&amp;RIGHT(K$3,4)-1,$3:$3,0))),
IF(LEFT(K$3,2)="Q2",AVERAGE(K35,INDEX(35:35,0,MATCH("Q1-"&amp;RIGHT(K$3,4),$3:$3,0))),
IF(LEFT(K$3,2)="Q3",AVERAGE(K35,INDEX(35:35,0,MATCH("Q2-"&amp;RIGHT(K$3,4),$3:$3,0))),
IF(LEFT(K$3,2)="Q4",AVERAGE(K35,INDEX(35:35,0,MATCH("Q3-"&amp;RIGHT(K$3,4),$3:$3,0))))))))), "")</f>
        <v>3.7531446540880502</v>
      </c>
      <c r="L39" s="1262">
        <f>IFERROR((L15-L16)/
(IF(LEFT(L$3,1)="F",AVERAGE(L35,INDEX(35:35,0,MATCH("FY"&amp;RIGHT(L$3,4)-1,$3:$3,0))),
IF(LEFT(L$3,2)="Q1",AVERAGE(L35,INDEX(35:35,0,MATCH("Q4-"&amp;RIGHT(L$3,4)-1,$3:$3,0))),
IF(LEFT(L$3,2)="Q2",AVERAGE(L35,INDEX(35:35,0,MATCH("Q1-"&amp;RIGHT(L$3,4),$3:$3,0))),
IF(LEFT(L$3,2)="Q3",AVERAGE(L35,INDEX(35:35,0,MATCH("Q2-"&amp;RIGHT(L$3,4),$3:$3,0))),
IF(LEFT(L$3,2)="Q4",AVERAGE(L35,INDEX(35:35,0,MATCH("Q3-"&amp;RIGHT(L$3,4),$3:$3,0))))))))), "")</f>
        <v>3.8006336275175379</v>
      </c>
      <c r="M39" s="1262">
        <f>IFERROR((M15-M16)/
(IF(LEFT(M$3,1)="F",AVERAGE(M35,INDEX(35:35,0,MATCH("FY"&amp;RIGHT(M$3,4)-1,$3:$3,0))),
IF(LEFT(M$3,2)="Q1",AVERAGE(M35,INDEX(35:35,0,MATCH("Q4-"&amp;RIGHT(M$3,4)-1,$3:$3,0))),
IF(LEFT(M$3,2)="Q2",AVERAGE(M35,INDEX(35:35,0,MATCH("Q1-"&amp;RIGHT(M$3,4),$3:$3,0))),
IF(LEFT(M$3,2)="Q3",AVERAGE(M35,INDEX(35:35,0,MATCH("Q2-"&amp;RIGHT(M$3,4),$3:$3,0))),
IF(LEFT(M$3,2)="Q4",AVERAGE(M35,INDEX(35:35,0,MATCH("Q3-"&amp;RIGHT(M$3,4),$3:$3,0))))))))), "")</f>
        <v>4.0505597688696282</v>
      </c>
      <c r="N39" s="1262">
        <f>IFERROR((N15-N16)/
(IF(LEFT(N$3,1)="F",AVERAGE(N35,INDEX(35:35,0,MATCH("FY"&amp;RIGHT(N$3,4)-1,$3:$3,0))),
IF(LEFT(N$3,2)="Q1",AVERAGE(N35,INDEX(35:35,0,MATCH("Q4-"&amp;RIGHT(N$3,4)-1,$3:$3,0))),
IF(LEFT(N$3,2)="Q2",AVERAGE(N35,INDEX(35:35,0,MATCH("Q1-"&amp;RIGHT(N$3,4),$3:$3,0))),
IF(LEFT(N$3,2)="Q3",AVERAGE(N35,INDEX(35:35,0,MATCH("Q2-"&amp;RIGHT(N$3,4),$3:$3,0))),
IF(LEFT(N$3,2)="Q4",AVERAGE(N35,INDEX(35:35,0,MATCH("Q3-"&amp;RIGHT(N$3,4),$3:$3,0))))))))), "")</f>
        <v>4.1982557425377713</v>
      </c>
      <c r="O39" s="1261">
        <f>IFERROR((O15-O16)/
(IF(LEFT(O$3,1)="F",AVERAGE(O35,INDEX(35:35,0,MATCH("FY"&amp;RIGHT(O$3,4)-1,$3:$3,0))),
IF(LEFT(O$3,2)="Q1",AVERAGE(O35,INDEX(35:35,0,MATCH("Q4-"&amp;RIGHT(O$3,4)-1,$3:$3,0))),
IF(LEFT(O$3,2)="Q2",AVERAGE(O35,INDEX(35:35,0,MATCH("Q1-"&amp;RIGHT(O$3,4),$3:$3,0))),
IF(LEFT(O$3,2)="Q3",AVERAGE(O35,INDEX(35:35,0,MATCH("Q2-"&amp;RIGHT(O$3,4),$3:$3,0))),
IF(LEFT(O$3,2)="Q4",AVERAGE(O35,INDEX(35:35,0,MATCH("Q3-"&amp;RIGHT(O$3,4),$3:$3,0))))))))), "")</f>
        <v>4.020941176470588</v>
      </c>
      <c r="P39" s="1262">
        <f>IFERROR((P15-P16)/
(IF(LEFT(P$3,1)="F",AVERAGE(P35,INDEX(35:35,0,MATCH("FY"&amp;RIGHT(P$3,4)-1,$3:$3,0))),
IF(LEFT(P$3,2)="Q1",AVERAGE(P35,INDEX(35:35,0,MATCH("Q4-"&amp;RIGHT(P$3,4)-1,$3:$3,0))),
IF(LEFT(P$3,2)="Q2",AVERAGE(P35,INDEX(35:35,0,MATCH("Q1-"&amp;RIGHT(P$3,4),$3:$3,0))),
IF(LEFT(P$3,2)="Q3",AVERAGE(P35,INDEX(35:35,0,MATCH("Q2-"&amp;RIGHT(P$3,4),$3:$3,0))),
IF(LEFT(P$3,2)="Q4",AVERAGE(P35,INDEX(35:35,0,MATCH("Q3-"&amp;RIGHT(P$3,4),$3:$3,0))))))))), "")</f>
        <v>4.0445455634055802</v>
      </c>
      <c r="Q39" s="1262">
        <f>IFERROR((Q15-Q16)/
(IF(LEFT(Q$3,1)="F",AVERAGE(Q35,INDEX(35:35,0,MATCH("FY"&amp;RIGHT(Q$3,4)-1,$3:$3,0))),
IF(LEFT(Q$3,2)="Q1",AVERAGE(Q35,INDEX(35:35,0,MATCH("Q4-"&amp;RIGHT(Q$3,4)-1,$3:$3,0))),
IF(LEFT(Q$3,2)="Q2",AVERAGE(Q35,INDEX(35:35,0,MATCH("Q1-"&amp;RIGHT(Q$3,4),$3:$3,0))),
IF(LEFT(Q$3,2)="Q3",AVERAGE(Q35,INDEX(35:35,0,MATCH("Q2-"&amp;RIGHT(Q$3,4),$3:$3,0))),
IF(LEFT(Q$3,2)="Q4",AVERAGE(Q35,INDEX(35:35,0,MATCH("Q3-"&amp;RIGHT(Q$3,4),$3:$3,0))))))))), "")</f>
        <v>3.9067382230172929</v>
      </c>
      <c r="R39" s="1262">
        <f>IFERROR((R15-R16)/
(IF(LEFT(R$3,1)="F",AVERAGE(R35,INDEX(35:35,0,MATCH("FY"&amp;RIGHT(R$3,4)-1,$3:$3,0))),
IF(LEFT(R$3,2)="Q1",AVERAGE(R35,INDEX(35:35,0,MATCH("Q4-"&amp;RIGHT(R$3,4)-1,$3:$3,0))),
IF(LEFT(R$3,2)="Q2",AVERAGE(R35,INDEX(35:35,0,MATCH("Q1-"&amp;RIGHT(R$3,4),$3:$3,0))),
IF(LEFT(R$3,2)="Q3",AVERAGE(R35,INDEX(35:35,0,MATCH("Q2-"&amp;RIGHT(R$3,4),$3:$3,0))),
IF(LEFT(R$3,2)="Q4",AVERAGE(R35,INDEX(35:35,0,MATCH("Q3-"&amp;RIGHT(R$3,4),$3:$3,0))))))))), "")</f>
        <v>4.0463689892051029</v>
      </c>
      <c r="S39" s="1262">
        <f>IFERROR((S15-S16)/
(IF(LEFT(S$3,1)="F",AVERAGE(S35,INDEX(35:35,0,MATCH("FY"&amp;RIGHT(S$3,4)-1,$3:$3,0))),
IF(LEFT(S$3,2)="Q1",AVERAGE(S35,INDEX(35:35,0,MATCH("Q4-"&amp;RIGHT(S$3,4)-1,$3:$3,0))),
IF(LEFT(S$3,2)="Q2",AVERAGE(S35,INDEX(35:35,0,MATCH("Q1-"&amp;RIGHT(S$3,4),$3:$3,0))),
IF(LEFT(S$3,2)="Q3",AVERAGE(S35,INDEX(35:35,0,MATCH("Q2-"&amp;RIGHT(S$3,4),$3:$3,0))),
IF(LEFT(S$3,2)="Q4",AVERAGE(S35,INDEX(35:35,0,MATCH("Q3-"&amp;RIGHT(S$3,4),$3:$3,0))))))))), "")</f>
        <v>4.0265110057156752</v>
      </c>
      <c r="T39" s="1261">
        <f>IFERROR((T15-T16)/
(IF(LEFT(T$3,1)="F",AVERAGE(T35,INDEX(35:35,0,MATCH("FY"&amp;RIGHT(T$3,4)-1,$3:$3,0))),
IF(LEFT(T$3,2)="Q1",AVERAGE(T35,INDEX(35:35,0,MATCH("Q4-"&amp;RIGHT(T$3,4)-1,$3:$3,0))),
IF(LEFT(T$3,2)="Q2",AVERAGE(T35,INDEX(35:35,0,MATCH("Q1-"&amp;RIGHT(T$3,4),$3:$3,0))),
IF(LEFT(T$3,2)="Q3",AVERAGE(T35,INDEX(35:35,0,MATCH("Q2-"&amp;RIGHT(T$3,4),$3:$3,0))),
IF(LEFT(T$3,2)="Q4",AVERAGE(T35,INDEX(35:35,0,MATCH("Q3-"&amp;RIGHT(T$3,4),$3:$3,0))))))))), "")</f>
        <v>3.9543771646960466</v>
      </c>
      <c r="U39" s="1262">
        <f>IFERROR((U15-U16)/
(IF(LEFT(U$3,1)="F",AVERAGE(U35,INDEX(35:35,0,MATCH("FY"&amp;RIGHT(U$3,4)-1,$3:$3,0))),
IF(LEFT(U$3,2)="Q1",AVERAGE(U35,INDEX(35:35,0,MATCH("Q4-"&amp;RIGHT(U$3,4)-1,$3:$3,0))),
IF(LEFT(U$3,2)="Q2",AVERAGE(U35,INDEX(35:35,0,MATCH("Q1-"&amp;RIGHT(U$3,4),$3:$3,0))),
IF(LEFT(U$3,2)="Q3",AVERAGE(U35,INDEX(35:35,0,MATCH("Q2-"&amp;RIGHT(U$3,4),$3:$3,0))),
IF(LEFT(U$3,2)="Q4",AVERAGE(U35,INDEX(35:35,0,MATCH("Q3-"&amp;RIGHT(U$3,4),$3:$3,0))))))))), "")</f>
        <v>3.9027250776129701</v>
      </c>
      <c r="V39" s="1262">
        <f>IFERROR((V15-V16)/
(IF(LEFT(V$3,1)="F",AVERAGE(V35,INDEX(35:35,0,MATCH("FY"&amp;RIGHT(V$3,4)-1,$3:$3,0))),
IF(LEFT(V$3,2)="Q1",AVERAGE(V35,INDEX(35:35,0,MATCH("Q4-"&amp;RIGHT(V$3,4)-1,$3:$3,0))),
IF(LEFT(V$3,2)="Q2",AVERAGE(V35,INDEX(35:35,0,MATCH("Q1-"&amp;RIGHT(V$3,4),$3:$3,0))),
IF(LEFT(V$3,2)="Q3",AVERAGE(V35,INDEX(35:35,0,MATCH("Q2-"&amp;RIGHT(V$3,4),$3:$3,0))),
IF(LEFT(V$3,2)="Q4",AVERAGE(V35,INDEX(35:35,0,MATCH("Q3-"&amp;RIGHT(V$3,4),$3:$3,0))))))))), "")</f>
        <v>3.8570230591116137</v>
      </c>
      <c r="W39" s="1262">
        <f>IFERROR((W15-W16)/
(IF(LEFT(W$3,1)="F",AVERAGE(W35,INDEX(35:35,0,MATCH("FY"&amp;RIGHT(W$3,4)-1,$3:$3,0))),
IF(LEFT(W$3,2)="Q1",AVERAGE(W35,INDEX(35:35,0,MATCH("Q4-"&amp;RIGHT(W$3,4)-1,$3:$3,0))),
IF(LEFT(W$3,2)="Q2",AVERAGE(W35,INDEX(35:35,0,MATCH("Q1-"&amp;RIGHT(W$3,4),$3:$3,0))),
IF(LEFT(W$3,2)="Q3",AVERAGE(W35,INDEX(35:35,0,MATCH("Q2-"&amp;RIGHT(W$3,4),$3:$3,0))),
IF(LEFT(W$3,2)="Q4",AVERAGE(W35,INDEX(35:35,0,MATCH("Q3-"&amp;RIGHT(W$3,4),$3:$3,0))))))))), "")</f>
        <v>3.9870084062281776</v>
      </c>
      <c r="X39" s="1262">
        <f>IFERROR((X15-X16)/
(IF(LEFT(X$3,1)="F",AVERAGE(X35,INDEX(35:35,0,MATCH("FY"&amp;RIGHT(X$3,4)-1,$3:$3,0))),
IF(LEFT(X$3,2)="Q1",AVERAGE(X35,INDEX(35:35,0,MATCH("Q4-"&amp;RIGHT(X$3,4)-1,$3:$3,0))),
IF(LEFT(X$3,2)="Q2",AVERAGE(X35,INDEX(35:35,0,MATCH("Q1-"&amp;RIGHT(X$3,4),$3:$3,0))),
IF(LEFT(X$3,2)="Q3",AVERAGE(X35,INDEX(35:35,0,MATCH("Q2-"&amp;RIGHT(X$3,4),$3:$3,0))),
IF(LEFT(X$3,2)="Q4",AVERAGE(X35,INDEX(35:35,0,MATCH("Q3-"&amp;RIGHT(X$3,4),$3:$3,0))))))))), "")</f>
        <v>3.9942616077707118</v>
      </c>
      <c r="Y39" s="1261">
        <f>IFERROR((Y15-Y16)/
(IF(LEFT(Y$3,1)="F",AVERAGE(Y35,INDEX(35:35,0,MATCH("FY"&amp;RIGHT(Y$3,4)-1,$3:$3,0))),
IF(LEFT(Y$3,2)="Q1",AVERAGE(Y35,INDEX(35:35,0,MATCH("Q4-"&amp;RIGHT(Y$3,4)-1,$3:$3,0))),
IF(LEFT(Y$3,2)="Q2",AVERAGE(Y35,INDEX(35:35,0,MATCH("Q1-"&amp;RIGHT(Y$3,4),$3:$3,0))),
IF(LEFT(Y$3,2)="Q3",AVERAGE(Y35,INDEX(35:35,0,MATCH("Q2-"&amp;RIGHT(Y$3,4),$3:$3,0))),
IF(LEFT(Y$3,2)="Q4",AVERAGE(Y35,INDEX(35:35,0,MATCH("Q3-"&amp;RIGHT(Y$3,4),$3:$3,0))))))))), "")</f>
        <v>4.0003426038910286</v>
      </c>
      <c r="Z39" s="1262">
        <f>IFERROR((Z15-Z16)/
(IF(LEFT(Z$3,1)="F",AVERAGE(Z35,INDEX(35:35,0,MATCH("FY"&amp;RIGHT(Z$3,4)-1,$3:$3,0))),
IF(LEFT(Z$3,2)="Q1",AVERAGE(Z35,INDEX(35:35,0,MATCH("Q4-"&amp;RIGHT(Z$3,4)-1,$3:$3,0))),
IF(LEFT(Z$3,2)="Q2",AVERAGE(Z35,INDEX(35:35,0,MATCH("Q1-"&amp;RIGHT(Z$3,4),$3:$3,0))),
IF(LEFT(Z$3,2)="Q3",AVERAGE(Z35,INDEX(35:35,0,MATCH("Q2-"&amp;RIGHT(Z$3,4),$3:$3,0))),
IF(LEFT(Z$3,2)="Q4",AVERAGE(Z35,INDEX(35:35,0,MATCH("Q3-"&amp;RIGHT(Z$3,4),$3:$3,0))))))))), "")</f>
        <v>3.8376630897202642</v>
      </c>
      <c r="AA39" s="1262">
        <f>IFERROR((AA15-AA16)/
(IF(LEFT(AA$3,1)="F",AVERAGE(AA35,INDEX(35:35,0,MATCH("FY"&amp;RIGHT(AA$3,4)-1,$3:$3,0))),
IF(LEFT(AA$3,2)="Q1",AVERAGE(AA35,INDEX(35:35,0,MATCH("Q4-"&amp;RIGHT(AA$3,4)-1,$3:$3,0))),
IF(LEFT(AA$3,2)="Q2",AVERAGE(AA35,INDEX(35:35,0,MATCH("Q1-"&amp;RIGHT(AA$3,4),$3:$3,0))),
IF(LEFT(AA$3,2)="Q3",AVERAGE(AA35,INDEX(35:35,0,MATCH("Q2-"&amp;RIGHT(AA$3,4),$3:$3,0))),
IF(LEFT(AA$3,2)="Q4",AVERAGE(AA35,INDEX(35:35,0,MATCH("Q3-"&amp;RIGHT(AA$3,4),$3:$3,0))))))))), "")</f>
        <v>3.7782679832855113</v>
      </c>
      <c r="AB39" s="1262">
        <f>IFERROR((AB15-AB16)/
(IF(LEFT(AB$3,1)="F",AVERAGE(AB35,INDEX(35:35,0,MATCH("FY"&amp;RIGHT(AB$3,4)-1,$3:$3,0))),
IF(LEFT(AB$3,2)="Q1",AVERAGE(AB35,INDEX(35:35,0,MATCH("Q4-"&amp;RIGHT(AB$3,4)-1,$3:$3,0))),
IF(LEFT(AB$3,2)="Q2",AVERAGE(AB35,INDEX(35:35,0,MATCH("Q1-"&amp;RIGHT(AB$3,4),$3:$3,0))),
IF(LEFT(AB$3,2)="Q3",AVERAGE(AB35,INDEX(35:35,0,MATCH("Q2-"&amp;RIGHT(AB$3,4),$3:$3,0))),
IF(LEFT(AB$3,2)="Q4",AVERAGE(AB35,INDEX(35:35,0,MATCH("Q3-"&amp;RIGHT(AB$3,4),$3:$3,0))))))))), "")</f>
        <v>3.9359038300394635</v>
      </c>
      <c r="AC39" s="1262">
        <f>IFERROR((AC15-AC16)/
(IF(LEFT(AC$3,1)="F",AVERAGE(AC35,INDEX(35:35,0,MATCH("FY"&amp;RIGHT(AC$3,4)-1,$3:$3,0))),
IF(LEFT(AC$3,2)="Q1",AVERAGE(AC35,INDEX(35:35,0,MATCH("Q4-"&amp;RIGHT(AC$3,4)-1,$3:$3,0))),
IF(LEFT(AC$3,2)="Q2",AVERAGE(AC35,INDEX(35:35,0,MATCH("Q1-"&amp;RIGHT(AC$3,4),$3:$3,0))),
IF(LEFT(AC$3,2)="Q3",AVERAGE(AC35,INDEX(35:35,0,MATCH("Q2-"&amp;RIGHT(AC$3,4),$3:$3,0))),
IF(LEFT(AC$3,2)="Q4",AVERAGE(AC35,INDEX(35:35,0,MATCH("Q3-"&amp;RIGHT(AC$3,4),$3:$3,0))))))))), "")</f>
        <v>3.9406280677944148</v>
      </c>
      <c r="AD39" s="1261">
        <f>IFERROR((AD15-AD16)/
(IF(LEFT(AD$3,1)="F",AVERAGE(AD35,INDEX(35:35,0,MATCH("FY"&amp;RIGHT(AD$3,4)-1,$3:$3,0))),
IF(LEFT(AD$3,2)="Q1",AVERAGE(AD35,INDEX(35:35,0,MATCH("Q4-"&amp;RIGHT(AD$3,4)-1,$3:$3,0))),
IF(LEFT(AD$3,2)="Q2",AVERAGE(AD35,INDEX(35:35,0,MATCH("Q1-"&amp;RIGHT(AD$3,4),$3:$3,0))),
IF(LEFT(AD$3,2)="Q3",AVERAGE(AD35,INDEX(35:35,0,MATCH("Q2-"&amp;RIGHT(AD$3,4),$3:$3,0))),
IF(LEFT(AD$3,2)="Q4",AVERAGE(AD35,INDEX(35:35,0,MATCH("Q3-"&amp;RIGHT(AD$3,4),$3:$3,0))))))))), "")</f>
        <v>3.9421121193792912</v>
      </c>
      <c r="AE39" s="1261">
        <f>IFERROR((AE15-AE16)/
(IF(LEFT(AE$3,1)="F",AVERAGE(AE35,INDEX(35:35,0,MATCH("FY"&amp;RIGHT(AE$3,4)-1,$3:$3,0))),
IF(LEFT(AE$3,2)="Q1",AVERAGE(AE35,INDEX(35:35,0,MATCH("Q4-"&amp;RIGHT(AE$3,4)-1,$3:$3,0))),
IF(LEFT(AE$3,2)="Q2",AVERAGE(AE35,INDEX(35:35,0,MATCH("Q1-"&amp;RIGHT(AE$3,4),$3:$3,0))),
IF(LEFT(AE$3,2)="Q3",AVERAGE(AE35,INDEX(35:35,0,MATCH("Q2-"&amp;RIGHT(AE$3,4),$3:$3,0))),
IF(LEFT(AE$3,2)="Q4",AVERAGE(AE35,INDEX(35:35,0,MATCH("Q3-"&amp;RIGHT(AE$3,4),$3:$3,0))))))))), "")</f>
        <v>3.893527660394176</v>
      </c>
      <c r="AF39" s="1261">
        <f>IFERROR((AF15-AF16)/
(IF(LEFT(AF$3,1)="F",AVERAGE(AF35,INDEX(35:35,0,MATCH("FY"&amp;RIGHT(AF$3,4)-1,$3:$3,0))),
IF(LEFT(AF$3,2)="Q1",AVERAGE(AF35,INDEX(35:35,0,MATCH("Q4-"&amp;RIGHT(AF$3,4)-1,$3:$3,0))),
IF(LEFT(AF$3,2)="Q2",AVERAGE(AF35,INDEX(35:35,0,MATCH("Q1-"&amp;RIGHT(AF$3,4),$3:$3,0))),
IF(LEFT(AF$3,2)="Q3",AVERAGE(AF35,INDEX(35:35,0,MATCH("Q2-"&amp;RIGHT(AF$3,4),$3:$3,0))),
IF(LEFT(AF$3,2)="Q4",AVERAGE(AF35,INDEX(35:35,0,MATCH("Q3-"&amp;RIGHT(AF$3,4),$3:$3,0))))))))), "")</f>
        <v>3.8482302181666892</v>
      </c>
      <c r="AG39" s="1263">
        <f>IFERROR((AG15-AG16)/
(IF(LEFT(AG$3,1)="F",AVERAGE(AG35,INDEX(35:35,0,MATCH("FY"&amp;RIGHT(AG$3,4)-1,$3:$3,0))),
IF(LEFT(AG$3,2)="Q1",AVERAGE(AG35,INDEX(35:35,0,MATCH("Q4-"&amp;RIGHT(AG$3,4)-1,$3:$3,0))),
IF(LEFT(AG$3,2)="Q2",AVERAGE(AG35,INDEX(35:35,0,MATCH("Q1-"&amp;RIGHT(AG$3,4),$3:$3,0))),
IF(LEFT(AG$3,2)="Q3",AVERAGE(AG35,INDEX(35:35,0,MATCH("Q2-"&amp;RIGHT(AG$3,4),$3:$3,0))),
IF(LEFT(AG$3,2)="Q4",AVERAGE(AG35,INDEX(35:35,0,MATCH("Q3-"&amp;RIGHT(AG$3,4),$3:$3,0))))))))), "")</f>
        <v>3.8028818242045741</v>
      </c>
      <c r="AH39" s="1222"/>
    </row>
    <row r="40" spans="1:34" s="1264" customFormat="1" ht="14.25" customHeight="1" x14ac:dyDescent="0.35">
      <c r="A40" s="1255" t="str">
        <f>A36&amp;" Turnover"</f>
        <v>Accounts payable Turnover</v>
      </c>
      <c r="B40" s="1256"/>
      <c r="C40" s="1260" t="str">
        <f>"=LTM "&amp;A6&amp;" / Avg "&amp;A36</f>
        <v>=LTM COGS / Avg Accounts payable</v>
      </c>
      <c r="D40" s="1261"/>
      <c r="E40" s="1261">
        <f>IFERROR((E15-E16)/
(IF(LEFT(E$3,1)="F",AVERAGE(E36,INDEX(36:36,0,MATCH("FY"&amp;RIGHT(E$3,4)-1,$3:$3,0))),
IF(LEFT(E$3,2)="Q1",AVERAGE(E36,INDEX(36:36,0,MATCH("Q4-"&amp;RIGHT(E$3,4)-1,$3:$3,0))),
IF(LEFT(E$3,2)="Q2",AVERAGE(E36,INDEX(36:36,0,MATCH("Q1-"&amp;RIGHT(E$3,4),$3:$3,0))),
IF(LEFT(E$3,2)="Q3",AVERAGE(E36,INDEX(36:36,0,MATCH("Q2-"&amp;RIGHT(E$3,4),$3:$3,0))),
IF(LEFT(E$3,2)="Q4",AVERAGE(E36,INDEX(36:36,0,MATCH("Q3-"&amp;RIGHT(E$3,4),$3:$3,0))))))))), "")</f>
        <v>8.5524979962596852</v>
      </c>
      <c r="F40" s="1262" t="str">
        <f>IFERROR((F15-F16)/
(IF(LEFT(F$3,1)="F",AVERAGE(F36,INDEX(36:36,0,MATCH("FY"&amp;RIGHT(F$3,4)-1,$3:$3,0))),
IF(LEFT(F$3,2)="Q1",AVERAGE(F36,INDEX(36:36,0,MATCH("Q4-"&amp;RIGHT(F$3,4)-1,$3:$3,0))),
IF(LEFT(F$3,2)="Q2",AVERAGE(F36,INDEX(36:36,0,MATCH("Q1-"&amp;RIGHT(F$3,4),$3:$3,0))),
IF(LEFT(F$3,2)="Q3",AVERAGE(F36,INDEX(36:36,0,MATCH("Q2-"&amp;RIGHT(F$3,4),$3:$3,0))),
IF(LEFT(F$3,2)="Q4",AVERAGE(F36,INDEX(36:36,0,MATCH("Q3-"&amp;RIGHT(F$3,4),$3:$3,0))))))))), "")</f>
        <v/>
      </c>
      <c r="G40" s="1262" t="str">
        <f>IFERROR((G15-G16)/
(IF(LEFT(G$3,1)="F",AVERAGE(G36,INDEX(36:36,0,MATCH("FY"&amp;RIGHT(G$3,4)-1,$3:$3,0))),
IF(LEFT(G$3,2)="Q1",AVERAGE(G36,INDEX(36:36,0,MATCH("Q4-"&amp;RIGHT(G$3,4)-1,$3:$3,0))),
IF(LEFT(G$3,2)="Q2",AVERAGE(G36,INDEX(36:36,0,MATCH("Q1-"&amp;RIGHT(G$3,4),$3:$3,0))),
IF(LEFT(G$3,2)="Q3",AVERAGE(G36,INDEX(36:36,0,MATCH("Q2-"&amp;RIGHT(G$3,4),$3:$3,0))),
IF(LEFT(G$3,2)="Q4",AVERAGE(G36,INDEX(36:36,0,MATCH("Q3-"&amp;RIGHT(G$3,4),$3:$3,0))))))))), "")</f>
        <v/>
      </c>
      <c r="H40" s="1262" t="str">
        <f>IFERROR((H15-H16)/
(IF(LEFT(H$3,1)="F",AVERAGE(H36,INDEX(36:36,0,MATCH("FY"&amp;RIGHT(H$3,4)-1,$3:$3,0))),
IF(LEFT(H$3,2)="Q1",AVERAGE(H36,INDEX(36:36,0,MATCH("Q4-"&amp;RIGHT(H$3,4)-1,$3:$3,0))),
IF(LEFT(H$3,2)="Q2",AVERAGE(H36,INDEX(36:36,0,MATCH("Q1-"&amp;RIGHT(H$3,4),$3:$3,0))),
IF(LEFT(H$3,2)="Q3",AVERAGE(H36,INDEX(36:36,0,MATCH("Q2-"&amp;RIGHT(H$3,4),$3:$3,0))),
IF(LEFT(H$3,2)="Q4",AVERAGE(H36,INDEX(36:36,0,MATCH("Q3-"&amp;RIGHT(H$3,4),$3:$3,0))))))))), "")</f>
        <v/>
      </c>
      <c r="I40" s="1262">
        <f>IFERROR((I15-I16)/
(IF(LEFT(I$3,1)="F",AVERAGE(I36,INDEX(36:36,0,MATCH("FY"&amp;RIGHT(I$3,4)-1,$3:$3,0))),
IF(LEFT(I$3,2)="Q1",AVERAGE(I36,INDEX(36:36,0,MATCH("Q4-"&amp;RIGHT(I$3,4)-1,$3:$3,0))),
IF(LEFT(I$3,2)="Q2",AVERAGE(I36,INDEX(36:36,0,MATCH("Q1-"&amp;RIGHT(I$3,4),$3:$3,0))),
IF(LEFT(I$3,2)="Q3",AVERAGE(I36,INDEX(36:36,0,MATCH("Q2-"&amp;RIGHT(I$3,4),$3:$3,0))),
IF(LEFT(I$3,2)="Q4",AVERAGE(I36,INDEX(36:36,0,MATCH("Q3-"&amp;RIGHT(I$3,4),$3:$3,0))))))))), "")</f>
        <v>7.7457508731082658</v>
      </c>
      <c r="J40" s="1261">
        <f>IFERROR((J15-J16)/
(IF(LEFT(J$3,1)="F",AVERAGE(J36,INDEX(36:36,0,MATCH("FY"&amp;RIGHT(J$3,4)-1,$3:$3,0))),
IF(LEFT(J$3,2)="Q1",AVERAGE(J36,INDEX(36:36,0,MATCH("Q4-"&amp;RIGHT(J$3,4)-1,$3:$3,0))),
IF(LEFT(J$3,2)="Q2",AVERAGE(J36,INDEX(36:36,0,MATCH("Q1-"&amp;RIGHT(J$3,4),$3:$3,0))),
IF(LEFT(J$3,2)="Q3",AVERAGE(J36,INDEX(36:36,0,MATCH("Q2-"&amp;RIGHT(J$3,4),$3:$3,0))),
IF(LEFT(J$3,2)="Q4",AVERAGE(J36,INDEX(36:36,0,MATCH("Q3-"&amp;RIGHT(J$3,4),$3:$3,0))))))))), "")</f>
        <v>7.9002612206126814</v>
      </c>
      <c r="K40" s="1262">
        <f>IFERROR((K15-K16)/
(IF(LEFT(K$3,1)="F",AVERAGE(K36,INDEX(36:36,0,MATCH("FY"&amp;RIGHT(K$3,4)-1,$3:$3,0))),
IF(LEFT(K$3,2)="Q1",AVERAGE(K36,INDEX(36:36,0,MATCH("Q4-"&amp;RIGHT(K$3,4)-1,$3:$3,0))),
IF(LEFT(K$3,2)="Q2",AVERAGE(K36,INDEX(36:36,0,MATCH("Q1-"&amp;RIGHT(K$3,4),$3:$3,0))),
IF(LEFT(K$3,2)="Q3",AVERAGE(K36,INDEX(36:36,0,MATCH("Q2-"&amp;RIGHT(K$3,4),$3:$3,0))),
IF(LEFT(K$3,2)="Q4",AVERAGE(K36,INDEX(36:36,0,MATCH("Q3-"&amp;RIGHT(K$3,4),$3:$3,0))))))))), "")</f>
        <v>7.3044808743169396</v>
      </c>
      <c r="L40" s="1262">
        <f>IFERROR((L15-L16)/
(IF(LEFT(L$3,1)="F",AVERAGE(L36,INDEX(36:36,0,MATCH("FY"&amp;RIGHT(L$3,4)-1,$3:$3,0))),
IF(LEFT(L$3,2)="Q1",AVERAGE(L36,INDEX(36:36,0,MATCH("Q4-"&amp;RIGHT(L$3,4)-1,$3:$3,0))),
IF(LEFT(L$3,2)="Q2",AVERAGE(L36,INDEX(36:36,0,MATCH("Q1-"&amp;RIGHT(L$3,4),$3:$3,0))),
IF(LEFT(L$3,2)="Q3",AVERAGE(L36,INDEX(36:36,0,MATCH("Q2-"&amp;RIGHT(L$3,4),$3:$3,0))),
IF(LEFT(L$3,2)="Q4",AVERAGE(L36,INDEX(36:36,0,MATCH("Q3-"&amp;RIGHT(L$3,4),$3:$3,0))))))))), "")</f>
        <v>7.5670195990087858</v>
      </c>
      <c r="M40" s="1262">
        <f>IFERROR((M15-M16)/
(IF(LEFT(M$3,1)="F",AVERAGE(M36,INDEX(36:36,0,MATCH("FY"&amp;RIGHT(M$3,4)-1,$3:$3,0))),
IF(LEFT(M$3,2)="Q1",AVERAGE(M36,INDEX(36:36,0,MATCH("Q4-"&amp;RIGHT(M$3,4)-1,$3:$3,0))),
IF(LEFT(M$3,2)="Q2",AVERAGE(M36,INDEX(36:36,0,MATCH("Q1-"&amp;RIGHT(M$3,4),$3:$3,0))),
IF(LEFT(M$3,2)="Q3",AVERAGE(M36,INDEX(36:36,0,MATCH("Q2-"&amp;RIGHT(M$3,4),$3:$3,0))),
IF(LEFT(M$3,2)="Q4",AVERAGE(M36,INDEX(36:36,0,MATCH("Q3-"&amp;RIGHT(M$3,4),$3:$3,0))))))))), "")</f>
        <v>7.9942979330007127</v>
      </c>
      <c r="N40" s="1262">
        <f>IFERROR((N15-N16)/
(IF(LEFT(N$3,1)="F",AVERAGE(N36,INDEX(36:36,0,MATCH("FY"&amp;RIGHT(N$3,4)-1,$3:$3,0))),
IF(LEFT(N$3,2)="Q1",AVERAGE(N36,INDEX(36:36,0,MATCH("Q4-"&amp;RIGHT(N$3,4)-1,$3:$3,0))),
IF(LEFT(N$3,2)="Q2",AVERAGE(N36,INDEX(36:36,0,MATCH("Q1-"&amp;RIGHT(N$3,4),$3:$3,0))),
IF(LEFT(N$3,2)="Q3",AVERAGE(N36,INDEX(36:36,0,MATCH("Q2-"&amp;RIGHT(N$3,4),$3:$3,0))),
IF(LEFT(N$3,2)="Q4",AVERAGE(N36,INDEX(36:36,0,MATCH("Q3-"&amp;RIGHT(N$3,4),$3:$3,0))))))))), "")</f>
        <v>7.9354539122358947</v>
      </c>
      <c r="O40" s="1261">
        <f>IFERROR((O15-O16)/
(IF(LEFT(O$3,1)="F",AVERAGE(O36,INDEX(36:36,0,MATCH("FY"&amp;RIGHT(O$3,4)-1,$3:$3,0))),
IF(LEFT(O$3,2)="Q1",AVERAGE(O36,INDEX(36:36,0,MATCH("Q4-"&amp;RIGHT(O$3,4)-1,$3:$3,0))),
IF(LEFT(O$3,2)="Q2",AVERAGE(O36,INDEX(36:36,0,MATCH("Q1-"&amp;RIGHT(O$3,4),$3:$3,0))),
IF(LEFT(O$3,2)="Q3",AVERAGE(O36,INDEX(36:36,0,MATCH("Q2-"&amp;RIGHT(O$3,4),$3:$3,0))),
IF(LEFT(O$3,2)="Q4",AVERAGE(O36,INDEX(36:36,0,MATCH("Q3-"&amp;RIGHT(O$3,4),$3:$3,0))))))))), "")</f>
        <v>7.6052514463729413</v>
      </c>
      <c r="P40" s="1262">
        <f>IFERROR((P15-P16)/
(IF(LEFT(P$3,1)="F",AVERAGE(P36,INDEX(36:36,0,MATCH("FY"&amp;RIGHT(P$3,4)-1,$3:$3,0))),
IF(LEFT(P$3,2)="Q1",AVERAGE(P36,INDEX(36:36,0,MATCH("Q4-"&amp;RIGHT(P$3,4)-1,$3:$3,0))),
IF(LEFT(P$3,2)="Q2",AVERAGE(P36,INDEX(36:36,0,MATCH("Q1-"&amp;RIGHT(P$3,4),$3:$3,0))),
IF(LEFT(P$3,2)="Q3",AVERAGE(P36,INDEX(36:36,0,MATCH("Q2-"&amp;RIGHT(P$3,4),$3:$3,0))),
IF(LEFT(P$3,2)="Q4",AVERAGE(P36,INDEX(36:36,0,MATCH("Q3-"&amp;RIGHT(P$3,4),$3:$3,0))))))))), "")</f>
        <v>7.615783540022548</v>
      </c>
      <c r="Q40" s="1262">
        <f>IFERROR((Q15-Q16)/
(IF(LEFT(Q$3,1)="F",AVERAGE(Q36,INDEX(36:36,0,MATCH("FY"&amp;RIGHT(Q$3,4)-1,$3:$3,0))),
IF(LEFT(Q$3,2)="Q1",AVERAGE(Q36,INDEX(36:36,0,MATCH("Q4-"&amp;RIGHT(Q$3,4)-1,$3:$3,0))),
IF(LEFT(Q$3,2)="Q2",AVERAGE(Q36,INDEX(36:36,0,MATCH("Q1-"&amp;RIGHT(Q$3,4),$3:$3,0))),
IF(LEFT(Q$3,2)="Q3",AVERAGE(Q36,INDEX(36:36,0,MATCH("Q2-"&amp;RIGHT(Q$3,4),$3:$3,0))),
IF(LEFT(Q$3,2)="Q4",AVERAGE(Q36,INDEX(36:36,0,MATCH("Q3-"&amp;RIGHT(Q$3,4),$3:$3,0))))))))), "")</f>
        <v>7.833094213295074</v>
      </c>
      <c r="R40" s="1262">
        <f>IFERROR((R15-R16)/
(IF(LEFT(R$3,1)="F",AVERAGE(R36,INDEX(36:36,0,MATCH("FY"&amp;RIGHT(R$3,4)-1,$3:$3,0))),
IF(LEFT(R$3,2)="Q1",AVERAGE(R36,INDEX(36:36,0,MATCH("Q4-"&amp;RIGHT(R$3,4)-1,$3:$3,0))),
IF(LEFT(R$3,2)="Q2",AVERAGE(R36,INDEX(36:36,0,MATCH("Q1-"&amp;RIGHT(R$3,4),$3:$3,0))),
IF(LEFT(R$3,2)="Q3",AVERAGE(R36,INDEX(36:36,0,MATCH("Q2-"&amp;RIGHT(R$3,4),$3:$3,0))),
IF(LEFT(R$3,2)="Q4",AVERAGE(R36,INDEX(36:36,0,MATCH("Q3-"&amp;RIGHT(R$3,4),$3:$3,0))))))))), "")</f>
        <v>7.8857279464499159</v>
      </c>
      <c r="S40" s="1262">
        <f>IFERROR((S15-S16)/
(IF(LEFT(S$3,1)="F",AVERAGE(S36,INDEX(36:36,0,MATCH("FY"&amp;RIGHT(S$3,4)-1,$3:$3,0))),
IF(LEFT(S$3,2)="Q1",AVERAGE(S36,INDEX(36:36,0,MATCH("Q4-"&amp;RIGHT(S$3,4)-1,$3:$3,0))),
IF(LEFT(S$3,2)="Q2",AVERAGE(S36,INDEX(36:36,0,MATCH("Q1-"&amp;RIGHT(S$3,4),$3:$3,0))),
IF(LEFT(S$3,2)="Q3",AVERAGE(S36,INDEX(36:36,0,MATCH("Q2-"&amp;RIGHT(S$3,4),$3:$3,0))),
IF(LEFT(S$3,2)="Q4",AVERAGE(S36,INDEX(36:36,0,MATCH("Q3-"&amp;RIGHT(S$3,4),$3:$3,0))))))))), "")</f>
        <v>6.9427552946110298</v>
      </c>
      <c r="T40" s="1261">
        <f>IFERROR((T15-T16)/
(IF(LEFT(T$3,1)="F",AVERAGE(T36,INDEX(36:36,0,MATCH("FY"&amp;RIGHT(T$3,4)-1,$3:$3,0))),
IF(LEFT(T$3,2)="Q1",AVERAGE(T36,INDEX(36:36,0,MATCH("Q4-"&amp;RIGHT(T$3,4)-1,$3:$3,0))),
IF(LEFT(T$3,2)="Q2",AVERAGE(T36,INDEX(36:36,0,MATCH("Q1-"&amp;RIGHT(T$3,4),$3:$3,0))),
IF(LEFT(T$3,2)="Q3",AVERAGE(T36,INDEX(36:36,0,MATCH("Q2-"&amp;RIGHT(T$3,4),$3:$3,0))),
IF(LEFT(T$3,2)="Q4",AVERAGE(T36,INDEX(36:36,0,MATCH("Q3-"&amp;RIGHT(T$3,4),$3:$3,0))))))))), "")</f>
        <v>6.9137607016078517</v>
      </c>
      <c r="U40" s="1262">
        <f>IFERROR((U15-U16)/
(IF(LEFT(U$3,1)="F",AVERAGE(U36,INDEX(36:36,0,MATCH("FY"&amp;RIGHT(U$3,4)-1,$3:$3,0))),
IF(LEFT(U$3,2)="Q1",AVERAGE(U36,INDEX(36:36,0,MATCH("Q4-"&amp;RIGHT(U$3,4)-1,$3:$3,0))),
IF(LEFT(U$3,2)="Q2",AVERAGE(U36,INDEX(36:36,0,MATCH("Q1-"&amp;RIGHT(U$3,4),$3:$3,0))),
IF(LEFT(U$3,2)="Q3",AVERAGE(U36,INDEX(36:36,0,MATCH("Q2-"&amp;RIGHT(U$3,4),$3:$3,0))),
IF(LEFT(U$3,2)="Q4",AVERAGE(U36,INDEX(36:36,0,MATCH("Q3-"&amp;RIGHT(U$3,4),$3:$3,0))))))))), "")</f>
        <v>6.4886255018160961</v>
      </c>
      <c r="V40" s="1262">
        <f>IFERROR((V15-V16)/
(IF(LEFT(V$3,1)="F",AVERAGE(V36,INDEX(36:36,0,MATCH("FY"&amp;RIGHT(V$3,4)-1,$3:$3,0))),
IF(LEFT(V$3,2)="Q1",AVERAGE(V36,INDEX(36:36,0,MATCH("Q4-"&amp;RIGHT(V$3,4)-1,$3:$3,0))),
IF(LEFT(V$3,2)="Q2",AVERAGE(V36,INDEX(36:36,0,MATCH("Q1-"&amp;RIGHT(V$3,4),$3:$3,0))),
IF(LEFT(V$3,2)="Q3",AVERAGE(V36,INDEX(36:36,0,MATCH("Q2-"&amp;RIGHT(V$3,4),$3:$3,0))),
IF(LEFT(V$3,2)="Q4",AVERAGE(V36,INDEX(36:36,0,MATCH("Q3-"&amp;RIGHT(V$3,4),$3:$3,0))))))))), "")</f>
        <v>7.189733177438387</v>
      </c>
      <c r="W40" s="1262">
        <f>IFERROR((W15-W16)/
(IF(LEFT(W$3,1)="F",AVERAGE(W36,INDEX(36:36,0,MATCH("FY"&amp;RIGHT(W$3,4)-1,$3:$3,0))),
IF(LEFT(W$3,2)="Q1",AVERAGE(W36,INDEX(36:36,0,MATCH("Q4-"&amp;RIGHT(W$3,4)-1,$3:$3,0))),
IF(LEFT(W$3,2)="Q2",AVERAGE(W36,INDEX(36:36,0,MATCH("Q1-"&amp;RIGHT(W$3,4),$3:$3,0))),
IF(LEFT(W$3,2)="Q3",AVERAGE(W36,INDEX(36:36,0,MATCH("Q2-"&amp;RIGHT(W$3,4),$3:$3,0))),
IF(LEFT(W$3,2)="Q4",AVERAGE(W36,INDEX(36:36,0,MATCH("Q3-"&amp;RIGHT(W$3,4),$3:$3,0))))))))), "")</f>
        <v>7.7699309967858037</v>
      </c>
      <c r="X40" s="1262">
        <f>IFERROR((X15-X16)/
(IF(LEFT(X$3,1)="F",AVERAGE(X36,INDEX(36:36,0,MATCH("FY"&amp;RIGHT(X$3,4)-1,$3:$3,0))),
IF(LEFT(X$3,2)="Q1",AVERAGE(X36,INDEX(36:36,0,MATCH("Q4-"&amp;RIGHT(X$3,4)-1,$3:$3,0))),
IF(LEFT(X$3,2)="Q2",AVERAGE(X36,INDEX(36:36,0,MATCH("Q1-"&amp;RIGHT(X$3,4),$3:$3,0))),
IF(LEFT(X$3,2)="Q3",AVERAGE(X36,INDEX(36:36,0,MATCH("Q2-"&amp;RIGHT(X$3,4),$3:$3,0))),
IF(LEFT(X$3,2)="Q4",AVERAGE(X36,INDEX(36:36,0,MATCH("Q3-"&amp;RIGHT(X$3,4),$3:$3,0))))))))), "")</f>
        <v>6.887599946366703</v>
      </c>
      <c r="Y40" s="1261">
        <f>IFERROR((Y15-Y16)/
(IF(LEFT(Y$3,1)="F",AVERAGE(Y36,INDEX(36:36,0,MATCH("FY"&amp;RIGHT(Y$3,4)-1,$3:$3,0))),
IF(LEFT(Y$3,2)="Q1",AVERAGE(Y36,INDEX(36:36,0,MATCH("Q4-"&amp;RIGHT(Y$3,4)-1,$3:$3,0))),
IF(LEFT(Y$3,2)="Q2",AVERAGE(Y36,INDEX(36:36,0,MATCH("Q1-"&amp;RIGHT(Y$3,4),$3:$3,0))),
IF(LEFT(Y$3,2)="Q3",AVERAGE(Y36,INDEX(36:36,0,MATCH("Q2-"&amp;RIGHT(Y$3,4),$3:$3,0))),
IF(LEFT(Y$3,2)="Q4",AVERAGE(Y36,INDEX(36:36,0,MATCH("Q3-"&amp;RIGHT(Y$3,4),$3:$3,0))))))))), "")</f>
        <v>6.6214183123366128</v>
      </c>
      <c r="Z40" s="1262">
        <f>IFERROR((Z15-Z16)/
(IF(LEFT(Z$3,1)="F",AVERAGE(Z36,INDEX(36:36,0,MATCH("FY"&amp;RIGHT(Z$3,4)-1,$3:$3,0))),
IF(LEFT(Z$3,2)="Q1",AVERAGE(Z36,INDEX(36:36,0,MATCH("Q4-"&amp;RIGHT(Z$3,4)-1,$3:$3,0))),
IF(LEFT(Z$3,2)="Q2",AVERAGE(Z36,INDEX(36:36,0,MATCH("Q1-"&amp;RIGHT(Z$3,4),$3:$3,0))),
IF(LEFT(Z$3,2)="Q3",AVERAGE(Z36,INDEX(36:36,0,MATCH("Q2-"&amp;RIGHT(Z$3,4),$3:$3,0))),
IF(LEFT(Z$3,2)="Q4",AVERAGE(Z36,INDEX(36:36,0,MATCH("Q3-"&amp;RIGHT(Z$3,4),$3:$3,0))))))))), "")</f>
        <v>6.3803778969314626</v>
      </c>
      <c r="AA40" s="1262">
        <f>IFERROR((AA15-AA16)/
(IF(LEFT(AA$3,1)="F",AVERAGE(AA36,INDEX(36:36,0,MATCH("FY"&amp;RIGHT(AA$3,4)-1,$3:$3,0))),
IF(LEFT(AA$3,2)="Q1",AVERAGE(AA36,INDEX(36:36,0,MATCH("Q4-"&amp;RIGHT(AA$3,4)-1,$3:$3,0))),
IF(LEFT(AA$3,2)="Q2",AVERAGE(AA36,INDEX(36:36,0,MATCH("Q1-"&amp;RIGHT(AA$3,4),$3:$3,0))),
IF(LEFT(AA$3,2)="Q3",AVERAGE(AA36,INDEX(36:36,0,MATCH("Q2-"&amp;RIGHT(AA$3,4),$3:$3,0))),
IF(LEFT(AA$3,2)="Q4",AVERAGE(AA36,INDEX(36:36,0,MATCH("Q3-"&amp;RIGHT(AA$3,4),$3:$3,0))))))))), "")</f>
        <v>7.0425697307315662</v>
      </c>
      <c r="AB40" s="1262">
        <f>IFERROR((AB15-AB16)/
(IF(LEFT(AB$3,1)="F",AVERAGE(AB36,INDEX(36:36,0,MATCH("FY"&amp;RIGHT(AB$3,4)-1,$3:$3,0))),
IF(LEFT(AB$3,2)="Q1",AVERAGE(AB36,INDEX(36:36,0,MATCH("Q4-"&amp;RIGHT(AB$3,4)-1,$3:$3,0))),
IF(LEFT(AB$3,2)="Q2",AVERAGE(AB36,INDEX(36:36,0,MATCH("Q1-"&amp;RIGHT(AB$3,4),$3:$3,0))),
IF(LEFT(AB$3,2)="Q3",AVERAGE(AB36,INDEX(36:36,0,MATCH("Q2-"&amp;RIGHT(AB$3,4),$3:$3,0))),
IF(LEFT(AB$3,2)="Q4",AVERAGE(AB36,INDEX(36:36,0,MATCH("Q3-"&amp;RIGHT(AB$3,4),$3:$3,0))))))))), "")</f>
        <v>7.6691310262889516</v>
      </c>
      <c r="AC40" s="1262">
        <f>IFERROR((AC15-AC16)/
(IF(LEFT(AC$3,1)="F",AVERAGE(AC36,INDEX(36:36,0,MATCH("FY"&amp;RIGHT(AC$3,4)-1,$3:$3,0))),
IF(LEFT(AC$3,2)="Q1",AVERAGE(AC36,INDEX(36:36,0,MATCH("Q4-"&amp;RIGHT(AC$3,4)-1,$3:$3,0))),
IF(LEFT(AC$3,2)="Q2",AVERAGE(AC36,INDEX(36:36,0,MATCH("Q1-"&amp;RIGHT(AC$3,4),$3:$3,0))),
IF(LEFT(AC$3,2)="Q3",AVERAGE(AC36,INDEX(36:36,0,MATCH("Q2-"&amp;RIGHT(AC$3,4),$3:$3,0))),
IF(LEFT(AC$3,2)="Q4",AVERAGE(AC36,INDEX(36:36,0,MATCH("Q3-"&amp;RIGHT(AC$3,4),$3:$3,0))))))))), "")</f>
        <v>6.7945004856899907</v>
      </c>
      <c r="AD40" s="1261">
        <f>IFERROR((AD15-AD16)/
(IF(LEFT(AD$3,1)="F",AVERAGE(AD36,INDEX(36:36,0,MATCH("FY"&amp;RIGHT(AD$3,4)-1,$3:$3,0))),
IF(LEFT(AD$3,2)="Q1",AVERAGE(AD36,INDEX(36:36,0,MATCH("Q4-"&amp;RIGHT(AD$3,4)-1,$3:$3,0))),
IF(LEFT(AD$3,2)="Q2",AVERAGE(AD36,INDEX(36:36,0,MATCH("Q1-"&amp;RIGHT(AD$3,4),$3:$3,0))),
IF(LEFT(AD$3,2)="Q3",AVERAGE(AD36,INDEX(36:36,0,MATCH("Q2-"&amp;RIGHT(AD$3,4),$3:$3,0))),
IF(LEFT(AD$3,2)="Q4",AVERAGE(AD36,INDEX(36:36,0,MATCH("Q3-"&amp;RIGHT(AD$3,4),$3:$3,0))))))))), "")</f>
        <v>6.5250344685860258</v>
      </c>
      <c r="AE40" s="1261">
        <f>IFERROR((AE15-AE16)/
(IF(LEFT(AE$3,1)="F",AVERAGE(AE36,INDEX(36:36,0,MATCH("FY"&amp;RIGHT(AE$3,4)-1,$3:$3,0))),
IF(LEFT(AE$3,2)="Q1",AVERAGE(AE36,INDEX(36:36,0,MATCH("Q4-"&amp;RIGHT(AE$3,4)-1,$3:$3,0))),
IF(LEFT(AE$3,2)="Q2",AVERAGE(AE36,INDEX(36:36,0,MATCH("Q1-"&amp;RIGHT(AE$3,4),$3:$3,0))),
IF(LEFT(AE$3,2)="Q3",AVERAGE(AE36,INDEX(36:36,0,MATCH("Q2-"&amp;RIGHT(AE$3,4),$3:$3,0))),
IF(LEFT(AE$3,2)="Q4",AVERAGE(AE36,INDEX(36:36,0,MATCH("Q3-"&amp;RIGHT(AE$3,4),$3:$3,0))))))))), "")</f>
        <v>6.4446168498285479</v>
      </c>
      <c r="AF40" s="1261">
        <f>IFERROR((AF15-AF16)/
(IF(LEFT(AF$3,1)="F",AVERAGE(AF36,INDEX(36:36,0,MATCH("FY"&amp;RIGHT(AF$3,4)-1,$3:$3,0))),
IF(LEFT(AF$3,2)="Q1",AVERAGE(AF36,INDEX(36:36,0,MATCH("Q4-"&amp;RIGHT(AF$3,4)-1,$3:$3,0))),
IF(LEFT(AF$3,2)="Q2",AVERAGE(AF36,INDEX(36:36,0,MATCH("Q1-"&amp;RIGHT(AF$3,4),$3:$3,0))),
IF(LEFT(AF$3,2)="Q3",AVERAGE(AF36,INDEX(36:36,0,MATCH("Q2-"&amp;RIGHT(AF$3,4),$3:$3,0))),
IF(LEFT(AF$3,2)="Q4",AVERAGE(AF36,INDEX(36:36,0,MATCH("Q3-"&amp;RIGHT(AF$3,4),$3:$3,0))))))))), "")</f>
        <v>6.369639943306753</v>
      </c>
      <c r="AG40" s="1263">
        <f>IFERROR((AG15-AG16)/
(IF(LEFT(AG$3,1)="F",AVERAGE(AG36,INDEX(36:36,0,MATCH("FY"&amp;RIGHT(AG$3,4)-1,$3:$3,0))),
IF(LEFT(AG$3,2)="Q1",AVERAGE(AG36,INDEX(36:36,0,MATCH("Q4-"&amp;RIGHT(AG$3,4)-1,$3:$3,0))),
IF(LEFT(AG$3,2)="Q2",AVERAGE(AG36,INDEX(36:36,0,MATCH("Q1-"&amp;RIGHT(AG$3,4),$3:$3,0))),
IF(LEFT(AG$3,2)="Q3",AVERAGE(AG36,INDEX(36:36,0,MATCH("Q2-"&amp;RIGHT(AG$3,4),$3:$3,0))),
IF(LEFT(AG$3,2)="Q4",AVERAGE(AG36,INDEX(36:36,0,MATCH("Q3-"&amp;RIGHT(AG$3,4),$3:$3,0))))))))), "")</f>
        <v>6.294578700821237</v>
      </c>
      <c r="AH40" s="1222"/>
    </row>
    <row r="41" spans="1:34" ht="14.25" customHeight="1" x14ac:dyDescent="0.35">
      <c r="A41" s="1249"/>
      <c r="B41" s="1250"/>
      <c r="C41" s="1251"/>
      <c r="D41" s="1265"/>
      <c r="E41" s="1265"/>
      <c r="F41" s="1266"/>
      <c r="G41" s="1266"/>
      <c r="H41" s="1266"/>
      <c r="I41" s="1266"/>
      <c r="J41" s="1265"/>
      <c r="K41" s="1266"/>
      <c r="L41" s="1266"/>
      <c r="M41" s="1266"/>
      <c r="N41" s="1266"/>
      <c r="O41" s="1265"/>
      <c r="P41" s="1266"/>
      <c r="Q41" s="1266"/>
      <c r="R41" s="1266"/>
      <c r="S41" s="1266"/>
      <c r="T41" s="1265"/>
      <c r="U41" s="1266"/>
      <c r="V41" s="1266"/>
      <c r="W41" s="1266"/>
      <c r="X41" s="1266"/>
      <c r="Y41" s="1265"/>
      <c r="Z41" s="1266"/>
      <c r="AA41" s="1266"/>
      <c r="AB41" s="1266"/>
      <c r="AC41" s="1266"/>
      <c r="AD41" s="1265"/>
      <c r="AE41" s="1265"/>
      <c r="AF41" s="1265"/>
      <c r="AG41" s="1267"/>
      <c r="AH41" s="1222"/>
    </row>
    <row r="42" spans="1:34" s="1222" customFormat="1" ht="14.25" customHeight="1" x14ac:dyDescent="0.35">
      <c r="A42" s="1268" t="s">
        <v>1165</v>
      </c>
      <c r="B42" s="1269"/>
      <c r="C42" s="1270"/>
      <c r="D42" s="1271"/>
      <c r="E42" s="1271">
        <f>IFERROR(IF(LEFT(E$3,1)="F",E$32/E38,E$32/E38*4), 0)</f>
        <v>53.631029472154658</v>
      </c>
      <c r="F42" s="1272">
        <f>IFERROR(IF(LEFT(F$3,1)="F",F$32/F38,F$32/F38*4), 0)</f>
        <v>0</v>
      </c>
      <c r="G42" s="1273">
        <f>IFERROR(IF(LEFT(G$3,1)="F",G$32/G38,G$32/G38*4), 0)</f>
        <v>0</v>
      </c>
      <c r="H42" s="1273">
        <f>IFERROR(IF(LEFT(H$3,1)="F",H$32/H38,H$32/H38*4), 0)</f>
        <v>0</v>
      </c>
      <c r="I42" s="1273">
        <f>IFERROR(IF(LEFT(I$3,1)="F",I$32/I38,I$32/I38*4), 0)</f>
        <v>58.117381352052497</v>
      </c>
      <c r="J42" s="1271">
        <f>IFERROR(IF(LEFT(J$3,1)="F",J$32/J38,J$32/J38*4), 0)</f>
        <v>55.315351747291317</v>
      </c>
      <c r="K42" s="1273">
        <f>IFERROR(IF(LEFT(K$3,1)="F",K$32/K38,K$32/K38*4), 0)</f>
        <v>56.715301391035545</v>
      </c>
      <c r="L42" s="1273">
        <f>IFERROR(IF(LEFT(L$3,1)="F",L$32/L38,L$32/L38*4), 0)</f>
        <v>59.741495751766209</v>
      </c>
      <c r="M42" s="1273">
        <f>IFERROR(IF(LEFT(M$3,1)="F",M$32/M38,M$32/M38*4), 0)</f>
        <v>59.821582733812953</v>
      </c>
      <c r="N42" s="1273">
        <f>IFERROR(IF(LEFT(N$3,1)="F",N$32/N38,N$32/N38*4), 0)</f>
        <v>56.17450833955688</v>
      </c>
      <c r="O42" s="1271">
        <f>IFERROR(IF(LEFT(O$3,1)="F",O$32/O38,O$32/O38*4), 0)</f>
        <v>55.716563978093106</v>
      </c>
      <c r="P42" s="1273">
        <f>IFERROR(IF(LEFT(P$3,1)="F",P$32/P38,P$32/P38*4), 0)</f>
        <v>54.080128601459137</v>
      </c>
      <c r="Q42" s="1273">
        <f>IFERROR(IF(LEFT(Q$3,1)="F",Q$32/Q38,Q$32/Q38*4), 0)</f>
        <v>53.869167224826974</v>
      </c>
      <c r="R42" s="1273">
        <f>IFERROR(IF(LEFT(R$3,1)="F",R$32/R38,R$32/R38*4), 0)</f>
        <v>52.695761856710391</v>
      </c>
      <c r="S42" s="1273">
        <f>IFERROR(IF(LEFT(S$3,1)="F",S$32/S38,S$32/S38*4), 0)</f>
        <v>53.329356201839424</v>
      </c>
      <c r="T42" s="1271">
        <f>IFERROR(IF(LEFT(T$3,1)="F",T$32/T38,T$32/T38*4), 0)</f>
        <v>53.994780014914248</v>
      </c>
      <c r="U42" s="1273">
        <f>IFERROR(IF(LEFT(U$3,1)="F",U$32/U38,U$32/U38*4), 0)</f>
        <v>52.001213592233007</v>
      </c>
      <c r="V42" s="1273">
        <f>IFERROR(IF(LEFT(V$3,1)="F",V$32/V38,V$32/V38*4), 0)</f>
        <v>52.091252153106062</v>
      </c>
      <c r="W42" s="1273">
        <f>IFERROR(IF(LEFT(W$3,1)="F",W$32/W38,W$32/W38*4), 0)</f>
        <v>52.686180228067272</v>
      </c>
      <c r="X42" s="1273">
        <f>IFERROR(IF(LEFT(X$3,1)="F",X$32/X38,X$32/X38*4), 0)</f>
        <v>52.489958236638444</v>
      </c>
      <c r="Y42" s="1271">
        <f>IFERROR(IF(LEFT(Y$3,1)="F",Y$32/Y38,Y$32/Y38*4), 0)</f>
        <v>50.839826058250637</v>
      </c>
      <c r="Z42" s="1273">
        <f>IFERROR(IF(LEFT(Z$3,1)="F",Z$32/Z38,Z$32/Z38*4), 0)</f>
        <v>51.259404169031328</v>
      </c>
      <c r="AA42" s="1273">
        <f>IFERROR(IF(LEFT(AA$3,1)="F",AA$32/AA38,AA$32/AA38*4), 0)</f>
        <v>52.114184841313673</v>
      </c>
      <c r="AB42" s="1273">
        <f>IFERROR(IF(LEFT(AB$3,1)="F",AB$32/AB38,AB$32/AB38*4), 0)</f>
        <v>52.582410669465055</v>
      </c>
      <c r="AC42" s="1273">
        <f>IFERROR(IF(LEFT(AC$3,1)="F",AC$32/AC38,AC$32/AC38*4), 0)</f>
        <v>52.378582322298875</v>
      </c>
      <c r="AD42" s="1271">
        <f>IFERROR(IF(LEFT(AD$3,1)="F",AD$32/AD38,AD$32/AD38*4), 0)</f>
        <v>49.937535293678529</v>
      </c>
      <c r="AE42" s="1271">
        <f>IFERROR(IF(LEFT(AE$3,1)="F",AE$32/AE38,AE$32/AE38*4), 0)</f>
        <v>49.976173466282305</v>
      </c>
      <c r="AF42" s="1271">
        <f>IFERROR(IF(LEFT(AF$3,1)="F",AF$32/AF38,AF$32/AF38*4), 0)</f>
        <v>50.109250585505279</v>
      </c>
      <c r="AG42" s="1274">
        <f>IFERROR(IF(LEFT(AG$3,1)="F",AG$32/AG38,AG$32/AG38*4), 0)</f>
        <v>49.968522697516036</v>
      </c>
    </row>
    <row r="43" spans="1:34" s="1222" customFormat="1" ht="14.25" customHeight="1" x14ac:dyDescent="0.35">
      <c r="A43" s="1268" t="s">
        <v>1166</v>
      </c>
      <c r="B43" s="1269"/>
      <c r="C43" s="1270"/>
      <c r="D43" s="1271"/>
      <c r="E43" s="1271">
        <f>IFERROR(IF(LEFT(E$3,1)="F",E$32/E39,E$32/E39*4), 0)</f>
        <v>84.591247032362858</v>
      </c>
      <c r="F43" s="1272">
        <f>IFERROR(IF(LEFT(F$3,1)="F",F$32/F39,F$32/F39*4), 0)</f>
        <v>0</v>
      </c>
      <c r="G43" s="1273">
        <f>IFERROR(IF(LEFT(G$3,1)="F",G$32/G39,G$32/G39*4), 0)</f>
        <v>0</v>
      </c>
      <c r="H43" s="1273">
        <f>IFERROR(IF(LEFT(H$3,1)="F",H$32/H39,H$32/H39*4), 0)</f>
        <v>0</v>
      </c>
      <c r="I43" s="1273">
        <f>IFERROR(IF(LEFT(I$3,1)="F",I$32/I39,I$32/I39*4), 0)</f>
        <v>97.375976914752911</v>
      </c>
      <c r="J43" s="1271">
        <f>IFERROR(IF(LEFT(J$3,1)="F",J$32/J39,J$32/J39*4), 0)</f>
        <v>92.160634844294819</v>
      </c>
      <c r="K43" s="1273">
        <f>IFERROR(IF(LEFT(K$3,1)="F",K$32/K39,K$32/K39*4), 0)</f>
        <v>95.919564306661087</v>
      </c>
      <c r="L43" s="1273">
        <f>IFERROR(IF(LEFT(L$3,1)="F",L$32/L39,L$32/L39*4), 0)</f>
        <v>95.773504019053291</v>
      </c>
      <c r="M43" s="1273">
        <f>IFERROR(IF(LEFT(M$3,1)="F",M$32/M39,M$32/M39*4), 0)</f>
        <v>90.85164051355207</v>
      </c>
      <c r="N43" s="1273">
        <f>IFERROR(IF(LEFT(N$3,1)="F",N$32/N39,N$32/N39*4), 0)</f>
        <v>87.655450874831772</v>
      </c>
      <c r="O43" s="1271">
        <f>IFERROR(IF(LEFT(O$3,1)="F",O$32/O39,O$32/O39*4), 0)</f>
        <v>90.77476739423021</v>
      </c>
      <c r="P43" s="1273">
        <f>IFERROR(IF(LEFT(P$3,1)="F",P$32/P39,P$32/P39*4), 0)</f>
        <v>89.997749881572716</v>
      </c>
      <c r="Q43" s="1273">
        <f>IFERROR(IF(LEFT(Q$3,1)="F",Q$32/Q39,Q$32/Q39*4), 0)</f>
        <v>93.172354844618113</v>
      </c>
      <c r="R43" s="1273">
        <f>IFERROR(IF(LEFT(R$3,1)="F",R$32/R39,R$32/R39*4), 0)</f>
        <v>90.945734554053232</v>
      </c>
      <c r="S43" s="1273">
        <f>IFERROR(IF(LEFT(S$3,1)="F",S$32/S39,S$32/S39*4), 0)</f>
        <v>91.39426155240109</v>
      </c>
      <c r="T43" s="1271">
        <f>IFERROR(IF(LEFT(T$3,1)="F",T$32/T39,T$32/T39*4), 0)</f>
        <v>92.555662941709457</v>
      </c>
      <c r="U43" s="1273">
        <f>IFERROR(IF(LEFT(U$3,1)="F",U$32/U39,U$32/U39*4), 0)</f>
        <v>92.243238465617821</v>
      </c>
      <c r="V43" s="1273">
        <f>IFERROR(IF(LEFT(V$3,1)="F",V$32/V39,V$32/V39*4), 0)</f>
        <v>94.373301487038546</v>
      </c>
      <c r="W43" s="1273">
        <f>IFERROR(IF(LEFT(W$3,1)="F",W$32/W39,W$32/W39*4), 0)</f>
        <v>92.299780312762962</v>
      </c>
      <c r="X43" s="1273">
        <f>IFERROR(IF(LEFT(X$3,1)="F",X$32/X39,X$32/X39*4), 0)</f>
        <v>92.132172635880295</v>
      </c>
      <c r="Y43" s="1271">
        <f>IFERROR(IF(LEFT(Y$3,1)="F",Y$32/Y39,Y$32/Y39*4), 0)</f>
        <v>91.242185018096706</v>
      </c>
      <c r="Z43" s="1273">
        <f>IFERROR(IF(LEFT(Z$3,1)="F",Z$32/Z39,Z$32/Z39*4), 0)</f>
        <v>93.807088215823867</v>
      </c>
      <c r="AA43" s="1273">
        <f>IFERROR(IF(LEFT(AA$3,1)="F",AA$32/AA39,AA$32/AA39*4), 0)</f>
        <v>96.340440013858512</v>
      </c>
      <c r="AB43" s="1273">
        <f>IFERROR(IF(LEFT(AB$3,1)="F",AB$32/AB39,AB$32/AB39*4), 0)</f>
        <v>93.498219441075676</v>
      </c>
      <c r="AC43" s="1273">
        <f>IFERROR(IF(LEFT(AC$3,1)="F",AC$32/AC39,AC$32/AC39*4), 0)</f>
        <v>93.386128725914261</v>
      </c>
      <c r="AD43" s="1271">
        <f>IFERROR(IF(LEFT(AD$3,1)="F",AD$32/AD39,AD$32/AD39*4), 0)</f>
        <v>92.589959125127933</v>
      </c>
      <c r="AE43" s="1271">
        <f>IFERROR(IF(LEFT(AE$3,1)="F",AE$32/AE39,AE$32/AE39*4), 0)</f>
        <v>93.745320911126612</v>
      </c>
      <c r="AF43" s="1271">
        <f>IFERROR(IF(LEFT(AF$3,1)="F",AF$32/AF39,AF$32/AF39*4), 0)</f>
        <v>95.108654953175787</v>
      </c>
      <c r="AG43" s="1274">
        <f>IFERROR(IF(LEFT(AG$3,1)="F",AG$32/AG39,AG$32/AG39*4), 0)</f>
        <v>95.979842885689678</v>
      </c>
    </row>
    <row r="44" spans="1:34" s="1222" customFormat="1" ht="14.25" customHeight="1" x14ac:dyDescent="0.35">
      <c r="A44" s="1275" t="s">
        <v>1167</v>
      </c>
      <c r="B44" s="1276"/>
      <c r="C44" s="1277"/>
      <c r="D44" s="1278"/>
      <c r="E44" s="1278">
        <f>IFERROR(IF(LEFT(E$3,1)="F",E$32/E40,E$32/E40*4), 0)</f>
        <v>42.677589653879792</v>
      </c>
      <c r="F44" s="1279">
        <f>IFERROR(IF(LEFT(F$3,1)="F",F$32/F40,F$32/F40*4), 0)</f>
        <v>0</v>
      </c>
      <c r="G44" s="1280">
        <f>IFERROR(IF(LEFT(G$3,1)="F",G$32/G40,G$32/G40*4), 0)</f>
        <v>0</v>
      </c>
      <c r="H44" s="1280">
        <f>IFERROR(IF(LEFT(H$3,1)="F",H$32/H40,H$32/H40*4), 0)</f>
        <v>0</v>
      </c>
      <c r="I44" s="1280">
        <f>IFERROR(IF(LEFT(I$3,1)="F",I$32/I40,I$32/I40*4), 0)</f>
        <v>47.509919442106529</v>
      </c>
      <c r="J44" s="1278">
        <f>IFERROR(IF(LEFT(J$3,1)="F",J$32/J40,J$32/J40*4), 0)</f>
        <v>46.201003967776842</v>
      </c>
      <c r="K44" s="1280">
        <f>IFERROR(IF(LEFT(K$3,1)="F",K$32/K40,K$32/K40*4), 0)</f>
        <v>49.284816565922561</v>
      </c>
      <c r="L44" s="1280">
        <f>IFERROR(IF(LEFT(L$3,1)="F",L$32/L40,L$32/L40*4), 0)</f>
        <v>48.10348317951771</v>
      </c>
      <c r="M44" s="1280">
        <f>IFERROR(IF(LEFT(M$3,1)="F",M$32/M40,M$32/M40*4), 0)</f>
        <v>46.03281027104137</v>
      </c>
      <c r="N44" s="1280">
        <f>IFERROR(IF(LEFT(N$3,1)="F",N$32/N40,N$32/N40*4), 0)</f>
        <v>46.374158815612383</v>
      </c>
      <c r="O44" s="1278">
        <f>IFERROR(IF(LEFT(O$3,1)="F",O$32/O40,O$32/O40*4), 0)</f>
        <v>47.993153490549481</v>
      </c>
      <c r="P44" s="1280">
        <f>IFERROR(IF(LEFT(P$3,1)="F",P$32/P40,P$32/P40*4), 0)</f>
        <v>47.795476077688299</v>
      </c>
      <c r="Q44" s="1280">
        <f>IFERROR(IF(LEFT(Q$3,1)="F",Q$32/Q40,Q$32/Q40*4), 0)</f>
        <v>46.469503632700409</v>
      </c>
      <c r="R44" s="1280">
        <f>IFERROR(IF(LEFT(R$3,1)="F",R$32/R40,R$32/R40*4), 0)</f>
        <v>46.666585824289093</v>
      </c>
      <c r="S44" s="1280">
        <f>IFERROR(IF(LEFT(S$3,1)="F",S$32/S40,S$32/S40*4), 0)</f>
        <v>53.004892781636968</v>
      </c>
      <c r="T44" s="1278">
        <f>IFERROR(IF(LEFT(T$3,1)="F",T$32/T40,T$32/T40*4), 0)</f>
        <v>52.937903956508606</v>
      </c>
      <c r="U44" s="1280">
        <f>IFERROR(IF(LEFT(U$3,1)="F",U$32/U40,U$32/U40*4), 0)</f>
        <v>55.481704083436455</v>
      </c>
      <c r="V44" s="1280">
        <f>IFERROR(IF(LEFT(V$3,1)="F",V$32/V40,V$32/V40*4), 0)</f>
        <v>50.627748070296079</v>
      </c>
      <c r="W44" s="1280">
        <f>IFERROR(IF(LEFT(W$3,1)="F",W$32/W40,W$32/W40*4), 0)</f>
        <v>47.362067971032303</v>
      </c>
      <c r="X44" s="1280">
        <f>IFERROR(IF(LEFT(X$3,1)="F",X$32/X40,X$32/X40*4), 0)</f>
        <v>53.429351714035697</v>
      </c>
      <c r="Y44" s="1278">
        <f>IFERROR(IF(LEFT(Y$3,1)="F",Y$32/Y40,Y$32/Y40*4), 0)</f>
        <v>55.124141503030373</v>
      </c>
      <c r="Z44" s="1280">
        <f>IFERROR(IF(LEFT(Z$3,1)="F",Z$32/Z40,Z$32/Z40*4), 0)</f>
        <v>56.422990270393868</v>
      </c>
      <c r="AA44" s="1280">
        <f>IFERROR(IF(LEFT(AA$3,1)="F",AA$32/AA40,AA$32/AA40*4), 0)</f>
        <v>51.685679221835478</v>
      </c>
      <c r="AB44" s="1280">
        <f>IFERROR(IF(LEFT(AB$3,1)="F",AB$32/AB40,AB$32/AB40*4), 0)</f>
        <v>47.984575923730574</v>
      </c>
      <c r="AC44" s="1280">
        <f>IFERROR(IF(LEFT(AC$3,1)="F",AC$32/AC40,AC$32/AC40*4), 0)</f>
        <v>54.161450245687796</v>
      </c>
      <c r="AD44" s="1278">
        <f>IFERROR(IF(LEFT(AD$3,1)="F",AD$32/AD40,AD$32/AD40*4), 0)</f>
        <v>55.938401821055123</v>
      </c>
      <c r="AE44" s="1278">
        <f>IFERROR(IF(LEFT(AE$3,1)="F",AE$32/AE40,AE$32/AE40*4), 0)</f>
        <v>56.636415865391662</v>
      </c>
      <c r="AF44" s="1278">
        <f>IFERROR(IF(LEFT(AF$3,1)="F",AF$32/AF40,AF$32/AF40*4), 0)</f>
        <v>57.460076748073412</v>
      </c>
      <c r="AG44" s="1281">
        <f>IFERROR(IF(LEFT(AG$3,1)="F",AG$32/AG40,AG$32/AG40*4), 0)</f>
        <v>57.986406612467874</v>
      </c>
    </row>
    <row r="45" spans="1:34" s="1289" customFormat="1" ht="14.25" customHeight="1" x14ac:dyDescent="0.35">
      <c r="A45" s="1282" t="s">
        <v>1168</v>
      </c>
      <c r="B45" s="1283"/>
      <c r="C45" s="1284"/>
      <c r="D45" s="1285"/>
      <c r="E45" s="1285">
        <f>IFERROR(IF(AND(E42=0,E43=0,E44=0),"",E42+E43-E44), "")</f>
        <v>95.544686850637717</v>
      </c>
      <c r="F45" s="1286" t="str">
        <f>IFERROR(IF(AND(F42=0,F43=0,F44=0),"",F42+F43-F44), "")</f>
        <v/>
      </c>
      <c r="G45" s="1287" t="str">
        <f>IFERROR(IF(AND(G42=0,G43=0,G44=0),"",G42+G43-G44), "")</f>
        <v/>
      </c>
      <c r="H45" s="1287" t="str">
        <f>IFERROR(IF(AND(H42=0,H43=0,H44=0),"",H42+H43-H44), "")</f>
        <v/>
      </c>
      <c r="I45" s="1287">
        <f>IFERROR(IF(AND(I42=0,I43=0,I44=0),"",I42+I43-I44), "")</f>
        <v>107.98343882469888</v>
      </c>
      <c r="J45" s="1285">
        <f>IFERROR(IF(AND(J42=0,J43=0,J44=0),"",J42+J43-J44), "")</f>
        <v>101.27498262380931</v>
      </c>
      <c r="K45" s="1287">
        <f>IFERROR(IF(AND(K42=0,K43=0,K44=0),"",K42+K43-K44), "")</f>
        <v>103.35004913177406</v>
      </c>
      <c r="L45" s="1287">
        <f>IFERROR(IF(AND(L42=0,L43=0,L44=0),"",L42+L43-L44), "")</f>
        <v>107.41151659130178</v>
      </c>
      <c r="M45" s="1287">
        <f>IFERROR(IF(AND(M42=0,M43=0,M44=0),"",M42+M43-M44), "")</f>
        <v>104.64041297632366</v>
      </c>
      <c r="N45" s="1287">
        <f>IFERROR(IF(AND(N42=0,N43=0,N44=0),"",N42+N43-N44), "")</f>
        <v>97.455800398776262</v>
      </c>
      <c r="O45" s="1285">
        <f>IFERROR(IF(AND(O42=0,O43=0,O44=0),"",O42+O43-O44), "")</f>
        <v>98.498177881773842</v>
      </c>
      <c r="P45" s="1287">
        <f>IFERROR(IF(AND(P42=0,P43=0,P44=0),"",P42+P43-P44), "")</f>
        <v>96.282402405343532</v>
      </c>
      <c r="Q45" s="1287">
        <f>IFERROR(IF(AND(Q42=0,Q43=0,Q44=0),"",Q42+Q43-Q44), "")</f>
        <v>100.57201843674467</v>
      </c>
      <c r="R45" s="1287">
        <f>IFERROR(IF(AND(R42=0,R43=0,R44=0),"",R42+R43-R44), "")</f>
        <v>96.97491058647455</v>
      </c>
      <c r="S45" s="1287">
        <f>IFERROR(IF(AND(S42=0,S43=0,S44=0),"",S42+S43-S44), "")</f>
        <v>91.718724972603539</v>
      </c>
      <c r="T45" s="1285">
        <f>IFERROR(IF(AND(T42=0,T43=0,T44=0),"",T42+T43-T44), "")</f>
        <v>93.612539000115092</v>
      </c>
      <c r="U45" s="1287">
        <f>IFERROR(IF(AND(U42=0,U43=0,U44=0),"",U42+U43-U44), "")</f>
        <v>88.762747974414367</v>
      </c>
      <c r="V45" s="1287">
        <f>IFERROR(IF(AND(V42=0,V43=0,V44=0),"",V42+V43-V44), "")</f>
        <v>95.836805569848522</v>
      </c>
      <c r="W45" s="1287">
        <f>IFERROR(IF(AND(W42=0,W43=0,W44=0),"",W42+W43-W44), "")</f>
        <v>97.623892569797931</v>
      </c>
      <c r="X45" s="1287">
        <f>IFERROR(IF(AND(X42=0,X43=0,X44=0),"",X42+X43-X44), "")</f>
        <v>91.192779158483035</v>
      </c>
      <c r="Y45" s="1285">
        <f>IFERROR(IF(AND(Y42=0,Y43=0,Y44=0),"",Y42+Y43-Y44), "")</f>
        <v>86.957869573316955</v>
      </c>
      <c r="Z45" s="1287">
        <f>IFERROR(IF(AND(Z42=0,Z43=0,Z44=0),"",Z42+Z43-Z44), "")</f>
        <v>88.643502114461327</v>
      </c>
      <c r="AA45" s="1287">
        <f>IFERROR(IF(AND(AA42=0,AA43=0,AA44=0),"",AA42+AA43-AA44), "")</f>
        <v>96.768945633336727</v>
      </c>
      <c r="AB45" s="1287">
        <f>IFERROR(IF(AND(AB42=0,AB43=0,AB44=0),"",AB42+AB43-AB44), "")</f>
        <v>98.096054186810164</v>
      </c>
      <c r="AC45" s="1287">
        <f>IFERROR(IF(AND(AC42=0,AC43=0,AC44=0),"",AC42+AC43-AC44), "")</f>
        <v>91.603260802525341</v>
      </c>
      <c r="AD45" s="1285">
        <f>IFERROR(IF(AND(AD42=0,AD43=0,AD44=0),"",AD42+AD43-AD44), "")</f>
        <v>86.589092597751346</v>
      </c>
      <c r="AE45" s="1285">
        <f>IFERROR(IF(AND(AE42=0,AE43=0,AE44=0),"",AE42+AE43-AE44), "")</f>
        <v>87.085078512017276</v>
      </c>
      <c r="AF45" s="1285">
        <f>IFERROR(IF(AND(AF42=0,AF43=0,AF44=0),"",AF42+AF43-AF44), "")</f>
        <v>87.757828790607647</v>
      </c>
      <c r="AG45" s="1288">
        <f>IFERROR(IF(AND(AG42=0,AG43=0,AG44=0),"",AG42+AG43-AG44), "")</f>
        <v>87.96195897073784</v>
      </c>
      <c r="AH45" s="1222"/>
    </row>
    <row r="46" spans="1:34" ht="14.25" customHeight="1" x14ac:dyDescent="0.35">
      <c r="A46" s="1249"/>
      <c r="B46" s="1250"/>
      <c r="C46" s="1251"/>
      <c r="D46" s="1265"/>
      <c r="E46" s="1265"/>
      <c r="F46" s="1266"/>
      <c r="G46" s="1266"/>
      <c r="H46" s="1266"/>
      <c r="I46" s="1266"/>
      <c r="J46" s="1265"/>
      <c r="K46" s="1266"/>
      <c r="L46" s="1266"/>
      <c r="M46" s="1266"/>
      <c r="N46" s="1266"/>
      <c r="O46" s="1265"/>
      <c r="P46" s="1266"/>
      <c r="Q46" s="1266"/>
      <c r="R46" s="1266"/>
      <c r="S46" s="1266"/>
      <c r="T46" s="1265"/>
      <c r="U46" s="1266"/>
      <c r="V46" s="1266"/>
      <c r="W46" s="1266"/>
      <c r="X46" s="1266"/>
      <c r="Y46" s="1265"/>
      <c r="Z46" s="1266"/>
      <c r="AA46" s="1266"/>
      <c r="AB46" s="1266"/>
      <c r="AC46" s="1266"/>
      <c r="AD46" s="1265"/>
      <c r="AE46" s="1265"/>
      <c r="AF46" s="1265"/>
      <c r="AG46" s="1267"/>
      <c r="AH46" s="1222"/>
    </row>
    <row r="47" spans="1:34" ht="14.25" customHeight="1" x14ac:dyDescent="0.35">
      <c r="A47" s="1210" t="s">
        <v>1169</v>
      </c>
      <c r="B47" s="1211"/>
      <c r="C47" s="1212"/>
      <c r="D47" s="1213"/>
      <c r="E47" s="1213"/>
      <c r="F47" s="1214"/>
      <c r="G47" s="1213"/>
      <c r="H47" s="1213"/>
      <c r="I47" s="1213"/>
      <c r="J47" s="1213"/>
      <c r="K47" s="1213"/>
      <c r="L47" s="1213"/>
      <c r="M47" s="1213"/>
      <c r="N47" s="1213"/>
      <c r="O47" s="1213"/>
      <c r="P47" s="1213"/>
      <c r="Q47" s="1213"/>
      <c r="R47" s="1213"/>
      <c r="S47" s="1213"/>
      <c r="T47" s="1213"/>
      <c r="U47" s="1213"/>
      <c r="V47" s="1213"/>
      <c r="W47" s="1213"/>
      <c r="X47" s="1213"/>
      <c r="Y47" s="1213"/>
      <c r="Z47" s="1213"/>
      <c r="AA47" s="1213"/>
      <c r="AB47" s="1213"/>
      <c r="AC47" s="1213"/>
      <c r="AD47" s="1213"/>
      <c r="AE47" s="1213"/>
      <c r="AF47" s="1213"/>
      <c r="AG47" s="1215"/>
      <c r="AH47" s="1222"/>
    </row>
    <row r="48" spans="1:34" s="1222" customFormat="1" ht="14.25" customHeight="1" outlineLevel="1" x14ac:dyDescent="0.35">
      <c r="A48" s="1216" t="s">
        <v>65</v>
      </c>
      <c r="B48" s="1217"/>
      <c r="C48" s="1218"/>
      <c r="D48" s="1219">
        <f>IFERROR(INDEX(MO_RIS_DA,0,MATCH(D$3,MO_Common_ColumnHeader,0)),0)+IFERROR(INDEX(MO_RIS_DA_operating,0,MATCH(D$3,MO_Common_ColumnHeader,0)),0)+IFERROR(INDEX(MO_RIS_DAintangibles_operating,0,MATCH(D$3,MO_Common_ColumnHeader,0)),0)+IFERROR(INDEX(MO_RIS_DAintangibles,0,MATCH(D$3,MO_Common_ColumnHeader,0)),0)+IFERROR(INDEX(MO_RIS_DAintangible,0,MATCH(D$3,MO_Common_ColumnHeader,0)),0)</f>
        <v>1474</v>
      </c>
      <c r="E48" s="1219">
        <f>IFERROR(INDEX(MO_RIS_DA,0,MATCH(E$3,MO_Common_ColumnHeader,0)),0)+IFERROR(INDEX(MO_RIS_DA_operating,0,MATCH(E$3,MO_Common_ColumnHeader,0)),0)+IFERROR(INDEX(MO_RIS_DAintangibles_operating,0,MATCH(E$3,MO_Common_ColumnHeader,0)),0)+IFERROR(INDEX(MO_RIS_DAintangibles,0,MATCH(E$3,MO_Common_ColumnHeader,0)),0)+IFERROR(INDEX(MO_RIS_DAintangible,0,MATCH(E$3,MO_Common_ColumnHeader,0)),0)</f>
        <v>1544</v>
      </c>
      <c r="F48" s="1220">
        <f>IFERROR(INDEX(MO_RIS_DA,0,MATCH(F$3,MO_Common_ColumnHeader,0)),0)+IFERROR(INDEX(MO_RIS_DA_operating,0,MATCH(F$3,MO_Common_ColumnHeader,0)),0)+IFERROR(INDEX(MO_RIS_DAintangibles_operating,0,MATCH(F$3,MO_Common_ColumnHeader,0)),0)+IFERROR(INDEX(MO_RIS_DAintangibles,0,MATCH(F$3,MO_Common_ColumnHeader,0)),0)+IFERROR(INDEX(MO_RIS_DAintangible,0,MATCH(F$3,MO_Common_ColumnHeader,0)),0)</f>
        <v>382</v>
      </c>
      <c r="G48" s="1220">
        <f>IFERROR(INDEX(MO_RIS_DA,0,MATCH(G$3,MO_Common_ColumnHeader,0)),0)+IFERROR(INDEX(MO_RIS_DA_operating,0,MATCH(G$3,MO_Common_ColumnHeader,0)),0)+IFERROR(INDEX(MO_RIS_DAintangibles_operating,0,MATCH(G$3,MO_Common_ColumnHeader,0)),0)+IFERROR(INDEX(MO_RIS_DAintangibles,0,MATCH(G$3,MO_Common_ColumnHeader,0)),0)+IFERROR(INDEX(MO_RIS_DAintangible,0,MATCH(G$3,MO_Common_ColumnHeader,0)),0)</f>
        <v>380</v>
      </c>
      <c r="H48" s="1220">
        <f>IFERROR(INDEX(MO_RIS_DA,0,MATCH(H$3,MO_Common_ColumnHeader,0)),0)+IFERROR(INDEX(MO_RIS_DA_operating,0,MATCH(H$3,MO_Common_ColumnHeader,0)),0)+IFERROR(INDEX(MO_RIS_DAintangibles_operating,0,MATCH(H$3,MO_Common_ColumnHeader,0)),0)+IFERROR(INDEX(MO_RIS_DAintangibles,0,MATCH(H$3,MO_Common_ColumnHeader,0)),0)+IFERROR(INDEX(MO_RIS_DAintangible,0,MATCH(H$3,MO_Common_ColumnHeader,0)),0)</f>
        <v>355</v>
      </c>
      <c r="I48" s="1220">
        <f>IFERROR(INDEX(MO_RIS_DA,0,MATCH(I$3,MO_Common_ColumnHeader,0)),0)+IFERROR(INDEX(MO_RIS_DA_operating,0,MATCH(I$3,MO_Common_ColumnHeader,0)),0)+IFERROR(INDEX(MO_RIS_DAintangibles_operating,0,MATCH(I$3,MO_Common_ColumnHeader,0)),0)+IFERROR(INDEX(MO_RIS_DAintangibles,0,MATCH(I$3,MO_Common_ColumnHeader,0)),0)+IFERROR(INDEX(MO_RIS_DAintangible,0,MATCH(I$3,MO_Common_ColumnHeader,0)),0)</f>
        <v>371</v>
      </c>
      <c r="J48" s="1219">
        <f>IFERROR(INDEX(MO_RIS_DA,0,MATCH(J$3,MO_Common_ColumnHeader,0)),0)+IFERROR(INDEX(MO_RIS_DA_operating,0,MATCH(J$3,MO_Common_ColumnHeader,0)),0)+IFERROR(INDEX(MO_RIS_DAintangibles_operating,0,MATCH(J$3,MO_Common_ColumnHeader,0)),0)+IFERROR(INDEX(MO_RIS_DAintangibles,0,MATCH(J$3,MO_Common_ColumnHeader,0)),0)+IFERROR(INDEX(MO_RIS_DAintangible,0,MATCH(J$3,MO_Common_ColumnHeader,0)),0)</f>
        <v>1488</v>
      </c>
      <c r="K48" s="1220">
        <f>IFERROR(INDEX(MO_RIS_DA,0,MATCH(K$3,MO_Common_ColumnHeader,0)),0)+IFERROR(INDEX(MO_RIS_DA_operating,0,MATCH(K$3,MO_Common_ColumnHeader,0)),0)+IFERROR(INDEX(MO_RIS_DAintangibles_operating,0,MATCH(K$3,MO_Common_ColumnHeader,0)),0)+IFERROR(INDEX(MO_RIS_DAintangibles,0,MATCH(K$3,MO_Common_ColumnHeader,0)),0)+IFERROR(INDEX(MO_RIS_DAintangible,0,MATCH(K$3,MO_Common_ColumnHeader,0)),0)</f>
        <v>375</v>
      </c>
      <c r="L48" s="1220">
        <f>IFERROR(INDEX(MO_RIS_DA,0,MATCH(L$3,MO_Common_ColumnHeader,0)),0)+IFERROR(INDEX(MO_RIS_DA_operating,0,MATCH(L$3,MO_Common_ColumnHeader,0)),0)+IFERROR(INDEX(MO_RIS_DAintangibles_operating,0,MATCH(L$3,MO_Common_ColumnHeader,0)),0)+IFERROR(INDEX(MO_RIS_DAintangibles,0,MATCH(L$3,MO_Common_ColumnHeader,0)),0)+IFERROR(INDEX(MO_RIS_DAintangible,0,MATCH(L$3,MO_Common_ColumnHeader,0)),0)</f>
        <v>376</v>
      </c>
      <c r="M48" s="1220">
        <f>IFERROR(INDEX(MO_RIS_DA,0,MATCH(M$3,MO_Common_ColumnHeader,0)),0)+IFERROR(INDEX(MO_RIS_DA_operating,0,MATCH(M$3,MO_Common_ColumnHeader,0)),0)+IFERROR(INDEX(MO_RIS_DAintangibles_operating,0,MATCH(M$3,MO_Common_ColumnHeader,0)),0)+IFERROR(INDEX(MO_RIS_DAintangibles,0,MATCH(M$3,MO_Common_ColumnHeader,0)),0)+IFERROR(INDEX(MO_RIS_DAintangible,0,MATCH(M$3,MO_Common_ColumnHeader,0)),0)</f>
        <v>379</v>
      </c>
      <c r="N48" s="1220">
        <f>IFERROR(INDEX(MO_RIS_DA,0,MATCH(N$3,MO_Common_ColumnHeader,0)),0)+IFERROR(INDEX(MO_RIS_DA_operating,0,MATCH(N$3,MO_Common_ColumnHeader,0)),0)+IFERROR(INDEX(MO_RIS_DAintangibles_operating,0,MATCH(N$3,MO_Common_ColumnHeader,0)),0)+IFERROR(INDEX(MO_RIS_DAintangibles,0,MATCH(N$3,MO_Common_ColumnHeader,0)),0)+IFERROR(INDEX(MO_RIS_DAintangible,0,MATCH(N$3,MO_Common_ColumnHeader,0)),0)</f>
        <v>463</v>
      </c>
      <c r="O48" s="1219">
        <f>IFERROR(INDEX(MO_RIS_DA,0,MATCH(O$3,MO_Common_ColumnHeader,0)),0)+IFERROR(INDEX(MO_RIS_DA_operating,0,MATCH(O$3,MO_Common_ColumnHeader,0)),0)+IFERROR(INDEX(MO_RIS_DAintangibles_operating,0,MATCH(O$3,MO_Common_ColumnHeader,0)),0)+IFERROR(INDEX(MO_RIS_DAintangibles,0,MATCH(O$3,MO_Common_ColumnHeader,0)),0)+IFERROR(INDEX(MO_RIS_DAintangible,0,MATCH(O$3,MO_Common_ColumnHeader,0)),0)</f>
        <v>1593</v>
      </c>
      <c r="P48" s="1220">
        <f>IFERROR(INDEX(MO_RIS_DA,0,MATCH(P$3,MO_Common_ColumnHeader,0)),0)+IFERROR(INDEX(MO_RIS_DA_operating,0,MATCH(P$3,MO_Common_ColumnHeader,0)),0)+IFERROR(INDEX(MO_RIS_DAintangibles_operating,0,MATCH(P$3,MO_Common_ColumnHeader,0)),0)+IFERROR(INDEX(MO_RIS_DAintangibles,0,MATCH(P$3,MO_Common_ColumnHeader,0)),0)+IFERROR(INDEX(MO_RIS_DAintangible,0,MATCH(P$3,MO_Common_ColumnHeader,0)),0)</f>
        <v>440</v>
      </c>
      <c r="Q48" s="1220">
        <f>IFERROR(INDEX(MO_RIS_DA,0,MATCH(Q$3,MO_Common_ColumnHeader,0)),0)+IFERROR(INDEX(MO_RIS_DA_operating,0,MATCH(Q$3,MO_Common_ColumnHeader,0)),0)+IFERROR(INDEX(MO_RIS_DAintangibles_operating,0,MATCH(Q$3,MO_Common_ColumnHeader,0)),0)+IFERROR(INDEX(MO_RIS_DAintangibles,0,MATCH(Q$3,MO_Common_ColumnHeader,0)),0)+IFERROR(INDEX(MO_RIS_DAintangible,0,MATCH(Q$3,MO_Common_ColumnHeader,0)),0)</f>
        <v>492</v>
      </c>
      <c r="R48" s="1220">
        <f>IFERROR(INDEX(MO_RIS_DA,0,MATCH(R$3,MO_Common_ColumnHeader,0)),0)+IFERROR(INDEX(MO_RIS_DA_operating,0,MATCH(R$3,MO_Common_ColumnHeader,0)),0)+IFERROR(INDEX(MO_RIS_DAintangibles_operating,0,MATCH(R$3,MO_Common_ColumnHeader,0)),0)+IFERROR(INDEX(MO_RIS_DAintangibles,0,MATCH(R$3,MO_Common_ColumnHeader,0)),0)+IFERROR(INDEX(MO_RIS_DAintangible,0,MATCH(R$3,MO_Common_ColumnHeader,0)),0)</f>
        <v>481</v>
      </c>
      <c r="S48" s="1220">
        <f>IFERROR(INDEX(MO_RIS_DA,0,MATCH(S$3,MO_Common_ColumnHeader,0)),0)+IFERROR(INDEX(MO_RIS_DA_operating,0,MATCH(S$3,MO_Common_ColumnHeader,0)),0)+IFERROR(INDEX(MO_RIS_DAintangibles_operating,0,MATCH(S$3,MO_Common_ColumnHeader,0)),0)+IFERROR(INDEX(MO_RIS_DAintangibles,0,MATCH(S$3,MO_Common_ColumnHeader,0)),0)+IFERROR(INDEX(MO_RIS_DAintangible,0,MATCH(S$3,MO_Common_ColumnHeader,0)),0)</f>
        <v>498</v>
      </c>
      <c r="T48" s="1219">
        <f>IFERROR(INDEX(MO_RIS_DA,0,MATCH(T$3,MO_Common_ColumnHeader,0)),0)+IFERROR(INDEX(MO_RIS_DA_operating,0,MATCH(T$3,MO_Common_ColumnHeader,0)),0)+IFERROR(INDEX(MO_RIS_DAintangibles_operating,0,MATCH(T$3,MO_Common_ColumnHeader,0)),0)+IFERROR(INDEX(MO_RIS_DAintangibles,0,MATCH(T$3,MO_Common_ColumnHeader,0)),0)+IFERROR(INDEX(MO_RIS_DAintangible,0,MATCH(T$3,MO_Common_ColumnHeader,0)),0)</f>
        <v>1911</v>
      </c>
      <c r="U48" s="1220">
        <f>IFERROR(INDEX(MO_RIS_DA,0,MATCH(U$3,MO_Common_ColumnHeader,0)),0)+IFERROR(INDEX(MO_RIS_DA_operating,0,MATCH(U$3,MO_Common_ColumnHeader,0)),0)+IFERROR(INDEX(MO_RIS_DAintangibles_operating,0,MATCH(U$3,MO_Common_ColumnHeader,0)),0)+IFERROR(INDEX(MO_RIS_DAintangibles,0,MATCH(U$3,MO_Common_ColumnHeader,0)),0)+IFERROR(INDEX(MO_RIS_DAintangible,0,MATCH(U$3,MO_Common_ColumnHeader,0)),0)</f>
        <v>460</v>
      </c>
      <c r="V48" s="1220">
        <f>IFERROR(INDEX(MO_RIS_DA,0,MATCH(V$3,MO_Common_ColumnHeader,0)),0)+IFERROR(INDEX(MO_RIS_DA_operating,0,MATCH(V$3,MO_Common_ColumnHeader,0)),0)+IFERROR(INDEX(MO_RIS_DAintangibles_operating,0,MATCH(V$3,MO_Common_ColumnHeader,0)),0)+IFERROR(INDEX(MO_RIS_DAintangibles,0,MATCH(V$3,MO_Common_ColumnHeader,0)),0)+IFERROR(INDEX(MO_RIS_DAintangible,0,MATCH(V$3,MO_Common_ColumnHeader,0)),0)</f>
        <v>425</v>
      </c>
      <c r="W48" s="1220">
        <f>IFERROR(INDEX(MO_RIS_DA,0,MATCH(W$3,MO_Common_ColumnHeader,0)),0)+IFERROR(INDEX(MO_RIS_DA_operating,0,MATCH(W$3,MO_Common_ColumnHeader,0)),0)+IFERROR(INDEX(MO_RIS_DAintangibles_operating,0,MATCH(W$3,MO_Common_ColumnHeader,0)),0)+IFERROR(INDEX(MO_RIS_DAintangibles,0,MATCH(W$3,MO_Common_ColumnHeader,0)),0)+IFERROR(INDEX(MO_RIS_DAintangible,0,MATCH(W$3,MO_Common_ColumnHeader,0)),0)</f>
        <v>425</v>
      </c>
      <c r="X48" s="1220">
        <f>IFERROR(INDEX(MO_RIS_DA,0,MATCH(X$3,MO_Common_ColumnHeader,0)),0)+IFERROR(INDEX(MO_RIS_DA_operating,0,MATCH(X$3,MO_Common_ColumnHeader,0)),0)+IFERROR(INDEX(MO_RIS_DAintangibles_operating,0,MATCH(X$3,MO_Common_ColumnHeader,0)),0)+IFERROR(INDEX(MO_RIS_DAintangibles,0,MATCH(X$3,MO_Common_ColumnHeader,0)),0)+IFERROR(INDEX(MO_RIS_DAintangible,0,MATCH(X$3,MO_Common_ColumnHeader,0)),0)</f>
        <v>425</v>
      </c>
      <c r="Y48" s="1219">
        <f>IFERROR(INDEX(MO_RIS_DA,0,MATCH(Y$3,MO_Common_ColumnHeader,0)),0)+IFERROR(INDEX(MO_RIS_DA_operating,0,MATCH(Y$3,MO_Common_ColumnHeader,0)),0)+IFERROR(INDEX(MO_RIS_DAintangibles_operating,0,MATCH(Y$3,MO_Common_ColumnHeader,0)),0)+IFERROR(INDEX(MO_RIS_DAintangibles,0,MATCH(Y$3,MO_Common_ColumnHeader,0)),0)+IFERROR(INDEX(MO_RIS_DAintangible,0,MATCH(Y$3,MO_Common_ColumnHeader,0)),0)</f>
        <v>1735</v>
      </c>
      <c r="Z48" s="1220">
        <f>IFERROR(INDEX(MO_RIS_DA,0,MATCH(Z$3,MO_Common_ColumnHeader,0)),0)+IFERROR(INDEX(MO_RIS_DA_operating,0,MATCH(Z$3,MO_Common_ColumnHeader,0)),0)+IFERROR(INDEX(MO_RIS_DAintangibles_operating,0,MATCH(Z$3,MO_Common_ColumnHeader,0)),0)+IFERROR(INDEX(MO_RIS_DAintangibles,0,MATCH(Z$3,MO_Common_ColumnHeader,0)),0)+IFERROR(INDEX(MO_RIS_DAintangible,0,MATCH(Z$3,MO_Common_ColumnHeader,0)),0)</f>
        <v>425</v>
      </c>
      <c r="AA48" s="1220">
        <f>IFERROR(INDEX(MO_RIS_DA,0,MATCH(AA$3,MO_Common_ColumnHeader,0)),0)+IFERROR(INDEX(MO_RIS_DA_operating,0,MATCH(AA$3,MO_Common_ColumnHeader,0)),0)+IFERROR(INDEX(MO_RIS_DAintangibles_operating,0,MATCH(AA$3,MO_Common_ColumnHeader,0)),0)+IFERROR(INDEX(MO_RIS_DAintangibles,0,MATCH(AA$3,MO_Common_ColumnHeader,0)),0)+IFERROR(INDEX(MO_RIS_DAintangible,0,MATCH(AA$3,MO_Common_ColumnHeader,0)),0)</f>
        <v>425</v>
      </c>
      <c r="AB48" s="1220">
        <f>IFERROR(INDEX(MO_RIS_DA,0,MATCH(AB$3,MO_Common_ColumnHeader,0)),0)+IFERROR(INDEX(MO_RIS_DA_operating,0,MATCH(AB$3,MO_Common_ColumnHeader,0)),0)+IFERROR(INDEX(MO_RIS_DAintangibles_operating,0,MATCH(AB$3,MO_Common_ColumnHeader,0)),0)+IFERROR(INDEX(MO_RIS_DAintangibles,0,MATCH(AB$3,MO_Common_ColumnHeader,0)),0)+IFERROR(INDEX(MO_RIS_DAintangible,0,MATCH(AB$3,MO_Common_ColumnHeader,0)),0)</f>
        <v>425</v>
      </c>
      <c r="AC48" s="1220">
        <f>IFERROR(INDEX(MO_RIS_DA,0,MATCH(AC$3,MO_Common_ColumnHeader,0)),0)+IFERROR(INDEX(MO_RIS_DA_operating,0,MATCH(AC$3,MO_Common_ColumnHeader,0)),0)+IFERROR(INDEX(MO_RIS_DAintangibles_operating,0,MATCH(AC$3,MO_Common_ColumnHeader,0)),0)+IFERROR(INDEX(MO_RIS_DAintangibles,0,MATCH(AC$3,MO_Common_ColumnHeader,0)),0)+IFERROR(INDEX(MO_RIS_DAintangible,0,MATCH(AC$3,MO_Common_ColumnHeader,0)),0)</f>
        <v>425</v>
      </c>
      <c r="AD48" s="1219">
        <f>IFERROR(INDEX(MO_RIS_DA,0,MATCH(AD$3,MO_Common_ColumnHeader,0)),0)+IFERROR(INDEX(MO_RIS_DA_operating,0,MATCH(AD$3,MO_Common_ColumnHeader,0)),0)+IFERROR(INDEX(MO_RIS_DAintangibles_operating,0,MATCH(AD$3,MO_Common_ColumnHeader,0)),0)+IFERROR(INDEX(MO_RIS_DAintangibles,0,MATCH(AD$3,MO_Common_ColumnHeader,0)),0)+IFERROR(INDEX(MO_RIS_DAintangible,0,MATCH(AD$3,MO_Common_ColumnHeader,0)),0)</f>
        <v>1700</v>
      </c>
      <c r="AE48" s="1219">
        <f>IFERROR(INDEX(MO_RIS_DA,0,MATCH(AE$3,MO_Common_ColumnHeader,0)),0)+IFERROR(INDEX(MO_RIS_DA_operating,0,MATCH(AE$3,MO_Common_ColumnHeader,0)),0)+IFERROR(INDEX(MO_RIS_DAintangibles_operating,0,MATCH(AE$3,MO_Common_ColumnHeader,0)),0)+IFERROR(INDEX(MO_RIS_DAintangibles,0,MATCH(AE$3,MO_Common_ColumnHeader,0)),0)+IFERROR(INDEX(MO_RIS_DAintangible,0,MATCH(AE$3,MO_Common_ColumnHeader,0)),0)</f>
        <v>1700</v>
      </c>
      <c r="AF48" s="1219">
        <f>IFERROR(INDEX(MO_RIS_DA,0,MATCH(AF$3,MO_Common_ColumnHeader,0)),0)+IFERROR(INDEX(MO_RIS_DA_operating,0,MATCH(AF$3,MO_Common_ColumnHeader,0)),0)+IFERROR(INDEX(MO_RIS_DAintangibles_operating,0,MATCH(AF$3,MO_Common_ColumnHeader,0)),0)+IFERROR(INDEX(MO_RIS_DAintangibles,0,MATCH(AF$3,MO_Common_ColumnHeader,0)),0)+IFERROR(INDEX(MO_RIS_DAintangible,0,MATCH(AF$3,MO_Common_ColumnHeader,0)),0)</f>
        <v>1700</v>
      </c>
      <c r="AG48" s="1221">
        <f>IFERROR(INDEX(MO_RIS_DA,0,MATCH(AG$3,MO_Common_ColumnHeader,0)),0)+IFERROR(INDEX(MO_RIS_DA_operating,0,MATCH(AG$3,MO_Common_ColumnHeader,0)),0)+IFERROR(INDEX(MO_RIS_DAintangibles_operating,0,MATCH(AG$3,MO_Common_ColumnHeader,0)),0)+IFERROR(INDEX(MO_RIS_DAintangibles,0,MATCH(AG$3,MO_Common_ColumnHeader,0)),0)+IFERROR(INDEX(MO_RIS_DAintangible,0,MATCH(AG$3,MO_Common_ColumnHeader,0)),0)</f>
        <v>1700</v>
      </c>
    </row>
    <row r="49" spans="1:34" s="1222" customFormat="1" ht="14.25" customHeight="1" outlineLevel="1" x14ac:dyDescent="0.35">
      <c r="A49" s="1216" t="s">
        <v>1170</v>
      </c>
      <c r="B49" s="1217"/>
      <c r="C49" s="1218"/>
      <c r="D49" s="1219">
        <f>IFERROR(INDEX(MO_CFSum_Capex,0,MATCH(D$3,MO_Common_ColumnHeader,0)),IFERROR(INDEX(MO_CFS_Capex,0,MATCH(D$3,MO_Common_ColumnHeader,0)),0))</f>
        <v>-1420</v>
      </c>
      <c r="E49" s="1219">
        <f>IFERROR(INDEX(MO_CFSum_Capex,0,MATCH(E$3,MO_Common_ColumnHeader,0)),IFERROR(INDEX(MO_CFS_Capex,0,MATCH(E$3,MO_Common_ColumnHeader,0)),0))</f>
        <v>-1373</v>
      </c>
      <c r="F49" s="1220">
        <f>IFERROR(INDEX(MO_CFSum_Capex,0,MATCH(F$3,MO_Common_ColumnHeader,0)),IFERROR(INDEX(MO_CFS_Capex,0,MATCH(F$3,MO_Common_ColumnHeader,0)),0))</f>
        <v>-304</v>
      </c>
      <c r="G49" s="1220">
        <f>IFERROR(INDEX(MO_CFSum_Capex,0,MATCH(G$3,MO_Common_ColumnHeader,0)),IFERROR(INDEX(MO_CFS_Capex,0,MATCH(G$3,MO_Common_ColumnHeader,0)),0))</f>
        <v>-365</v>
      </c>
      <c r="H49" s="1220">
        <f>IFERROR(INDEX(MO_CFSum_Capex,0,MATCH(H$3,MO_Common_ColumnHeader,0)),IFERROR(INDEX(MO_CFS_Capex,0,MATCH(H$3,MO_Common_ColumnHeader,0)),0))</f>
        <v>-377</v>
      </c>
      <c r="I49" s="1220">
        <f>IFERROR(INDEX(MO_CFSum_Capex,0,MATCH(I$3,MO_Common_ColumnHeader,0)),IFERROR(INDEX(MO_CFS_Capex,0,MATCH(I$3,MO_Common_ColumnHeader,0)),0))</f>
        <v>-531</v>
      </c>
      <c r="J49" s="1219">
        <f>IFERROR(INDEX(MO_CFSum_Capex,0,MATCH(J$3,MO_Common_ColumnHeader,0)),IFERROR(INDEX(MO_CFS_Capex,0,MATCH(J$3,MO_Common_ColumnHeader,0)),0))</f>
        <v>-1577</v>
      </c>
      <c r="K49" s="1220">
        <f>IFERROR(INDEX(MO_CFSum_Capex,0,MATCH(K$3,MO_Common_ColumnHeader,0)),IFERROR(INDEX(MO_CFS_Capex,0,MATCH(K$3,MO_Common_ColumnHeader,0)),0))</f>
        <v>-391</v>
      </c>
      <c r="L49" s="1220">
        <f>IFERROR(INDEX(MO_CFSum_Capex,0,MATCH(L$3,MO_Common_ColumnHeader,0)),IFERROR(INDEX(MO_CFS_Capex,0,MATCH(L$3,MO_Common_ColumnHeader,0)),0))</f>
        <v>-421</v>
      </c>
      <c r="M49" s="1220">
        <f>IFERROR(INDEX(MO_CFSum_Capex,0,MATCH(M$3,MO_Common_ColumnHeader,0)),IFERROR(INDEX(MO_CFS_Capex,0,MATCH(M$3,MO_Common_ColumnHeader,0)),0))</f>
        <v>-349</v>
      </c>
      <c r="N49" s="1220">
        <f>IFERROR(INDEX(MO_CFSum_Capex,0,MATCH(N$3,MO_Common_ColumnHeader,0)),IFERROR(INDEX(MO_CFS_Capex,0,MATCH(N$3,MO_Common_ColumnHeader,0)),0))</f>
        <v>-538</v>
      </c>
      <c r="O49" s="1219">
        <f>IFERROR(INDEX(MO_CFSum_Capex,0,MATCH(O$3,MO_Common_ColumnHeader,0)),IFERROR(INDEX(MO_CFS_Capex,0,MATCH(O$3,MO_Common_ColumnHeader,0)),0))</f>
        <v>-1699</v>
      </c>
      <c r="P49" s="1220">
        <f>IFERROR(INDEX(MO_CFSum_Capex,0,MATCH(P$3,MO_Common_ColumnHeader,0)),IFERROR(INDEX(MO_CFS_Capex,0,MATCH(P$3,MO_Common_ColumnHeader,0)),0))</f>
        <v>-332</v>
      </c>
      <c r="Q49" s="1220">
        <f>IFERROR(INDEX(MO_CFSum_Capex,0,MATCH(Q$3,MO_Common_ColumnHeader,0)),IFERROR(INDEX(MO_CFS_Capex,0,MATCH(Q$3,MO_Common_ColumnHeader,0)),0))</f>
        <v>-379</v>
      </c>
      <c r="R49" s="1220">
        <f>IFERROR(INDEX(MO_CFSum_Capex,0,MATCH(R$3,MO_Common_ColumnHeader,0)),IFERROR(INDEX(MO_CFS_Capex,0,MATCH(R$3,MO_Common_ColumnHeader,0)),0))</f>
        <v>-368</v>
      </c>
      <c r="S49" s="1220">
        <f>IFERROR(INDEX(MO_CFSum_Capex,0,MATCH(S$3,MO_Common_ColumnHeader,0)),IFERROR(INDEX(MO_CFS_Capex,0,MATCH(S$3,MO_Common_ColumnHeader,0)),0))</f>
        <v>-422</v>
      </c>
      <c r="T49" s="1219">
        <f>IFERROR(INDEX(MO_CFSum_Capex,0,MATCH(T$3,MO_Common_ColumnHeader,0)),IFERROR(INDEX(MO_CFS_Capex,0,MATCH(T$3,MO_Common_ColumnHeader,0)),0))</f>
        <v>-1501</v>
      </c>
      <c r="U49" s="1220">
        <f>IFERROR(INDEX(MO_CFSum_Capex,0,MATCH(U$3,MO_Common_ColumnHeader,0)),IFERROR(INDEX(MO_CFS_Capex,0,MATCH(U$3,MO_Common_ColumnHeader,0)),0))</f>
        <v>-310</v>
      </c>
      <c r="V49" s="1220">
        <f>IFERROR(INDEX(MO_CFSum_Capex,0,MATCH(V$3,MO_Common_ColumnHeader,0)),IFERROR(INDEX(MO_CFS_Capex,0,MATCH(V$3,MO_Common_ColumnHeader,0)),0))</f>
        <v>-475</v>
      </c>
      <c r="W49" s="1220">
        <f>IFERROR(INDEX(MO_CFSum_Capex,0,MATCH(W$3,MO_Common_ColumnHeader,0)),IFERROR(INDEX(MO_CFS_Capex,0,MATCH(W$3,MO_Common_ColumnHeader,0)),0))</f>
        <v>-475</v>
      </c>
      <c r="X49" s="1220">
        <f>IFERROR(INDEX(MO_CFSum_Capex,0,MATCH(X$3,MO_Common_ColumnHeader,0)),IFERROR(INDEX(MO_CFS_Capex,0,MATCH(X$3,MO_Common_ColumnHeader,0)),0))</f>
        <v>-475</v>
      </c>
      <c r="Y49" s="1219">
        <f>IFERROR(INDEX(MO_CFSum_Capex,0,MATCH(Y$3,MO_Common_ColumnHeader,0)),IFERROR(INDEX(MO_CFS_Capex,0,MATCH(Y$3,MO_Common_ColumnHeader,0)),0))</f>
        <v>-1735</v>
      </c>
      <c r="Z49" s="1220">
        <f>IFERROR(INDEX(MO_CFSum_Capex,0,MATCH(Z$3,MO_Common_ColumnHeader,0)),IFERROR(INDEX(MO_CFS_Capex,0,MATCH(Z$3,MO_Common_ColumnHeader,0)),0))</f>
        <v>-475</v>
      </c>
      <c r="AA49" s="1220">
        <f>IFERROR(INDEX(MO_CFSum_Capex,0,MATCH(AA$3,MO_Common_ColumnHeader,0)),IFERROR(INDEX(MO_CFS_Capex,0,MATCH(AA$3,MO_Common_ColumnHeader,0)),0))</f>
        <v>-475</v>
      </c>
      <c r="AB49" s="1220">
        <f>IFERROR(INDEX(MO_CFSum_Capex,0,MATCH(AB$3,MO_Common_ColumnHeader,0)),IFERROR(INDEX(MO_CFS_Capex,0,MATCH(AB$3,MO_Common_ColumnHeader,0)),0))</f>
        <v>-475</v>
      </c>
      <c r="AC49" s="1220">
        <f>IFERROR(INDEX(MO_CFSum_Capex,0,MATCH(AC$3,MO_Common_ColumnHeader,0)),IFERROR(INDEX(MO_CFS_Capex,0,MATCH(AC$3,MO_Common_ColumnHeader,0)),0))</f>
        <v>-475</v>
      </c>
      <c r="AD49" s="1219">
        <f>IFERROR(INDEX(MO_CFSum_Capex,0,MATCH(AD$3,MO_Common_ColumnHeader,0)),IFERROR(INDEX(MO_CFS_Capex,0,MATCH(AD$3,MO_Common_ColumnHeader,0)),0))</f>
        <v>-1900</v>
      </c>
      <c r="AE49" s="1219">
        <f>IFERROR(INDEX(MO_CFSum_Capex,0,MATCH(AE$3,MO_Common_ColumnHeader,0)),IFERROR(INDEX(MO_CFS_Capex,0,MATCH(AE$3,MO_Common_ColumnHeader,0)),0))</f>
        <v>-1900</v>
      </c>
      <c r="AF49" s="1219">
        <f>IFERROR(INDEX(MO_CFSum_Capex,0,MATCH(AF$3,MO_Common_ColumnHeader,0)),IFERROR(INDEX(MO_CFS_Capex,0,MATCH(AF$3,MO_Common_ColumnHeader,0)),0))</f>
        <v>-1900</v>
      </c>
      <c r="AG49" s="1221">
        <f>IFERROR(INDEX(MO_CFSum_Capex,0,MATCH(AG$3,MO_Common_ColumnHeader,0)),IFERROR(INDEX(MO_CFS_Capex,0,MATCH(AG$3,MO_Common_ColumnHeader,0)),0))</f>
        <v>-1900</v>
      </c>
    </row>
    <row r="50" spans="1:34" s="1222" customFormat="1" ht="14.25" customHeight="1" outlineLevel="1" x14ac:dyDescent="0.35">
      <c r="A50" s="1216"/>
      <c r="B50" s="1217"/>
      <c r="C50" s="1218"/>
      <c r="D50" s="1219"/>
      <c r="E50" s="1219"/>
      <c r="F50" s="1220"/>
      <c r="G50" s="1220"/>
      <c r="H50" s="1220"/>
      <c r="I50" s="1220"/>
      <c r="J50" s="1219"/>
      <c r="K50" s="1220"/>
      <c r="L50" s="1220"/>
      <c r="M50" s="1220"/>
      <c r="N50" s="1220"/>
      <c r="O50" s="1219"/>
      <c r="P50" s="1220"/>
      <c r="Q50" s="1220"/>
      <c r="R50" s="1220"/>
      <c r="S50" s="1220"/>
      <c r="T50" s="1219"/>
      <c r="U50" s="1220"/>
      <c r="V50" s="1220"/>
      <c r="W50" s="1220"/>
      <c r="X50" s="1220"/>
      <c r="Y50" s="1219"/>
      <c r="Z50" s="1220"/>
      <c r="AA50" s="1220"/>
      <c r="AB50" s="1220"/>
      <c r="AC50" s="1220"/>
      <c r="AD50" s="1219"/>
      <c r="AE50" s="1219"/>
      <c r="AF50" s="1219"/>
      <c r="AG50" s="1221"/>
    </row>
    <row r="51" spans="1:34" s="1222" customFormat="1" ht="14.25" customHeight="1" outlineLevel="1" x14ac:dyDescent="0.35">
      <c r="A51" s="1216" t="str">
        <f>"LTM "&amp;A48</f>
        <v>LTM D&amp;A</v>
      </c>
      <c r="B51" s="1217"/>
      <c r="C51" s="1218"/>
      <c r="D51" s="1219">
        <f>IFERROR(IF(LEFT(D$3,1)="F",D48,
IF(LEFT(D$3,2)="Q1",D48+INDEX(48:48,0,MATCH("Q4-"&amp;RIGHT(D$3,4)-1,$3:$3,0))+INDEX(48:48,0,MATCH("Q3-"&amp;RIGHT(D$3,4)-1,$3:$3,0))+INDEX(48:48,0,MATCH("Q2-"&amp;RIGHT(D$3,4)-1,$3:$3,0)),
IF(LEFT(D$3,2)="Q2",D48+INDEX(48:48,0,MATCH("Q4-"&amp;RIGHT(D$3,4)-1,$3:$3,0))+INDEX(48:48,0,MATCH("Q3-"&amp;RIGHT(D$3,4)-1,$3:$3,0))+INDEX(48:48,0,MATCH("Q1-"&amp;RIGHT(D$3,4),$3:$3,0)),
IF(LEFT(D$3,2)="Q3",D48+INDEX(48:48,0,MATCH("Q4-"&amp;RIGHT(D$3,4)-1,$3:$3,0))+INDEX(48:48,0,MATCH("Q2-"&amp;RIGHT(D$3,4),$3:$3,0))+INDEX(48:48,0,MATCH("Q1-"&amp;RIGHT(D$3,4),$3:$3,0)),
IF(LEFT(D$3,2)="Q4",INDEX(48:48,0,MATCH("FY"&amp;RIGHT(D$3,4),$3:$3,0))))))), "")</f>
        <v>1474</v>
      </c>
      <c r="E51" s="1219">
        <f>IFERROR(IF(LEFT(E$3,1)="F",E48,
IF(LEFT(E$3,2)="Q1",E48+INDEX(48:48,0,MATCH("Q4-"&amp;RIGHT(E$3,4)-1,$3:$3,0))+INDEX(48:48,0,MATCH("Q3-"&amp;RIGHT(E$3,4)-1,$3:$3,0))+INDEX(48:48,0,MATCH("Q2-"&amp;RIGHT(E$3,4)-1,$3:$3,0)),
IF(LEFT(E$3,2)="Q2",E48+INDEX(48:48,0,MATCH("Q4-"&amp;RIGHT(E$3,4)-1,$3:$3,0))+INDEX(48:48,0,MATCH("Q3-"&amp;RIGHT(E$3,4)-1,$3:$3,0))+INDEX(48:48,0,MATCH("Q1-"&amp;RIGHT(E$3,4),$3:$3,0)),
IF(LEFT(E$3,2)="Q3",E48+INDEX(48:48,0,MATCH("Q4-"&amp;RIGHT(E$3,4)-1,$3:$3,0))+INDEX(48:48,0,MATCH("Q2-"&amp;RIGHT(E$3,4),$3:$3,0))+INDEX(48:48,0,MATCH("Q1-"&amp;RIGHT(E$3,4),$3:$3,0)),
IF(LEFT(E$3,2)="Q4",INDEX(48:48,0,MATCH("FY"&amp;RIGHT(E$3,4),$3:$3,0))))))), "")</f>
        <v>1544</v>
      </c>
      <c r="F51" s="1225" t="str">
        <f>IFERROR(IF(LEFT(F$3,1)="F",F48,
IF(LEFT(F$3,2)="Q1",F48+INDEX(48:48,0,MATCH("Q4-"&amp;RIGHT(F$3,4)-1,$3:$3,0))+INDEX(48:48,0,MATCH("Q3-"&amp;RIGHT(F$3,4)-1,$3:$3,0))+INDEX(48:48,0,MATCH("Q2-"&amp;RIGHT(F$3,4)-1,$3:$3,0)),
IF(LEFT(F$3,2)="Q2",F48+INDEX(48:48,0,MATCH("Q4-"&amp;RIGHT(F$3,4)-1,$3:$3,0))+INDEX(48:48,0,MATCH("Q3-"&amp;RIGHT(F$3,4)-1,$3:$3,0))+INDEX(48:48,0,MATCH("Q1-"&amp;RIGHT(F$3,4),$3:$3,0)),
IF(LEFT(F$3,2)="Q3",F48+INDEX(48:48,0,MATCH("Q4-"&amp;RIGHT(F$3,4)-1,$3:$3,0))+INDEX(48:48,0,MATCH("Q2-"&amp;RIGHT(F$3,4),$3:$3,0))+INDEX(48:48,0,MATCH("Q1-"&amp;RIGHT(F$3,4),$3:$3,0)),
IF(LEFT(F$3,2)="Q4",INDEX(48:48,0,MATCH("FY"&amp;RIGHT(F$3,4),$3:$3,0))))))), "")</f>
        <v/>
      </c>
      <c r="G51" s="1225" t="str">
        <f>IFERROR(IF(LEFT(G$3,1)="F",G48,
IF(LEFT(G$3,2)="Q1",G48+INDEX(48:48,0,MATCH("Q4-"&amp;RIGHT(G$3,4)-1,$3:$3,0))+INDEX(48:48,0,MATCH("Q3-"&amp;RIGHT(G$3,4)-1,$3:$3,0))+INDEX(48:48,0,MATCH("Q2-"&amp;RIGHT(G$3,4)-1,$3:$3,0)),
IF(LEFT(G$3,2)="Q2",G48+INDEX(48:48,0,MATCH("Q4-"&amp;RIGHT(G$3,4)-1,$3:$3,0))+INDEX(48:48,0,MATCH("Q3-"&amp;RIGHT(G$3,4)-1,$3:$3,0))+INDEX(48:48,0,MATCH("Q1-"&amp;RIGHT(G$3,4),$3:$3,0)),
IF(LEFT(G$3,2)="Q3",G48+INDEX(48:48,0,MATCH("Q4-"&amp;RIGHT(G$3,4)-1,$3:$3,0))+INDEX(48:48,0,MATCH("Q2-"&amp;RIGHT(G$3,4),$3:$3,0))+INDEX(48:48,0,MATCH("Q1-"&amp;RIGHT(G$3,4),$3:$3,0)),
IF(LEFT(G$3,2)="Q4",INDEX(48:48,0,MATCH("FY"&amp;RIGHT(G$3,4),$3:$3,0))))))), "")</f>
        <v/>
      </c>
      <c r="H51" s="1225" t="str">
        <f>IFERROR(IF(LEFT(H$3,1)="F",H48,
IF(LEFT(H$3,2)="Q1",H48+INDEX(48:48,0,MATCH("Q4-"&amp;RIGHT(H$3,4)-1,$3:$3,0))+INDEX(48:48,0,MATCH("Q3-"&amp;RIGHT(H$3,4)-1,$3:$3,0))+INDEX(48:48,0,MATCH("Q2-"&amp;RIGHT(H$3,4)-1,$3:$3,0)),
IF(LEFT(H$3,2)="Q2",H48+INDEX(48:48,0,MATCH("Q4-"&amp;RIGHT(H$3,4)-1,$3:$3,0))+INDEX(48:48,0,MATCH("Q3-"&amp;RIGHT(H$3,4)-1,$3:$3,0))+INDEX(48:48,0,MATCH("Q1-"&amp;RIGHT(H$3,4),$3:$3,0)),
IF(LEFT(H$3,2)="Q3",H48+INDEX(48:48,0,MATCH("Q4-"&amp;RIGHT(H$3,4)-1,$3:$3,0))+INDEX(48:48,0,MATCH("Q2-"&amp;RIGHT(H$3,4),$3:$3,0))+INDEX(48:48,0,MATCH("Q1-"&amp;RIGHT(H$3,4),$3:$3,0)),
IF(LEFT(H$3,2)="Q4",INDEX(48:48,0,MATCH("FY"&amp;RIGHT(H$3,4),$3:$3,0))))))), "")</f>
        <v/>
      </c>
      <c r="I51" s="1225">
        <f>IFERROR(IF(LEFT(I$3,1)="F",I48,
IF(LEFT(I$3,2)="Q1",I48+INDEX(48:48,0,MATCH("Q4-"&amp;RIGHT(I$3,4)-1,$3:$3,0))+INDEX(48:48,0,MATCH("Q3-"&amp;RIGHT(I$3,4)-1,$3:$3,0))+INDEX(48:48,0,MATCH("Q2-"&amp;RIGHT(I$3,4)-1,$3:$3,0)),
IF(LEFT(I$3,2)="Q2",I48+INDEX(48:48,0,MATCH("Q4-"&amp;RIGHT(I$3,4)-1,$3:$3,0))+INDEX(48:48,0,MATCH("Q3-"&amp;RIGHT(I$3,4)-1,$3:$3,0))+INDEX(48:48,0,MATCH("Q1-"&amp;RIGHT(I$3,4),$3:$3,0)),
IF(LEFT(I$3,2)="Q3",I48+INDEX(48:48,0,MATCH("Q4-"&amp;RIGHT(I$3,4)-1,$3:$3,0))+INDEX(48:48,0,MATCH("Q2-"&amp;RIGHT(I$3,4),$3:$3,0))+INDEX(48:48,0,MATCH("Q1-"&amp;RIGHT(I$3,4),$3:$3,0)),
IF(LEFT(I$3,2)="Q4",INDEX(48:48,0,MATCH("FY"&amp;RIGHT(I$3,4),$3:$3,0))))))), "")</f>
        <v>1488</v>
      </c>
      <c r="J51" s="1219">
        <f>IFERROR(IF(LEFT(J$3,1)="F",J48,
IF(LEFT(J$3,2)="Q1",J48+INDEX(48:48,0,MATCH("Q4-"&amp;RIGHT(J$3,4)-1,$3:$3,0))+INDEX(48:48,0,MATCH("Q3-"&amp;RIGHT(J$3,4)-1,$3:$3,0))+INDEX(48:48,0,MATCH("Q2-"&amp;RIGHT(J$3,4)-1,$3:$3,0)),
IF(LEFT(J$3,2)="Q2",J48+INDEX(48:48,0,MATCH("Q4-"&amp;RIGHT(J$3,4)-1,$3:$3,0))+INDEX(48:48,0,MATCH("Q3-"&amp;RIGHT(J$3,4)-1,$3:$3,0))+INDEX(48:48,0,MATCH("Q1-"&amp;RIGHT(J$3,4),$3:$3,0)),
IF(LEFT(J$3,2)="Q3",J48+INDEX(48:48,0,MATCH("Q4-"&amp;RIGHT(J$3,4)-1,$3:$3,0))+INDEX(48:48,0,MATCH("Q2-"&amp;RIGHT(J$3,4),$3:$3,0))+INDEX(48:48,0,MATCH("Q1-"&amp;RIGHT(J$3,4),$3:$3,0)),
IF(LEFT(J$3,2)="Q4",INDEX(48:48,0,MATCH("FY"&amp;RIGHT(J$3,4),$3:$3,0))))))), "")</f>
        <v>1488</v>
      </c>
      <c r="K51" s="1225">
        <f>IFERROR(IF(LEFT(K$3,1)="F",K48,
IF(LEFT(K$3,2)="Q1",K48+INDEX(48:48,0,MATCH("Q4-"&amp;RIGHT(K$3,4)-1,$3:$3,0))+INDEX(48:48,0,MATCH("Q3-"&amp;RIGHT(K$3,4)-1,$3:$3,0))+INDEX(48:48,0,MATCH("Q2-"&amp;RIGHT(K$3,4)-1,$3:$3,0)),
IF(LEFT(K$3,2)="Q2",K48+INDEX(48:48,0,MATCH("Q4-"&amp;RIGHT(K$3,4)-1,$3:$3,0))+INDEX(48:48,0,MATCH("Q3-"&amp;RIGHT(K$3,4)-1,$3:$3,0))+INDEX(48:48,0,MATCH("Q1-"&amp;RIGHT(K$3,4),$3:$3,0)),
IF(LEFT(K$3,2)="Q3",K48+INDEX(48:48,0,MATCH("Q4-"&amp;RIGHT(K$3,4)-1,$3:$3,0))+INDEX(48:48,0,MATCH("Q2-"&amp;RIGHT(K$3,4),$3:$3,0))+INDEX(48:48,0,MATCH("Q1-"&amp;RIGHT(K$3,4),$3:$3,0)),
IF(LEFT(K$3,2)="Q4",INDEX(48:48,0,MATCH("FY"&amp;RIGHT(K$3,4),$3:$3,0))))))), "")</f>
        <v>1481</v>
      </c>
      <c r="L51" s="1225">
        <f>IFERROR(IF(LEFT(L$3,1)="F",L48,
IF(LEFT(L$3,2)="Q1",L48+INDEX(48:48,0,MATCH("Q4-"&amp;RIGHT(L$3,4)-1,$3:$3,0))+INDEX(48:48,0,MATCH("Q3-"&amp;RIGHT(L$3,4)-1,$3:$3,0))+INDEX(48:48,0,MATCH("Q2-"&amp;RIGHT(L$3,4)-1,$3:$3,0)),
IF(LEFT(L$3,2)="Q2",L48+INDEX(48:48,0,MATCH("Q4-"&amp;RIGHT(L$3,4)-1,$3:$3,0))+INDEX(48:48,0,MATCH("Q3-"&amp;RIGHT(L$3,4)-1,$3:$3,0))+INDEX(48:48,0,MATCH("Q1-"&amp;RIGHT(L$3,4),$3:$3,0)),
IF(LEFT(L$3,2)="Q3",L48+INDEX(48:48,0,MATCH("Q4-"&amp;RIGHT(L$3,4)-1,$3:$3,0))+INDEX(48:48,0,MATCH("Q2-"&amp;RIGHT(L$3,4),$3:$3,0))+INDEX(48:48,0,MATCH("Q1-"&amp;RIGHT(L$3,4),$3:$3,0)),
IF(LEFT(L$3,2)="Q4",INDEX(48:48,0,MATCH("FY"&amp;RIGHT(L$3,4),$3:$3,0))))))), "")</f>
        <v>1477</v>
      </c>
      <c r="M51" s="1225">
        <f>IFERROR(IF(LEFT(M$3,1)="F",M48,
IF(LEFT(M$3,2)="Q1",M48+INDEX(48:48,0,MATCH("Q4-"&amp;RIGHT(M$3,4)-1,$3:$3,0))+INDEX(48:48,0,MATCH("Q3-"&amp;RIGHT(M$3,4)-1,$3:$3,0))+INDEX(48:48,0,MATCH("Q2-"&amp;RIGHT(M$3,4)-1,$3:$3,0)),
IF(LEFT(M$3,2)="Q2",M48+INDEX(48:48,0,MATCH("Q4-"&amp;RIGHT(M$3,4)-1,$3:$3,0))+INDEX(48:48,0,MATCH("Q3-"&amp;RIGHT(M$3,4)-1,$3:$3,0))+INDEX(48:48,0,MATCH("Q1-"&amp;RIGHT(M$3,4),$3:$3,0)),
IF(LEFT(M$3,2)="Q3",M48+INDEX(48:48,0,MATCH("Q4-"&amp;RIGHT(M$3,4)-1,$3:$3,0))+INDEX(48:48,0,MATCH("Q2-"&amp;RIGHT(M$3,4),$3:$3,0))+INDEX(48:48,0,MATCH("Q1-"&amp;RIGHT(M$3,4),$3:$3,0)),
IF(LEFT(M$3,2)="Q4",INDEX(48:48,0,MATCH("FY"&amp;RIGHT(M$3,4),$3:$3,0))))))), "")</f>
        <v>1501</v>
      </c>
      <c r="N51" s="1225">
        <f>IFERROR(IF(LEFT(N$3,1)="F",N48,
IF(LEFT(N$3,2)="Q1",N48+INDEX(48:48,0,MATCH("Q4-"&amp;RIGHT(N$3,4)-1,$3:$3,0))+INDEX(48:48,0,MATCH("Q3-"&amp;RIGHT(N$3,4)-1,$3:$3,0))+INDEX(48:48,0,MATCH("Q2-"&amp;RIGHT(N$3,4)-1,$3:$3,0)),
IF(LEFT(N$3,2)="Q2",N48+INDEX(48:48,0,MATCH("Q4-"&amp;RIGHT(N$3,4)-1,$3:$3,0))+INDEX(48:48,0,MATCH("Q3-"&amp;RIGHT(N$3,4)-1,$3:$3,0))+INDEX(48:48,0,MATCH("Q1-"&amp;RIGHT(N$3,4),$3:$3,0)),
IF(LEFT(N$3,2)="Q3",N48+INDEX(48:48,0,MATCH("Q4-"&amp;RIGHT(N$3,4)-1,$3:$3,0))+INDEX(48:48,0,MATCH("Q2-"&amp;RIGHT(N$3,4),$3:$3,0))+INDEX(48:48,0,MATCH("Q1-"&amp;RIGHT(N$3,4),$3:$3,0)),
IF(LEFT(N$3,2)="Q4",INDEX(48:48,0,MATCH("FY"&amp;RIGHT(N$3,4),$3:$3,0))))))), "")</f>
        <v>1593</v>
      </c>
      <c r="O51" s="1219">
        <f>IFERROR(IF(LEFT(O$3,1)="F",O48,
IF(LEFT(O$3,2)="Q1",O48+INDEX(48:48,0,MATCH("Q4-"&amp;RIGHT(O$3,4)-1,$3:$3,0))+INDEX(48:48,0,MATCH("Q3-"&amp;RIGHT(O$3,4)-1,$3:$3,0))+INDEX(48:48,0,MATCH("Q2-"&amp;RIGHT(O$3,4)-1,$3:$3,0)),
IF(LEFT(O$3,2)="Q2",O48+INDEX(48:48,0,MATCH("Q4-"&amp;RIGHT(O$3,4)-1,$3:$3,0))+INDEX(48:48,0,MATCH("Q3-"&amp;RIGHT(O$3,4)-1,$3:$3,0))+INDEX(48:48,0,MATCH("Q1-"&amp;RIGHT(O$3,4),$3:$3,0)),
IF(LEFT(O$3,2)="Q3",O48+INDEX(48:48,0,MATCH("Q4-"&amp;RIGHT(O$3,4)-1,$3:$3,0))+INDEX(48:48,0,MATCH("Q2-"&amp;RIGHT(O$3,4),$3:$3,0))+INDEX(48:48,0,MATCH("Q1-"&amp;RIGHT(O$3,4),$3:$3,0)),
IF(LEFT(O$3,2)="Q4",INDEX(48:48,0,MATCH("FY"&amp;RIGHT(O$3,4),$3:$3,0))))))), "")</f>
        <v>1593</v>
      </c>
      <c r="P51" s="1225">
        <f>IFERROR(IF(LEFT(P$3,1)="F",P48,
IF(LEFT(P$3,2)="Q1",P48+INDEX(48:48,0,MATCH("Q4-"&amp;RIGHT(P$3,4)-1,$3:$3,0))+INDEX(48:48,0,MATCH("Q3-"&amp;RIGHT(P$3,4)-1,$3:$3,0))+INDEX(48:48,0,MATCH("Q2-"&amp;RIGHT(P$3,4)-1,$3:$3,0)),
IF(LEFT(P$3,2)="Q2",P48+INDEX(48:48,0,MATCH("Q4-"&amp;RIGHT(P$3,4)-1,$3:$3,0))+INDEX(48:48,0,MATCH("Q3-"&amp;RIGHT(P$3,4)-1,$3:$3,0))+INDEX(48:48,0,MATCH("Q1-"&amp;RIGHT(P$3,4),$3:$3,0)),
IF(LEFT(P$3,2)="Q3",P48+INDEX(48:48,0,MATCH("Q4-"&amp;RIGHT(P$3,4)-1,$3:$3,0))+INDEX(48:48,0,MATCH("Q2-"&amp;RIGHT(P$3,4),$3:$3,0))+INDEX(48:48,0,MATCH("Q1-"&amp;RIGHT(P$3,4),$3:$3,0)),
IF(LEFT(P$3,2)="Q4",INDEX(48:48,0,MATCH("FY"&amp;RIGHT(P$3,4),$3:$3,0))))))), "")</f>
        <v>1658</v>
      </c>
      <c r="Q51" s="1225">
        <f>IFERROR(IF(LEFT(Q$3,1)="F",Q48,
IF(LEFT(Q$3,2)="Q1",Q48+INDEX(48:48,0,MATCH("Q4-"&amp;RIGHT(Q$3,4)-1,$3:$3,0))+INDEX(48:48,0,MATCH("Q3-"&amp;RIGHT(Q$3,4)-1,$3:$3,0))+INDEX(48:48,0,MATCH("Q2-"&amp;RIGHT(Q$3,4)-1,$3:$3,0)),
IF(LEFT(Q$3,2)="Q2",Q48+INDEX(48:48,0,MATCH("Q4-"&amp;RIGHT(Q$3,4)-1,$3:$3,0))+INDEX(48:48,0,MATCH("Q3-"&amp;RIGHT(Q$3,4)-1,$3:$3,0))+INDEX(48:48,0,MATCH("Q1-"&amp;RIGHT(Q$3,4),$3:$3,0)),
IF(LEFT(Q$3,2)="Q3",Q48+INDEX(48:48,0,MATCH("Q4-"&amp;RIGHT(Q$3,4)-1,$3:$3,0))+INDEX(48:48,0,MATCH("Q2-"&amp;RIGHT(Q$3,4),$3:$3,0))+INDEX(48:48,0,MATCH("Q1-"&amp;RIGHT(Q$3,4),$3:$3,0)),
IF(LEFT(Q$3,2)="Q4",INDEX(48:48,0,MATCH("FY"&amp;RIGHT(Q$3,4),$3:$3,0))))))), "")</f>
        <v>1774</v>
      </c>
      <c r="R51" s="1225">
        <f>IFERROR(IF(LEFT(R$3,1)="F",R48,
IF(LEFT(R$3,2)="Q1",R48+INDEX(48:48,0,MATCH("Q4-"&amp;RIGHT(R$3,4)-1,$3:$3,0))+INDEX(48:48,0,MATCH("Q3-"&amp;RIGHT(R$3,4)-1,$3:$3,0))+INDEX(48:48,0,MATCH("Q2-"&amp;RIGHT(R$3,4)-1,$3:$3,0)),
IF(LEFT(R$3,2)="Q2",R48+INDEX(48:48,0,MATCH("Q4-"&amp;RIGHT(R$3,4)-1,$3:$3,0))+INDEX(48:48,0,MATCH("Q3-"&amp;RIGHT(R$3,4)-1,$3:$3,0))+INDEX(48:48,0,MATCH("Q1-"&amp;RIGHT(R$3,4),$3:$3,0)),
IF(LEFT(R$3,2)="Q3",R48+INDEX(48:48,0,MATCH("Q4-"&amp;RIGHT(R$3,4)-1,$3:$3,0))+INDEX(48:48,0,MATCH("Q2-"&amp;RIGHT(R$3,4),$3:$3,0))+INDEX(48:48,0,MATCH("Q1-"&amp;RIGHT(R$3,4),$3:$3,0)),
IF(LEFT(R$3,2)="Q4",INDEX(48:48,0,MATCH("FY"&amp;RIGHT(R$3,4),$3:$3,0))))))), "")</f>
        <v>1876</v>
      </c>
      <c r="S51" s="1225">
        <f>IFERROR(IF(LEFT(S$3,1)="F",S48,
IF(LEFT(S$3,2)="Q1",S48+INDEX(48:48,0,MATCH("Q4-"&amp;RIGHT(S$3,4)-1,$3:$3,0))+INDEX(48:48,0,MATCH("Q3-"&amp;RIGHT(S$3,4)-1,$3:$3,0))+INDEX(48:48,0,MATCH("Q2-"&amp;RIGHT(S$3,4)-1,$3:$3,0)),
IF(LEFT(S$3,2)="Q2",S48+INDEX(48:48,0,MATCH("Q4-"&amp;RIGHT(S$3,4)-1,$3:$3,0))+INDEX(48:48,0,MATCH("Q3-"&amp;RIGHT(S$3,4)-1,$3:$3,0))+INDEX(48:48,0,MATCH("Q1-"&amp;RIGHT(S$3,4),$3:$3,0)),
IF(LEFT(S$3,2)="Q3",S48+INDEX(48:48,0,MATCH("Q4-"&amp;RIGHT(S$3,4)-1,$3:$3,0))+INDEX(48:48,0,MATCH("Q2-"&amp;RIGHT(S$3,4),$3:$3,0))+INDEX(48:48,0,MATCH("Q1-"&amp;RIGHT(S$3,4),$3:$3,0)),
IF(LEFT(S$3,2)="Q4",INDEX(48:48,0,MATCH("FY"&amp;RIGHT(S$3,4),$3:$3,0))))))), "")</f>
        <v>1911</v>
      </c>
      <c r="T51" s="1219">
        <f>IFERROR(IF(LEFT(T$3,1)="F",T48,
IF(LEFT(T$3,2)="Q1",T48+INDEX(48:48,0,MATCH("Q4-"&amp;RIGHT(T$3,4)-1,$3:$3,0))+INDEX(48:48,0,MATCH("Q3-"&amp;RIGHT(T$3,4)-1,$3:$3,0))+INDEX(48:48,0,MATCH("Q2-"&amp;RIGHT(T$3,4)-1,$3:$3,0)),
IF(LEFT(T$3,2)="Q2",T48+INDEX(48:48,0,MATCH("Q4-"&amp;RIGHT(T$3,4)-1,$3:$3,0))+INDEX(48:48,0,MATCH("Q3-"&amp;RIGHT(T$3,4)-1,$3:$3,0))+INDEX(48:48,0,MATCH("Q1-"&amp;RIGHT(T$3,4),$3:$3,0)),
IF(LEFT(T$3,2)="Q3",T48+INDEX(48:48,0,MATCH("Q4-"&amp;RIGHT(T$3,4)-1,$3:$3,0))+INDEX(48:48,0,MATCH("Q2-"&amp;RIGHT(T$3,4),$3:$3,0))+INDEX(48:48,0,MATCH("Q1-"&amp;RIGHT(T$3,4),$3:$3,0)),
IF(LEFT(T$3,2)="Q4",INDEX(48:48,0,MATCH("FY"&amp;RIGHT(T$3,4),$3:$3,0))))))), "")</f>
        <v>1911</v>
      </c>
      <c r="U51" s="1225">
        <f>IFERROR(IF(LEFT(U$3,1)="F",U48,
IF(LEFT(U$3,2)="Q1",U48+INDEX(48:48,0,MATCH("Q4-"&amp;RIGHT(U$3,4)-1,$3:$3,0))+INDEX(48:48,0,MATCH("Q3-"&amp;RIGHT(U$3,4)-1,$3:$3,0))+INDEX(48:48,0,MATCH("Q2-"&amp;RIGHT(U$3,4)-1,$3:$3,0)),
IF(LEFT(U$3,2)="Q2",U48+INDEX(48:48,0,MATCH("Q4-"&amp;RIGHT(U$3,4)-1,$3:$3,0))+INDEX(48:48,0,MATCH("Q3-"&amp;RIGHT(U$3,4)-1,$3:$3,0))+INDEX(48:48,0,MATCH("Q1-"&amp;RIGHT(U$3,4),$3:$3,0)),
IF(LEFT(U$3,2)="Q3",U48+INDEX(48:48,0,MATCH("Q4-"&amp;RIGHT(U$3,4)-1,$3:$3,0))+INDEX(48:48,0,MATCH("Q2-"&amp;RIGHT(U$3,4),$3:$3,0))+INDEX(48:48,0,MATCH("Q1-"&amp;RIGHT(U$3,4),$3:$3,0)),
IF(LEFT(U$3,2)="Q4",INDEX(48:48,0,MATCH("FY"&amp;RIGHT(U$3,4),$3:$3,0))))))), "")</f>
        <v>1931</v>
      </c>
      <c r="V51" s="1225">
        <f>IFERROR(IF(LEFT(V$3,1)="F",V48,
IF(LEFT(V$3,2)="Q1",V48+INDEX(48:48,0,MATCH("Q4-"&amp;RIGHT(V$3,4)-1,$3:$3,0))+INDEX(48:48,0,MATCH("Q3-"&amp;RIGHT(V$3,4)-1,$3:$3,0))+INDEX(48:48,0,MATCH("Q2-"&amp;RIGHT(V$3,4)-1,$3:$3,0)),
IF(LEFT(V$3,2)="Q2",V48+INDEX(48:48,0,MATCH("Q4-"&amp;RIGHT(V$3,4)-1,$3:$3,0))+INDEX(48:48,0,MATCH("Q3-"&amp;RIGHT(V$3,4)-1,$3:$3,0))+INDEX(48:48,0,MATCH("Q1-"&amp;RIGHT(V$3,4),$3:$3,0)),
IF(LEFT(V$3,2)="Q3",V48+INDEX(48:48,0,MATCH("Q4-"&amp;RIGHT(V$3,4)-1,$3:$3,0))+INDEX(48:48,0,MATCH("Q2-"&amp;RIGHT(V$3,4),$3:$3,0))+INDEX(48:48,0,MATCH("Q1-"&amp;RIGHT(V$3,4),$3:$3,0)),
IF(LEFT(V$3,2)="Q4",INDEX(48:48,0,MATCH("FY"&amp;RIGHT(V$3,4),$3:$3,0))))))), "")</f>
        <v>1864</v>
      </c>
      <c r="W51" s="1225">
        <f>IFERROR(IF(LEFT(W$3,1)="F",W48,
IF(LEFT(W$3,2)="Q1",W48+INDEX(48:48,0,MATCH("Q4-"&amp;RIGHT(W$3,4)-1,$3:$3,0))+INDEX(48:48,0,MATCH("Q3-"&amp;RIGHT(W$3,4)-1,$3:$3,0))+INDEX(48:48,0,MATCH("Q2-"&amp;RIGHT(W$3,4)-1,$3:$3,0)),
IF(LEFT(W$3,2)="Q2",W48+INDEX(48:48,0,MATCH("Q4-"&amp;RIGHT(W$3,4)-1,$3:$3,0))+INDEX(48:48,0,MATCH("Q3-"&amp;RIGHT(W$3,4)-1,$3:$3,0))+INDEX(48:48,0,MATCH("Q1-"&amp;RIGHT(W$3,4),$3:$3,0)),
IF(LEFT(W$3,2)="Q3",W48+INDEX(48:48,0,MATCH("Q4-"&amp;RIGHT(W$3,4)-1,$3:$3,0))+INDEX(48:48,0,MATCH("Q2-"&amp;RIGHT(W$3,4),$3:$3,0))+INDEX(48:48,0,MATCH("Q1-"&amp;RIGHT(W$3,4),$3:$3,0)),
IF(LEFT(W$3,2)="Q4",INDEX(48:48,0,MATCH("FY"&amp;RIGHT(W$3,4),$3:$3,0))))))), "")</f>
        <v>1808</v>
      </c>
      <c r="X51" s="1225">
        <f>IFERROR(IF(LEFT(X$3,1)="F",X48,
IF(LEFT(X$3,2)="Q1",X48+INDEX(48:48,0,MATCH("Q4-"&amp;RIGHT(X$3,4)-1,$3:$3,0))+INDEX(48:48,0,MATCH("Q3-"&amp;RIGHT(X$3,4)-1,$3:$3,0))+INDEX(48:48,0,MATCH("Q2-"&amp;RIGHT(X$3,4)-1,$3:$3,0)),
IF(LEFT(X$3,2)="Q2",X48+INDEX(48:48,0,MATCH("Q4-"&amp;RIGHT(X$3,4)-1,$3:$3,0))+INDEX(48:48,0,MATCH("Q3-"&amp;RIGHT(X$3,4)-1,$3:$3,0))+INDEX(48:48,0,MATCH("Q1-"&amp;RIGHT(X$3,4),$3:$3,0)),
IF(LEFT(X$3,2)="Q3",X48+INDEX(48:48,0,MATCH("Q4-"&amp;RIGHT(X$3,4)-1,$3:$3,0))+INDEX(48:48,0,MATCH("Q2-"&amp;RIGHT(X$3,4),$3:$3,0))+INDEX(48:48,0,MATCH("Q1-"&amp;RIGHT(X$3,4),$3:$3,0)),
IF(LEFT(X$3,2)="Q4",INDEX(48:48,0,MATCH("FY"&amp;RIGHT(X$3,4),$3:$3,0))))))), "")</f>
        <v>1735</v>
      </c>
      <c r="Y51" s="1219">
        <f>IFERROR(IF(LEFT(Y$3,1)="F",Y48,
IF(LEFT(Y$3,2)="Q1",Y48+INDEX(48:48,0,MATCH("Q4-"&amp;RIGHT(Y$3,4)-1,$3:$3,0))+INDEX(48:48,0,MATCH("Q3-"&amp;RIGHT(Y$3,4)-1,$3:$3,0))+INDEX(48:48,0,MATCH("Q2-"&amp;RIGHT(Y$3,4)-1,$3:$3,0)),
IF(LEFT(Y$3,2)="Q2",Y48+INDEX(48:48,0,MATCH("Q4-"&amp;RIGHT(Y$3,4)-1,$3:$3,0))+INDEX(48:48,0,MATCH("Q3-"&amp;RIGHT(Y$3,4)-1,$3:$3,0))+INDEX(48:48,0,MATCH("Q1-"&amp;RIGHT(Y$3,4),$3:$3,0)),
IF(LEFT(Y$3,2)="Q3",Y48+INDEX(48:48,0,MATCH("Q4-"&amp;RIGHT(Y$3,4)-1,$3:$3,0))+INDEX(48:48,0,MATCH("Q2-"&amp;RIGHT(Y$3,4),$3:$3,0))+INDEX(48:48,0,MATCH("Q1-"&amp;RIGHT(Y$3,4),$3:$3,0)),
IF(LEFT(Y$3,2)="Q4",INDEX(48:48,0,MATCH("FY"&amp;RIGHT(Y$3,4),$3:$3,0))))))), "")</f>
        <v>1735</v>
      </c>
      <c r="Z51" s="1225">
        <f>IFERROR(IF(LEFT(Z$3,1)="F",Z48,
IF(LEFT(Z$3,2)="Q1",Z48+INDEX(48:48,0,MATCH("Q4-"&amp;RIGHT(Z$3,4)-1,$3:$3,0))+INDEX(48:48,0,MATCH("Q3-"&amp;RIGHT(Z$3,4)-1,$3:$3,0))+INDEX(48:48,0,MATCH("Q2-"&amp;RIGHT(Z$3,4)-1,$3:$3,0)),
IF(LEFT(Z$3,2)="Q2",Z48+INDEX(48:48,0,MATCH("Q4-"&amp;RIGHT(Z$3,4)-1,$3:$3,0))+INDEX(48:48,0,MATCH("Q3-"&amp;RIGHT(Z$3,4)-1,$3:$3,0))+INDEX(48:48,0,MATCH("Q1-"&amp;RIGHT(Z$3,4),$3:$3,0)),
IF(LEFT(Z$3,2)="Q3",Z48+INDEX(48:48,0,MATCH("Q4-"&amp;RIGHT(Z$3,4)-1,$3:$3,0))+INDEX(48:48,0,MATCH("Q2-"&amp;RIGHT(Z$3,4),$3:$3,0))+INDEX(48:48,0,MATCH("Q1-"&amp;RIGHT(Z$3,4),$3:$3,0)),
IF(LEFT(Z$3,2)="Q4",INDEX(48:48,0,MATCH("FY"&amp;RIGHT(Z$3,4),$3:$3,0))))))), "")</f>
        <v>1700</v>
      </c>
      <c r="AA51" s="1225">
        <f>IFERROR(IF(LEFT(AA$3,1)="F",AA48,
IF(LEFT(AA$3,2)="Q1",AA48+INDEX(48:48,0,MATCH("Q4-"&amp;RIGHT(AA$3,4)-1,$3:$3,0))+INDEX(48:48,0,MATCH("Q3-"&amp;RIGHT(AA$3,4)-1,$3:$3,0))+INDEX(48:48,0,MATCH("Q2-"&amp;RIGHT(AA$3,4)-1,$3:$3,0)),
IF(LEFT(AA$3,2)="Q2",AA48+INDEX(48:48,0,MATCH("Q4-"&amp;RIGHT(AA$3,4)-1,$3:$3,0))+INDEX(48:48,0,MATCH("Q3-"&amp;RIGHT(AA$3,4)-1,$3:$3,0))+INDEX(48:48,0,MATCH("Q1-"&amp;RIGHT(AA$3,4),$3:$3,0)),
IF(LEFT(AA$3,2)="Q3",AA48+INDEX(48:48,0,MATCH("Q4-"&amp;RIGHT(AA$3,4)-1,$3:$3,0))+INDEX(48:48,0,MATCH("Q2-"&amp;RIGHT(AA$3,4),$3:$3,0))+INDEX(48:48,0,MATCH("Q1-"&amp;RIGHT(AA$3,4),$3:$3,0)),
IF(LEFT(AA$3,2)="Q4",INDEX(48:48,0,MATCH("FY"&amp;RIGHT(AA$3,4),$3:$3,0))))))), "")</f>
        <v>1700</v>
      </c>
      <c r="AB51" s="1225">
        <f>IFERROR(IF(LEFT(AB$3,1)="F",AB48,
IF(LEFT(AB$3,2)="Q1",AB48+INDEX(48:48,0,MATCH("Q4-"&amp;RIGHT(AB$3,4)-1,$3:$3,0))+INDEX(48:48,0,MATCH("Q3-"&amp;RIGHT(AB$3,4)-1,$3:$3,0))+INDEX(48:48,0,MATCH("Q2-"&amp;RIGHT(AB$3,4)-1,$3:$3,0)),
IF(LEFT(AB$3,2)="Q2",AB48+INDEX(48:48,0,MATCH("Q4-"&amp;RIGHT(AB$3,4)-1,$3:$3,0))+INDEX(48:48,0,MATCH("Q3-"&amp;RIGHT(AB$3,4)-1,$3:$3,0))+INDEX(48:48,0,MATCH("Q1-"&amp;RIGHT(AB$3,4),$3:$3,0)),
IF(LEFT(AB$3,2)="Q3",AB48+INDEX(48:48,0,MATCH("Q4-"&amp;RIGHT(AB$3,4)-1,$3:$3,0))+INDEX(48:48,0,MATCH("Q2-"&amp;RIGHT(AB$3,4),$3:$3,0))+INDEX(48:48,0,MATCH("Q1-"&amp;RIGHT(AB$3,4),$3:$3,0)),
IF(LEFT(AB$3,2)="Q4",INDEX(48:48,0,MATCH("FY"&amp;RIGHT(AB$3,4),$3:$3,0))))))), "")</f>
        <v>1700</v>
      </c>
      <c r="AC51" s="1225">
        <f>IFERROR(IF(LEFT(AC$3,1)="F",AC48,
IF(LEFT(AC$3,2)="Q1",AC48+INDEX(48:48,0,MATCH("Q4-"&amp;RIGHT(AC$3,4)-1,$3:$3,0))+INDEX(48:48,0,MATCH("Q3-"&amp;RIGHT(AC$3,4)-1,$3:$3,0))+INDEX(48:48,0,MATCH("Q2-"&amp;RIGHT(AC$3,4)-1,$3:$3,0)),
IF(LEFT(AC$3,2)="Q2",AC48+INDEX(48:48,0,MATCH("Q4-"&amp;RIGHT(AC$3,4)-1,$3:$3,0))+INDEX(48:48,0,MATCH("Q3-"&amp;RIGHT(AC$3,4)-1,$3:$3,0))+INDEX(48:48,0,MATCH("Q1-"&amp;RIGHT(AC$3,4),$3:$3,0)),
IF(LEFT(AC$3,2)="Q3",AC48+INDEX(48:48,0,MATCH("Q4-"&amp;RIGHT(AC$3,4)-1,$3:$3,0))+INDEX(48:48,0,MATCH("Q2-"&amp;RIGHT(AC$3,4),$3:$3,0))+INDEX(48:48,0,MATCH("Q1-"&amp;RIGHT(AC$3,4),$3:$3,0)),
IF(LEFT(AC$3,2)="Q4",INDEX(48:48,0,MATCH("FY"&amp;RIGHT(AC$3,4),$3:$3,0))))))), "")</f>
        <v>1700</v>
      </c>
      <c r="AD51" s="1219">
        <f>IFERROR(IF(LEFT(AD$3,1)="F",AD48,
IF(LEFT(AD$3,2)="Q1",AD48+INDEX(48:48,0,MATCH("Q4-"&amp;RIGHT(AD$3,4)-1,$3:$3,0))+INDEX(48:48,0,MATCH("Q3-"&amp;RIGHT(AD$3,4)-1,$3:$3,0))+INDEX(48:48,0,MATCH("Q2-"&amp;RIGHT(AD$3,4)-1,$3:$3,0)),
IF(LEFT(AD$3,2)="Q2",AD48+INDEX(48:48,0,MATCH("Q4-"&amp;RIGHT(AD$3,4)-1,$3:$3,0))+INDEX(48:48,0,MATCH("Q3-"&amp;RIGHT(AD$3,4)-1,$3:$3,0))+INDEX(48:48,0,MATCH("Q1-"&amp;RIGHT(AD$3,4),$3:$3,0)),
IF(LEFT(AD$3,2)="Q3",AD48+INDEX(48:48,0,MATCH("Q4-"&amp;RIGHT(AD$3,4)-1,$3:$3,0))+INDEX(48:48,0,MATCH("Q2-"&amp;RIGHT(AD$3,4),$3:$3,0))+INDEX(48:48,0,MATCH("Q1-"&amp;RIGHT(AD$3,4),$3:$3,0)),
IF(LEFT(AD$3,2)="Q4",INDEX(48:48,0,MATCH("FY"&amp;RIGHT(AD$3,4),$3:$3,0))))))), "")</f>
        <v>1700</v>
      </c>
      <c r="AE51" s="1219">
        <f>IFERROR(IF(LEFT(AE$3,1)="F",AE48,
IF(LEFT(AE$3,2)="Q1",AE48+INDEX(48:48,0,MATCH("Q4-"&amp;RIGHT(AE$3,4)-1,$3:$3,0))+INDEX(48:48,0,MATCH("Q3-"&amp;RIGHT(AE$3,4)-1,$3:$3,0))+INDEX(48:48,0,MATCH("Q2-"&amp;RIGHT(AE$3,4)-1,$3:$3,0)),
IF(LEFT(AE$3,2)="Q2",AE48+INDEX(48:48,0,MATCH("Q4-"&amp;RIGHT(AE$3,4)-1,$3:$3,0))+INDEX(48:48,0,MATCH("Q3-"&amp;RIGHT(AE$3,4)-1,$3:$3,0))+INDEX(48:48,0,MATCH("Q1-"&amp;RIGHT(AE$3,4),$3:$3,0)),
IF(LEFT(AE$3,2)="Q3",AE48+INDEX(48:48,0,MATCH("Q4-"&amp;RIGHT(AE$3,4)-1,$3:$3,0))+INDEX(48:48,0,MATCH("Q2-"&amp;RIGHT(AE$3,4),$3:$3,0))+INDEX(48:48,0,MATCH("Q1-"&amp;RIGHT(AE$3,4),$3:$3,0)),
IF(LEFT(AE$3,2)="Q4",INDEX(48:48,0,MATCH("FY"&amp;RIGHT(AE$3,4),$3:$3,0))))))), "")</f>
        <v>1700</v>
      </c>
      <c r="AF51" s="1219">
        <f>IFERROR(IF(LEFT(AF$3,1)="F",AF48,
IF(LEFT(AF$3,2)="Q1",AF48+INDEX(48:48,0,MATCH("Q4-"&amp;RIGHT(AF$3,4)-1,$3:$3,0))+INDEX(48:48,0,MATCH("Q3-"&amp;RIGHT(AF$3,4)-1,$3:$3,0))+INDEX(48:48,0,MATCH("Q2-"&amp;RIGHT(AF$3,4)-1,$3:$3,0)),
IF(LEFT(AF$3,2)="Q2",AF48+INDEX(48:48,0,MATCH("Q4-"&amp;RIGHT(AF$3,4)-1,$3:$3,0))+INDEX(48:48,0,MATCH("Q3-"&amp;RIGHT(AF$3,4)-1,$3:$3,0))+INDEX(48:48,0,MATCH("Q1-"&amp;RIGHT(AF$3,4),$3:$3,0)),
IF(LEFT(AF$3,2)="Q3",AF48+INDEX(48:48,0,MATCH("Q4-"&amp;RIGHT(AF$3,4)-1,$3:$3,0))+INDEX(48:48,0,MATCH("Q2-"&amp;RIGHT(AF$3,4),$3:$3,0))+INDEX(48:48,0,MATCH("Q1-"&amp;RIGHT(AF$3,4),$3:$3,0)),
IF(LEFT(AF$3,2)="Q4",INDEX(48:48,0,MATCH("FY"&amp;RIGHT(AF$3,4),$3:$3,0))))))), "")</f>
        <v>1700</v>
      </c>
      <c r="AG51" s="1221">
        <f>IFERROR(IF(LEFT(AG$3,1)="F",AG48,
IF(LEFT(AG$3,2)="Q1",AG48+INDEX(48:48,0,MATCH("Q4-"&amp;RIGHT(AG$3,4)-1,$3:$3,0))+INDEX(48:48,0,MATCH("Q3-"&amp;RIGHT(AG$3,4)-1,$3:$3,0))+INDEX(48:48,0,MATCH("Q2-"&amp;RIGHT(AG$3,4)-1,$3:$3,0)),
IF(LEFT(AG$3,2)="Q2",AG48+INDEX(48:48,0,MATCH("Q4-"&amp;RIGHT(AG$3,4)-1,$3:$3,0))+INDEX(48:48,0,MATCH("Q3-"&amp;RIGHT(AG$3,4)-1,$3:$3,0))+INDEX(48:48,0,MATCH("Q1-"&amp;RIGHT(AG$3,4),$3:$3,0)),
IF(LEFT(AG$3,2)="Q3",AG48+INDEX(48:48,0,MATCH("Q4-"&amp;RIGHT(AG$3,4)-1,$3:$3,0))+INDEX(48:48,0,MATCH("Q2-"&amp;RIGHT(AG$3,4),$3:$3,0))+INDEX(48:48,0,MATCH("Q1-"&amp;RIGHT(AG$3,4),$3:$3,0)),
IF(LEFT(AG$3,2)="Q4",INDEX(48:48,0,MATCH("FY"&amp;RIGHT(AG$3,4),$3:$3,0))))))), "")</f>
        <v>1700</v>
      </c>
    </row>
    <row r="52" spans="1:34" s="1222" customFormat="1" ht="14.25" customHeight="1" outlineLevel="1" x14ac:dyDescent="0.35">
      <c r="A52" s="1216" t="str">
        <f>"LTM "&amp;A49</f>
        <v>LTM CAPEX</v>
      </c>
      <c r="B52" s="1217"/>
      <c r="C52" s="1218"/>
      <c r="D52" s="1219">
        <f>IFERROR(IF(LEFT(D$3,1)="F",D49,
IF(LEFT(D$3,2)="Q1",D49+INDEX(49:49,0,MATCH("Q4-"&amp;RIGHT(D$3,4)-1,$3:$3,0))+INDEX(49:49,0,MATCH("Q3-"&amp;RIGHT(D$3,4)-1,$3:$3,0))+INDEX(49:49,0,MATCH("Q2-"&amp;RIGHT(D$3,4)-1,$3:$3,0)),
IF(LEFT(D$3,2)="Q2",D49+INDEX(49:49,0,MATCH("Q4-"&amp;RIGHT(D$3,4)-1,$3:$3,0))+INDEX(49:49,0,MATCH("Q3-"&amp;RIGHT(D$3,4)-1,$3:$3,0))+INDEX(49:49,0,MATCH("Q1-"&amp;RIGHT(D$3,4),$3:$3,0)),
IF(LEFT(D$3,2)="Q3",D49+INDEX(49:49,0,MATCH("Q4-"&amp;RIGHT(D$3,4)-1,$3:$3,0))+INDEX(49:49,0,MATCH("Q2-"&amp;RIGHT(D$3,4),$3:$3,0))+INDEX(49:49,0,MATCH("Q1-"&amp;RIGHT(D$3,4),$3:$3,0)),
IF(LEFT(D$3,2)="Q4",INDEX(49:49,0,MATCH("FY"&amp;RIGHT(D$3,4),$3:$3,0))))))), "")</f>
        <v>-1420</v>
      </c>
      <c r="E52" s="1219">
        <f>IFERROR(IF(LEFT(E$3,1)="F",E49,
IF(LEFT(E$3,2)="Q1",E49+INDEX(49:49,0,MATCH("Q4-"&amp;RIGHT(E$3,4)-1,$3:$3,0))+INDEX(49:49,0,MATCH("Q3-"&amp;RIGHT(E$3,4)-1,$3:$3,0))+INDEX(49:49,0,MATCH("Q2-"&amp;RIGHT(E$3,4)-1,$3:$3,0)),
IF(LEFT(E$3,2)="Q2",E49+INDEX(49:49,0,MATCH("Q4-"&amp;RIGHT(E$3,4)-1,$3:$3,0))+INDEX(49:49,0,MATCH("Q3-"&amp;RIGHT(E$3,4)-1,$3:$3,0))+INDEX(49:49,0,MATCH("Q1-"&amp;RIGHT(E$3,4),$3:$3,0)),
IF(LEFT(E$3,2)="Q3",E49+INDEX(49:49,0,MATCH("Q4-"&amp;RIGHT(E$3,4)-1,$3:$3,0))+INDEX(49:49,0,MATCH("Q2-"&amp;RIGHT(E$3,4),$3:$3,0))+INDEX(49:49,0,MATCH("Q1-"&amp;RIGHT(E$3,4),$3:$3,0)),
IF(LEFT(E$3,2)="Q4",INDEX(49:49,0,MATCH("FY"&amp;RIGHT(E$3,4),$3:$3,0))))))), "")</f>
        <v>-1373</v>
      </c>
      <c r="F52" s="1225" t="str">
        <f>IFERROR(IF(LEFT(F$3,1)="F",F49,
IF(LEFT(F$3,2)="Q1",F49+INDEX(49:49,0,MATCH("Q4-"&amp;RIGHT(F$3,4)-1,$3:$3,0))+INDEX(49:49,0,MATCH("Q3-"&amp;RIGHT(F$3,4)-1,$3:$3,0))+INDEX(49:49,0,MATCH("Q2-"&amp;RIGHT(F$3,4)-1,$3:$3,0)),
IF(LEFT(F$3,2)="Q2",F49+INDEX(49:49,0,MATCH("Q4-"&amp;RIGHT(F$3,4)-1,$3:$3,0))+INDEX(49:49,0,MATCH("Q3-"&amp;RIGHT(F$3,4)-1,$3:$3,0))+INDEX(49:49,0,MATCH("Q1-"&amp;RIGHT(F$3,4),$3:$3,0)),
IF(LEFT(F$3,2)="Q3",F49+INDEX(49:49,0,MATCH("Q4-"&amp;RIGHT(F$3,4)-1,$3:$3,0))+INDEX(49:49,0,MATCH("Q2-"&amp;RIGHT(F$3,4),$3:$3,0))+INDEX(49:49,0,MATCH("Q1-"&amp;RIGHT(F$3,4),$3:$3,0)),
IF(LEFT(F$3,2)="Q4",INDEX(49:49,0,MATCH("FY"&amp;RIGHT(F$3,4),$3:$3,0))))))), "")</f>
        <v/>
      </c>
      <c r="G52" s="1225" t="str">
        <f>IFERROR(IF(LEFT(G$3,1)="F",G49,
IF(LEFT(G$3,2)="Q1",G49+INDEX(49:49,0,MATCH("Q4-"&amp;RIGHT(G$3,4)-1,$3:$3,0))+INDEX(49:49,0,MATCH("Q3-"&amp;RIGHT(G$3,4)-1,$3:$3,0))+INDEX(49:49,0,MATCH("Q2-"&amp;RIGHT(G$3,4)-1,$3:$3,0)),
IF(LEFT(G$3,2)="Q2",G49+INDEX(49:49,0,MATCH("Q4-"&amp;RIGHT(G$3,4)-1,$3:$3,0))+INDEX(49:49,0,MATCH("Q3-"&amp;RIGHT(G$3,4)-1,$3:$3,0))+INDEX(49:49,0,MATCH("Q1-"&amp;RIGHT(G$3,4),$3:$3,0)),
IF(LEFT(G$3,2)="Q3",G49+INDEX(49:49,0,MATCH("Q4-"&amp;RIGHT(G$3,4)-1,$3:$3,0))+INDEX(49:49,0,MATCH("Q2-"&amp;RIGHT(G$3,4),$3:$3,0))+INDEX(49:49,0,MATCH("Q1-"&amp;RIGHT(G$3,4),$3:$3,0)),
IF(LEFT(G$3,2)="Q4",INDEX(49:49,0,MATCH("FY"&amp;RIGHT(G$3,4),$3:$3,0))))))), "")</f>
        <v/>
      </c>
      <c r="H52" s="1225" t="str">
        <f>IFERROR(IF(LEFT(H$3,1)="F",H49,
IF(LEFT(H$3,2)="Q1",H49+INDEX(49:49,0,MATCH("Q4-"&amp;RIGHT(H$3,4)-1,$3:$3,0))+INDEX(49:49,0,MATCH("Q3-"&amp;RIGHT(H$3,4)-1,$3:$3,0))+INDEX(49:49,0,MATCH("Q2-"&amp;RIGHT(H$3,4)-1,$3:$3,0)),
IF(LEFT(H$3,2)="Q2",H49+INDEX(49:49,0,MATCH("Q4-"&amp;RIGHT(H$3,4)-1,$3:$3,0))+INDEX(49:49,0,MATCH("Q3-"&amp;RIGHT(H$3,4)-1,$3:$3,0))+INDEX(49:49,0,MATCH("Q1-"&amp;RIGHT(H$3,4),$3:$3,0)),
IF(LEFT(H$3,2)="Q3",H49+INDEX(49:49,0,MATCH("Q4-"&amp;RIGHT(H$3,4)-1,$3:$3,0))+INDEX(49:49,0,MATCH("Q2-"&amp;RIGHT(H$3,4),$3:$3,0))+INDEX(49:49,0,MATCH("Q1-"&amp;RIGHT(H$3,4),$3:$3,0)),
IF(LEFT(H$3,2)="Q4",INDEX(49:49,0,MATCH("FY"&amp;RIGHT(H$3,4),$3:$3,0))))))), "")</f>
        <v/>
      </c>
      <c r="I52" s="1225">
        <f>IFERROR(IF(LEFT(I$3,1)="F",I49,
IF(LEFT(I$3,2)="Q1",I49+INDEX(49:49,0,MATCH("Q4-"&amp;RIGHT(I$3,4)-1,$3:$3,0))+INDEX(49:49,0,MATCH("Q3-"&amp;RIGHT(I$3,4)-1,$3:$3,0))+INDEX(49:49,0,MATCH("Q2-"&amp;RIGHT(I$3,4)-1,$3:$3,0)),
IF(LEFT(I$3,2)="Q2",I49+INDEX(49:49,0,MATCH("Q4-"&amp;RIGHT(I$3,4)-1,$3:$3,0))+INDEX(49:49,0,MATCH("Q3-"&amp;RIGHT(I$3,4)-1,$3:$3,0))+INDEX(49:49,0,MATCH("Q1-"&amp;RIGHT(I$3,4),$3:$3,0)),
IF(LEFT(I$3,2)="Q3",I49+INDEX(49:49,0,MATCH("Q4-"&amp;RIGHT(I$3,4)-1,$3:$3,0))+INDEX(49:49,0,MATCH("Q2-"&amp;RIGHT(I$3,4),$3:$3,0))+INDEX(49:49,0,MATCH("Q1-"&amp;RIGHT(I$3,4),$3:$3,0)),
IF(LEFT(I$3,2)="Q4",INDEX(49:49,0,MATCH("FY"&amp;RIGHT(I$3,4),$3:$3,0))))))), "")</f>
        <v>-1577</v>
      </c>
      <c r="J52" s="1219">
        <f>IFERROR(IF(LEFT(J$3,1)="F",J49,
IF(LEFT(J$3,2)="Q1",J49+INDEX(49:49,0,MATCH("Q4-"&amp;RIGHT(J$3,4)-1,$3:$3,0))+INDEX(49:49,0,MATCH("Q3-"&amp;RIGHT(J$3,4)-1,$3:$3,0))+INDEX(49:49,0,MATCH("Q2-"&amp;RIGHT(J$3,4)-1,$3:$3,0)),
IF(LEFT(J$3,2)="Q2",J49+INDEX(49:49,0,MATCH("Q4-"&amp;RIGHT(J$3,4)-1,$3:$3,0))+INDEX(49:49,0,MATCH("Q3-"&amp;RIGHT(J$3,4)-1,$3:$3,0))+INDEX(49:49,0,MATCH("Q1-"&amp;RIGHT(J$3,4),$3:$3,0)),
IF(LEFT(J$3,2)="Q3",J49+INDEX(49:49,0,MATCH("Q4-"&amp;RIGHT(J$3,4)-1,$3:$3,0))+INDEX(49:49,0,MATCH("Q2-"&amp;RIGHT(J$3,4),$3:$3,0))+INDEX(49:49,0,MATCH("Q1-"&amp;RIGHT(J$3,4),$3:$3,0)),
IF(LEFT(J$3,2)="Q4",INDEX(49:49,0,MATCH("FY"&amp;RIGHT(J$3,4),$3:$3,0))))))), "")</f>
        <v>-1577</v>
      </c>
      <c r="K52" s="1225">
        <f>IFERROR(IF(LEFT(K$3,1)="F",K49,
IF(LEFT(K$3,2)="Q1",K49+INDEX(49:49,0,MATCH("Q4-"&amp;RIGHT(K$3,4)-1,$3:$3,0))+INDEX(49:49,0,MATCH("Q3-"&amp;RIGHT(K$3,4)-1,$3:$3,0))+INDEX(49:49,0,MATCH("Q2-"&amp;RIGHT(K$3,4)-1,$3:$3,0)),
IF(LEFT(K$3,2)="Q2",K49+INDEX(49:49,0,MATCH("Q4-"&amp;RIGHT(K$3,4)-1,$3:$3,0))+INDEX(49:49,0,MATCH("Q3-"&amp;RIGHT(K$3,4)-1,$3:$3,0))+INDEX(49:49,0,MATCH("Q1-"&amp;RIGHT(K$3,4),$3:$3,0)),
IF(LEFT(K$3,2)="Q3",K49+INDEX(49:49,0,MATCH("Q4-"&amp;RIGHT(K$3,4)-1,$3:$3,0))+INDEX(49:49,0,MATCH("Q2-"&amp;RIGHT(K$3,4),$3:$3,0))+INDEX(49:49,0,MATCH("Q1-"&amp;RIGHT(K$3,4),$3:$3,0)),
IF(LEFT(K$3,2)="Q4",INDEX(49:49,0,MATCH("FY"&amp;RIGHT(K$3,4),$3:$3,0))))))), "")</f>
        <v>-1664</v>
      </c>
      <c r="L52" s="1225">
        <f>IFERROR(IF(LEFT(L$3,1)="F",L49,
IF(LEFT(L$3,2)="Q1",L49+INDEX(49:49,0,MATCH("Q4-"&amp;RIGHT(L$3,4)-1,$3:$3,0))+INDEX(49:49,0,MATCH("Q3-"&amp;RIGHT(L$3,4)-1,$3:$3,0))+INDEX(49:49,0,MATCH("Q2-"&amp;RIGHT(L$3,4)-1,$3:$3,0)),
IF(LEFT(L$3,2)="Q2",L49+INDEX(49:49,0,MATCH("Q4-"&amp;RIGHT(L$3,4)-1,$3:$3,0))+INDEX(49:49,0,MATCH("Q3-"&amp;RIGHT(L$3,4)-1,$3:$3,0))+INDEX(49:49,0,MATCH("Q1-"&amp;RIGHT(L$3,4),$3:$3,0)),
IF(LEFT(L$3,2)="Q3",L49+INDEX(49:49,0,MATCH("Q4-"&amp;RIGHT(L$3,4)-1,$3:$3,0))+INDEX(49:49,0,MATCH("Q2-"&amp;RIGHT(L$3,4),$3:$3,0))+INDEX(49:49,0,MATCH("Q1-"&amp;RIGHT(L$3,4),$3:$3,0)),
IF(LEFT(L$3,2)="Q4",INDEX(49:49,0,MATCH("FY"&amp;RIGHT(L$3,4),$3:$3,0))))))), "")</f>
        <v>-1720</v>
      </c>
      <c r="M52" s="1225">
        <f>IFERROR(IF(LEFT(M$3,1)="F",M49,
IF(LEFT(M$3,2)="Q1",M49+INDEX(49:49,0,MATCH("Q4-"&amp;RIGHT(M$3,4)-1,$3:$3,0))+INDEX(49:49,0,MATCH("Q3-"&amp;RIGHT(M$3,4)-1,$3:$3,0))+INDEX(49:49,0,MATCH("Q2-"&amp;RIGHT(M$3,4)-1,$3:$3,0)),
IF(LEFT(M$3,2)="Q2",M49+INDEX(49:49,0,MATCH("Q4-"&amp;RIGHT(M$3,4)-1,$3:$3,0))+INDEX(49:49,0,MATCH("Q3-"&amp;RIGHT(M$3,4)-1,$3:$3,0))+INDEX(49:49,0,MATCH("Q1-"&amp;RIGHT(M$3,4),$3:$3,0)),
IF(LEFT(M$3,2)="Q3",M49+INDEX(49:49,0,MATCH("Q4-"&amp;RIGHT(M$3,4)-1,$3:$3,0))+INDEX(49:49,0,MATCH("Q2-"&amp;RIGHT(M$3,4),$3:$3,0))+INDEX(49:49,0,MATCH("Q1-"&amp;RIGHT(M$3,4),$3:$3,0)),
IF(LEFT(M$3,2)="Q4",INDEX(49:49,0,MATCH("FY"&amp;RIGHT(M$3,4),$3:$3,0))))))), "")</f>
        <v>-1692</v>
      </c>
      <c r="N52" s="1225">
        <f>IFERROR(IF(LEFT(N$3,1)="F",N49,
IF(LEFT(N$3,2)="Q1",N49+INDEX(49:49,0,MATCH("Q4-"&amp;RIGHT(N$3,4)-1,$3:$3,0))+INDEX(49:49,0,MATCH("Q3-"&amp;RIGHT(N$3,4)-1,$3:$3,0))+INDEX(49:49,0,MATCH("Q2-"&amp;RIGHT(N$3,4)-1,$3:$3,0)),
IF(LEFT(N$3,2)="Q2",N49+INDEX(49:49,0,MATCH("Q4-"&amp;RIGHT(N$3,4)-1,$3:$3,0))+INDEX(49:49,0,MATCH("Q3-"&amp;RIGHT(N$3,4)-1,$3:$3,0))+INDEX(49:49,0,MATCH("Q1-"&amp;RIGHT(N$3,4),$3:$3,0)),
IF(LEFT(N$3,2)="Q3",N49+INDEX(49:49,0,MATCH("Q4-"&amp;RIGHT(N$3,4)-1,$3:$3,0))+INDEX(49:49,0,MATCH("Q2-"&amp;RIGHT(N$3,4),$3:$3,0))+INDEX(49:49,0,MATCH("Q1-"&amp;RIGHT(N$3,4),$3:$3,0)),
IF(LEFT(N$3,2)="Q4",INDEX(49:49,0,MATCH("FY"&amp;RIGHT(N$3,4),$3:$3,0))))))), "")</f>
        <v>-1699</v>
      </c>
      <c r="O52" s="1219">
        <f>IFERROR(IF(LEFT(O$3,1)="F",O49,
IF(LEFT(O$3,2)="Q1",O49+INDEX(49:49,0,MATCH("Q4-"&amp;RIGHT(O$3,4)-1,$3:$3,0))+INDEX(49:49,0,MATCH("Q3-"&amp;RIGHT(O$3,4)-1,$3:$3,0))+INDEX(49:49,0,MATCH("Q2-"&amp;RIGHT(O$3,4)-1,$3:$3,0)),
IF(LEFT(O$3,2)="Q2",O49+INDEX(49:49,0,MATCH("Q4-"&amp;RIGHT(O$3,4)-1,$3:$3,0))+INDEX(49:49,0,MATCH("Q3-"&amp;RIGHT(O$3,4)-1,$3:$3,0))+INDEX(49:49,0,MATCH("Q1-"&amp;RIGHT(O$3,4),$3:$3,0)),
IF(LEFT(O$3,2)="Q3",O49+INDEX(49:49,0,MATCH("Q4-"&amp;RIGHT(O$3,4)-1,$3:$3,0))+INDEX(49:49,0,MATCH("Q2-"&amp;RIGHT(O$3,4),$3:$3,0))+INDEX(49:49,0,MATCH("Q1-"&amp;RIGHT(O$3,4),$3:$3,0)),
IF(LEFT(O$3,2)="Q4",INDEX(49:49,0,MATCH("FY"&amp;RIGHT(O$3,4),$3:$3,0))))))), "")</f>
        <v>-1699</v>
      </c>
      <c r="P52" s="1225">
        <f>IFERROR(IF(LEFT(P$3,1)="F",P49,
IF(LEFT(P$3,2)="Q1",P49+INDEX(49:49,0,MATCH("Q4-"&amp;RIGHT(P$3,4)-1,$3:$3,0))+INDEX(49:49,0,MATCH("Q3-"&amp;RIGHT(P$3,4)-1,$3:$3,0))+INDEX(49:49,0,MATCH("Q2-"&amp;RIGHT(P$3,4)-1,$3:$3,0)),
IF(LEFT(P$3,2)="Q2",P49+INDEX(49:49,0,MATCH("Q4-"&amp;RIGHT(P$3,4)-1,$3:$3,0))+INDEX(49:49,0,MATCH("Q3-"&amp;RIGHT(P$3,4)-1,$3:$3,0))+INDEX(49:49,0,MATCH("Q1-"&amp;RIGHT(P$3,4),$3:$3,0)),
IF(LEFT(P$3,2)="Q3",P49+INDEX(49:49,0,MATCH("Q4-"&amp;RIGHT(P$3,4)-1,$3:$3,0))+INDEX(49:49,0,MATCH("Q2-"&amp;RIGHT(P$3,4),$3:$3,0))+INDEX(49:49,0,MATCH("Q1-"&amp;RIGHT(P$3,4),$3:$3,0)),
IF(LEFT(P$3,2)="Q4",INDEX(49:49,0,MATCH("FY"&amp;RIGHT(P$3,4),$3:$3,0))))))), "")</f>
        <v>-1640</v>
      </c>
      <c r="Q52" s="1225">
        <f>IFERROR(IF(LEFT(Q$3,1)="F",Q49,
IF(LEFT(Q$3,2)="Q1",Q49+INDEX(49:49,0,MATCH("Q4-"&amp;RIGHT(Q$3,4)-1,$3:$3,0))+INDEX(49:49,0,MATCH("Q3-"&amp;RIGHT(Q$3,4)-1,$3:$3,0))+INDEX(49:49,0,MATCH("Q2-"&amp;RIGHT(Q$3,4)-1,$3:$3,0)),
IF(LEFT(Q$3,2)="Q2",Q49+INDEX(49:49,0,MATCH("Q4-"&amp;RIGHT(Q$3,4)-1,$3:$3,0))+INDEX(49:49,0,MATCH("Q3-"&amp;RIGHT(Q$3,4)-1,$3:$3,0))+INDEX(49:49,0,MATCH("Q1-"&amp;RIGHT(Q$3,4),$3:$3,0)),
IF(LEFT(Q$3,2)="Q3",Q49+INDEX(49:49,0,MATCH("Q4-"&amp;RIGHT(Q$3,4)-1,$3:$3,0))+INDEX(49:49,0,MATCH("Q2-"&amp;RIGHT(Q$3,4),$3:$3,0))+INDEX(49:49,0,MATCH("Q1-"&amp;RIGHT(Q$3,4),$3:$3,0)),
IF(LEFT(Q$3,2)="Q4",INDEX(49:49,0,MATCH("FY"&amp;RIGHT(Q$3,4),$3:$3,0))))))), "")</f>
        <v>-1598</v>
      </c>
      <c r="R52" s="1225">
        <f>IFERROR(IF(LEFT(R$3,1)="F",R49,
IF(LEFT(R$3,2)="Q1",R49+INDEX(49:49,0,MATCH("Q4-"&amp;RIGHT(R$3,4)-1,$3:$3,0))+INDEX(49:49,0,MATCH("Q3-"&amp;RIGHT(R$3,4)-1,$3:$3,0))+INDEX(49:49,0,MATCH("Q2-"&amp;RIGHT(R$3,4)-1,$3:$3,0)),
IF(LEFT(R$3,2)="Q2",R49+INDEX(49:49,0,MATCH("Q4-"&amp;RIGHT(R$3,4)-1,$3:$3,0))+INDEX(49:49,0,MATCH("Q3-"&amp;RIGHT(R$3,4)-1,$3:$3,0))+INDEX(49:49,0,MATCH("Q1-"&amp;RIGHT(R$3,4),$3:$3,0)),
IF(LEFT(R$3,2)="Q3",R49+INDEX(49:49,0,MATCH("Q4-"&amp;RIGHT(R$3,4)-1,$3:$3,0))+INDEX(49:49,0,MATCH("Q2-"&amp;RIGHT(R$3,4),$3:$3,0))+INDEX(49:49,0,MATCH("Q1-"&amp;RIGHT(R$3,4),$3:$3,0)),
IF(LEFT(R$3,2)="Q4",INDEX(49:49,0,MATCH("FY"&amp;RIGHT(R$3,4),$3:$3,0))))))), "")</f>
        <v>-1617</v>
      </c>
      <c r="S52" s="1225">
        <f>IFERROR(IF(LEFT(S$3,1)="F",S49,
IF(LEFT(S$3,2)="Q1",S49+INDEX(49:49,0,MATCH("Q4-"&amp;RIGHT(S$3,4)-1,$3:$3,0))+INDEX(49:49,0,MATCH("Q3-"&amp;RIGHT(S$3,4)-1,$3:$3,0))+INDEX(49:49,0,MATCH("Q2-"&amp;RIGHT(S$3,4)-1,$3:$3,0)),
IF(LEFT(S$3,2)="Q2",S49+INDEX(49:49,0,MATCH("Q4-"&amp;RIGHT(S$3,4)-1,$3:$3,0))+INDEX(49:49,0,MATCH("Q3-"&amp;RIGHT(S$3,4)-1,$3:$3,0))+INDEX(49:49,0,MATCH("Q1-"&amp;RIGHT(S$3,4),$3:$3,0)),
IF(LEFT(S$3,2)="Q3",S49+INDEX(49:49,0,MATCH("Q4-"&amp;RIGHT(S$3,4)-1,$3:$3,0))+INDEX(49:49,0,MATCH("Q2-"&amp;RIGHT(S$3,4),$3:$3,0))+INDEX(49:49,0,MATCH("Q1-"&amp;RIGHT(S$3,4),$3:$3,0)),
IF(LEFT(S$3,2)="Q4",INDEX(49:49,0,MATCH("FY"&amp;RIGHT(S$3,4),$3:$3,0))))))), "")</f>
        <v>-1501</v>
      </c>
      <c r="T52" s="1219">
        <f>IFERROR(IF(LEFT(T$3,1)="F",T49,
IF(LEFT(T$3,2)="Q1",T49+INDEX(49:49,0,MATCH("Q4-"&amp;RIGHT(T$3,4)-1,$3:$3,0))+INDEX(49:49,0,MATCH("Q3-"&amp;RIGHT(T$3,4)-1,$3:$3,0))+INDEX(49:49,0,MATCH("Q2-"&amp;RIGHT(T$3,4)-1,$3:$3,0)),
IF(LEFT(T$3,2)="Q2",T49+INDEX(49:49,0,MATCH("Q4-"&amp;RIGHT(T$3,4)-1,$3:$3,0))+INDEX(49:49,0,MATCH("Q3-"&amp;RIGHT(T$3,4)-1,$3:$3,0))+INDEX(49:49,0,MATCH("Q1-"&amp;RIGHT(T$3,4),$3:$3,0)),
IF(LEFT(T$3,2)="Q3",T49+INDEX(49:49,0,MATCH("Q4-"&amp;RIGHT(T$3,4)-1,$3:$3,0))+INDEX(49:49,0,MATCH("Q2-"&amp;RIGHT(T$3,4),$3:$3,0))+INDEX(49:49,0,MATCH("Q1-"&amp;RIGHT(T$3,4),$3:$3,0)),
IF(LEFT(T$3,2)="Q4",INDEX(49:49,0,MATCH("FY"&amp;RIGHT(T$3,4),$3:$3,0))))))), "")</f>
        <v>-1501</v>
      </c>
      <c r="U52" s="1225">
        <f>IFERROR(IF(LEFT(U$3,1)="F",U49,
IF(LEFT(U$3,2)="Q1",U49+INDEX(49:49,0,MATCH("Q4-"&amp;RIGHT(U$3,4)-1,$3:$3,0))+INDEX(49:49,0,MATCH("Q3-"&amp;RIGHT(U$3,4)-1,$3:$3,0))+INDEX(49:49,0,MATCH("Q2-"&amp;RIGHT(U$3,4)-1,$3:$3,0)),
IF(LEFT(U$3,2)="Q2",U49+INDEX(49:49,0,MATCH("Q4-"&amp;RIGHT(U$3,4)-1,$3:$3,0))+INDEX(49:49,0,MATCH("Q3-"&amp;RIGHT(U$3,4)-1,$3:$3,0))+INDEX(49:49,0,MATCH("Q1-"&amp;RIGHT(U$3,4),$3:$3,0)),
IF(LEFT(U$3,2)="Q3",U49+INDEX(49:49,0,MATCH("Q4-"&amp;RIGHT(U$3,4)-1,$3:$3,0))+INDEX(49:49,0,MATCH("Q2-"&amp;RIGHT(U$3,4),$3:$3,0))+INDEX(49:49,0,MATCH("Q1-"&amp;RIGHT(U$3,4),$3:$3,0)),
IF(LEFT(U$3,2)="Q4",INDEX(49:49,0,MATCH("FY"&amp;RIGHT(U$3,4),$3:$3,0))))))), "")</f>
        <v>-1479</v>
      </c>
      <c r="V52" s="1225">
        <f>IFERROR(IF(LEFT(V$3,1)="F",V49,
IF(LEFT(V$3,2)="Q1",V49+INDEX(49:49,0,MATCH("Q4-"&amp;RIGHT(V$3,4)-1,$3:$3,0))+INDEX(49:49,0,MATCH("Q3-"&amp;RIGHT(V$3,4)-1,$3:$3,0))+INDEX(49:49,0,MATCH("Q2-"&amp;RIGHT(V$3,4)-1,$3:$3,0)),
IF(LEFT(V$3,2)="Q2",V49+INDEX(49:49,0,MATCH("Q4-"&amp;RIGHT(V$3,4)-1,$3:$3,0))+INDEX(49:49,0,MATCH("Q3-"&amp;RIGHT(V$3,4)-1,$3:$3,0))+INDEX(49:49,0,MATCH("Q1-"&amp;RIGHT(V$3,4),$3:$3,0)),
IF(LEFT(V$3,2)="Q3",V49+INDEX(49:49,0,MATCH("Q4-"&amp;RIGHT(V$3,4)-1,$3:$3,0))+INDEX(49:49,0,MATCH("Q2-"&amp;RIGHT(V$3,4),$3:$3,0))+INDEX(49:49,0,MATCH("Q1-"&amp;RIGHT(V$3,4),$3:$3,0)),
IF(LEFT(V$3,2)="Q4",INDEX(49:49,0,MATCH("FY"&amp;RIGHT(V$3,4),$3:$3,0))))))), "")</f>
        <v>-1575</v>
      </c>
      <c r="W52" s="1225">
        <f>IFERROR(IF(LEFT(W$3,1)="F",W49,
IF(LEFT(W$3,2)="Q1",W49+INDEX(49:49,0,MATCH("Q4-"&amp;RIGHT(W$3,4)-1,$3:$3,0))+INDEX(49:49,0,MATCH("Q3-"&amp;RIGHT(W$3,4)-1,$3:$3,0))+INDEX(49:49,0,MATCH("Q2-"&amp;RIGHT(W$3,4)-1,$3:$3,0)),
IF(LEFT(W$3,2)="Q2",W49+INDEX(49:49,0,MATCH("Q4-"&amp;RIGHT(W$3,4)-1,$3:$3,0))+INDEX(49:49,0,MATCH("Q3-"&amp;RIGHT(W$3,4)-1,$3:$3,0))+INDEX(49:49,0,MATCH("Q1-"&amp;RIGHT(W$3,4),$3:$3,0)),
IF(LEFT(W$3,2)="Q3",W49+INDEX(49:49,0,MATCH("Q4-"&amp;RIGHT(W$3,4)-1,$3:$3,0))+INDEX(49:49,0,MATCH("Q2-"&amp;RIGHT(W$3,4),$3:$3,0))+INDEX(49:49,0,MATCH("Q1-"&amp;RIGHT(W$3,4),$3:$3,0)),
IF(LEFT(W$3,2)="Q4",INDEX(49:49,0,MATCH("FY"&amp;RIGHT(W$3,4),$3:$3,0))))))), "")</f>
        <v>-1682</v>
      </c>
      <c r="X52" s="1225">
        <f>IFERROR(IF(LEFT(X$3,1)="F",X49,
IF(LEFT(X$3,2)="Q1",X49+INDEX(49:49,0,MATCH("Q4-"&amp;RIGHT(X$3,4)-1,$3:$3,0))+INDEX(49:49,0,MATCH("Q3-"&amp;RIGHT(X$3,4)-1,$3:$3,0))+INDEX(49:49,0,MATCH("Q2-"&amp;RIGHT(X$3,4)-1,$3:$3,0)),
IF(LEFT(X$3,2)="Q2",X49+INDEX(49:49,0,MATCH("Q4-"&amp;RIGHT(X$3,4)-1,$3:$3,0))+INDEX(49:49,0,MATCH("Q3-"&amp;RIGHT(X$3,4)-1,$3:$3,0))+INDEX(49:49,0,MATCH("Q1-"&amp;RIGHT(X$3,4),$3:$3,0)),
IF(LEFT(X$3,2)="Q3",X49+INDEX(49:49,0,MATCH("Q4-"&amp;RIGHT(X$3,4)-1,$3:$3,0))+INDEX(49:49,0,MATCH("Q2-"&amp;RIGHT(X$3,4),$3:$3,0))+INDEX(49:49,0,MATCH("Q1-"&amp;RIGHT(X$3,4),$3:$3,0)),
IF(LEFT(X$3,2)="Q4",INDEX(49:49,0,MATCH("FY"&amp;RIGHT(X$3,4),$3:$3,0))))))), "")</f>
        <v>-1735</v>
      </c>
      <c r="Y52" s="1219">
        <f>IFERROR(IF(LEFT(Y$3,1)="F",Y49,
IF(LEFT(Y$3,2)="Q1",Y49+INDEX(49:49,0,MATCH("Q4-"&amp;RIGHT(Y$3,4)-1,$3:$3,0))+INDEX(49:49,0,MATCH("Q3-"&amp;RIGHT(Y$3,4)-1,$3:$3,0))+INDEX(49:49,0,MATCH("Q2-"&amp;RIGHT(Y$3,4)-1,$3:$3,0)),
IF(LEFT(Y$3,2)="Q2",Y49+INDEX(49:49,0,MATCH("Q4-"&amp;RIGHT(Y$3,4)-1,$3:$3,0))+INDEX(49:49,0,MATCH("Q3-"&amp;RIGHT(Y$3,4)-1,$3:$3,0))+INDEX(49:49,0,MATCH("Q1-"&amp;RIGHT(Y$3,4),$3:$3,0)),
IF(LEFT(Y$3,2)="Q3",Y49+INDEX(49:49,0,MATCH("Q4-"&amp;RIGHT(Y$3,4)-1,$3:$3,0))+INDEX(49:49,0,MATCH("Q2-"&amp;RIGHT(Y$3,4),$3:$3,0))+INDEX(49:49,0,MATCH("Q1-"&amp;RIGHT(Y$3,4),$3:$3,0)),
IF(LEFT(Y$3,2)="Q4",INDEX(49:49,0,MATCH("FY"&amp;RIGHT(Y$3,4),$3:$3,0))))))), "")</f>
        <v>-1735</v>
      </c>
      <c r="Z52" s="1225">
        <f>IFERROR(IF(LEFT(Z$3,1)="F",Z49,
IF(LEFT(Z$3,2)="Q1",Z49+INDEX(49:49,0,MATCH("Q4-"&amp;RIGHT(Z$3,4)-1,$3:$3,0))+INDEX(49:49,0,MATCH("Q3-"&amp;RIGHT(Z$3,4)-1,$3:$3,0))+INDEX(49:49,0,MATCH("Q2-"&amp;RIGHT(Z$3,4)-1,$3:$3,0)),
IF(LEFT(Z$3,2)="Q2",Z49+INDEX(49:49,0,MATCH("Q4-"&amp;RIGHT(Z$3,4)-1,$3:$3,0))+INDEX(49:49,0,MATCH("Q3-"&amp;RIGHT(Z$3,4)-1,$3:$3,0))+INDEX(49:49,0,MATCH("Q1-"&amp;RIGHT(Z$3,4),$3:$3,0)),
IF(LEFT(Z$3,2)="Q3",Z49+INDEX(49:49,0,MATCH("Q4-"&amp;RIGHT(Z$3,4)-1,$3:$3,0))+INDEX(49:49,0,MATCH("Q2-"&amp;RIGHT(Z$3,4),$3:$3,0))+INDEX(49:49,0,MATCH("Q1-"&amp;RIGHT(Z$3,4),$3:$3,0)),
IF(LEFT(Z$3,2)="Q4",INDEX(49:49,0,MATCH("FY"&amp;RIGHT(Z$3,4),$3:$3,0))))))), "")</f>
        <v>-1900</v>
      </c>
      <c r="AA52" s="1225">
        <f>IFERROR(IF(LEFT(AA$3,1)="F",AA49,
IF(LEFT(AA$3,2)="Q1",AA49+INDEX(49:49,0,MATCH("Q4-"&amp;RIGHT(AA$3,4)-1,$3:$3,0))+INDEX(49:49,0,MATCH("Q3-"&amp;RIGHT(AA$3,4)-1,$3:$3,0))+INDEX(49:49,0,MATCH("Q2-"&amp;RIGHT(AA$3,4)-1,$3:$3,0)),
IF(LEFT(AA$3,2)="Q2",AA49+INDEX(49:49,0,MATCH("Q4-"&amp;RIGHT(AA$3,4)-1,$3:$3,0))+INDEX(49:49,0,MATCH("Q3-"&amp;RIGHT(AA$3,4)-1,$3:$3,0))+INDEX(49:49,0,MATCH("Q1-"&amp;RIGHT(AA$3,4),$3:$3,0)),
IF(LEFT(AA$3,2)="Q3",AA49+INDEX(49:49,0,MATCH("Q4-"&amp;RIGHT(AA$3,4)-1,$3:$3,0))+INDEX(49:49,0,MATCH("Q2-"&amp;RIGHT(AA$3,4),$3:$3,0))+INDEX(49:49,0,MATCH("Q1-"&amp;RIGHT(AA$3,4),$3:$3,0)),
IF(LEFT(AA$3,2)="Q4",INDEX(49:49,0,MATCH("FY"&amp;RIGHT(AA$3,4),$3:$3,0))))))), "")</f>
        <v>-1900</v>
      </c>
      <c r="AB52" s="1225">
        <f>IFERROR(IF(LEFT(AB$3,1)="F",AB49,
IF(LEFT(AB$3,2)="Q1",AB49+INDEX(49:49,0,MATCH("Q4-"&amp;RIGHT(AB$3,4)-1,$3:$3,0))+INDEX(49:49,0,MATCH("Q3-"&amp;RIGHT(AB$3,4)-1,$3:$3,0))+INDEX(49:49,0,MATCH("Q2-"&amp;RIGHT(AB$3,4)-1,$3:$3,0)),
IF(LEFT(AB$3,2)="Q2",AB49+INDEX(49:49,0,MATCH("Q4-"&amp;RIGHT(AB$3,4)-1,$3:$3,0))+INDEX(49:49,0,MATCH("Q3-"&amp;RIGHT(AB$3,4)-1,$3:$3,0))+INDEX(49:49,0,MATCH("Q1-"&amp;RIGHT(AB$3,4),$3:$3,0)),
IF(LEFT(AB$3,2)="Q3",AB49+INDEX(49:49,0,MATCH("Q4-"&amp;RIGHT(AB$3,4)-1,$3:$3,0))+INDEX(49:49,0,MATCH("Q2-"&amp;RIGHT(AB$3,4),$3:$3,0))+INDEX(49:49,0,MATCH("Q1-"&amp;RIGHT(AB$3,4),$3:$3,0)),
IF(LEFT(AB$3,2)="Q4",INDEX(49:49,0,MATCH("FY"&amp;RIGHT(AB$3,4),$3:$3,0))))))), "")</f>
        <v>-1900</v>
      </c>
      <c r="AC52" s="1225">
        <f>IFERROR(IF(LEFT(AC$3,1)="F",AC49,
IF(LEFT(AC$3,2)="Q1",AC49+INDEX(49:49,0,MATCH("Q4-"&amp;RIGHT(AC$3,4)-1,$3:$3,0))+INDEX(49:49,0,MATCH("Q3-"&amp;RIGHT(AC$3,4)-1,$3:$3,0))+INDEX(49:49,0,MATCH("Q2-"&amp;RIGHT(AC$3,4)-1,$3:$3,0)),
IF(LEFT(AC$3,2)="Q2",AC49+INDEX(49:49,0,MATCH("Q4-"&amp;RIGHT(AC$3,4)-1,$3:$3,0))+INDEX(49:49,0,MATCH("Q3-"&amp;RIGHT(AC$3,4)-1,$3:$3,0))+INDEX(49:49,0,MATCH("Q1-"&amp;RIGHT(AC$3,4),$3:$3,0)),
IF(LEFT(AC$3,2)="Q3",AC49+INDEX(49:49,0,MATCH("Q4-"&amp;RIGHT(AC$3,4)-1,$3:$3,0))+INDEX(49:49,0,MATCH("Q2-"&amp;RIGHT(AC$3,4),$3:$3,0))+INDEX(49:49,0,MATCH("Q1-"&amp;RIGHT(AC$3,4),$3:$3,0)),
IF(LEFT(AC$3,2)="Q4",INDEX(49:49,0,MATCH("FY"&amp;RIGHT(AC$3,4),$3:$3,0))))))), "")</f>
        <v>-1900</v>
      </c>
      <c r="AD52" s="1219">
        <f>IFERROR(IF(LEFT(AD$3,1)="F",AD49,
IF(LEFT(AD$3,2)="Q1",AD49+INDEX(49:49,0,MATCH("Q4-"&amp;RIGHT(AD$3,4)-1,$3:$3,0))+INDEX(49:49,0,MATCH("Q3-"&amp;RIGHT(AD$3,4)-1,$3:$3,0))+INDEX(49:49,0,MATCH("Q2-"&amp;RIGHT(AD$3,4)-1,$3:$3,0)),
IF(LEFT(AD$3,2)="Q2",AD49+INDEX(49:49,0,MATCH("Q4-"&amp;RIGHT(AD$3,4)-1,$3:$3,0))+INDEX(49:49,0,MATCH("Q3-"&amp;RIGHT(AD$3,4)-1,$3:$3,0))+INDEX(49:49,0,MATCH("Q1-"&amp;RIGHT(AD$3,4),$3:$3,0)),
IF(LEFT(AD$3,2)="Q3",AD49+INDEX(49:49,0,MATCH("Q4-"&amp;RIGHT(AD$3,4)-1,$3:$3,0))+INDEX(49:49,0,MATCH("Q2-"&amp;RIGHT(AD$3,4),$3:$3,0))+INDEX(49:49,0,MATCH("Q1-"&amp;RIGHT(AD$3,4),$3:$3,0)),
IF(LEFT(AD$3,2)="Q4",INDEX(49:49,0,MATCH("FY"&amp;RIGHT(AD$3,4),$3:$3,0))))))), "")</f>
        <v>-1900</v>
      </c>
      <c r="AE52" s="1219">
        <f>IFERROR(IF(LEFT(AE$3,1)="F",AE49,
IF(LEFT(AE$3,2)="Q1",AE49+INDEX(49:49,0,MATCH("Q4-"&amp;RIGHT(AE$3,4)-1,$3:$3,0))+INDEX(49:49,0,MATCH("Q3-"&amp;RIGHT(AE$3,4)-1,$3:$3,0))+INDEX(49:49,0,MATCH("Q2-"&amp;RIGHT(AE$3,4)-1,$3:$3,0)),
IF(LEFT(AE$3,2)="Q2",AE49+INDEX(49:49,0,MATCH("Q4-"&amp;RIGHT(AE$3,4)-1,$3:$3,0))+INDEX(49:49,0,MATCH("Q3-"&amp;RIGHT(AE$3,4)-1,$3:$3,0))+INDEX(49:49,0,MATCH("Q1-"&amp;RIGHT(AE$3,4),$3:$3,0)),
IF(LEFT(AE$3,2)="Q3",AE49+INDEX(49:49,0,MATCH("Q4-"&amp;RIGHT(AE$3,4)-1,$3:$3,0))+INDEX(49:49,0,MATCH("Q2-"&amp;RIGHT(AE$3,4),$3:$3,0))+INDEX(49:49,0,MATCH("Q1-"&amp;RIGHT(AE$3,4),$3:$3,0)),
IF(LEFT(AE$3,2)="Q4",INDEX(49:49,0,MATCH("FY"&amp;RIGHT(AE$3,4),$3:$3,0))))))), "")</f>
        <v>-1900</v>
      </c>
      <c r="AF52" s="1219">
        <f>IFERROR(IF(LEFT(AF$3,1)="F",AF49,
IF(LEFT(AF$3,2)="Q1",AF49+INDEX(49:49,0,MATCH("Q4-"&amp;RIGHT(AF$3,4)-1,$3:$3,0))+INDEX(49:49,0,MATCH("Q3-"&amp;RIGHT(AF$3,4)-1,$3:$3,0))+INDEX(49:49,0,MATCH("Q2-"&amp;RIGHT(AF$3,4)-1,$3:$3,0)),
IF(LEFT(AF$3,2)="Q2",AF49+INDEX(49:49,0,MATCH("Q4-"&amp;RIGHT(AF$3,4)-1,$3:$3,0))+INDEX(49:49,0,MATCH("Q3-"&amp;RIGHT(AF$3,4)-1,$3:$3,0))+INDEX(49:49,0,MATCH("Q1-"&amp;RIGHT(AF$3,4),$3:$3,0)),
IF(LEFT(AF$3,2)="Q3",AF49+INDEX(49:49,0,MATCH("Q4-"&amp;RIGHT(AF$3,4)-1,$3:$3,0))+INDEX(49:49,0,MATCH("Q2-"&amp;RIGHT(AF$3,4),$3:$3,0))+INDEX(49:49,0,MATCH("Q1-"&amp;RIGHT(AF$3,4),$3:$3,0)),
IF(LEFT(AF$3,2)="Q4",INDEX(49:49,0,MATCH("FY"&amp;RIGHT(AF$3,4),$3:$3,0))))))), "")</f>
        <v>-1900</v>
      </c>
      <c r="AG52" s="1221">
        <f>IFERROR(IF(LEFT(AG$3,1)="F",AG49,
IF(LEFT(AG$3,2)="Q1",AG49+INDEX(49:49,0,MATCH("Q4-"&amp;RIGHT(AG$3,4)-1,$3:$3,0))+INDEX(49:49,0,MATCH("Q3-"&amp;RIGHT(AG$3,4)-1,$3:$3,0))+INDEX(49:49,0,MATCH("Q2-"&amp;RIGHT(AG$3,4)-1,$3:$3,0)),
IF(LEFT(AG$3,2)="Q2",AG49+INDEX(49:49,0,MATCH("Q4-"&amp;RIGHT(AG$3,4)-1,$3:$3,0))+INDEX(49:49,0,MATCH("Q3-"&amp;RIGHT(AG$3,4)-1,$3:$3,0))+INDEX(49:49,0,MATCH("Q1-"&amp;RIGHT(AG$3,4),$3:$3,0)),
IF(LEFT(AG$3,2)="Q3",AG49+INDEX(49:49,0,MATCH("Q4-"&amp;RIGHT(AG$3,4)-1,$3:$3,0))+INDEX(49:49,0,MATCH("Q2-"&amp;RIGHT(AG$3,4),$3:$3,0))+INDEX(49:49,0,MATCH("Q1-"&amp;RIGHT(AG$3,4),$3:$3,0)),
IF(LEFT(AG$3,2)="Q4",INDEX(49:49,0,MATCH("FY"&amp;RIGHT(AG$3,4),$3:$3,0))))))), "")</f>
        <v>-1900</v>
      </c>
    </row>
    <row r="53" spans="1:34" s="1222" customFormat="1" ht="14.25" customHeight="1" outlineLevel="1" x14ac:dyDescent="0.35">
      <c r="A53" s="1216"/>
      <c r="B53" s="1217"/>
      <c r="C53" s="1218"/>
      <c r="D53" s="1219"/>
      <c r="E53" s="1219"/>
      <c r="F53" s="1220"/>
      <c r="G53" s="1220"/>
      <c r="H53" s="1220"/>
      <c r="I53" s="1220"/>
      <c r="J53" s="1219"/>
      <c r="K53" s="1220"/>
      <c r="L53" s="1220"/>
      <c r="M53" s="1220"/>
      <c r="N53" s="1220"/>
      <c r="O53" s="1219"/>
      <c r="P53" s="1220"/>
      <c r="Q53" s="1220"/>
      <c r="R53" s="1220"/>
      <c r="S53" s="1220"/>
      <c r="T53" s="1219"/>
      <c r="U53" s="1220"/>
      <c r="V53" s="1220"/>
      <c r="W53" s="1220"/>
      <c r="X53" s="1220"/>
      <c r="Y53" s="1219"/>
      <c r="Z53" s="1220"/>
      <c r="AA53" s="1220"/>
      <c r="AB53" s="1220"/>
      <c r="AC53" s="1220"/>
      <c r="AD53" s="1219"/>
      <c r="AE53" s="1219"/>
      <c r="AF53" s="1219"/>
      <c r="AG53" s="1221"/>
    </row>
    <row r="54" spans="1:34" s="1222" customFormat="1" ht="14.25" customHeight="1" outlineLevel="1" x14ac:dyDescent="0.35">
      <c r="A54" s="1216" t="s">
        <v>1171</v>
      </c>
      <c r="B54" s="1217"/>
      <c r="C54" s="1290" t="str">
        <f>"=Current Assets / Current Liabilities"</f>
        <v>=Current Assets / Current Liabilities</v>
      </c>
      <c r="D54" s="1219">
        <f>D69-D72</f>
        <v>5507</v>
      </c>
      <c r="E54" s="1219">
        <f>E69-E72</f>
        <v>6590</v>
      </c>
      <c r="F54" s="1220">
        <f>F69-F72</f>
        <v>5859</v>
      </c>
      <c r="G54" s="1220">
        <f>G69-G72</f>
        <v>4988</v>
      </c>
      <c r="H54" s="1220">
        <f>H69-H72</f>
        <v>7083</v>
      </c>
      <c r="I54" s="1220">
        <f>I69-I72</f>
        <v>6465</v>
      </c>
      <c r="J54" s="1219">
        <f>J69-J72</f>
        <v>6465</v>
      </c>
      <c r="K54" s="1220">
        <f>K69-K72</f>
        <v>7249</v>
      </c>
      <c r="L54" s="1220">
        <f>L69-L72</f>
        <v>6786</v>
      </c>
      <c r="M54" s="1220">
        <f>M69-M72</f>
        <v>10199</v>
      </c>
      <c r="N54" s="1220">
        <f>N69-N72</f>
        <v>3749</v>
      </c>
      <c r="O54" s="1219">
        <f>O69-O72</f>
        <v>3749</v>
      </c>
      <c r="P54" s="1220">
        <f>P69-P72</f>
        <v>5956</v>
      </c>
      <c r="Q54" s="1220">
        <f>Q69-Q72</f>
        <v>6824</v>
      </c>
      <c r="R54" s="1220">
        <f>R69-R72</f>
        <v>6700</v>
      </c>
      <c r="S54" s="1220">
        <f>S69-S72</f>
        <v>7034</v>
      </c>
      <c r="T54" s="1219">
        <f>T69-T72</f>
        <v>7034</v>
      </c>
      <c r="U54" s="1220">
        <f>U69-U72</f>
        <v>6982</v>
      </c>
      <c r="V54" s="1220">
        <f>V69-V72</f>
        <v>6868.6842082419644</v>
      </c>
      <c r="W54" s="1220">
        <f>W69-W72</f>
        <v>7027.294918909538</v>
      </c>
      <c r="X54" s="1220">
        <f>X69-X72</f>
        <v>7271.2151400362072</v>
      </c>
      <c r="Y54" s="1219">
        <f>Y69-Y72</f>
        <v>7271.2151400362072</v>
      </c>
      <c r="Z54" s="1220">
        <f ca="1">Z69-Z72</f>
        <v>7699.9006279447385</v>
      </c>
      <c r="AA54" s="1220">
        <f ca="1">AA69-AA72</f>
        <v>7822.604355547709</v>
      </c>
      <c r="AB54" s="1220">
        <f ca="1">AB69-AB72</f>
        <v>8058.8666414445288</v>
      </c>
      <c r="AC54" s="1220">
        <f ca="1">AC69-AC72</f>
        <v>8475.8319291476892</v>
      </c>
      <c r="AD54" s="1219">
        <f ca="1">AD69-AD72</f>
        <v>8475.8319291476892</v>
      </c>
      <c r="AE54" s="1219">
        <f ca="1">AE69-AE72</f>
        <v>10390.206413505848</v>
      </c>
      <c r="AF54" s="1219">
        <f ca="1">AF69-AF72</f>
        <v>13047.112983199273</v>
      </c>
      <c r="AG54" s="1221">
        <f ca="1">AG69-AG72</f>
        <v>16504.108993570815</v>
      </c>
    </row>
    <row r="55" spans="1:34" s="1222" customFormat="1" ht="14.25" customHeight="1" outlineLevel="1" x14ac:dyDescent="0.35">
      <c r="A55" s="1216" t="s">
        <v>1172</v>
      </c>
      <c r="B55" s="1217"/>
      <c r="C55" s="1218"/>
      <c r="D55" s="1219">
        <f>IFERROR(INDEX(MO_BS_PPE,0,MATCH(D$3,MO_Common_ColumnHeader,0)),0)</f>
        <v>8516</v>
      </c>
      <c r="E55" s="1219">
        <f>IFERROR(INDEX(MO_BS_PPE,0,MATCH(E$3,MO_Common_ColumnHeader,0)),0)</f>
        <v>8866</v>
      </c>
      <c r="F55" s="1220">
        <f>IFERROR(INDEX(MO_BS_PPE,0,MATCH(F$3,MO_Common_ColumnHeader,0)),0)</f>
        <v>8864</v>
      </c>
      <c r="G55" s="1220">
        <f>IFERROR(INDEX(MO_BS_PPE,0,MATCH(G$3,MO_Common_ColumnHeader,0)),0)</f>
        <v>8645</v>
      </c>
      <c r="H55" s="1220">
        <f>IFERROR(INDEX(MO_BS_PPE,0,MATCH(H$3,MO_Common_ColumnHeader,0)),0)</f>
        <v>8630</v>
      </c>
      <c r="I55" s="1220">
        <f>IFERROR(INDEX(MO_BS_PPE,0,MATCH(I$3,MO_Common_ColumnHeader,0)),0)</f>
        <v>8738</v>
      </c>
      <c r="J55" s="1219">
        <f>IFERROR(INDEX(MO_BS_PPE,0,MATCH(J$3,MO_Common_ColumnHeader,0)),0)</f>
        <v>8738</v>
      </c>
      <c r="K55" s="1220">
        <f>IFERROR(INDEX(MO_BS_PPE,0,MATCH(K$3,MO_Common_ColumnHeader,0)),0)</f>
        <v>8829</v>
      </c>
      <c r="L55" s="1220">
        <f>IFERROR(INDEX(MO_BS_PPE,0,MATCH(L$3,MO_Common_ColumnHeader,0)),0)</f>
        <v>8998</v>
      </c>
      <c r="M55" s="1220">
        <f>IFERROR(INDEX(MO_BS_PPE,0,MATCH(M$3,MO_Common_ColumnHeader,0)),0)</f>
        <v>8891</v>
      </c>
      <c r="N55" s="1220">
        <f>IFERROR(INDEX(MO_BS_PPE,0,MATCH(N$3,MO_Common_ColumnHeader,0)),0)</f>
        <v>9333</v>
      </c>
      <c r="O55" s="1219">
        <f>IFERROR(INDEX(MO_BS_PPE,0,MATCH(O$3,MO_Common_ColumnHeader,0)),0)</f>
        <v>9333</v>
      </c>
      <c r="P55" s="1220">
        <f>IFERROR(INDEX(MO_BS_PPE,0,MATCH(P$3,MO_Common_ColumnHeader,0)),0)</f>
        <v>9165</v>
      </c>
      <c r="Q55" s="1220">
        <f>IFERROR(INDEX(MO_BS_PPE,0,MATCH(Q$3,MO_Common_ColumnHeader,0)),0)</f>
        <v>9089</v>
      </c>
      <c r="R55" s="1220">
        <f>IFERROR(INDEX(MO_BS_PPE,0,MATCH(R$3,MO_Common_ColumnHeader,0)),0)</f>
        <v>9216</v>
      </c>
      <c r="S55" s="1220">
        <f>IFERROR(INDEX(MO_BS_PPE,0,MATCH(S$3,MO_Common_ColumnHeader,0)),0)</f>
        <v>9421</v>
      </c>
      <c r="T55" s="1219">
        <f>IFERROR(INDEX(MO_BS_PPE,0,MATCH(T$3,MO_Common_ColumnHeader,0)),0)</f>
        <v>9421</v>
      </c>
      <c r="U55" s="1220">
        <f>IFERROR(INDEX(MO_BS_PPE,0,MATCH(U$3,MO_Common_ColumnHeader,0)),0)</f>
        <v>9240</v>
      </c>
      <c r="V55" s="1220">
        <f>IFERROR(INDEX(MO_BS_PPE,0,MATCH(V$3,MO_Common_ColumnHeader,0)),0)</f>
        <v>9238.4676712328765</v>
      </c>
      <c r="W55" s="1220">
        <f>IFERROR(INDEX(MO_BS_PPE,0,MATCH(W$3,MO_Common_ColumnHeader,0)),0)</f>
        <v>9233.3206610020643</v>
      </c>
      <c r="X55" s="1220">
        <f>IFERROR(INDEX(MO_BS_PPE,0,MATCH(X$3,MO_Common_ColumnHeader,0)),0)</f>
        <v>9228.3617634191396</v>
      </c>
      <c r="Y55" s="1219">
        <f>IFERROR(INDEX(MO_BS_PPE,0,MATCH(Y$3,MO_Common_ColumnHeader,0)),0)</f>
        <v>9228.3617634191396</v>
      </c>
      <c r="Z55" s="1220">
        <f>IFERROR(INDEX(MO_BS_PPE,0,MATCH(Z$3,MO_Common_ColumnHeader,0)),0)</f>
        <v>9230.9162263982635</v>
      </c>
      <c r="AA55" s="1220">
        <f>IFERROR(INDEX(MO_BS_PPE,0,MATCH(AA$3,MO_Common_ColumnHeader,0)),0)</f>
        <v>9229.7122822686051</v>
      </c>
      <c r="AB55" s="1220">
        <f>IFERROR(INDEX(MO_BS_PPE,0,MATCH(AB$3,MO_Common_ColumnHeader,0)),0)</f>
        <v>9224.8852635139119</v>
      </c>
      <c r="AC55" s="1220">
        <f>IFERROR(INDEX(MO_BS_PPE,0,MATCH(AC$3,MO_Common_ColumnHeader,0)),0)</f>
        <v>9220.2346623761714</v>
      </c>
      <c r="AD55" s="1219">
        <f>IFERROR(INDEX(MO_BS_PPE,0,MATCH(AD$3,MO_Common_ColumnHeader,0)),0)</f>
        <v>9220.2346623761714</v>
      </c>
      <c r="AE55" s="1219">
        <f>IFERROR(INDEX(MO_BS_PPE,0,MATCH(AE$3,MO_Common_ColumnHeader,0)),0)</f>
        <v>9213.3006363316272</v>
      </c>
      <c r="AF55" s="1219">
        <f>IFERROR(INDEX(MO_BS_PPE,0,MATCH(AF$3,MO_Common_ColumnHeader,0)),0)</f>
        <v>9207.3720440635407</v>
      </c>
      <c r="AG55" s="1221">
        <f>IFERROR(INDEX(MO_BS_PPE,0,MATCH(AG$3,MO_Common_ColumnHeader,0)),0)</f>
        <v>9202.3030976743266</v>
      </c>
    </row>
    <row r="56" spans="1:34" s="1222" customFormat="1" ht="14.25" customHeight="1" outlineLevel="1" x14ac:dyDescent="0.35">
      <c r="A56" s="1216"/>
      <c r="B56" s="1217"/>
      <c r="C56" s="1218"/>
      <c r="D56" s="1219"/>
      <c r="E56" s="1219"/>
      <c r="F56" s="1220"/>
      <c r="G56" s="1220"/>
      <c r="H56" s="1220"/>
      <c r="I56" s="1220"/>
      <c r="J56" s="1219"/>
      <c r="K56" s="1220"/>
      <c r="L56" s="1220"/>
      <c r="M56" s="1220"/>
      <c r="N56" s="1220"/>
      <c r="O56" s="1219"/>
      <c r="P56" s="1220"/>
      <c r="Q56" s="1220"/>
      <c r="R56" s="1220"/>
      <c r="S56" s="1220"/>
      <c r="T56" s="1219"/>
      <c r="U56" s="1220"/>
      <c r="V56" s="1220"/>
      <c r="W56" s="1220"/>
      <c r="X56" s="1220"/>
      <c r="Y56" s="1219"/>
      <c r="Z56" s="1220"/>
      <c r="AA56" s="1220"/>
      <c r="AB56" s="1220"/>
      <c r="AC56" s="1220"/>
      <c r="AD56" s="1219"/>
      <c r="AE56" s="1219"/>
      <c r="AF56" s="1219"/>
      <c r="AG56" s="1221"/>
    </row>
    <row r="57" spans="1:34" s="1264" customFormat="1" ht="14.25" customHeight="1" x14ac:dyDescent="0.35">
      <c r="A57" s="1291" t="s">
        <v>1173</v>
      </c>
      <c r="B57" s="1292"/>
      <c r="C57" s="1290" t="str">
        <f>"=LTM Rev / Avg WC"</f>
        <v>=LTM Rev / Avg WC</v>
      </c>
      <c r="D57" s="1261"/>
      <c r="E57" s="1261">
        <f>IFERROR(E$15/
(IF(LEFT(E$3,1)="F",AVERAGE(E54,INDEX(54:54,0,MATCH("FY"&amp;RIGHT(E$3,4)-1,$3:$3,0))),
IF(LEFT(E$3,2)="Q1",AVERAGE(E54,INDEX(54:54,0,MATCH("Q4-"&amp;RIGHT(E$3,4)-1,$3:$3,0))),
IF(LEFT(E$3,2)="Q2",AVERAGE(E54,INDEX(54:54,0,MATCH("Q1-"&amp;RIGHT(E$3,4),$3:$3,0))),
IF(LEFT(E$3,2)="Q3",AVERAGE(E54,INDEX(54:54,0,MATCH("Q2-"&amp;RIGHT(E$3,4),$3:$3,0))),
IF(LEFT(E$3,2)="Q4",AVERAGE(E54,INDEX(54:54,0,MATCH("Q3-"&amp;RIGHT(E$3,4),$3:$3,0))))))))), "")</f>
        <v>5.2338596346201536</v>
      </c>
      <c r="F57" s="1262" t="str">
        <f>IFERROR(F$15/
(IF(LEFT(F$3,1)="F",AVERAGE(F54,INDEX(54:54,0,MATCH("FY"&amp;RIGHT(F$3,4)-1,$3:$3,0))),
IF(LEFT(F$3,2)="Q1",AVERAGE(F54,INDEX(54:54,0,MATCH("Q4-"&amp;RIGHT(F$3,4)-1,$3:$3,0))),
IF(LEFT(F$3,2)="Q2",AVERAGE(F54,INDEX(54:54,0,MATCH("Q1-"&amp;RIGHT(F$3,4),$3:$3,0))),
IF(LEFT(F$3,2)="Q3",AVERAGE(F54,INDEX(54:54,0,MATCH("Q2-"&amp;RIGHT(F$3,4),$3:$3,0))),
IF(LEFT(F$3,2)="Q4",AVERAGE(F54,INDEX(54:54,0,MATCH("Q3-"&amp;RIGHT(F$3,4),$3:$3,0))))))))), "")</f>
        <v/>
      </c>
      <c r="G57" s="1262" t="str">
        <f>IFERROR(G$15/
(IF(LEFT(G$3,1)="F",AVERAGE(G54,INDEX(54:54,0,MATCH("FY"&amp;RIGHT(G$3,4)-1,$3:$3,0))),
IF(LEFT(G$3,2)="Q1",AVERAGE(G54,INDEX(54:54,0,MATCH("Q4-"&amp;RIGHT(G$3,4)-1,$3:$3,0))),
IF(LEFT(G$3,2)="Q2",AVERAGE(G54,INDEX(54:54,0,MATCH("Q1-"&amp;RIGHT(G$3,4),$3:$3,0))),
IF(LEFT(G$3,2)="Q3",AVERAGE(G54,INDEX(54:54,0,MATCH("Q2-"&amp;RIGHT(G$3,4),$3:$3,0))),
IF(LEFT(G$3,2)="Q4",AVERAGE(G54,INDEX(54:54,0,MATCH("Q3-"&amp;RIGHT(G$3,4),$3:$3,0))))))))), "")</f>
        <v/>
      </c>
      <c r="H57" s="1262" t="str">
        <f>IFERROR(H$15/
(IF(LEFT(H$3,1)="F",AVERAGE(H54,INDEX(54:54,0,MATCH("FY"&amp;RIGHT(H$3,4)-1,$3:$3,0))),
IF(LEFT(H$3,2)="Q1",AVERAGE(H54,INDEX(54:54,0,MATCH("Q4-"&amp;RIGHT(H$3,4)-1,$3:$3,0))),
IF(LEFT(H$3,2)="Q2",AVERAGE(H54,INDEX(54:54,0,MATCH("Q1-"&amp;RIGHT(H$3,4),$3:$3,0))),
IF(LEFT(H$3,2)="Q3",AVERAGE(H54,INDEX(54:54,0,MATCH("Q2-"&amp;RIGHT(H$3,4),$3:$3,0))),
IF(LEFT(H$3,2)="Q4",AVERAGE(H54,INDEX(54:54,0,MATCH("Q3-"&amp;RIGHT(H$3,4),$3:$3,0))))))))), "")</f>
        <v/>
      </c>
      <c r="I57" s="1262">
        <f>IFERROR(I$15/
(IF(LEFT(I$3,1)="F",AVERAGE(I54,INDEX(54:54,0,MATCH("FY"&amp;RIGHT(I$3,4)-1,$3:$3,0))),
IF(LEFT(I$3,2)="Q1",AVERAGE(I54,INDEX(54:54,0,MATCH("Q4-"&amp;RIGHT(I$3,4)-1,$3:$3,0))),
IF(LEFT(I$3,2)="Q2",AVERAGE(I54,INDEX(54:54,0,MATCH("Q1-"&amp;RIGHT(I$3,4),$3:$3,0))),
IF(LEFT(I$3,2)="Q3",AVERAGE(I54,INDEX(54:54,0,MATCH("Q2-"&amp;RIGHT(I$3,4),$3:$3,0))),
IF(LEFT(I$3,2)="Q4",AVERAGE(I54,INDEX(54:54,0,MATCH("Q3-"&amp;RIGHT(I$3,4),$3:$3,0))))))))), "")</f>
        <v>4.8368762917035726</v>
      </c>
      <c r="J57" s="1261">
        <f>IFERROR(J$15/
(IF(LEFT(J$3,1)="F",AVERAGE(J54,INDEX(54:54,0,MATCH("FY"&amp;RIGHT(J$3,4)-1,$3:$3,0))),
IF(LEFT(J$3,2)="Q1",AVERAGE(J54,INDEX(54:54,0,MATCH("Q4-"&amp;RIGHT(J$3,4)-1,$3:$3,0))),
IF(LEFT(J$3,2)="Q2",AVERAGE(J54,INDEX(54:54,0,MATCH("Q1-"&amp;RIGHT(J$3,4),$3:$3,0))),
IF(LEFT(J$3,2)="Q3",AVERAGE(J54,INDEX(54:54,0,MATCH("Q2-"&amp;RIGHT(J$3,4),$3:$3,0))),
IF(LEFT(J$3,2)="Q4",AVERAGE(J54,INDEX(54:54,0,MATCH("Q3-"&amp;RIGHT(J$3,4),$3:$3,0))))))))), "")</f>
        <v>5.0195327460743009</v>
      </c>
      <c r="K57" s="1262">
        <f>IFERROR(K$15/
(IF(LEFT(K$3,1)="F",AVERAGE(K54,INDEX(54:54,0,MATCH("FY"&amp;RIGHT(K$3,4)-1,$3:$3,0))),
IF(LEFT(K$3,2)="Q1",AVERAGE(K54,INDEX(54:54,0,MATCH("Q4-"&amp;RIGHT(K$3,4)-1,$3:$3,0))),
IF(LEFT(K$3,2)="Q2",AVERAGE(K54,INDEX(54:54,0,MATCH("Q1-"&amp;RIGHT(K$3,4),$3:$3,0))),
IF(LEFT(K$3,2)="Q3",AVERAGE(K54,INDEX(54:54,0,MATCH("Q2-"&amp;RIGHT(K$3,4),$3:$3,0))),
IF(LEFT(K$3,2)="Q4",AVERAGE(K54,INDEX(54:54,0,MATCH("Q3-"&amp;RIGHT(K$3,4),$3:$3,0))))))))), "")</f>
        <v>4.7178066209712703</v>
      </c>
      <c r="L57" s="1262">
        <f>IFERROR(L$15/
(IF(LEFT(L$3,1)="F",AVERAGE(L54,INDEX(54:54,0,MATCH("FY"&amp;RIGHT(L$3,4)-1,$3:$3,0))),
IF(LEFT(L$3,2)="Q1",AVERAGE(L54,INDEX(54:54,0,MATCH("Q4-"&amp;RIGHT(L$3,4)-1,$3:$3,0))),
IF(LEFT(L$3,2)="Q2",AVERAGE(L54,INDEX(54:54,0,MATCH("Q1-"&amp;RIGHT(L$3,4),$3:$3,0))),
IF(LEFT(L$3,2)="Q3",AVERAGE(L54,INDEX(54:54,0,MATCH("Q2-"&amp;RIGHT(L$3,4),$3:$3,0))),
IF(LEFT(L$3,2)="Q4",AVERAGE(L54,INDEX(54:54,0,MATCH("Q3-"&amp;RIGHT(L$3,4),$3:$3,0))))))))), "")</f>
        <v>4.5786961168507307</v>
      </c>
      <c r="M57" s="1262">
        <f>IFERROR(M$15/
(IF(LEFT(M$3,1)="F",AVERAGE(M54,INDEX(54:54,0,MATCH("FY"&amp;RIGHT(M$3,4)-1,$3:$3,0))),
IF(LEFT(M$3,2)="Q1",AVERAGE(M54,INDEX(54:54,0,MATCH("Q4-"&amp;RIGHT(M$3,4)-1,$3:$3,0))),
IF(LEFT(M$3,2)="Q2",AVERAGE(M54,INDEX(54:54,0,MATCH("Q1-"&amp;RIGHT(M$3,4),$3:$3,0))),
IF(LEFT(M$3,2)="Q3",AVERAGE(M54,INDEX(54:54,0,MATCH("Q2-"&amp;RIGHT(M$3,4),$3:$3,0))),
IF(LEFT(M$3,2)="Q4",AVERAGE(M54,INDEX(54:54,0,MATCH("Q3-"&amp;RIGHT(M$3,4),$3:$3,0))))))))), "")</f>
        <v>3.7644980865469533</v>
      </c>
      <c r="N57" s="1262">
        <f>IFERROR(N$15/
(IF(LEFT(N$3,1)="F",AVERAGE(N54,INDEX(54:54,0,MATCH("FY"&amp;RIGHT(N$3,4)-1,$3:$3,0))),
IF(LEFT(N$3,2)="Q1",AVERAGE(N54,INDEX(54:54,0,MATCH("Q4-"&amp;RIGHT(N$3,4)-1,$3:$3,0))),
IF(LEFT(N$3,2)="Q2",AVERAGE(N54,INDEX(54:54,0,MATCH("Q1-"&amp;RIGHT(N$3,4),$3:$3,0))),
IF(LEFT(N$3,2)="Q3",AVERAGE(N54,INDEX(54:54,0,MATCH("Q2-"&amp;RIGHT(N$3,4),$3:$3,0))),
IF(LEFT(N$3,2)="Q4",AVERAGE(N54,INDEX(54:54,0,MATCH("Q3-"&amp;RIGHT(N$3,4),$3:$3,0))))))))), "")</f>
        <v>4.607972469171207</v>
      </c>
      <c r="O57" s="1261">
        <f>IFERROR(O$15/
(IF(LEFT(O$3,1)="F",AVERAGE(O54,INDEX(54:54,0,MATCH("FY"&amp;RIGHT(O$3,4)-1,$3:$3,0))),
IF(LEFT(O$3,2)="Q1",AVERAGE(O54,INDEX(54:54,0,MATCH("Q4-"&amp;RIGHT(O$3,4)-1,$3:$3,0))),
IF(LEFT(O$3,2)="Q2",AVERAGE(O54,INDEX(54:54,0,MATCH("Q1-"&amp;RIGHT(O$3,4),$3:$3,0))),
IF(LEFT(O$3,2)="Q3",AVERAGE(O54,INDEX(54:54,0,MATCH("Q2-"&amp;RIGHT(O$3,4),$3:$3,0))),
IF(LEFT(O$3,2)="Q4",AVERAGE(O54,INDEX(54:54,0,MATCH("Q3-"&amp;RIGHT(O$3,4),$3:$3,0))))))))), "")</f>
        <v>6.2925396514587817</v>
      </c>
      <c r="P57" s="1262">
        <f>IFERROR(P$15/
(IF(LEFT(P$3,1)="F",AVERAGE(P54,INDEX(54:54,0,MATCH("FY"&amp;RIGHT(P$3,4)-1,$3:$3,0))),
IF(LEFT(P$3,2)="Q1",AVERAGE(P54,INDEX(54:54,0,MATCH("Q4-"&amp;RIGHT(P$3,4)-1,$3:$3,0))),
IF(LEFT(P$3,2)="Q2",AVERAGE(P54,INDEX(54:54,0,MATCH("Q1-"&amp;RIGHT(P$3,4),$3:$3,0))),
IF(LEFT(P$3,2)="Q3",AVERAGE(P54,INDEX(54:54,0,MATCH("Q2-"&amp;RIGHT(P$3,4),$3:$3,0))),
IF(LEFT(P$3,2)="Q4",AVERAGE(P54,INDEX(54:54,0,MATCH("Q3-"&amp;RIGHT(P$3,4),$3:$3,0))))))))), "")</f>
        <v>6.6662545079855748</v>
      </c>
      <c r="Q57" s="1262">
        <f>IFERROR(Q$15/
(IF(LEFT(Q$3,1)="F",AVERAGE(Q54,INDEX(54:54,0,MATCH("FY"&amp;RIGHT(Q$3,4)-1,$3:$3,0))),
IF(LEFT(Q$3,2)="Q1",AVERAGE(Q54,INDEX(54:54,0,MATCH("Q4-"&amp;RIGHT(Q$3,4)-1,$3:$3,0))),
IF(LEFT(Q$3,2)="Q2",AVERAGE(Q54,INDEX(54:54,0,MATCH("Q1-"&amp;RIGHT(Q$3,4),$3:$3,0))),
IF(LEFT(Q$3,2)="Q3",AVERAGE(Q54,INDEX(54:54,0,MATCH("Q2-"&amp;RIGHT(Q$3,4),$3:$3,0))),
IF(LEFT(Q$3,2)="Q4",AVERAGE(Q54,INDEX(54:54,0,MATCH("Q3-"&amp;RIGHT(Q$3,4),$3:$3,0))))))))), "")</f>
        <v>4.9065727699530512</v>
      </c>
      <c r="R57" s="1262">
        <f>IFERROR(R$15/
(IF(LEFT(R$3,1)="F",AVERAGE(R54,INDEX(54:54,0,MATCH("FY"&amp;RIGHT(R$3,4)-1,$3:$3,0))),
IF(LEFT(R$3,2)="Q1",AVERAGE(R54,INDEX(54:54,0,MATCH("Q4-"&amp;RIGHT(R$3,4)-1,$3:$3,0))),
IF(LEFT(R$3,2)="Q2",AVERAGE(R54,INDEX(54:54,0,MATCH("Q1-"&amp;RIGHT(R$3,4),$3:$3,0))),
IF(LEFT(R$3,2)="Q3",AVERAGE(R54,INDEX(54:54,0,MATCH("Q2-"&amp;RIGHT(R$3,4),$3:$3,0))),
IF(LEFT(R$3,2)="Q4",AVERAGE(R54,INDEX(54:54,0,MATCH("Q3-"&amp;RIGHT(R$3,4),$3:$3,0))))))))), "")</f>
        <v>4.6897367642709256</v>
      </c>
      <c r="S57" s="1262">
        <f>IFERROR(S$15/
(IF(LEFT(S$3,1)="F",AVERAGE(S54,INDEX(54:54,0,MATCH("FY"&amp;RIGHT(S$3,4)-1,$3:$3,0))),
IF(LEFT(S$3,2)="Q1",AVERAGE(S54,INDEX(54:54,0,MATCH("Q4-"&amp;RIGHT(S$3,4)-1,$3:$3,0))),
IF(LEFT(S$3,2)="Q2",AVERAGE(S54,INDEX(54:54,0,MATCH("Q1-"&amp;RIGHT(S$3,4),$3:$3,0))),
IF(LEFT(S$3,2)="Q3",AVERAGE(S54,INDEX(54:54,0,MATCH("Q2-"&amp;RIGHT(S$3,4),$3:$3,0))),
IF(LEFT(S$3,2)="Q4",AVERAGE(S54,INDEX(54:54,0,MATCH("Q3-"&amp;RIGHT(S$3,4),$3:$3,0))))))))), "")</f>
        <v>4.6867627785058978</v>
      </c>
      <c r="T57" s="1261">
        <f>IFERROR(T$15/
(IF(LEFT(T$3,1)="F",AVERAGE(T54,INDEX(54:54,0,MATCH("FY"&amp;RIGHT(T$3,4)-1,$3:$3,0))),
IF(LEFT(T$3,2)="Q1",AVERAGE(T54,INDEX(54:54,0,MATCH("Q4-"&amp;RIGHT(T$3,4)-1,$3:$3,0))),
IF(LEFT(T$3,2)="Q2",AVERAGE(T54,INDEX(54:54,0,MATCH("Q1-"&amp;RIGHT(T$3,4),$3:$3,0))),
IF(LEFT(T$3,2)="Q3",AVERAGE(T54,INDEX(54:54,0,MATCH("Q2-"&amp;RIGHT(T$3,4),$3:$3,0))),
IF(LEFT(T$3,2)="Q4",AVERAGE(T54,INDEX(54:54,0,MATCH("Q3-"&amp;RIGHT(T$3,4),$3:$3,0))))))))), "")</f>
        <v>5.9693962719094875</v>
      </c>
      <c r="U57" s="1262">
        <f>IFERROR(U$15/
(IF(LEFT(U$3,1)="F",AVERAGE(U54,INDEX(54:54,0,MATCH("FY"&amp;RIGHT(U$3,4)-1,$3:$3,0))),
IF(LEFT(U$3,2)="Q1",AVERAGE(U54,INDEX(54:54,0,MATCH("Q4-"&amp;RIGHT(U$3,4)-1,$3:$3,0))),
IF(LEFT(U$3,2)="Q2",AVERAGE(U54,INDEX(54:54,0,MATCH("Q1-"&amp;RIGHT(U$3,4),$3:$3,0))),
IF(LEFT(U$3,2)="Q3",AVERAGE(U54,INDEX(54:54,0,MATCH("Q2-"&amp;RIGHT(U$3,4),$3:$3,0))),
IF(LEFT(U$3,2)="Q4",AVERAGE(U54,INDEX(54:54,0,MATCH("Q3-"&amp;RIGHT(U$3,4),$3:$3,0))))))))), "")</f>
        <v>4.7031963470319633</v>
      </c>
      <c r="V57" s="1262">
        <f>IFERROR(V$15/
(IF(LEFT(V$3,1)="F",AVERAGE(V54,INDEX(54:54,0,MATCH("FY"&amp;RIGHT(V$3,4)-1,$3:$3,0))),
IF(LEFT(V$3,2)="Q1",AVERAGE(V54,INDEX(54:54,0,MATCH("Q4-"&amp;RIGHT(V$3,4)-1,$3:$3,0))),
IF(LEFT(V$3,2)="Q2",AVERAGE(V54,INDEX(54:54,0,MATCH("Q1-"&amp;RIGHT(V$3,4),$3:$3,0))),
IF(LEFT(V$3,2)="Q3",AVERAGE(V54,INDEX(54:54,0,MATCH("Q2-"&amp;RIGHT(V$3,4),$3:$3,0))),
IF(LEFT(V$3,2)="Q4",AVERAGE(V54,INDEX(54:54,0,MATCH("Q3-"&amp;RIGHT(V$3,4),$3:$3,0))))))))), "")</f>
        <v>4.8304067433858577</v>
      </c>
      <c r="W57" s="1262">
        <f>IFERROR(W$15/
(IF(LEFT(W$3,1)="F",AVERAGE(W54,INDEX(54:54,0,MATCH("FY"&amp;RIGHT(W$3,4)-1,$3:$3,0))),
IF(LEFT(W$3,2)="Q1",AVERAGE(W54,INDEX(54:54,0,MATCH("Q4-"&amp;RIGHT(W$3,4)-1,$3:$3,0))),
IF(LEFT(W$3,2)="Q2",AVERAGE(W54,INDEX(54:54,0,MATCH("Q1-"&amp;RIGHT(W$3,4),$3:$3,0))),
IF(LEFT(W$3,2)="Q3",AVERAGE(W54,INDEX(54:54,0,MATCH("Q2-"&amp;RIGHT(W$3,4),$3:$3,0))),
IF(LEFT(W$3,2)="Q4",AVERAGE(W54,INDEX(54:54,0,MATCH("Q3-"&amp;RIGHT(W$3,4),$3:$3,0))))))))), "")</f>
        <v>4.871594997413955</v>
      </c>
      <c r="X57" s="1262">
        <f>IFERROR(X$15/
(IF(LEFT(X$3,1)="F",AVERAGE(X54,INDEX(54:54,0,MATCH("FY"&amp;RIGHT(X$3,4)-1,$3:$3,0))),
IF(LEFT(X$3,2)="Q1",AVERAGE(X54,INDEX(54:54,0,MATCH("Q4-"&amp;RIGHT(X$3,4)-1,$3:$3,0))),
IF(LEFT(X$3,2)="Q2",AVERAGE(X54,INDEX(54:54,0,MATCH("Q1-"&amp;RIGHT(X$3,4),$3:$3,0))),
IF(LEFT(X$3,2)="Q3",AVERAGE(X54,INDEX(54:54,0,MATCH("Q2-"&amp;RIGHT(X$3,4),$3:$3,0))),
IF(LEFT(X$3,2)="Q4",AVERAGE(X54,INDEX(54:54,0,MATCH("Q3-"&amp;RIGHT(X$3,4),$3:$3,0))))))))), "")</f>
        <v>4.7903088725770502</v>
      </c>
      <c r="Y57" s="1261">
        <f>IFERROR(Y$15/
(IF(LEFT(Y$3,1)="F",AVERAGE(Y54,INDEX(54:54,0,MATCH("FY"&amp;RIGHT(Y$3,4)-1,$3:$3,0))),
IF(LEFT(Y$3,2)="Q1",AVERAGE(Y54,INDEX(54:54,0,MATCH("Q4-"&amp;RIGHT(Y$3,4)-1,$3:$3,0))),
IF(LEFT(Y$3,2)="Q2",AVERAGE(Y54,INDEX(54:54,0,MATCH("Q1-"&amp;RIGHT(Y$3,4),$3:$3,0))),
IF(LEFT(Y$3,2)="Q3",AVERAGE(Y54,INDEX(54:54,0,MATCH("Q2-"&amp;RIGHT(Y$3,4),$3:$3,0))),
IF(LEFT(Y$3,2)="Q4",AVERAGE(Y54,INDEX(54:54,0,MATCH("Q3-"&amp;RIGHT(Y$3,4),$3:$3,0))))))))), "")</f>
        <v>4.7880635788764971</v>
      </c>
      <c r="Z57" s="1262">
        <f ca="1">IFERROR(Z$15/
(IF(LEFT(Z$3,1)="F",AVERAGE(Z54,INDEX(54:54,0,MATCH("FY"&amp;RIGHT(Z$3,4)-1,$3:$3,0))),
IF(LEFT(Z$3,2)="Q1",AVERAGE(Z54,INDEX(54:54,0,MATCH("Q4-"&amp;RIGHT(Z$3,4)-1,$3:$3,0))),
IF(LEFT(Z$3,2)="Q2",AVERAGE(Z54,INDEX(54:54,0,MATCH("Q1-"&amp;RIGHT(Z$3,4),$3:$3,0))),
IF(LEFT(Z$3,2)="Q3",AVERAGE(Z54,INDEX(54:54,0,MATCH("Q2-"&amp;RIGHT(Z$3,4),$3:$3,0))),
IF(LEFT(Z$3,2)="Q4",AVERAGE(Z54,INDEX(54:54,0,MATCH("Q3-"&amp;RIGHT(Z$3,4),$3:$3,0))))))))), "")</f>
        <v>4.6596822896259091</v>
      </c>
      <c r="AA57" s="1262">
        <f ca="1">IFERROR(AA$15/
(IF(LEFT(AA$3,1)="F",AVERAGE(AA54,INDEX(54:54,0,MATCH("FY"&amp;RIGHT(AA$3,4)-1,$3:$3,0))),
IF(LEFT(AA$3,2)="Q1",AVERAGE(AA54,INDEX(54:54,0,MATCH("Q4-"&amp;RIGHT(AA$3,4)-1,$3:$3,0))),
IF(LEFT(AA$3,2)="Q2",AVERAGE(AA54,INDEX(54:54,0,MATCH("Q1-"&amp;RIGHT(AA$3,4),$3:$3,0))),
IF(LEFT(AA$3,2)="Q3",AVERAGE(AA54,INDEX(54:54,0,MATCH("Q2-"&amp;RIGHT(AA$3,4),$3:$3,0))),
IF(LEFT(AA$3,2)="Q4",AVERAGE(AA54,INDEX(54:54,0,MATCH("Q3-"&amp;RIGHT(AA$3,4),$3:$3,0))))))))), "")</f>
        <v>4.5572886361595435</v>
      </c>
      <c r="AB57" s="1262">
        <f ca="1">IFERROR(AB$15/
(IF(LEFT(AB$3,1)="F",AVERAGE(AB54,INDEX(54:54,0,MATCH("FY"&amp;RIGHT(AB$3,4)-1,$3:$3,0))),
IF(LEFT(AB$3,2)="Q1",AVERAGE(AB54,INDEX(54:54,0,MATCH("Q4-"&amp;RIGHT(AB$3,4)-1,$3:$3,0))),
IF(LEFT(AB$3,2)="Q2",AVERAGE(AB54,INDEX(54:54,0,MATCH("Q1-"&amp;RIGHT(AB$3,4),$3:$3,0))),
IF(LEFT(AB$3,2)="Q3",AVERAGE(AB54,INDEX(54:54,0,MATCH("Q2-"&amp;RIGHT(AB$3,4),$3:$3,0))),
IF(LEFT(AB$3,2)="Q4",AVERAGE(AB54,INDEX(54:54,0,MATCH("Q3-"&amp;RIGHT(AB$3,4),$3:$3,0))))))))), "")</f>
        <v>4.5251092115843967</v>
      </c>
      <c r="AC57" s="1262">
        <f ca="1">IFERROR(AC$15/
(IF(LEFT(AC$3,1)="F",AVERAGE(AC54,INDEX(54:54,0,MATCH("FY"&amp;RIGHT(AC$3,4)-1,$3:$3,0))),
IF(LEFT(AC$3,2)="Q1",AVERAGE(AC54,INDEX(54:54,0,MATCH("Q4-"&amp;RIGHT(AC$3,4)-1,$3:$3,0))),
IF(LEFT(AC$3,2)="Q2",AVERAGE(AC54,INDEX(54:54,0,MATCH("Q1-"&amp;RIGHT(AC$3,4),$3:$3,0))),
IF(LEFT(AC$3,2)="Q3",AVERAGE(AC54,INDEX(54:54,0,MATCH("Q2-"&amp;RIGHT(AC$3,4),$3:$3,0))),
IF(LEFT(AC$3,2)="Q4",AVERAGE(AC54,INDEX(54:54,0,MATCH("Q3-"&amp;RIGHT(AC$3,4),$3:$3,0))))))))), "")</f>
        <v>4.4161707566819377</v>
      </c>
      <c r="AD57" s="1261">
        <f ca="1">IFERROR(AD$15/
(IF(LEFT(AD$3,1)="F",AVERAGE(AD54,INDEX(54:54,0,MATCH("FY"&amp;RIGHT(AD$3,4)-1,$3:$3,0))),
IF(LEFT(AD$3,2)="Q1",AVERAGE(AD54,INDEX(54:54,0,MATCH("Q4-"&amp;RIGHT(AD$3,4)-1,$3:$3,0))),
IF(LEFT(AD$3,2)="Q2",AVERAGE(AD54,INDEX(54:54,0,MATCH("Q1-"&amp;RIGHT(AD$3,4),$3:$3,0))),
IF(LEFT(AD$3,2)="Q3",AVERAGE(AD54,INDEX(54:54,0,MATCH("Q2-"&amp;RIGHT(AD$3,4),$3:$3,0))),
IF(LEFT(AD$3,2)="Q4",AVERAGE(AD54,INDEX(54:54,0,MATCH("Q3-"&amp;RIGHT(AD$3,4),$3:$3,0))))))))), "")</f>
        <v>4.6370631888753424</v>
      </c>
      <c r="AE57" s="1261">
        <f ca="1">IFERROR(AE$15/
(IF(LEFT(AE$3,1)="F",AVERAGE(AE54,INDEX(54:54,0,MATCH("FY"&amp;RIGHT(AE$3,4)-1,$3:$3,0))),
IF(LEFT(AE$3,2)="Q1",AVERAGE(AE54,INDEX(54:54,0,MATCH("Q4-"&amp;RIGHT(AE$3,4)-1,$3:$3,0))),
IF(LEFT(AE$3,2)="Q2",AVERAGE(AE54,INDEX(54:54,0,MATCH("Q1-"&amp;RIGHT(AE$3,4),$3:$3,0))),
IF(LEFT(AE$3,2)="Q3",AVERAGE(AE54,INDEX(54:54,0,MATCH("Q2-"&amp;RIGHT(AE$3,4),$3:$3,0))),
IF(LEFT(AE$3,2)="Q4",AVERAGE(AE54,INDEX(54:54,0,MATCH("Q3-"&amp;RIGHT(AE$3,4),$3:$3,0))))))))), "")</f>
        <v>4.119604863622814</v>
      </c>
      <c r="AF57" s="1261">
        <f ca="1">IFERROR(AF$15/
(IF(LEFT(AF$3,1)="F",AVERAGE(AF54,INDEX(54:54,0,MATCH("FY"&amp;RIGHT(AF$3,4)-1,$3:$3,0))),
IF(LEFT(AF$3,2)="Q1",AVERAGE(AF54,INDEX(54:54,0,MATCH("Q4-"&amp;RIGHT(AF$3,4)-1,$3:$3,0))),
IF(LEFT(AF$3,2)="Q2",AVERAGE(AF54,INDEX(54:54,0,MATCH("Q1-"&amp;RIGHT(AF$3,4),$3:$3,0))),
IF(LEFT(AF$3,2)="Q3",AVERAGE(AF54,INDEX(54:54,0,MATCH("Q2-"&amp;RIGHT(AF$3,4),$3:$3,0))),
IF(LEFT(AF$3,2)="Q4",AVERAGE(AF54,INDEX(54:54,0,MATCH("Q3-"&amp;RIGHT(AF$3,4),$3:$3,0))))))))), "")</f>
        <v>3.5301344498421527</v>
      </c>
      <c r="AG57" s="1263">
        <f ca="1">IFERROR(AG$15/
(IF(LEFT(AG$3,1)="F",AVERAGE(AG54,INDEX(54:54,0,MATCH("FY"&amp;RIGHT(AG$3,4)-1,$3:$3,0))),
IF(LEFT(AG$3,2)="Q1",AVERAGE(AG54,INDEX(54:54,0,MATCH("Q4-"&amp;RIGHT(AG$3,4)-1,$3:$3,0))),
IF(LEFT(AG$3,2)="Q2",AVERAGE(AG54,INDEX(54:54,0,MATCH("Q1-"&amp;RIGHT(AG$3,4),$3:$3,0))),
IF(LEFT(AG$3,2)="Q3",AVERAGE(AG54,INDEX(54:54,0,MATCH("Q2-"&amp;RIGHT(AG$3,4),$3:$3,0))),
IF(LEFT(AG$3,2)="Q4",AVERAGE(AG54,INDEX(54:54,0,MATCH("Q3-"&amp;RIGHT(AG$3,4),$3:$3,0))))))))), "")</f>
        <v>2.9809531357670496</v>
      </c>
      <c r="AH57" s="1222"/>
    </row>
    <row r="58" spans="1:34" s="1264" customFormat="1" ht="14.25" customHeight="1" x14ac:dyDescent="0.35">
      <c r="A58" s="1291" t="s">
        <v>1174</v>
      </c>
      <c r="B58" s="1292"/>
      <c r="C58" s="1290" t="str">
        <f>"=LTM Rev / Avg PP&amp;E"</f>
        <v>=LTM Rev / Avg PP&amp;E</v>
      </c>
      <c r="D58" s="1261"/>
      <c r="E58" s="1261">
        <f>IFERROR(E$15/
(IF(LEFT(E$3,1)="F",AVERAGE(E55,INDEX(55:55,0,MATCH("FY"&amp;RIGHT(E$3,4)-1,$3:$3,0))),
IF(LEFT(E$3,2)="Q1",AVERAGE(E55,INDEX(55:55,0,MATCH("Q4-"&amp;RIGHT(E$3,4)-1,$3:$3,0))),
IF(LEFT(E$3,2)="Q2",AVERAGE(E55,INDEX(55:55,0,MATCH("Q1-"&amp;RIGHT(E$3,4),$3:$3,0))),
IF(LEFT(E$3,2)="Q3",AVERAGE(E55,INDEX(55:55,0,MATCH("Q2-"&amp;RIGHT(E$3,4),$3:$3,0))),
IF(LEFT(E$3,2)="Q4",AVERAGE(E55,INDEX(55:55,0,MATCH("Q3-"&amp;RIGHT(E$3,4),$3:$3,0))))))))), "")</f>
        <v>3.6425037395006328</v>
      </c>
      <c r="F58" s="1262" t="str">
        <f>IFERROR(F$15/
(IF(LEFT(F$3,1)="F",AVERAGE(F55,INDEX(55:55,0,MATCH("FY"&amp;RIGHT(F$3,4)-1,$3:$3,0))),
IF(LEFT(F$3,2)="Q1",AVERAGE(F55,INDEX(55:55,0,MATCH("Q4-"&amp;RIGHT(F$3,4)-1,$3:$3,0))),
IF(LEFT(F$3,2)="Q2",AVERAGE(F55,INDEX(55:55,0,MATCH("Q1-"&amp;RIGHT(F$3,4),$3:$3,0))),
IF(LEFT(F$3,2)="Q3",AVERAGE(F55,INDEX(55:55,0,MATCH("Q2-"&amp;RIGHT(F$3,4),$3:$3,0))),
IF(LEFT(F$3,2)="Q4",AVERAGE(F55,INDEX(55:55,0,MATCH("Q3-"&amp;RIGHT(F$3,4),$3:$3,0))))))))), "")</f>
        <v/>
      </c>
      <c r="G58" s="1262" t="str">
        <f>IFERROR(G$15/
(IF(LEFT(G$3,1)="F",AVERAGE(G55,INDEX(55:55,0,MATCH("FY"&amp;RIGHT(G$3,4)-1,$3:$3,0))),
IF(LEFT(G$3,2)="Q1",AVERAGE(G55,INDEX(55:55,0,MATCH("Q4-"&amp;RIGHT(G$3,4)-1,$3:$3,0))),
IF(LEFT(G$3,2)="Q2",AVERAGE(G55,INDEX(55:55,0,MATCH("Q1-"&amp;RIGHT(G$3,4),$3:$3,0))),
IF(LEFT(G$3,2)="Q3",AVERAGE(G55,INDEX(55:55,0,MATCH("Q2-"&amp;RIGHT(G$3,4),$3:$3,0))),
IF(LEFT(G$3,2)="Q4",AVERAGE(G55,INDEX(55:55,0,MATCH("Q3-"&amp;RIGHT(G$3,4),$3:$3,0))))))))), "")</f>
        <v/>
      </c>
      <c r="H58" s="1262" t="str">
        <f>IFERROR(H$15/
(IF(LEFT(H$3,1)="F",AVERAGE(H55,INDEX(55:55,0,MATCH("FY"&amp;RIGHT(H$3,4)-1,$3:$3,0))),
IF(LEFT(H$3,2)="Q1",AVERAGE(H55,INDEX(55:55,0,MATCH("Q4-"&amp;RIGHT(H$3,4)-1,$3:$3,0))),
IF(LEFT(H$3,2)="Q2",AVERAGE(H55,INDEX(55:55,0,MATCH("Q1-"&amp;RIGHT(H$3,4),$3:$3,0))),
IF(LEFT(H$3,2)="Q3",AVERAGE(H55,INDEX(55:55,0,MATCH("Q2-"&amp;RIGHT(H$3,4),$3:$3,0))),
IF(LEFT(H$3,2)="Q4",AVERAGE(H55,INDEX(55:55,0,MATCH("Q3-"&amp;RIGHT(H$3,4),$3:$3,0))))))))), "")</f>
        <v/>
      </c>
      <c r="I58" s="1262">
        <f>IFERROR(I$15/
(IF(LEFT(I$3,1)="F",AVERAGE(I55,INDEX(55:55,0,MATCH("FY"&amp;RIGHT(I$3,4)-1,$3:$3,0))),
IF(LEFT(I$3,2)="Q1",AVERAGE(I55,INDEX(55:55,0,MATCH("Q4-"&amp;RIGHT(I$3,4)-1,$3:$3,0))),
IF(LEFT(I$3,2)="Q2",AVERAGE(I55,INDEX(55:55,0,MATCH("Q1-"&amp;RIGHT(I$3,4),$3:$3,0))),
IF(LEFT(I$3,2)="Q3",AVERAGE(I55,INDEX(55:55,0,MATCH("Q2-"&amp;RIGHT(I$3,4),$3:$3,0))),
IF(LEFT(I$3,2)="Q4",AVERAGE(I55,INDEX(55:55,0,MATCH("Q3-"&amp;RIGHT(I$3,4),$3:$3,0))))))))), "")</f>
        <v>3.7730308613542145</v>
      </c>
      <c r="J58" s="1261">
        <f>IFERROR(J$15/
(IF(LEFT(J$3,1)="F",AVERAGE(J55,INDEX(55:55,0,MATCH("FY"&amp;RIGHT(J$3,4)-1,$3:$3,0))),
IF(LEFT(J$3,2)="Q1",AVERAGE(J55,INDEX(55:55,0,MATCH("Q4-"&amp;RIGHT(J$3,4)-1,$3:$3,0))),
IF(LEFT(J$3,2)="Q2",AVERAGE(J55,INDEX(55:55,0,MATCH("Q1-"&amp;RIGHT(J$3,4),$3:$3,0))),
IF(LEFT(J$3,2)="Q3",AVERAGE(J55,INDEX(55:55,0,MATCH("Q2-"&amp;RIGHT(J$3,4),$3:$3,0))),
IF(LEFT(J$3,2)="Q4",AVERAGE(J55,INDEX(55:55,0,MATCH("Q3-"&amp;RIGHT(J$3,4),$3:$3,0))))))))), "")</f>
        <v>3.722449443308339</v>
      </c>
      <c r="K58" s="1262">
        <f>IFERROR(K$15/
(IF(LEFT(K$3,1)="F",AVERAGE(K55,INDEX(55:55,0,MATCH("FY"&amp;RIGHT(K$3,4)-1,$3:$3,0))),
IF(LEFT(K$3,2)="Q1",AVERAGE(K55,INDEX(55:55,0,MATCH("Q4-"&amp;RIGHT(K$3,4)-1,$3:$3,0))),
IF(LEFT(K$3,2)="Q2",AVERAGE(K55,INDEX(55:55,0,MATCH("Q1-"&amp;RIGHT(K$3,4),$3:$3,0))),
IF(LEFT(K$3,2)="Q3",AVERAGE(K55,INDEX(55:55,0,MATCH("Q2-"&amp;RIGHT(K$3,4),$3:$3,0))),
IF(LEFT(K$3,2)="Q4",AVERAGE(K55,INDEX(55:55,0,MATCH("Q3-"&amp;RIGHT(K$3,4),$3:$3,0))))))))), "")</f>
        <v>3.6830420675129503</v>
      </c>
      <c r="L58" s="1262">
        <f>IFERROR(L$15/
(IF(LEFT(L$3,1)="F",AVERAGE(L55,INDEX(55:55,0,MATCH("FY"&amp;RIGHT(L$3,4)-1,$3:$3,0))),
IF(LEFT(L$3,2)="Q1",AVERAGE(L55,INDEX(55:55,0,MATCH("Q4-"&amp;RIGHT(L$3,4)-1,$3:$3,0))),
IF(LEFT(L$3,2)="Q2",AVERAGE(L55,INDEX(55:55,0,MATCH("Q1-"&amp;RIGHT(L$3,4),$3:$3,0))),
IF(LEFT(L$3,2)="Q3",AVERAGE(L55,INDEX(55:55,0,MATCH("Q2-"&amp;RIGHT(L$3,4),$3:$3,0))),
IF(LEFT(L$3,2)="Q4",AVERAGE(L55,INDEX(55:55,0,MATCH("Q3-"&amp;RIGHT(L$3,4),$3:$3,0))))))))), "")</f>
        <v>3.6047568295282435</v>
      </c>
      <c r="M58" s="1262">
        <f>IFERROR(M$15/
(IF(LEFT(M$3,1)="F",AVERAGE(M55,INDEX(55:55,0,MATCH("FY"&amp;RIGHT(M$3,4)-1,$3:$3,0))),
IF(LEFT(M$3,2)="Q1",AVERAGE(M55,INDEX(55:55,0,MATCH("Q4-"&amp;RIGHT(M$3,4)-1,$3:$3,0))),
IF(LEFT(M$3,2)="Q2",AVERAGE(M55,INDEX(55:55,0,MATCH("Q1-"&amp;RIGHT(M$3,4),$3:$3,0))),
IF(LEFT(M$3,2)="Q3",AVERAGE(M55,INDEX(55:55,0,MATCH("Q2-"&amp;RIGHT(M$3,4),$3:$3,0))),
IF(LEFT(M$3,2)="Q4",AVERAGE(M55,INDEX(55:55,0,MATCH("Q3-"&amp;RIGHT(M$3,4),$3:$3,0))))))))), "")</f>
        <v>3.5742635138912182</v>
      </c>
      <c r="N58" s="1262">
        <f>IFERROR(N$15/
(IF(LEFT(N$3,1)="F",AVERAGE(N55,INDEX(55:55,0,MATCH("FY"&amp;RIGHT(N$3,4)-1,$3:$3,0))),
IF(LEFT(N$3,2)="Q1",AVERAGE(N55,INDEX(55:55,0,MATCH("Q4-"&amp;RIGHT(N$3,4)-1,$3:$3,0))),
IF(LEFT(N$3,2)="Q2",AVERAGE(N55,INDEX(55:55,0,MATCH("Q1-"&amp;RIGHT(N$3,4),$3:$3,0))),
IF(LEFT(N$3,2)="Q3",AVERAGE(N55,INDEX(55:55,0,MATCH("Q2-"&amp;RIGHT(N$3,4),$3:$3,0))),
IF(LEFT(N$3,2)="Q4",AVERAGE(N55,INDEX(55:55,0,MATCH("Q3-"&amp;RIGHT(N$3,4),$3:$3,0))))))))), "")</f>
        <v>3.5267778753292363</v>
      </c>
      <c r="O58" s="1261">
        <f>IFERROR(O$15/
(IF(LEFT(O$3,1)="F",AVERAGE(O55,INDEX(55:55,0,MATCH("FY"&amp;RIGHT(O$3,4)-1,$3:$3,0))),
IF(LEFT(O$3,2)="Q1",AVERAGE(O55,INDEX(55:55,0,MATCH("Q4-"&amp;RIGHT(O$3,4)-1,$3:$3,0))),
IF(LEFT(O$3,2)="Q2",AVERAGE(O55,INDEX(55:55,0,MATCH("Q1-"&amp;RIGHT(O$3,4),$3:$3,0))),
IF(LEFT(O$3,2)="Q3",AVERAGE(O55,INDEX(55:55,0,MATCH("Q2-"&amp;RIGHT(O$3,4),$3:$3,0))),
IF(LEFT(O$3,2)="Q4",AVERAGE(O55,INDEX(55:55,0,MATCH("Q3-"&amp;RIGHT(O$3,4),$3:$3,0))))))))), "")</f>
        <v>3.5566377068230866</v>
      </c>
      <c r="P58" s="1262">
        <f>IFERROR(P$15/
(IF(LEFT(P$3,1)="F",AVERAGE(P55,INDEX(55:55,0,MATCH("FY"&amp;RIGHT(P$3,4)-1,$3:$3,0))),
IF(LEFT(P$3,2)="Q1",AVERAGE(P55,INDEX(55:55,0,MATCH("Q4-"&amp;RIGHT(P$3,4)-1,$3:$3,0))),
IF(LEFT(P$3,2)="Q2",AVERAGE(P55,INDEX(55:55,0,MATCH("Q1-"&amp;RIGHT(P$3,4),$3:$3,0))),
IF(LEFT(P$3,2)="Q3",AVERAGE(P55,INDEX(55:55,0,MATCH("Q2-"&amp;RIGHT(P$3,4),$3:$3,0))),
IF(LEFT(P$3,2)="Q4",AVERAGE(P55,INDEX(55:55,0,MATCH("Q3-"&amp;RIGHT(P$3,4),$3:$3,0))))))))), "")</f>
        <v>3.4974591847767327</v>
      </c>
      <c r="Q58" s="1262">
        <f>IFERROR(Q$15/
(IF(LEFT(Q$3,1)="F",AVERAGE(Q55,INDEX(55:55,0,MATCH("FY"&amp;RIGHT(Q$3,4)-1,$3:$3,0))),
IF(LEFT(Q$3,2)="Q1",AVERAGE(Q55,INDEX(55:55,0,MATCH("Q4-"&amp;RIGHT(Q$3,4)-1,$3:$3,0))),
IF(LEFT(Q$3,2)="Q2",AVERAGE(Q55,INDEX(55:55,0,MATCH("Q1-"&amp;RIGHT(Q$3,4),$3:$3,0))),
IF(LEFT(Q$3,2)="Q3",AVERAGE(Q55,INDEX(55:55,0,MATCH("Q2-"&amp;RIGHT(Q$3,4),$3:$3,0))),
IF(LEFT(Q$3,2)="Q4",AVERAGE(Q55,INDEX(55:55,0,MATCH("Q3-"&amp;RIGHT(Q$3,4),$3:$3,0))))))))), "")</f>
        <v>3.4351922866221103</v>
      </c>
      <c r="R58" s="1262">
        <f>IFERROR(R$15/
(IF(LEFT(R$3,1)="F",AVERAGE(R55,INDEX(55:55,0,MATCH("FY"&amp;RIGHT(R$3,4)-1,$3:$3,0))),
IF(LEFT(R$3,2)="Q1",AVERAGE(R55,INDEX(55:55,0,MATCH("Q4-"&amp;RIGHT(R$3,4)-1,$3:$3,0))),
IF(LEFT(R$3,2)="Q2",AVERAGE(R55,INDEX(55:55,0,MATCH("Q1-"&amp;RIGHT(R$3,4),$3:$3,0))),
IF(LEFT(R$3,2)="Q3",AVERAGE(R55,INDEX(55:55,0,MATCH("Q2-"&amp;RIGHT(R$3,4),$3:$3,0))),
IF(LEFT(R$3,2)="Q4",AVERAGE(R55,INDEX(55:55,0,MATCH("Q3-"&amp;RIGHT(R$3,4),$3:$3,0))))))))), "")</f>
        <v>3.4648456705818083</v>
      </c>
      <c r="S58" s="1262">
        <f>IFERROR(S$15/
(IF(LEFT(S$3,1)="F",AVERAGE(S55,INDEX(55:55,0,MATCH("FY"&amp;RIGHT(S$3,4)-1,$3:$3,0))),
IF(LEFT(S$3,2)="Q1",AVERAGE(S55,INDEX(55:55,0,MATCH("Q4-"&amp;RIGHT(S$3,4)-1,$3:$3,0))),
IF(LEFT(S$3,2)="Q2",AVERAGE(S55,INDEX(55:55,0,MATCH("Q1-"&amp;RIGHT(S$3,4),$3:$3,0))),
IF(LEFT(S$3,2)="Q3",AVERAGE(S55,INDEX(55:55,0,MATCH("Q2-"&amp;RIGHT(S$3,4),$3:$3,0))),
IF(LEFT(S$3,2)="Q4",AVERAGE(S55,INDEX(55:55,0,MATCH("Q3-"&amp;RIGHT(S$3,4),$3:$3,0))))))))), "")</f>
        <v>3.4537747491549071</v>
      </c>
      <c r="T58" s="1261">
        <f>IFERROR(T$15/
(IF(LEFT(T$3,1)="F",AVERAGE(T55,INDEX(55:55,0,MATCH("FY"&amp;RIGHT(T$3,4)-1,$3:$3,0))),
IF(LEFT(T$3,2)="Q1",AVERAGE(T55,INDEX(55:55,0,MATCH("Q4-"&amp;RIGHT(T$3,4)-1,$3:$3,0))),
IF(LEFT(T$3,2)="Q2",AVERAGE(T55,INDEX(55:55,0,MATCH("Q1-"&amp;RIGHT(T$3,4),$3:$3,0))),
IF(LEFT(T$3,2)="Q3",AVERAGE(T55,INDEX(55:55,0,MATCH("Q2-"&amp;RIGHT(T$3,4),$3:$3,0))),
IF(LEFT(T$3,2)="Q4",AVERAGE(T55,INDEX(55:55,0,MATCH("Q3-"&amp;RIGHT(T$3,4),$3:$3,0))))))))), "")</f>
        <v>3.4322277914045003</v>
      </c>
      <c r="U58" s="1262">
        <f>IFERROR(U$15/
(IF(LEFT(U$3,1)="F",AVERAGE(U55,INDEX(55:55,0,MATCH("FY"&amp;RIGHT(U$3,4)-1,$3:$3,0))),
IF(LEFT(U$3,2)="Q1",AVERAGE(U55,INDEX(55:55,0,MATCH("Q4-"&amp;RIGHT(U$3,4)-1,$3:$3,0))),
IF(LEFT(U$3,2)="Q2",AVERAGE(U55,INDEX(55:55,0,MATCH("Q1-"&amp;RIGHT(U$3,4),$3:$3,0))),
IF(LEFT(U$3,2)="Q3",AVERAGE(U55,INDEX(55:55,0,MATCH("Q2-"&amp;RIGHT(U$3,4),$3:$3,0))),
IF(LEFT(U$3,2)="Q4",AVERAGE(U55,INDEX(55:55,0,MATCH("Q3-"&amp;RIGHT(U$3,4),$3:$3,0))))))))), "")</f>
        <v>3.5325009377846848</v>
      </c>
      <c r="V58" s="1262">
        <f>IFERROR(V$15/
(IF(LEFT(V$3,1)="F",AVERAGE(V55,INDEX(55:55,0,MATCH("FY"&amp;RIGHT(V$3,4)-1,$3:$3,0))),
IF(LEFT(V$3,2)="Q1",AVERAGE(V55,INDEX(55:55,0,MATCH("Q4-"&amp;RIGHT(V$3,4)-1,$3:$3,0))),
IF(LEFT(V$3,2)="Q2",AVERAGE(V55,INDEX(55:55,0,MATCH("Q1-"&amp;RIGHT(V$3,4),$3:$3,0))),
IF(LEFT(V$3,2)="Q3",AVERAGE(V55,INDEX(55:55,0,MATCH("Q2-"&amp;RIGHT(V$3,4),$3:$3,0))),
IF(LEFT(V$3,2)="Q4",AVERAGE(V55,INDEX(55:55,0,MATCH("Q3-"&amp;RIGHT(V$3,4),$3:$3,0))))))))), "")</f>
        <v>3.6206702628354983</v>
      </c>
      <c r="W58" s="1262">
        <f>IFERROR(W$15/
(IF(LEFT(W$3,1)="F",AVERAGE(W55,INDEX(55:55,0,MATCH("FY"&amp;RIGHT(W$3,4)-1,$3:$3,0))),
IF(LEFT(W$3,2)="Q1",AVERAGE(W55,INDEX(55:55,0,MATCH("Q4-"&amp;RIGHT(W$3,4)-1,$3:$3,0))),
IF(LEFT(W$3,2)="Q2",AVERAGE(W55,INDEX(55:55,0,MATCH("Q1-"&amp;RIGHT(W$3,4),$3:$3,0))),
IF(LEFT(W$3,2)="Q3",AVERAGE(W55,INDEX(55:55,0,MATCH("Q2-"&amp;RIGHT(W$3,4),$3:$3,0))),
IF(LEFT(W$3,2)="Q4",AVERAGE(W55,INDEX(55:55,0,MATCH("Q3-"&amp;RIGHT(W$3,4),$3:$3,0))))))))), "")</f>
        <v>3.6648093396493229</v>
      </c>
      <c r="X58" s="1262">
        <f>IFERROR(X$15/
(IF(LEFT(X$3,1)="F",AVERAGE(X55,INDEX(55:55,0,MATCH("FY"&amp;RIGHT(X$3,4)-1,$3:$3,0))),
IF(LEFT(X$3,2)="Q1",AVERAGE(X55,INDEX(55:55,0,MATCH("Q4-"&amp;RIGHT(X$3,4)-1,$3:$3,0))),
IF(LEFT(X$3,2)="Q2",AVERAGE(X55,INDEX(55:55,0,MATCH("Q1-"&amp;RIGHT(X$3,4),$3:$3,0))),
IF(LEFT(X$3,2)="Q3",AVERAGE(X55,INDEX(55:55,0,MATCH("Q2-"&amp;RIGHT(X$3,4),$3:$3,0))),
IF(LEFT(X$3,2)="Q4",AVERAGE(X55,INDEX(55:55,0,MATCH("Q3-"&amp;RIGHT(X$3,4),$3:$3,0))))))))), "")</f>
        <v>3.7100778805183778</v>
      </c>
      <c r="Y58" s="1261">
        <f>IFERROR(Y$15/
(IF(LEFT(Y$3,1)="F",AVERAGE(Y55,INDEX(55:55,0,MATCH("FY"&amp;RIGHT(Y$3,4)-1,$3:$3,0))),
IF(LEFT(Y$3,2)="Q1",AVERAGE(Y55,INDEX(55:55,0,MATCH("Q4-"&amp;RIGHT(Y$3,4)-1,$3:$3,0))),
IF(LEFT(Y$3,2)="Q2",AVERAGE(Y55,INDEX(55:55,0,MATCH("Q1-"&amp;RIGHT(Y$3,4),$3:$3,0))),
IF(LEFT(Y$3,2)="Q3",AVERAGE(Y55,INDEX(55:55,0,MATCH("Q2-"&amp;RIGHT(Y$3,4),$3:$3,0))),
IF(LEFT(Y$3,2)="Q4",AVERAGE(Y55,INDEX(55:55,0,MATCH("Q3-"&amp;RIGHT(Y$3,4),$3:$3,0))))))))), "")</f>
        <v>3.6727412159676178</v>
      </c>
      <c r="Z58" s="1262">
        <f>IFERROR(Z$15/
(IF(LEFT(Z$3,1)="F",AVERAGE(Z55,INDEX(55:55,0,MATCH("FY"&amp;RIGHT(Z$3,4)-1,$3:$3,0))),
IF(LEFT(Z$3,2)="Q1",AVERAGE(Z55,INDEX(55:55,0,MATCH("Q4-"&amp;RIGHT(Z$3,4)-1,$3:$3,0))),
IF(LEFT(Z$3,2)="Q2",AVERAGE(Z55,INDEX(55:55,0,MATCH("Q1-"&amp;RIGHT(Z$3,4),$3:$3,0))),
IF(LEFT(Z$3,2)="Q3",AVERAGE(Z55,INDEX(55:55,0,MATCH("Q2-"&amp;RIGHT(Z$3,4),$3:$3,0))),
IF(LEFT(Z$3,2)="Q4",AVERAGE(Z55,INDEX(55:55,0,MATCH("Q3-"&amp;RIGHT(Z$3,4),$3:$3,0))))))))), "")</f>
        <v>3.7791642250840858</v>
      </c>
      <c r="AA58" s="1262">
        <f>IFERROR(AA$15/
(IF(LEFT(AA$3,1)="F",AVERAGE(AA55,INDEX(55:55,0,MATCH("FY"&amp;RIGHT(AA$3,4)-1,$3:$3,0))),
IF(LEFT(AA$3,2)="Q1",AVERAGE(AA55,INDEX(55:55,0,MATCH("Q4-"&amp;RIGHT(AA$3,4)-1,$3:$3,0))),
IF(LEFT(AA$3,2)="Q2",AVERAGE(AA55,INDEX(55:55,0,MATCH("Q1-"&amp;RIGHT(AA$3,4),$3:$3,0))),
IF(LEFT(AA$3,2)="Q3",AVERAGE(AA55,INDEX(55:55,0,MATCH("Q2-"&amp;RIGHT(AA$3,4),$3:$3,0))),
IF(LEFT(AA$3,2)="Q4",AVERAGE(AA55,INDEX(55:55,0,MATCH("Q3-"&amp;RIGHT(AA$3,4),$3:$3,0))))))))), "")</f>
        <v>3.8319678841264175</v>
      </c>
      <c r="AB58" s="1262">
        <f>IFERROR(AB$15/
(IF(LEFT(AB$3,1)="F",AVERAGE(AB55,INDEX(55:55,0,MATCH("FY"&amp;RIGHT(AB$3,4)-1,$3:$3,0))),
IF(LEFT(AB$3,2)="Q1",AVERAGE(AB55,INDEX(55:55,0,MATCH("Q4-"&amp;RIGHT(AB$3,4)-1,$3:$3,0))),
IF(LEFT(AB$3,2)="Q2",AVERAGE(AB55,INDEX(55:55,0,MATCH("Q1-"&amp;RIGHT(AB$3,4),$3:$3,0))),
IF(LEFT(AB$3,2)="Q3",AVERAGE(AB55,INDEX(55:55,0,MATCH("Q2-"&amp;RIGHT(AB$3,4),$3:$3,0))),
IF(LEFT(AB$3,2)="Q4",AVERAGE(AB55,INDEX(55:55,0,MATCH("Q3-"&amp;RIGHT(AB$3,4),$3:$3,0))))))))), "")</f>
        <v>3.8941727406254709</v>
      </c>
      <c r="AC58" s="1262">
        <f>IFERROR(AC$15/
(IF(LEFT(AC$3,1)="F",AVERAGE(AC55,INDEX(55:55,0,MATCH("FY"&amp;RIGHT(AC$3,4)-1,$3:$3,0))),
IF(LEFT(AC$3,2)="Q1",AVERAGE(AC55,INDEX(55:55,0,MATCH("Q4-"&amp;RIGHT(AC$3,4)-1,$3:$3,0))),
IF(LEFT(AC$3,2)="Q2",AVERAGE(AC55,INDEX(55:55,0,MATCH("Q1-"&amp;RIGHT(AC$3,4),$3:$3,0))),
IF(LEFT(AC$3,2)="Q3",AVERAGE(AC55,INDEX(55:55,0,MATCH("Q2-"&amp;RIGHT(AC$3,4),$3:$3,0))),
IF(LEFT(AC$3,2)="Q4",AVERAGE(AC55,INDEX(55:55,0,MATCH("Q3-"&amp;RIGHT(AC$3,4),$3:$3,0))))))))), "")</f>
        <v>3.9587735179486163</v>
      </c>
      <c r="AD58" s="1261">
        <f>IFERROR(AD$15/
(IF(LEFT(AD$3,1)="F",AVERAGE(AD55,INDEX(55:55,0,MATCH("FY"&amp;RIGHT(AD$3,4)-1,$3:$3,0))),
IF(LEFT(AD$3,2)="Q1",AVERAGE(AD55,INDEX(55:55,0,MATCH("Q4-"&amp;RIGHT(AD$3,4)-1,$3:$3,0))),
IF(LEFT(AD$3,2)="Q2",AVERAGE(AD55,INDEX(55:55,0,MATCH("Q1-"&amp;RIGHT(AD$3,4),$3:$3,0))),
IF(LEFT(AD$3,2)="Q3",AVERAGE(AD55,INDEX(55:55,0,MATCH("Q2-"&amp;RIGHT(AD$3,4),$3:$3,0))),
IF(LEFT(AD$3,2)="Q4",AVERAGE(AD55,INDEX(55:55,0,MATCH("Q3-"&amp;RIGHT(AD$3,4),$3:$3,0))))))))), "")</f>
        <v>3.958027516711323</v>
      </c>
      <c r="AE58" s="1261">
        <f>IFERROR(AE$15/
(IF(LEFT(AE$3,1)="F",AVERAGE(AE55,INDEX(55:55,0,MATCH("FY"&amp;RIGHT(AE$3,4)-1,$3:$3,0))),
IF(LEFT(AE$3,2)="Q1",AVERAGE(AE55,INDEX(55:55,0,MATCH("Q4-"&amp;RIGHT(AE$3,4)-1,$3:$3,0))),
IF(LEFT(AE$3,2)="Q2",AVERAGE(AE55,INDEX(55:55,0,MATCH("Q1-"&amp;RIGHT(AE$3,4),$3:$3,0))),
IF(LEFT(AE$3,2)="Q3",AVERAGE(AE55,INDEX(55:55,0,MATCH("Q2-"&amp;RIGHT(AE$3,4),$3:$3,0))),
IF(LEFT(AE$3,2)="Q4",AVERAGE(AE55,INDEX(55:55,0,MATCH("Q3-"&amp;RIGHT(AE$3,4),$3:$3,0))))))))), "")</f>
        <v>4.2162624832545417</v>
      </c>
      <c r="AF58" s="1261">
        <f>IFERROR(AF$15/
(IF(LEFT(AF$3,1)="F",AVERAGE(AF55,INDEX(55:55,0,MATCH("FY"&amp;RIGHT(AF$3,4)-1,$3:$3,0))),
IF(LEFT(AF$3,2)="Q1",AVERAGE(AF55,INDEX(55:55,0,MATCH("Q4-"&amp;RIGHT(AF$3,4)-1,$3:$3,0))),
IF(LEFT(AF$3,2)="Q2",AVERAGE(AF55,INDEX(55:55,0,MATCH("Q1-"&amp;RIGHT(AF$3,4),$3:$3,0))),
IF(LEFT(AF$3,2)="Q3",AVERAGE(AF55,INDEX(55:55,0,MATCH("Q2-"&amp;RIGHT(AF$3,4),$3:$3,0))),
IF(LEFT(AF$3,2)="Q4",AVERAGE(AF55,INDEX(55:55,0,MATCH("Q3-"&amp;RIGHT(AF$3,4),$3:$3,0))))))))), "")</f>
        <v>4.4915237380184276</v>
      </c>
      <c r="AG58" s="1263">
        <f>IFERROR(AG$15/
(IF(LEFT(AG$3,1)="F",AVERAGE(AG55,INDEX(55:55,0,MATCH("FY"&amp;RIGHT(AG$3,4)-1,$3:$3,0))),
IF(LEFT(AG$3,2)="Q1",AVERAGE(AG55,INDEX(55:55,0,MATCH("Q4-"&amp;RIGHT(AG$3,4)-1,$3:$3,0))),
IF(LEFT(AG$3,2)="Q2",AVERAGE(AG55,INDEX(55:55,0,MATCH("Q1-"&amp;RIGHT(AG$3,4),$3:$3,0))),
IF(LEFT(AG$3,2)="Q3",AVERAGE(AG55,INDEX(55:55,0,MATCH("Q2-"&amp;RIGHT(AG$3,4),$3:$3,0))),
IF(LEFT(AG$3,2)="Q4",AVERAGE(AG55,INDEX(55:55,0,MATCH("Q3-"&amp;RIGHT(AG$3,4),$3:$3,0))))))))), "")</f>
        <v>4.7850278258133994</v>
      </c>
      <c r="AH58" s="1222"/>
    </row>
    <row r="59" spans="1:34" s="1264" customFormat="1" ht="14.25" customHeight="1" x14ac:dyDescent="0.35">
      <c r="A59" s="1291" t="s">
        <v>1175</v>
      </c>
      <c r="B59" s="1292"/>
      <c r="C59" s="1290" t="str">
        <f>"=LTM Rev / Avg Total Assets"</f>
        <v>=LTM Rev / Avg Total Assets</v>
      </c>
      <c r="D59" s="1261"/>
      <c r="E59" s="1261">
        <f>IFERROR(E$15/
(IF(LEFT(E$3,1)="F",AVERAGE(E84,INDEX(84:84,0,MATCH("FY"&amp;RIGHT(E$3,4)-1,$3:$3,0))),
IF(LEFT(E$3,2)="Q1",AVERAGE(E84,INDEX(84:84,0,MATCH("Q4-"&amp;RIGHT(E$3,4)-1,$3:$3,0))),
IF(LEFT(E$3,2)="Q2",AVERAGE(E84,INDEX(84:84,0,MATCH("Q1-"&amp;RIGHT(E$3,4),$3:$3,0))),
IF(LEFT(E$3,2)="Q3",AVERAGE(E84,INDEX(84:84,0,MATCH("Q2-"&amp;RIGHT(E$3,4),$3:$3,0))),
IF(LEFT(E$3,2)="Q4",AVERAGE(E84,INDEX(84:84,0,MATCH("Q3-"&amp;RIGHT(E$3,4),$3:$3,0))))))))), "")</f>
        <v>0.89309240686668645</v>
      </c>
      <c r="F59" s="1262" t="str">
        <f>IFERROR(F$15/
(IF(LEFT(F$3,1)="F",AVERAGE(F84,INDEX(84:84,0,MATCH("FY"&amp;RIGHT(F$3,4)-1,$3:$3,0))),
IF(LEFT(F$3,2)="Q1",AVERAGE(F84,INDEX(84:84,0,MATCH("Q4-"&amp;RIGHT(F$3,4)-1,$3:$3,0))),
IF(LEFT(F$3,2)="Q2",AVERAGE(F84,INDEX(84:84,0,MATCH("Q1-"&amp;RIGHT(F$3,4),$3:$3,0))),
IF(LEFT(F$3,2)="Q3",AVERAGE(F84,INDEX(84:84,0,MATCH("Q2-"&amp;RIGHT(F$3,4),$3:$3,0))),
IF(LEFT(F$3,2)="Q4",AVERAGE(F84,INDEX(84:84,0,MATCH("Q3-"&amp;RIGHT(F$3,4),$3:$3,0))))))))), "")</f>
        <v/>
      </c>
      <c r="G59" s="1262" t="str">
        <f>IFERROR(G$15/
(IF(LEFT(G$3,1)="F",AVERAGE(G84,INDEX(84:84,0,MATCH("FY"&amp;RIGHT(G$3,4)-1,$3:$3,0))),
IF(LEFT(G$3,2)="Q1",AVERAGE(G84,INDEX(84:84,0,MATCH("Q4-"&amp;RIGHT(G$3,4)-1,$3:$3,0))),
IF(LEFT(G$3,2)="Q2",AVERAGE(G84,INDEX(84:84,0,MATCH("Q1-"&amp;RIGHT(G$3,4),$3:$3,0))),
IF(LEFT(G$3,2)="Q3",AVERAGE(G84,INDEX(84:84,0,MATCH("Q2-"&amp;RIGHT(G$3,4),$3:$3,0))),
IF(LEFT(G$3,2)="Q4",AVERAGE(G84,INDEX(84:84,0,MATCH("Q3-"&amp;RIGHT(G$3,4),$3:$3,0))))))))), "")</f>
        <v/>
      </c>
      <c r="H59" s="1262" t="str">
        <f>IFERROR(H$15/
(IF(LEFT(H$3,1)="F",AVERAGE(H84,INDEX(84:84,0,MATCH("FY"&amp;RIGHT(H$3,4)-1,$3:$3,0))),
IF(LEFT(H$3,2)="Q1",AVERAGE(H84,INDEX(84:84,0,MATCH("Q4-"&amp;RIGHT(H$3,4)-1,$3:$3,0))),
IF(LEFT(H$3,2)="Q2",AVERAGE(H84,INDEX(84:84,0,MATCH("Q1-"&amp;RIGHT(H$3,4),$3:$3,0))),
IF(LEFT(H$3,2)="Q3",AVERAGE(H84,INDEX(84:84,0,MATCH("Q2-"&amp;RIGHT(H$3,4),$3:$3,0))),
IF(LEFT(H$3,2)="Q4",AVERAGE(H84,INDEX(84:84,0,MATCH("Q3-"&amp;RIGHT(H$3,4),$3:$3,0))))))))), "")</f>
        <v/>
      </c>
      <c r="I59" s="1262">
        <f>IFERROR(I$15/
(IF(LEFT(I$3,1)="F",AVERAGE(I84,INDEX(84:84,0,MATCH("FY"&amp;RIGHT(I$3,4)-1,$3:$3,0))),
IF(LEFT(I$3,2)="Q1",AVERAGE(I84,INDEX(84:84,0,MATCH("Q4-"&amp;RIGHT(I$3,4)-1,$3:$3,0))),
IF(LEFT(I$3,2)="Q2",AVERAGE(I84,INDEX(84:84,0,MATCH("Q1-"&amp;RIGHT(I$3,4),$3:$3,0))),
IF(LEFT(I$3,2)="Q3",AVERAGE(I84,INDEX(84:84,0,MATCH("Q2-"&amp;RIGHT(I$3,4),$3:$3,0))),
IF(LEFT(I$3,2)="Q4",AVERAGE(I84,INDEX(84:84,0,MATCH("Q3-"&amp;RIGHT(I$3,4),$3:$3,0))))))))), "")</f>
        <v>0.88824127414435783</v>
      </c>
      <c r="J59" s="1261">
        <f>IFERROR(J$15/
(IF(LEFT(J$3,1)="F",AVERAGE(J84,INDEX(84:84,0,MATCH("FY"&amp;RIGHT(J$3,4)-1,$3:$3,0))),
IF(LEFT(J$3,2)="Q1",AVERAGE(J84,INDEX(84:84,0,MATCH("Q4-"&amp;RIGHT(J$3,4)-1,$3:$3,0))),
IF(LEFT(J$3,2)="Q2",AVERAGE(J84,INDEX(84:84,0,MATCH("Q1-"&amp;RIGHT(J$3,4),$3:$3,0))),
IF(LEFT(J$3,2)="Q3",AVERAGE(J84,INDEX(84:84,0,MATCH("Q2-"&amp;RIGHT(J$3,4),$3:$3,0))),
IF(LEFT(J$3,2)="Q4",AVERAGE(J84,INDEX(84:84,0,MATCH("Q3-"&amp;RIGHT(J$3,4),$3:$3,0))))))))), "")</f>
        <v>0.87975082900371882</v>
      </c>
      <c r="K59" s="1262">
        <f>IFERROR(K$15/
(IF(LEFT(K$3,1)="F",AVERAGE(K84,INDEX(84:84,0,MATCH("FY"&amp;RIGHT(K$3,4)-1,$3:$3,0))),
IF(LEFT(K$3,2)="Q1",AVERAGE(K84,INDEX(84:84,0,MATCH("Q4-"&amp;RIGHT(K$3,4)-1,$3:$3,0))),
IF(LEFT(K$3,2)="Q2",AVERAGE(K84,INDEX(84:84,0,MATCH("Q1-"&amp;RIGHT(K$3,4),$3:$3,0))),
IF(LEFT(K$3,2)="Q3",AVERAGE(K84,INDEX(84:84,0,MATCH("Q2-"&amp;RIGHT(K$3,4),$3:$3,0))),
IF(LEFT(K$3,2)="Q4",AVERAGE(K84,INDEX(84:84,0,MATCH("Q3-"&amp;RIGHT(K$3,4),$3:$3,0))))))))), "")</f>
        <v>0.85536753040719193</v>
      </c>
      <c r="L59" s="1262">
        <f>IFERROR(L$15/
(IF(LEFT(L$3,1)="F",AVERAGE(L84,INDEX(84:84,0,MATCH("FY"&amp;RIGHT(L$3,4)-1,$3:$3,0))),
IF(LEFT(L$3,2)="Q1",AVERAGE(L84,INDEX(84:84,0,MATCH("Q4-"&amp;RIGHT(L$3,4)-1,$3:$3,0))),
IF(LEFT(L$3,2)="Q2",AVERAGE(L84,INDEX(84:84,0,MATCH("Q1-"&amp;RIGHT(L$3,4),$3:$3,0))),
IF(LEFT(L$3,2)="Q3",AVERAGE(L84,INDEX(84:84,0,MATCH("Q2-"&amp;RIGHT(L$3,4),$3:$3,0))),
IF(LEFT(L$3,2)="Q4",AVERAGE(L84,INDEX(84:84,0,MATCH("Q3-"&amp;RIGHT(L$3,4),$3:$3,0))))))))), "")</f>
        <v>0.82272209348474568</v>
      </c>
      <c r="M59" s="1262">
        <f>IFERROR(M$15/
(IF(LEFT(M$3,1)="F",AVERAGE(M84,INDEX(84:84,0,MATCH("FY"&amp;RIGHT(M$3,4)-1,$3:$3,0))),
IF(LEFT(M$3,2)="Q1",AVERAGE(M84,INDEX(84:84,0,MATCH("Q4-"&amp;RIGHT(M$3,4)-1,$3:$3,0))),
IF(LEFT(M$3,2)="Q2",AVERAGE(M84,INDEX(84:84,0,MATCH("Q1-"&amp;RIGHT(M$3,4),$3:$3,0))),
IF(LEFT(M$3,2)="Q3",AVERAGE(M84,INDEX(84:84,0,MATCH("Q2-"&amp;RIGHT(M$3,4),$3:$3,0))),
IF(LEFT(M$3,2)="Q4",AVERAGE(M84,INDEX(84:84,0,MATCH("Q3-"&amp;RIGHT(M$3,4),$3:$3,0))))))))), "")</f>
        <v>0.78435702106257432</v>
      </c>
      <c r="N59" s="1262">
        <f>IFERROR(N$15/
(IF(LEFT(N$3,1)="F",AVERAGE(N84,INDEX(84:84,0,MATCH("FY"&amp;RIGHT(N$3,4)-1,$3:$3,0))),
IF(LEFT(N$3,2)="Q1",AVERAGE(N84,INDEX(84:84,0,MATCH("Q4-"&amp;RIGHT(N$3,4)-1,$3:$3,0))),
IF(LEFT(N$3,2)="Q2",AVERAGE(N84,INDEX(84:84,0,MATCH("Q1-"&amp;RIGHT(N$3,4),$3:$3,0))),
IF(LEFT(N$3,2)="Q3",AVERAGE(N84,INDEX(84:84,0,MATCH("Q2-"&amp;RIGHT(N$3,4),$3:$3,0))),
IF(LEFT(N$3,2)="Q4",AVERAGE(N84,INDEX(84:84,0,MATCH("Q3-"&amp;RIGHT(N$3,4),$3:$3,0))))))))), "")</f>
        <v>0.73698815489227032</v>
      </c>
      <c r="O59" s="1261">
        <f>IFERROR(O$15/
(IF(LEFT(O$3,1)="F",AVERAGE(O84,INDEX(84:84,0,MATCH("FY"&amp;RIGHT(O$3,4)-1,$3:$3,0))),
IF(LEFT(O$3,2)="Q1",AVERAGE(O84,INDEX(84:84,0,MATCH("Q4-"&amp;RIGHT(O$3,4)-1,$3:$3,0))),
IF(LEFT(O$3,2)="Q2",AVERAGE(O84,INDEX(84:84,0,MATCH("Q1-"&amp;RIGHT(O$3,4),$3:$3,0))),
IF(LEFT(O$3,2)="Q3",AVERAGE(O84,INDEX(84:84,0,MATCH("Q2-"&amp;RIGHT(O$3,4),$3:$3,0))),
IF(LEFT(O$3,2)="Q4",AVERAGE(O84,INDEX(84:84,0,MATCH("Q3-"&amp;RIGHT(O$3,4),$3:$3,0))))))))), "")</f>
        <v>0.79192695819317638</v>
      </c>
      <c r="P59" s="1262">
        <f>IFERROR(P$15/
(IF(LEFT(P$3,1)="F",AVERAGE(P84,INDEX(84:84,0,MATCH("FY"&amp;RIGHT(P$3,4)-1,$3:$3,0))),
IF(LEFT(P$3,2)="Q1",AVERAGE(P84,INDEX(84:84,0,MATCH("Q4-"&amp;RIGHT(P$3,4)-1,$3:$3,0))),
IF(LEFT(P$3,2)="Q2",AVERAGE(P84,INDEX(84:84,0,MATCH("Q1-"&amp;RIGHT(P$3,4),$3:$3,0))),
IF(LEFT(P$3,2)="Q3",AVERAGE(P84,INDEX(84:84,0,MATCH("Q2-"&amp;RIGHT(P$3,4),$3:$3,0))),
IF(LEFT(P$3,2)="Q4",AVERAGE(P84,INDEX(84:84,0,MATCH("Q3-"&amp;RIGHT(P$3,4),$3:$3,0))))))))), "")</f>
        <v>0.71195430885541044</v>
      </c>
      <c r="Q59" s="1262">
        <f>IFERROR(Q$15/
(IF(LEFT(Q$3,1)="F",AVERAGE(Q84,INDEX(84:84,0,MATCH("FY"&amp;RIGHT(Q$3,4)-1,$3:$3,0))),
IF(LEFT(Q$3,2)="Q1",AVERAGE(Q84,INDEX(84:84,0,MATCH("Q4-"&amp;RIGHT(Q$3,4)-1,$3:$3,0))),
IF(LEFT(Q$3,2)="Q2",AVERAGE(Q84,INDEX(84:84,0,MATCH("Q1-"&amp;RIGHT(Q$3,4),$3:$3,0))),
IF(LEFT(Q$3,2)="Q3",AVERAGE(Q84,INDEX(84:84,0,MATCH("Q2-"&amp;RIGHT(Q$3,4),$3:$3,0))),
IF(LEFT(Q$3,2)="Q4",AVERAGE(Q84,INDEX(84:84,0,MATCH("Q3-"&amp;RIGHT(Q$3,4),$3:$3,0))))))))), "")</f>
        <v>0.68688041537500955</v>
      </c>
      <c r="R59" s="1262">
        <f>IFERROR(R$15/
(IF(LEFT(R$3,1)="F",AVERAGE(R84,INDEX(84:84,0,MATCH("FY"&amp;RIGHT(R$3,4)-1,$3:$3,0))),
IF(LEFT(R$3,2)="Q1",AVERAGE(R84,INDEX(84:84,0,MATCH("Q4-"&amp;RIGHT(R$3,4)-1,$3:$3,0))),
IF(LEFT(R$3,2)="Q2",AVERAGE(R84,INDEX(84:84,0,MATCH("Q1-"&amp;RIGHT(R$3,4),$3:$3,0))),
IF(LEFT(R$3,2)="Q3",AVERAGE(R84,INDEX(84:84,0,MATCH("Q2-"&amp;RIGHT(R$3,4),$3:$3,0))),
IF(LEFT(R$3,2)="Q4",AVERAGE(R84,INDEX(84:84,0,MATCH("Q3-"&amp;RIGHT(R$3,4),$3:$3,0))))))))), "")</f>
        <v>0.7010578209110303</v>
      </c>
      <c r="S59" s="1262">
        <f>IFERROR(S$15/
(IF(LEFT(S$3,1)="F",AVERAGE(S84,INDEX(84:84,0,MATCH("FY"&amp;RIGHT(S$3,4)-1,$3:$3,0))),
IF(LEFT(S$3,2)="Q1",AVERAGE(S84,INDEX(84:84,0,MATCH("Q4-"&amp;RIGHT(S$3,4)-1,$3:$3,0))),
IF(LEFT(S$3,2)="Q2",AVERAGE(S84,INDEX(84:84,0,MATCH("Q1-"&amp;RIGHT(S$3,4),$3:$3,0))),
IF(LEFT(S$3,2)="Q3",AVERAGE(S84,INDEX(84:84,0,MATCH("Q2-"&amp;RIGHT(S$3,4),$3:$3,0))),
IF(LEFT(S$3,2)="Q4",AVERAGE(S84,INDEX(84:84,0,MATCH("Q3-"&amp;RIGHT(S$3,4),$3:$3,0))))))))), "")</f>
        <v>0.69411434856686871</v>
      </c>
      <c r="T59" s="1261">
        <f>IFERROR(T$15/
(IF(LEFT(T$3,1)="F",AVERAGE(T84,INDEX(84:84,0,MATCH("FY"&amp;RIGHT(T$3,4)-1,$3:$3,0))),
IF(LEFT(T$3,2)="Q1",AVERAGE(T84,INDEX(84:84,0,MATCH("Q4-"&amp;RIGHT(T$3,4)-1,$3:$3,0))),
IF(LEFT(T$3,2)="Q2",AVERAGE(T84,INDEX(84:84,0,MATCH("Q1-"&amp;RIGHT(T$3,4),$3:$3,0))),
IF(LEFT(T$3,2)="Q3",AVERAGE(T84,INDEX(84:84,0,MATCH("Q2-"&amp;RIGHT(T$3,4),$3:$3,0))),
IF(LEFT(T$3,2)="Q4",AVERAGE(T84,INDEX(84:84,0,MATCH("Q3-"&amp;RIGHT(T$3,4),$3:$3,0))))))))), "")</f>
        <v>0.69962935991217678</v>
      </c>
      <c r="U59" s="1262">
        <f>IFERROR(U$15/
(IF(LEFT(U$3,1)="F",AVERAGE(U84,INDEX(84:84,0,MATCH("FY"&amp;RIGHT(U$3,4)-1,$3:$3,0))),
IF(LEFT(U$3,2)="Q1",AVERAGE(U84,INDEX(84:84,0,MATCH("Q4-"&amp;RIGHT(U$3,4)-1,$3:$3,0))),
IF(LEFT(U$3,2)="Q2",AVERAGE(U84,INDEX(84:84,0,MATCH("Q1-"&amp;RIGHT(U$3,4),$3:$3,0))),
IF(LEFT(U$3,2)="Q3",AVERAGE(U84,INDEX(84:84,0,MATCH("Q2-"&amp;RIGHT(U$3,4),$3:$3,0))),
IF(LEFT(U$3,2)="Q4",AVERAGE(U84,INDEX(84:84,0,MATCH("Q3-"&amp;RIGHT(U$3,4),$3:$3,0))))))))), "")</f>
        <v>0.69738902289365667</v>
      </c>
      <c r="V59" s="1262">
        <f>IFERROR(V$15/
(IF(LEFT(V$3,1)="F",AVERAGE(V84,INDEX(84:84,0,MATCH("FY"&amp;RIGHT(V$3,4)-1,$3:$3,0))),
IF(LEFT(V$3,2)="Q1",AVERAGE(V84,INDEX(84:84,0,MATCH("Q4-"&amp;RIGHT(V$3,4)-1,$3:$3,0))),
IF(LEFT(V$3,2)="Q2",AVERAGE(V84,INDEX(84:84,0,MATCH("Q1-"&amp;RIGHT(V$3,4),$3:$3,0))),
IF(LEFT(V$3,2)="Q3",AVERAGE(V84,INDEX(84:84,0,MATCH("Q2-"&amp;RIGHT(V$3,4),$3:$3,0))),
IF(LEFT(V$3,2)="Q4",AVERAGE(V84,INDEX(84:84,0,MATCH("Q3-"&amp;RIGHT(V$3,4),$3:$3,0))))))))), "")</f>
        <v>0.7135304205947659</v>
      </c>
      <c r="W59" s="1262">
        <f>IFERROR(W$15/
(IF(LEFT(W$3,1)="F",AVERAGE(W84,INDEX(84:84,0,MATCH("FY"&amp;RIGHT(W$3,4)-1,$3:$3,0))),
IF(LEFT(W$3,2)="Q1",AVERAGE(W84,INDEX(84:84,0,MATCH("Q4-"&amp;RIGHT(W$3,4)-1,$3:$3,0))),
IF(LEFT(W$3,2)="Q2",AVERAGE(W84,INDEX(84:84,0,MATCH("Q1-"&amp;RIGHT(W$3,4),$3:$3,0))),
IF(LEFT(W$3,2)="Q3",AVERAGE(W84,INDEX(84:84,0,MATCH("Q2-"&amp;RIGHT(W$3,4),$3:$3,0))),
IF(LEFT(W$3,2)="Q4",AVERAGE(W84,INDEX(84:84,0,MATCH("Q3-"&amp;RIGHT(W$3,4),$3:$3,0))))))))), "")</f>
        <v>0.72272576171506964</v>
      </c>
      <c r="X59" s="1262">
        <f>IFERROR(X$15/
(IF(LEFT(X$3,1)="F",AVERAGE(X84,INDEX(84:84,0,MATCH("FY"&amp;RIGHT(X$3,4)-1,$3:$3,0))),
IF(LEFT(X$3,2)="Q1",AVERAGE(X84,INDEX(84:84,0,MATCH("Q4-"&amp;RIGHT(X$3,4)-1,$3:$3,0))),
IF(LEFT(X$3,2)="Q2",AVERAGE(X84,INDEX(84:84,0,MATCH("Q1-"&amp;RIGHT(X$3,4),$3:$3,0))),
IF(LEFT(X$3,2)="Q3",AVERAGE(X84,INDEX(84:84,0,MATCH("Q2-"&amp;RIGHT(X$3,4),$3:$3,0))),
IF(LEFT(X$3,2)="Q4",AVERAGE(X84,INDEX(84:84,0,MATCH("Q3-"&amp;RIGHT(X$3,4),$3:$3,0))))))))), "")</f>
        <v>0.72201058682967134</v>
      </c>
      <c r="Y59" s="1261">
        <f>IFERROR(Y$15/
(IF(LEFT(Y$3,1)="F",AVERAGE(Y84,INDEX(84:84,0,MATCH("FY"&amp;RIGHT(Y$3,4)-1,$3:$3,0))),
IF(LEFT(Y$3,2)="Q1",AVERAGE(Y84,INDEX(84:84,0,MATCH("Q4-"&amp;RIGHT(Y$3,4)-1,$3:$3,0))),
IF(LEFT(Y$3,2)="Q2",AVERAGE(Y84,INDEX(84:84,0,MATCH("Q1-"&amp;RIGHT(Y$3,4),$3:$3,0))),
IF(LEFT(Y$3,2)="Q3",AVERAGE(Y84,INDEX(84:84,0,MATCH("Q2-"&amp;RIGHT(Y$3,4),$3:$3,0))),
IF(LEFT(Y$3,2)="Q4",AVERAGE(Y84,INDEX(84:84,0,MATCH("Q3-"&amp;RIGHT(Y$3,4),$3:$3,0))))))))), "")</f>
        <v>0.72001959361269674</v>
      </c>
      <c r="Z59" s="1262">
        <f ca="1">IFERROR(Z$15/
(IF(LEFT(Z$3,1)="F",AVERAGE(Z84,INDEX(84:84,0,MATCH("FY"&amp;RIGHT(Z$3,4)-1,$3:$3,0))),
IF(LEFT(Z$3,2)="Q1",AVERAGE(Z84,INDEX(84:84,0,MATCH("Q4-"&amp;RIGHT(Z$3,4)-1,$3:$3,0))),
IF(LEFT(Z$3,2)="Q2",AVERAGE(Z84,INDEX(84:84,0,MATCH("Q1-"&amp;RIGHT(Z$3,4),$3:$3,0))),
IF(LEFT(Z$3,2)="Q3",AVERAGE(Z84,INDEX(84:84,0,MATCH("Q2-"&amp;RIGHT(Z$3,4),$3:$3,0))),
IF(LEFT(Z$3,2)="Q4",AVERAGE(Z84,INDEX(84:84,0,MATCH("Q3-"&amp;RIGHT(Z$3,4),$3:$3,0))))))))), "")</f>
        <v>0.72523410768775587</v>
      </c>
      <c r="AA59" s="1262">
        <f ca="1">IFERROR(AA$15/
(IF(LEFT(AA$3,1)="F",AVERAGE(AA84,INDEX(84:84,0,MATCH("FY"&amp;RIGHT(AA$3,4)-1,$3:$3,0))),
IF(LEFT(AA$3,2)="Q1",AVERAGE(AA84,INDEX(84:84,0,MATCH("Q4-"&amp;RIGHT(AA$3,4)-1,$3:$3,0))),
IF(LEFT(AA$3,2)="Q2",AVERAGE(AA84,INDEX(84:84,0,MATCH("Q1-"&amp;RIGHT(AA$3,4),$3:$3,0))),
IF(LEFT(AA$3,2)="Q3",AVERAGE(AA84,INDEX(84:84,0,MATCH("Q2-"&amp;RIGHT(AA$3,4),$3:$3,0))),
IF(LEFT(AA$3,2)="Q4",AVERAGE(AA84,INDEX(84:84,0,MATCH("Q3-"&amp;RIGHT(AA$3,4),$3:$3,0))))))))), "")</f>
        <v>0.73363598192875612</v>
      </c>
      <c r="AB59" s="1262">
        <f ca="1">IFERROR(AB$15/
(IF(LEFT(AB$3,1)="F",AVERAGE(AB84,INDEX(84:84,0,MATCH("FY"&amp;RIGHT(AB$3,4)-1,$3:$3,0))),
IF(LEFT(AB$3,2)="Q1",AVERAGE(AB84,INDEX(84:84,0,MATCH("Q4-"&amp;RIGHT(AB$3,4)-1,$3:$3,0))),
IF(LEFT(AB$3,2)="Q2",AVERAGE(AB84,INDEX(84:84,0,MATCH("Q1-"&amp;RIGHT(AB$3,4),$3:$3,0))),
IF(LEFT(AB$3,2)="Q3",AVERAGE(AB84,INDEX(84:84,0,MATCH("Q2-"&amp;RIGHT(AB$3,4),$3:$3,0))),
IF(LEFT(AB$3,2)="Q4",AVERAGE(AB84,INDEX(84:84,0,MATCH("Q3-"&amp;RIGHT(AB$3,4),$3:$3,0))))))))), "")</f>
        <v>0.74366533079267283</v>
      </c>
      <c r="AC59" s="1262">
        <f ca="1">IFERROR(AC$15/
(IF(LEFT(AC$3,1)="F",AVERAGE(AC84,INDEX(84:84,0,MATCH("FY"&amp;RIGHT(AC$3,4)-1,$3:$3,0))),
IF(LEFT(AC$3,2)="Q1",AVERAGE(AC84,INDEX(84:84,0,MATCH("Q4-"&amp;RIGHT(AC$3,4)-1,$3:$3,0))),
IF(LEFT(AC$3,2)="Q2",AVERAGE(AC84,INDEX(84:84,0,MATCH("Q1-"&amp;RIGHT(AC$3,4),$3:$3,0))),
IF(LEFT(AC$3,2)="Q3",AVERAGE(AC84,INDEX(84:84,0,MATCH("Q2-"&amp;RIGHT(AC$3,4),$3:$3,0))),
IF(LEFT(AC$3,2)="Q4",AVERAGE(AC84,INDEX(84:84,0,MATCH("Q3-"&amp;RIGHT(AC$3,4),$3:$3,0))))))))), "")</f>
        <v>0.74395396730143282</v>
      </c>
      <c r="AD59" s="1261">
        <f ca="1">IFERROR(AD$15/
(IF(LEFT(AD$3,1)="F",AVERAGE(AD84,INDEX(84:84,0,MATCH("FY"&amp;RIGHT(AD$3,4)-1,$3:$3,0))),
IF(LEFT(AD$3,2)="Q1",AVERAGE(AD84,INDEX(84:84,0,MATCH("Q4-"&amp;RIGHT(AD$3,4)-1,$3:$3,0))),
IF(LEFT(AD$3,2)="Q2",AVERAGE(AD84,INDEX(84:84,0,MATCH("Q1-"&amp;RIGHT(AD$3,4),$3:$3,0))),
IF(LEFT(AD$3,2)="Q3",AVERAGE(AD84,INDEX(84:84,0,MATCH("Q2-"&amp;RIGHT(AD$3,4),$3:$3,0))),
IF(LEFT(AD$3,2)="Q4",AVERAGE(AD84,INDEX(84:84,0,MATCH("Q3-"&amp;RIGHT(AD$3,4),$3:$3,0))))))))), "")</f>
        <v>0.75032935272491208</v>
      </c>
      <c r="AE59" s="1261">
        <f ca="1">IFERROR(AE$15/
(IF(LEFT(AE$3,1)="F",AVERAGE(AE84,INDEX(84:84,0,MATCH("FY"&amp;RIGHT(AE$3,4)-1,$3:$3,0))),
IF(LEFT(AE$3,2)="Q1",AVERAGE(AE84,INDEX(84:84,0,MATCH("Q4-"&amp;RIGHT(AE$3,4)-1,$3:$3,0))),
IF(LEFT(AE$3,2)="Q2",AVERAGE(AE84,INDEX(84:84,0,MATCH("Q1-"&amp;RIGHT(AE$3,4),$3:$3,0))),
IF(LEFT(AE$3,2)="Q3",AVERAGE(AE84,INDEX(84:84,0,MATCH("Q2-"&amp;RIGHT(AE$3,4),$3:$3,0))),
IF(LEFT(AE$3,2)="Q4",AVERAGE(AE84,INDEX(84:84,0,MATCH("Q3-"&amp;RIGHT(AE$3,4),$3:$3,0))))))))), "")</f>
        <v>0.76536259904915938</v>
      </c>
      <c r="AF59" s="1261">
        <f ca="1">IFERROR(AF$15/
(IF(LEFT(AF$3,1)="F",AVERAGE(AF84,INDEX(84:84,0,MATCH("FY"&amp;RIGHT(AF$3,4)-1,$3:$3,0))),
IF(LEFT(AF$3,2)="Q1",AVERAGE(AF84,INDEX(84:84,0,MATCH("Q4-"&amp;RIGHT(AF$3,4)-1,$3:$3,0))),
IF(LEFT(AF$3,2)="Q2",AVERAGE(AF84,INDEX(84:84,0,MATCH("Q1-"&amp;RIGHT(AF$3,4),$3:$3,0))),
IF(LEFT(AF$3,2)="Q3",AVERAGE(AF84,INDEX(84:84,0,MATCH("Q2-"&amp;RIGHT(AF$3,4),$3:$3,0))),
IF(LEFT(AF$3,2)="Q4",AVERAGE(AF84,INDEX(84:84,0,MATCH("Q3-"&amp;RIGHT(AF$3,4),$3:$3,0))))))))), "")</f>
        <v>0.77120100128320712</v>
      </c>
      <c r="AG59" s="1263">
        <f ca="1">IFERROR(AG$15/
(IF(LEFT(AG$3,1)="F",AVERAGE(AG84,INDEX(84:84,0,MATCH("FY"&amp;RIGHT(AG$3,4)-1,$3:$3,0))),
IF(LEFT(AG$3,2)="Q1",AVERAGE(AG84,INDEX(84:84,0,MATCH("Q4-"&amp;RIGHT(AG$3,4)-1,$3:$3,0))),
IF(LEFT(AG$3,2)="Q2",AVERAGE(AG84,INDEX(84:84,0,MATCH("Q1-"&amp;RIGHT(AG$3,4),$3:$3,0))),
IF(LEFT(AG$3,2)="Q3",AVERAGE(AG84,INDEX(84:84,0,MATCH("Q2-"&amp;RIGHT(AG$3,4),$3:$3,0))),
IF(LEFT(AG$3,2)="Q4",AVERAGE(AG84,INDEX(84:84,0,MATCH("Q3-"&amp;RIGHT(AG$3,4),$3:$3,0))))))))), "")</f>
        <v>0.76851752617414737</v>
      </c>
      <c r="AH59" s="1222"/>
    </row>
    <row r="60" spans="1:34" s="1264" customFormat="1" ht="14.25" customHeight="1" x14ac:dyDescent="0.35">
      <c r="A60" s="1291"/>
      <c r="B60" s="1292"/>
      <c r="C60" s="1290"/>
      <c r="D60" s="1261"/>
      <c r="E60" s="1261"/>
      <c r="F60" s="1293"/>
      <c r="G60" s="1293"/>
      <c r="H60" s="1293"/>
      <c r="I60" s="1293"/>
      <c r="J60" s="1261"/>
      <c r="K60" s="1293"/>
      <c r="L60" s="1293"/>
      <c r="M60" s="1293"/>
      <c r="N60" s="1293"/>
      <c r="O60" s="1261"/>
      <c r="P60" s="1293"/>
      <c r="Q60" s="1293"/>
      <c r="R60" s="1293"/>
      <c r="S60" s="1293"/>
      <c r="T60" s="1261"/>
      <c r="U60" s="1293"/>
      <c r="V60" s="1293"/>
      <c r="W60" s="1293"/>
      <c r="X60" s="1293"/>
      <c r="Y60" s="1261"/>
      <c r="Z60" s="1293"/>
      <c r="AA60" s="1293"/>
      <c r="AB60" s="1293"/>
      <c r="AC60" s="1293"/>
      <c r="AD60" s="1261"/>
      <c r="AE60" s="1261"/>
      <c r="AF60" s="1261"/>
      <c r="AG60" s="1263"/>
      <c r="AH60" s="1222"/>
    </row>
    <row r="61" spans="1:34" s="1222" customFormat="1" ht="14.25" customHeight="1" x14ac:dyDescent="0.35">
      <c r="A61" s="1216" t="s">
        <v>1176</v>
      </c>
      <c r="B61" s="1217"/>
      <c r="C61" s="1290"/>
      <c r="D61" s="1294">
        <f>IFERROR(-D$52/D51, "")</f>
        <v>0.96336499321573943</v>
      </c>
      <c r="E61" s="1294">
        <f>IFERROR(-E$52/E51, "")</f>
        <v>0.88924870466321249</v>
      </c>
      <c r="F61" s="1295" t="str">
        <f>IFERROR(-F$52/F51, "")</f>
        <v/>
      </c>
      <c r="G61" s="1295" t="str">
        <f>IFERROR(-G$52/G51, "")</f>
        <v/>
      </c>
      <c r="H61" s="1295" t="str">
        <f>IFERROR(-H$52/H51, "")</f>
        <v/>
      </c>
      <c r="I61" s="1295">
        <f>IFERROR(-I$52/I51, "")</f>
        <v>1.0598118279569892</v>
      </c>
      <c r="J61" s="1294">
        <f>IFERROR(-J$52/J51, "")</f>
        <v>1.0598118279569892</v>
      </c>
      <c r="K61" s="1295">
        <f>IFERROR(-K$52/K51, "")</f>
        <v>1.1235651586765698</v>
      </c>
      <c r="L61" s="1295">
        <f>IFERROR(-L$52/L51, "")</f>
        <v>1.1645226811103588</v>
      </c>
      <c r="M61" s="1295">
        <f>IFERROR(-M$52/M51, "")</f>
        <v>1.1272485009993338</v>
      </c>
      <c r="N61" s="1295">
        <f>IFERROR(-N$52/N51, "")</f>
        <v>1.066541117388575</v>
      </c>
      <c r="O61" s="1294">
        <f>IFERROR(-O$52/O51, "")</f>
        <v>1.066541117388575</v>
      </c>
      <c r="P61" s="1295">
        <f>IFERROR(-P$52/P51, "")</f>
        <v>0.98914354644149582</v>
      </c>
      <c r="Q61" s="1295">
        <f>IFERROR(-Q$52/Q51, "")</f>
        <v>0.90078917700112737</v>
      </c>
      <c r="R61" s="1295">
        <f>IFERROR(-R$52/R51, "")</f>
        <v>0.86194029850746268</v>
      </c>
      <c r="S61" s="1295">
        <f>IFERROR(-S$52/S51, "")</f>
        <v>0.78545264259549974</v>
      </c>
      <c r="T61" s="1294">
        <f>IFERROR(-T$52/T51, "")</f>
        <v>0.78545264259549974</v>
      </c>
      <c r="U61" s="1295">
        <f>IFERROR(-U$52/U51, "")</f>
        <v>0.76592439150699121</v>
      </c>
      <c r="V61" s="1295">
        <f>IFERROR(-V$52/V51, "")</f>
        <v>0.84495708154506433</v>
      </c>
      <c r="W61" s="1295">
        <f>IFERROR(-W$52/W51, "")</f>
        <v>0.93030973451327437</v>
      </c>
      <c r="X61" s="1295">
        <f>IFERROR(-X$52/X51, "")</f>
        <v>1</v>
      </c>
      <c r="Y61" s="1294">
        <f>IFERROR(-Y$52/Y51, "")</f>
        <v>1</v>
      </c>
      <c r="Z61" s="1295">
        <f>IFERROR(-Z$52/Z51, "")</f>
        <v>1.1176470588235294</v>
      </c>
      <c r="AA61" s="1295">
        <f>IFERROR(-AA$52/AA51, "")</f>
        <v>1.1176470588235294</v>
      </c>
      <c r="AB61" s="1295">
        <f>IFERROR(-AB$52/AB51, "")</f>
        <v>1.1176470588235294</v>
      </c>
      <c r="AC61" s="1295">
        <f>IFERROR(-AC$52/AC51, "")</f>
        <v>1.1176470588235294</v>
      </c>
      <c r="AD61" s="1294">
        <f>IFERROR(-AD$52/AD51, "")</f>
        <v>1.1176470588235294</v>
      </c>
      <c r="AE61" s="1294">
        <f>IFERROR(-AE$52/AE51, "")</f>
        <v>1.1176470588235294</v>
      </c>
      <c r="AF61" s="1294">
        <f>IFERROR(-AF$52/AF51, "")</f>
        <v>1.1176470588235294</v>
      </c>
      <c r="AG61" s="1296">
        <f>IFERROR(-AG$52/AG51, "")</f>
        <v>1.1176470588235294</v>
      </c>
    </row>
    <row r="62" spans="1:34" s="1222" customFormat="1" ht="14.25" customHeight="1" x14ac:dyDescent="0.35">
      <c r="A62" s="1216" t="s">
        <v>1177</v>
      </c>
      <c r="B62" s="1217"/>
      <c r="C62" s="1290"/>
      <c r="D62" s="1294">
        <f>IFERROR(-D$52/D55, "")</f>
        <v>0.16674495068107092</v>
      </c>
      <c r="E62" s="1294">
        <f>IFERROR(-E$52/E55, "")</f>
        <v>0.15486126776449358</v>
      </c>
      <c r="F62" s="1295" t="str">
        <f>IFERROR(-F$52/F55, "")</f>
        <v/>
      </c>
      <c r="G62" s="1295" t="str">
        <f>IFERROR(-G$52/G55, "")</f>
        <v/>
      </c>
      <c r="H62" s="1295" t="str">
        <f>IFERROR(-H$52/H55, "")</f>
        <v/>
      </c>
      <c r="I62" s="1295">
        <f>IFERROR(-I$52/I55, "")</f>
        <v>0.18047608148317693</v>
      </c>
      <c r="J62" s="1294">
        <f>IFERROR(-J$52/J55, "")</f>
        <v>0.18047608148317693</v>
      </c>
      <c r="K62" s="1295">
        <f>IFERROR(-K$52/K55, "")</f>
        <v>0.18846981538113036</v>
      </c>
      <c r="L62" s="1295">
        <f>IFERROR(-L$52/L55, "")</f>
        <v>0.19115358968659701</v>
      </c>
      <c r="M62" s="1295">
        <f>IFERROR(-M$52/M55, "")</f>
        <v>0.19030480260938026</v>
      </c>
      <c r="N62" s="1295">
        <f>IFERROR(-N$52/N55, "")</f>
        <v>0.1820422157934212</v>
      </c>
      <c r="O62" s="1294">
        <f>IFERROR(-O$52/O55, "")</f>
        <v>0.1820422157934212</v>
      </c>
      <c r="P62" s="1295">
        <f>IFERROR(-P$52/P55, "")</f>
        <v>0.17894162575013639</v>
      </c>
      <c r="Q62" s="1295">
        <f>IFERROR(-Q$52/Q55, "")</f>
        <v>0.17581692155352624</v>
      </c>
      <c r="R62" s="1295">
        <f>IFERROR(-R$52/R55, "")</f>
        <v>0.17545572916666666</v>
      </c>
      <c r="S62" s="1295">
        <f>IFERROR(-S$52/S55, "")</f>
        <v>0.15932491242967839</v>
      </c>
      <c r="T62" s="1294">
        <f>IFERROR(-T$52/T55, "")</f>
        <v>0.15932491242967839</v>
      </c>
      <c r="U62" s="1295">
        <f>IFERROR(-U$52/U55, "")</f>
        <v>0.16006493506493508</v>
      </c>
      <c r="V62" s="1295">
        <f>IFERROR(-V$52/V55, "")</f>
        <v>0.17048281771925233</v>
      </c>
      <c r="W62" s="1295">
        <f>IFERROR(-W$52/W55, "")</f>
        <v>0.18216631499695557</v>
      </c>
      <c r="X62" s="1295">
        <f>IFERROR(-X$52/X55, "")</f>
        <v>0.18800736733983178</v>
      </c>
      <c r="Y62" s="1294">
        <f>IFERROR(-Y$52/Y55, "")</f>
        <v>0.18800736733983178</v>
      </c>
      <c r="Z62" s="1295">
        <f>IFERROR(-Z$52/Z55, "")</f>
        <v>0.20583005558716305</v>
      </c>
      <c r="AA62" s="1295">
        <f>IFERROR(-AA$52/AA55, "")</f>
        <v>0.20585690451587857</v>
      </c>
      <c r="AB62" s="1295">
        <f>IFERROR(-AB$52/AB55, "")</f>
        <v>0.20596462131782206</v>
      </c>
      <c r="AC62" s="1295">
        <f>IFERROR(-AC$52/AC55, "")</f>
        <v>0.20606850796900933</v>
      </c>
      <c r="AD62" s="1294">
        <f>IFERROR(-AD$52/AD55, "")</f>
        <v>0.20606850796900933</v>
      </c>
      <c r="AE62" s="1294">
        <f>IFERROR(-AE$52/AE55, "")</f>
        <v>0.20622359727496151</v>
      </c>
      <c r="AF62" s="1294">
        <f>IFERROR(-AF$52/AF55, "")</f>
        <v>0.20635638387448743</v>
      </c>
      <c r="AG62" s="1296">
        <f>IFERROR(-AG$52/AG55, "")</f>
        <v>0.20647005209817332</v>
      </c>
    </row>
    <row r="63" spans="1:34" s="1222" customFormat="1" ht="14.25" customHeight="1" x14ac:dyDescent="0.35">
      <c r="A63" s="1216" t="s">
        <v>1178</v>
      </c>
      <c r="B63" s="1217"/>
      <c r="C63" s="1290"/>
      <c r="D63" s="1294">
        <f>IFERROR(-D$52/D15, "")</f>
        <v>4.7161978146069282E-2</v>
      </c>
      <c r="E63" s="1294">
        <f>IFERROR(-E$52/E15, "")</f>
        <v>4.3371134346274126E-2</v>
      </c>
      <c r="F63" s="1295" t="str">
        <f>IFERROR(-F$52/F15, "")</f>
        <v/>
      </c>
      <c r="G63" s="1295" t="str">
        <f>IFERROR(-G$52/G15, "")</f>
        <v/>
      </c>
      <c r="H63" s="1295" t="str">
        <f>IFERROR(-H$52/H15, "")</f>
        <v/>
      </c>
      <c r="I63" s="1295">
        <f>IFERROR(-I$52/I15, "")</f>
        <v>4.8130627193651764E-2</v>
      </c>
      <c r="J63" s="1294">
        <f>IFERROR(-J$52/J15, "")</f>
        <v>4.8130627193651764E-2</v>
      </c>
      <c r="K63" s="1295">
        <f>IFERROR(-K$52/K15, "")</f>
        <v>5.1437403400309119E-2</v>
      </c>
      <c r="L63" s="1295">
        <f>IFERROR(-L$52/L15, "")</f>
        <v>5.3530858049858389E-2</v>
      </c>
      <c r="M63" s="1295">
        <f>IFERROR(-M$52/M15, "")</f>
        <v>5.2924616828276511E-2</v>
      </c>
      <c r="N63" s="1295">
        <f>IFERROR(-N$52/N15, "")</f>
        <v>5.2869056509833208E-2</v>
      </c>
      <c r="O63" s="1294">
        <f>IFERROR(-O$52/O15, "")</f>
        <v>5.2869056509833208E-2</v>
      </c>
      <c r="P63" s="1295">
        <f>IFERROR(-P$52/P15, "")</f>
        <v>5.0698652157784095E-2</v>
      </c>
      <c r="Q63" s="1295">
        <f>IFERROR(-Q$52/Q15, "")</f>
        <v>5.0968009440882853E-2</v>
      </c>
      <c r="R63" s="1295">
        <f>IFERROR(-R$52/R15, "")</f>
        <v>5.0990161453077699E-2</v>
      </c>
      <c r="S63" s="1295">
        <f>IFERROR(-S$52/S15, "")</f>
        <v>4.6638081034054188E-2</v>
      </c>
      <c r="T63" s="1294">
        <f>IFERROR(-T$52/T15, "")</f>
        <v>4.6638081034054188E-2</v>
      </c>
      <c r="U63" s="1295">
        <f>IFERROR(-U$52/U15, "")</f>
        <v>4.487257281553398E-2</v>
      </c>
      <c r="V63" s="1295">
        <f>IFERROR(-V$52/V15, "")</f>
        <v>4.7082078189897784E-2</v>
      </c>
      <c r="W63" s="1295">
        <f>IFERROR(-W$52/W15, "")</f>
        <v>4.9693050576369663E-2</v>
      </c>
      <c r="X63" s="1295">
        <f>IFERROR(-X$52/X15, "")</f>
        <v>5.0661164994572766E-2</v>
      </c>
      <c r="Y63" s="1294">
        <f>IFERROR(-Y$52/Y15, "")</f>
        <v>5.0661164994572766E-2</v>
      </c>
      <c r="Z63" s="1295">
        <f>IFERROR(-Z$52/Z15, "")</f>
        <v>5.4471974978785663E-2</v>
      </c>
      <c r="AA63" s="1295">
        <f>IFERROR(-AA$52/AA15, "")</f>
        <v>5.3717433287660779E-2</v>
      </c>
      <c r="AB63" s="1295">
        <f>IFERROR(-AB$52/AB15, "")</f>
        <v>5.2876634536883502E-2</v>
      </c>
      <c r="AC63" s="1295">
        <f>IFERROR(-AC$52/AC15, "")</f>
        <v>5.2040499567049495E-2</v>
      </c>
      <c r="AD63" s="1294">
        <f>IFERROR(-AD$52/AD15, "")</f>
        <v>5.2040499567049495E-2</v>
      </c>
      <c r="AE63" s="1294">
        <f>IFERROR(-AE$52/AE15, "")</f>
        <v>4.8893071593915718E-2</v>
      </c>
      <c r="AF63" s="1294">
        <f>IFERROR(-AF$52/AF15, "")</f>
        <v>4.5928727362669335E-2</v>
      </c>
      <c r="AG63" s="1296">
        <f>IFERROR(-AG$52/AG15, "")</f>
        <v>4.3137304494662271E-2</v>
      </c>
    </row>
    <row r="64" spans="1:34" s="1222" customFormat="1" ht="14.25" customHeight="1" x14ac:dyDescent="0.35">
      <c r="A64" s="1216" t="s">
        <v>1179</v>
      </c>
      <c r="B64" s="1217"/>
      <c r="C64" s="1290"/>
      <c r="D64" s="1294">
        <f>IFERROR(D$51/D55, "")</f>
        <v>0.17308595584781589</v>
      </c>
      <c r="E64" s="1294">
        <f>IFERROR(E$51/E55, "")</f>
        <v>0.17414843221294835</v>
      </c>
      <c r="F64" s="1295" t="str">
        <f>IFERROR(F$51/F55, "")</f>
        <v/>
      </c>
      <c r="G64" s="1295" t="str">
        <f>IFERROR(G$51/G55, "")</f>
        <v/>
      </c>
      <c r="H64" s="1295" t="str">
        <f>IFERROR(H$51/H55, "")</f>
        <v/>
      </c>
      <c r="I64" s="1295">
        <f>IFERROR(I$51/I55, "")</f>
        <v>0.17029068436713207</v>
      </c>
      <c r="J64" s="1294">
        <f>IFERROR(J$51/J55, "")</f>
        <v>0.17029068436713207</v>
      </c>
      <c r="K64" s="1295">
        <f>IFERROR(K$51/K55, "")</f>
        <v>0.16774266621361422</v>
      </c>
      <c r="L64" s="1295">
        <f>IFERROR(L$51/L55, "")</f>
        <v>0.16414758835296733</v>
      </c>
      <c r="M64" s="1295">
        <f>IFERROR(M$51/M55, "")</f>
        <v>0.16882240467888876</v>
      </c>
      <c r="N64" s="1295">
        <f>IFERROR(N$51/N55, "")</f>
        <v>0.17068466730954676</v>
      </c>
      <c r="O64" s="1294">
        <f>IFERROR(O$51/O55, "")</f>
        <v>0.17068466730954676</v>
      </c>
      <c r="P64" s="1295">
        <f>IFERROR(P$51/P55, "")</f>
        <v>0.18090561920349155</v>
      </c>
      <c r="Q64" s="1295">
        <f>IFERROR(Q$51/Q55, "")</f>
        <v>0.19518098800748157</v>
      </c>
      <c r="R64" s="1295">
        <f>IFERROR(R$51/R55, "")</f>
        <v>0.20355902777777779</v>
      </c>
      <c r="S64" s="1295">
        <f>IFERROR(S$51/S55, "")</f>
        <v>0.20284470862965714</v>
      </c>
      <c r="T64" s="1294">
        <f>IFERROR(T$51/T55, "")</f>
        <v>0.20284470862965714</v>
      </c>
      <c r="U64" s="1295">
        <f>IFERROR(U$51/U55, "")</f>
        <v>0.20898268398268399</v>
      </c>
      <c r="V64" s="1295">
        <f>IFERROR(V$51/V55, "")</f>
        <v>0.20176506173249925</v>
      </c>
      <c r="W64" s="1295">
        <f>IFERROR(W$51/W55, "")</f>
        <v>0.19581254311206639</v>
      </c>
      <c r="X64" s="1295">
        <f>IFERROR(X$51/X55, "")</f>
        <v>0.18800736733983178</v>
      </c>
      <c r="Y64" s="1294">
        <f>IFERROR(Y$51/Y55, "")</f>
        <v>0.18800736733983178</v>
      </c>
      <c r="Z64" s="1295">
        <f>IFERROR(Z$51/Z55, "")</f>
        <v>0.18416373394640906</v>
      </c>
      <c r="AA64" s="1295">
        <f>IFERROR(AA$51/AA55, "")</f>
        <v>0.18418775667210188</v>
      </c>
      <c r="AB64" s="1295">
        <f>IFERROR(AB$51/AB55, "")</f>
        <v>0.18428413486331446</v>
      </c>
      <c r="AC64" s="1295">
        <f>IFERROR(AC$51/AC55, "")</f>
        <v>0.18437708607753464</v>
      </c>
      <c r="AD64" s="1294">
        <f>IFERROR(AD$51/AD55, "")</f>
        <v>0.18437708607753464</v>
      </c>
      <c r="AE64" s="1294">
        <f>IFERROR(AE$51/AE55, "")</f>
        <v>0.18451585019338659</v>
      </c>
      <c r="AF64" s="1294">
        <f>IFERROR(AF$51/AF55, "")</f>
        <v>0.18463465925612033</v>
      </c>
      <c r="AG64" s="1296">
        <f>IFERROR(AG$51/AG55, "")</f>
        <v>0.18473636240362876</v>
      </c>
    </row>
    <row r="65" spans="1:34" ht="14.25" customHeight="1" x14ac:dyDescent="0.35">
      <c r="A65" s="1249"/>
      <c r="B65" s="1250"/>
      <c r="C65" s="1251"/>
      <c r="D65" s="1265"/>
      <c r="E65" s="1265"/>
      <c r="F65" s="1266"/>
      <c r="G65" s="1266"/>
      <c r="H65" s="1266"/>
      <c r="I65" s="1266"/>
      <c r="J65" s="1265"/>
      <c r="K65" s="1266"/>
      <c r="L65" s="1266"/>
      <c r="M65" s="1266"/>
      <c r="N65" s="1266"/>
      <c r="O65" s="1265"/>
      <c r="P65" s="1266"/>
      <c r="Q65" s="1266"/>
      <c r="R65" s="1266"/>
      <c r="S65" s="1266"/>
      <c r="T65" s="1265"/>
      <c r="U65" s="1266"/>
      <c r="V65" s="1266"/>
      <c r="W65" s="1266"/>
      <c r="X65" s="1266"/>
      <c r="Y65" s="1265"/>
      <c r="Z65" s="1266"/>
      <c r="AA65" s="1266"/>
      <c r="AB65" s="1266"/>
      <c r="AC65" s="1266"/>
      <c r="AD65" s="1265"/>
      <c r="AE65" s="1265"/>
      <c r="AF65" s="1265"/>
      <c r="AG65" s="1267"/>
      <c r="AH65" s="1222"/>
    </row>
    <row r="66" spans="1:34" ht="14.25" customHeight="1" x14ac:dyDescent="0.35">
      <c r="A66" s="1210" t="s">
        <v>1180</v>
      </c>
      <c r="B66" s="1211"/>
      <c r="C66" s="1212"/>
      <c r="D66" s="1213"/>
      <c r="E66" s="1213"/>
      <c r="F66" s="1214"/>
      <c r="G66" s="1213"/>
      <c r="H66" s="1213"/>
      <c r="I66" s="1213"/>
      <c r="J66" s="1213"/>
      <c r="K66" s="1213"/>
      <c r="L66" s="1213"/>
      <c r="M66" s="1213"/>
      <c r="N66" s="1213"/>
      <c r="O66" s="1213"/>
      <c r="P66" s="1213"/>
      <c r="Q66" s="1213"/>
      <c r="R66" s="1213"/>
      <c r="S66" s="1213"/>
      <c r="T66" s="1213"/>
      <c r="U66" s="1213"/>
      <c r="V66" s="1213"/>
      <c r="W66" s="1213"/>
      <c r="X66" s="1213"/>
      <c r="Y66" s="1213"/>
      <c r="Z66" s="1213"/>
      <c r="AA66" s="1213"/>
      <c r="AB66" s="1213"/>
      <c r="AC66" s="1213"/>
      <c r="AD66" s="1213"/>
      <c r="AE66" s="1213"/>
      <c r="AF66" s="1213"/>
      <c r="AG66" s="1215"/>
      <c r="AH66" s="1222"/>
    </row>
    <row r="67" spans="1:34" s="1222" customFormat="1" ht="14.25" customHeight="1" outlineLevel="1" x14ac:dyDescent="0.35">
      <c r="A67" s="1216" t="s">
        <v>1181</v>
      </c>
      <c r="B67" s="1217"/>
      <c r="C67" s="1218"/>
      <c r="D67" s="1219">
        <f>IFERROR(
IFERROR(INDEX(MO_BS_Cash,0,MATCH(D$3,MO_Common_ColumnHeader,0))+IFERROR(INDEX(MO_BS_STInvestments,0,MATCH(D$3,MO_Common_ColumnHeader,0)),0),INDEX(MO_BSS_Cash,0,MATCH(D$3,MO_Common_ColumnHeader,0))), 0)</f>
        <v>2678</v>
      </c>
      <c r="E67" s="1219">
        <f>IFERROR(
IFERROR(INDEX(MO_BS_Cash,0,MATCH(E$3,MO_Common_ColumnHeader,0))+IFERROR(INDEX(MO_BS_STInvestments,0,MATCH(E$3,MO_Common_ColumnHeader,0)),0),INDEX(MO_BSS_Cash,0,MATCH(E$3,MO_Common_ColumnHeader,0))), 0)</f>
        <v>4129</v>
      </c>
      <c r="F67" s="1220">
        <f>IFERROR(
IFERROR(INDEX(MO_BS_Cash,0,MATCH(F$3,MO_Common_ColumnHeader,0))+IFERROR(INDEX(MO_BS_STInvestments,0,MATCH(F$3,MO_Common_ColumnHeader,0)),0),INDEX(MO_BSS_Cash,0,MATCH(F$3,MO_Common_ColumnHeader,0))), 0)</f>
        <v>4095</v>
      </c>
      <c r="G67" s="1220">
        <f>IFERROR(
IFERROR(INDEX(MO_BS_Cash,0,MATCH(G$3,MO_Common_ColumnHeader,0))+IFERROR(INDEX(MO_BS_STInvestments,0,MATCH(G$3,MO_Common_ColumnHeader,0)),0),INDEX(MO_BSS_Cash,0,MATCH(G$3,MO_Common_ColumnHeader,0))), 0)</f>
        <v>3186</v>
      </c>
      <c r="H67" s="1220">
        <f>IFERROR(
IFERROR(INDEX(MO_BS_Cash,0,MATCH(H$3,MO_Common_ColumnHeader,0))+IFERROR(INDEX(MO_BS_STInvestments,0,MATCH(H$3,MO_Common_ColumnHeader,0)),0),INDEX(MO_BSS_Cash,0,MATCH(H$3,MO_Common_ColumnHeader,0))), 0)</f>
        <v>3523</v>
      </c>
      <c r="I67" s="1220">
        <f>IFERROR(
IFERROR(INDEX(MO_BS_Cash,0,MATCH(I$3,MO_Common_ColumnHeader,0))+IFERROR(INDEX(MO_BS_STInvestments,0,MATCH(I$3,MO_Common_ColumnHeader,0)),0),INDEX(MO_BSS_Cash,0,MATCH(I$3,MO_Common_ColumnHeader,0))), 0)</f>
        <v>3233</v>
      </c>
      <c r="J67" s="1219">
        <f>IFERROR(
IFERROR(INDEX(MO_BS_Cash,0,MATCH(J$3,MO_Common_ColumnHeader,0))+IFERROR(INDEX(MO_BS_STInvestments,0,MATCH(J$3,MO_Common_ColumnHeader,0)),0),INDEX(MO_BSS_Cash,0,MATCH(J$3,MO_Common_ColumnHeader,0))), 0)</f>
        <v>3233</v>
      </c>
      <c r="K67" s="1220">
        <f>IFERROR(
IFERROR(INDEX(MO_BS_Cash,0,MATCH(K$3,MO_Common_ColumnHeader,0))+IFERROR(INDEX(MO_BS_STInvestments,0,MATCH(K$3,MO_Common_ColumnHeader,0)),0),INDEX(MO_BSS_Cash,0,MATCH(K$3,MO_Common_ColumnHeader,0))), 0)</f>
        <v>3477</v>
      </c>
      <c r="L67" s="1220">
        <f>IFERROR(
IFERROR(INDEX(MO_BS_Cash,0,MATCH(L$3,MO_Common_ColumnHeader,0))+IFERROR(INDEX(MO_BS_STInvestments,0,MATCH(L$3,MO_Common_ColumnHeader,0)),0),INDEX(MO_BSS_Cash,0,MATCH(L$3,MO_Common_ColumnHeader,0))), 0)</f>
        <v>2988</v>
      </c>
      <c r="M67" s="1220">
        <f>IFERROR(
IFERROR(INDEX(MO_BS_Cash,0,MATCH(M$3,MO_Common_ColumnHeader,0))+IFERROR(INDEX(MO_BS_STInvestments,0,MATCH(M$3,MO_Common_ColumnHeader,0)),0),INDEX(MO_BSS_Cash,0,MATCH(M$3,MO_Common_ColumnHeader,0))), 0)</f>
        <v>7761</v>
      </c>
      <c r="N67" s="1220">
        <f>IFERROR(
IFERROR(INDEX(MO_BS_Cash,0,MATCH(N$3,MO_Common_ColumnHeader,0))+IFERROR(INDEX(MO_BS_STInvestments,0,MATCH(N$3,MO_Common_ColumnHeader,0)),0),INDEX(MO_BSS_Cash,0,MATCH(N$3,MO_Common_ColumnHeader,0))), 0)</f>
        <v>2451</v>
      </c>
      <c r="O67" s="1219">
        <f>IFERROR(
IFERROR(INDEX(MO_BS_Cash,0,MATCH(O$3,MO_Common_ColumnHeader,0))+IFERROR(INDEX(MO_BS_STInvestments,0,MATCH(O$3,MO_Common_ColumnHeader,0)),0),INDEX(MO_BSS_Cash,0,MATCH(O$3,MO_Common_ColumnHeader,0))), 0)</f>
        <v>2451</v>
      </c>
      <c r="P67" s="1220">
        <f>IFERROR(
IFERROR(INDEX(MO_BS_Cash,0,MATCH(P$3,MO_Common_ColumnHeader,0))+IFERROR(INDEX(MO_BS_STInvestments,0,MATCH(P$3,MO_Common_ColumnHeader,0)),0),INDEX(MO_BSS_Cash,0,MATCH(P$3,MO_Common_ColumnHeader,0))), 0)</f>
        <v>4477</v>
      </c>
      <c r="Q67" s="1220">
        <f>IFERROR(
IFERROR(INDEX(MO_BS_Cash,0,MATCH(Q$3,MO_Common_ColumnHeader,0))+IFERROR(INDEX(MO_BS_STInvestments,0,MATCH(Q$3,MO_Common_ColumnHeader,0)),0),INDEX(MO_BSS_Cash,0,MATCH(Q$3,MO_Common_ColumnHeader,0))), 0)</f>
        <v>4466</v>
      </c>
      <c r="R67" s="1220">
        <f>IFERROR(
IFERROR(INDEX(MO_BS_Cash,0,MATCH(R$3,MO_Common_ColumnHeader,0))+IFERROR(INDEX(MO_BS_STInvestments,0,MATCH(R$3,MO_Common_ColumnHeader,0)),0),INDEX(MO_BSS_Cash,0,MATCH(R$3,MO_Common_ColumnHeader,0))), 0)</f>
        <v>4561</v>
      </c>
      <c r="S67" s="1220">
        <f>IFERROR(
IFERROR(INDEX(MO_BS_Cash,0,MATCH(S$3,MO_Common_ColumnHeader,0))+IFERROR(INDEX(MO_BS_STInvestments,0,MATCH(S$3,MO_Common_ColumnHeader,0)),0),INDEX(MO_BSS_Cash,0,MATCH(S$3,MO_Common_ColumnHeader,0))), 0)</f>
        <v>5038</v>
      </c>
      <c r="T67" s="1219">
        <f>IFERROR(
IFERROR(INDEX(MO_BS_Cash,0,MATCH(T$3,MO_Common_ColumnHeader,0))+IFERROR(INDEX(MO_BS_STInvestments,0,MATCH(T$3,MO_Common_ColumnHeader,0)),0),INDEX(MO_BSS_Cash,0,MATCH(T$3,MO_Common_ColumnHeader,0))), 0)</f>
        <v>5038</v>
      </c>
      <c r="U67" s="1220">
        <f>IFERROR(
IFERROR(INDEX(MO_BS_Cash,0,MATCH(U$3,MO_Common_ColumnHeader,0))+IFERROR(INDEX(MO_BS_STInvestments,0,MATCH(U$3,MO_Common_ColumnHeader,0)),0),INDEX(MO_BSS_Cash,0,MATCH(U$3,MO_Common_ColumnHeader,0))), 0)</f>
        <v>5137</v>
      </c>
      <c r="V67" s="1220">
        <f>IFERROR(
IFERROR(INDEX(MO_BS_Cash,0,MATCH(V$3,MO_Common_ColumnHeader,0))+IFERROR(INDEX(MO_BS_STInvestments,0,MATCH(V$3,MO_Common_ColumnHeader,0)),0),INDEX(MO_BSS_Cash,0,MATCH(V$3,MO_Common_ColumnHeader,0))), 0)</f>
        <v>4492.7841643512947</v>
      </c>
      <c r="W67" s="1220">
        <f>IFERROR(
IFERROR(INDEX(MO_BS_Cash,0,MATCH(W$3,MO_Common_ColumnHeader,0))+IFERROR(INDEX(MO_BS_STInvestments,0,MATCH(W$3,MO_Common_ColumnHeader,0)),0),INDEX(MO_BSS_Cash,0,MATCH(W$3,MO_Common_ColumnHeader,0))), 0)</f>
        <v>5011.2465038109558</v>
      </c>
      <c r="X67" s="1220">
        <f>IFERROR(
IFERROR(INDEX(MO_BS_Cash,0,MATCH(X$3,MO_Common_ColumnHeader,0))+IFERROR(INDEX(MO_BS_STInvestments,0,MATCH(X$3,MO_Common_ColumnHeader,0)),0),INDEX(MO_BSS_Cash,0,MATCH(X$3,MO_Common_ColumnHeader,0))), 0)</f>
        <v>5336.9694701172075</v>
      </c>
      <c r="Y67" s="1219">
        <f>IFERROR(
IFERROR(INDEX(MO_BS_Cash,0,MATCH(Y$3,MO_Common_ColumnHeader,0))+IFERROR(INDEX(MO_BS_STInvestments,0,MATCH(Y$3,MO_Common_ColumnHeader,0)),0),INDEX(MO_BSS_Cash,0,MATCH(Y$3,MO_Common_ColumnHeader,0))), 0)</f>
        <v>5336.9694701172075</v>
      </c>
      <c r="Z67" s="1220">
        <f ca="1">IFERROR(
IFERROR(INDEX(MO_BS_Cash,0,MATCH(Z$3,MO_Common_ColumnHeader,0))+IFERROR(INDEX(MO_BS_STInvestments,0,MATCH(Z$3,MO_Common_ColumnHeader,0)),0),INDEX(MO_BSS_Cash,0,MATCH(Z$3,MO_Common_ColumnHeader,0))), 0)</f>
        <v>5591.6088184094424</v>
      </c>
      <c r="AA67" s="1220">
        <f ca="1">IFERROR(
IFERROR(INDEX(MO_BS_Cash,0,MATCH(AA$3,MO_Common_ColumnHeader,0))+IFERROR(INDEX(MO_BS_STInvestments,0,MATCH(AA$3,MO_Common_ColumnHeader,0)),0),INDEX(MO_BSS_Cash,0,MATCH(AA$3,MO_Common_ColumnHeader,0))), 0)</f>
        <v>5163.3816536209424</v>
      </c>
      <c r="AB67" s="1220">
        <f ca="1">IFERROR(
IFERROR(INDEX(MO_BS_Cash,0,MATCH(AB$3,MO_Common_ColumnHeader,0))+IFERROR(INDEX(MO_BS_STInvestments,0,MATCH(AB$3,MO_Common_ColumnHeader,0)),0),INDEX(MO_BSS_Cash,0,MATCH(AB$3,MO_Common_ColumnHeader,0))), 0)</f>
        <v>5748.1035654897278</v>
      </c>
      <c r="AC67" s="1220">
        <f ca="1">IFERROR(
IFERROR(INDEX(MO_BS_Cash,0,MATCH(AC$3,MO_Common_ColumnHeader,0))+IFERROR(INDEX(MO_BS_STInvestments,0,MATCH(AC$3,MO_Common_ColumnHeader,0)),0),INDEX(MO_BSS_Cash,0,MATCH(AC$3,MO_Common_ColumnHeader,0))), 0)</f>
        <v>6220.5870887616948</v>
      </c>
      <c r="AD67" s="1219">
        <f ca="1">IFERROR(
IFERROR(INDEX(MO_BS_Cash,0,MATCH(AD$3,MO_Common_ColumnHeader,0))+IFERROR(INDEX(MO_BS_STInvestments,0,MATCH(AD$3,MO_Common_ColumnHeader,0)),0),INDEX(MO_BSS_Cash,0,MATCH(AD$3,MO_Common_ColumnHeader,0))), 0)</f>
        <v>6220.5870887616948</v>
      </c>
      <c r="AE67" s="1219">
        <f ca="1">IFERROR(
IFERROR(INDEX(MO_BS_Cash,0,MATCH(AE$3,MO_Common_ColumnHeader,0))+IFERROR(INDEX(MO_BS_STInvestments,0,MATCH(AE$3,MO_Common_ColumnHeader,0)),0),INDEX(MO_BSS_Cash,0,MATCH(AE$3,MO_Common_ColumnHeader,0))), 0)</f>
        <v>7811.3924869533312</v>
      </c>
      <c r="AF67" s="1219">
        <f ca="1">IFERROR(
IFERROR(INDEX(MO_BS_Cash,0,MATCH(AF$3,MO_Common_ColumnHeader,0))+IFERROR(INDEX(MO_BS_STInvestments,0,MATCH(AF$3,MO_Common_ColumnHeader,0)),0),INDEX(MO_BSS_Cash,0,MATCH(AF$3,MO_Common_ColumnHeader,0))), 0)</f>
        <v>10128.535039056802</v>
      </c>
      <c r="AG67" s="1221">
        <f ca="1">IFERROR(
IFERROR(INDEX(MO_BS_Cash,0,MATCH(AG$3,MO_Common_ColumnHeader,0))+IFERROR(INDEX(MO_BS_STInvestments,0,MATCH(AG$3,MO_Common_ColumnHeader,0)),0),INDEX(MO_BSS_Cash,0,MATCH(AG$3,MO_Common_ColumnHeader,0))), 0)</f>
        <v>13228.783412970231</v>
      </c>
    </row>
    <row r="68" spans="1:34" s="1222" customFormat="1" ht="14.25" customHeight="1" outlineLevel="1" x14ac:dyDescent="0.35">
      <c r="A68" s="1216" t="str">
        <f>A34</f>
        <v>Accounts Receivable</v>
      </c>
      <c r="B68" s="1217"/>
      <c r="C68" s="1218"/>
      <c r="D68" s="1219">
        <f>D34</f>
        <v>4392</v>
      </c>
      <c r="E68" s="1219">
        <f>E34</f>
        <v>4911</v>
      </c>
      <c r="F68" s="1220">
        <f>F34</f>
        <v>5252</v>
      </c>
      <c r="G68" s="1220">
        <f>G34</f>
        <v>5383</v>
      </c>
      <c r="H68" s="1220">
        <f>H34</f>
        <v>5329</v>
      </c>
      <c r="I68" s="1220">
        <f>I34</f>
        <v>5020</v>
      </c>
      <c r="J68" s="1219">
        <f>J34</f>
        <v>5020</v>
      </c>
      <c r="K68" s="1220">
        <f>K34</f>
        <v>5173</v>
      </c>
      <c r="L68" s="1220">
        <f>L34</f>
        <v>5374</v>
      </c>
      <c r="M68" s="1220">
        <f>M34</f>
        <v>5020</v>
      </c>
      <c r="N68" s="1220">
        <f>N34</f>
        <v>4791</v>
      </c>
      <c r="O68" s="1219">
        <f>O34</f>
        <v>4791</v>
      </c>
      <c r="P68" s="1220">
        <f>P34</f>
        <v>4821</v>
      </c>
      <c r="Q68" s="1220">
        <f>Q34</f>
        <v>4459</v>
      </c>
      <c r="R68" s="1220">
        <f>R34</f>
        <v>4623</v>
      </c>
      <c r="S68" s="1220">
        <f>S34</f>
        <v>4705</v>
      </c>
      <c r="T68" s="1219">
        <f>T34</f>
        <v>4705</v>
      </c>
      <c r="U68" s="1220">
        <f>U34</f>
        <v>4817</v>
      </c>
      <c r="V68" s="1220">
        <f>V34</f>
        <v>4757.549370484483</v>
      </c>
      <c r="W68" s="1220">
        <f>W34</f>
        <v>4934.357300630676</v>
      </c>
      <c r="X68" s="1220">
        <f>X34</f>
        <v>4835.3760571210541</v>
      </c>
      <c r="Y68" s="1219">
        <f>Y34</f>
        <v>4835.3760571210541</v>
      </c>
      <c r="Z68" s="1220">
        <f>Z34</f>
        <v>5097.6489279581319</v>
      </c>
      <c r="AA68" s="1220">
        <f>AA34</f>
        <v>5030.3327925365047</v>
      </c>
      <c r="AB68" s="1220">
        <f>AB34</f>
        <v>5238.296247719255</v>
      </c>
      <c r="AC68" s="1220">
        <f>AC34</f>
        <v>5154.8744600779237</v>
      </c>
      <c r="AD68" s="1219">
        <f>AD34</f>
        <v>5154.8744600779237</v>
      </c>
      <c r="AE68" s="1219">
        <f>AE34</f>
        <v>5486.7128074085322</v>
      </c>
      <c r="AF68" s="1219">
        <f>AF34</f>
        <v>5840.8376959715642</v>
      </c>
      <c r="AG68" s="1221">
        <f>AG34</f>
        <v>6218.7993721553448</v>
      </c>
    </row>
    <row r="69" spans="1:34" s="1222" customFormat="1" ht="14.25" customHeight="1" outlineLevel="1" x14ac:dyDescent="0.35">
      <c r="A69" s="1216" t="s">
        <v>166</v>
      </c>
      <c r="B69" s="1217"/>
      <c r="C69" s="1218"/>
      <c r="D69" s="1219">
        <f>IFERROR(INDEX(MO_BS_CA,0,MATCH(D$3,MO_Common_ColumnHeader,0)),0)</f>
        <v>11726</v>
      </c>
      <c r="E69" s="1219">
        <f>IFERROR(INDEX(MO_BS_CA,0,MATCH(E$3,MO_Common_ColumnHeader,0)),0)</f>
        <v>14277</v>
      </c>
      <c r="F69" s="1220">
        <f>IFERROR(INDEX(MO_BS_CA,0,MATCH(F$3,MO_Common_ColumnHeader,0)),0)</f>
        <v>14818</v>
      </c>
      <c r="G69" s="1220">
        <f>IFERROR(INDEX(MO_BS_CA,0,MATCH(G$3,MO_Common_ColumnHeader,0)),0)</f>
        <v>13890</v>
      </c>
      <c r="H69" s="1220">
        <f>IFERROR(INDEX(MO_BS_CA,0,MATCH(H$3,MO_Common_ColumnHeader,0)),0)</f>
        <v>14419</v>
      </c>
      <c r="I69" s="1220">
        <f>IFERROR(INDEX(MO_BS_CA,0,MATCH(I$3,MO_Common_ColumnHeader,0)),0)</f>
        <v>13709</v>
      </c>
      <c r="J69" s="1219">
        <f>IFERROR(INDEX(MO_BS_CA,0,MATCH(J$3,MO_Common_ColumnHeader,0)),0)</f>
        <v>13709</v>
      </c>
      <c r="K69" s="1220">
        <f>IFERROR(INDEX(MO_BS_CA,0,MATCH(K$3,MO_Common_ColumnHeader,0)),0)</f>
        <v>14374</v>
      </c>
      <c r="L69" s="1220">
        <f>IFERROR(INDEX(MO_BS_CA,0,MATCH(L$3,MO_Common_ColumnHeader,0)),0)</f>
        <v>14051</v>
      </c>
      <c r="M69" s="1220">
        <f>IFERROR(INDEX(MO_BS_CA,0,MATCH(M$3,MO_Common_ColumnHeader,0)),0)</f>
        <v>18020</v>
      </c>
      <c r="N69" s="1220">
        <f>IFERROR(INDEX(MO_BS_CA,0,MATCH(N$3,MO_Common_ColumnHeader,0)),0)</f>
        <v>12971</v>
      </c>
      <c r="O69" s="1219">
        <f>IFERROR(INDEX(MO_BS_CA,0,MATCH(O$3,MO_Common_ColumnHeader,0)),0)</f>
        <v>12971</v>
      </c>
      <c r="P69" s="1220">
        <f>IFERROR(INDEX(MO_BS_CA,0,MATCH(P$3,MO_Common_ColumnHeader,0)),0)</f>
        <v>15090</v>
      </c>
      <c r="Q69" s="1220">
        <f>IFERROR(INDEX(MO_BS_CA,0,MATCH(Q$3,MO_Common_ColumnHeader,0)),0)</f>
        <v>14106</v>
      </c>
      <c r="R69" s="1220">
        <f>IFERROR(INDEX(MO_BS_CA,0,MATCH(R$3,MO_Common_ColumnHeader,0)),0)</f>
        <v>14110</v>
      </c>
      <c r="S69" s="1220">
        <f>IFERROR(INDEX(MO_BS_CA,0,MATCH(S$3,MO_Common_ColumnHeader,0)),0)</f>
        <v>14982</v>
      </c>
      <c r="T69" s="1219">
        <f>IFERROR(INDEX(MO_BS_CA,0,MATCH(T$3,MO_Common_ColumnHeader,0)),0)</f>
        <v>14982</v>
      </c>
      <c r="U69" s="1220">
        <f>IFERROR(INDEX(MO_BS_CA,0,MATCH(U$3,MO_Common_ColumnHeader,0)),0)</f>
        <v>15345</v>
      </c>
      <c r="V69" s="1220">
        <f>IFERROR(INDEX(MO_BS_CA,0,MATCH(V$3,MO_Common_ColumnHeader,0)),0)</f>
        <v>14700.362301205821</v>
      </c>
      <c r="W69" s="1220">
        <f>IFERROR(INDEX(MO_BS_CA,0,MATCH(W$3,MO_Common_ColumnHeader,0)),0)</f>
        <v>15146.677101616202</v>
      </c>
      <c r="X69" s="1220">
        <f>IFERROR(INDEX(MO_BS_CA,0,MATCH(X$3,MO_Common_ColumnHeader,0)),0)</f>
        <v>15799.355127573834</v>
      </c>
      <c r="Y69" s="1219">
        <f>IFERROR(INDEX(MO_BS_CA,0,MATCH(Y$3,MO_Common_ColumnHeader,0)),0)</f>
        <v>15799.355127573834</v>
      </c>
      <c r="Z69" s="1220">
        <f ca="1">IFERROR(INDEX(MO_BS_CA,0,MATCH(Z$3,MO_Common_ColumnHeader,0)),0)</f>
        <v>16371.160818257746</v>
      </c>
      <c r="AA69" s="1220">
        <f ca="1">IFERROR(INDEX(MO_BS_CA,0,MATCH(AA$3,MO_Common_ColumnHeader,0)),0)</f>
        <v>15933.411188175913</v>
      </c>
      <c r="AB69" s="1220">
        <f ca="1">IFERROR(INDEX(MO_BS_CA,0,MATCH(AB$3,MO_Common_ColumnHeader,0)),0)</f>
        <v>16483.325427471726</v>
      </c>
      <c r="AC69" s="1220">
        <f ca="1">IFERROR(INDEX(MO_BS_CA,0,MATCH(AC$3,MO_Common_ColumnHeader,0)),0)</f>
        <v>17347.978964207068</v>
      </c>
      <c r="AD69" s="1219">
        <f ca="1">IFERROR(INDEX(MO_BS_CA,0,MATCH(AD$3,MO_Common_ColumnHeader,0)),0)</f>
        <v>17347.978964207068</v>
      </c>
      <c r="AE69" s="1219">
        <f ca="1">IFERROR(INDEX(MO_BS_CA,0,MATCH(AE$3,MO_Common_ColumnHeader,0)),0)</f>
        <v>19629.475027202294</v>
      </c>
      <c r="AF69" s="1219">
        <f ca="1">IFERROR(INDEX(MO_BS_CA,0,MATCH(AF$3,MO_Common_ColumnHeader,0)),0)</f>
        <v>22683.695607425918</v>
      </c>
      <c r="AG69" s="1221">
        <f ca="1">IFERROR(INDEX(MO_BS_CA,0,MATCH(AG$3,MO_Common_ColumnHeader,0)),0)</f>
        <v>26570.636066487557</v>
      </c>
    </row>
    <row r="70" spans="1:34" s="1222" customFormat="1" ht="14.25" customHeight="1" outlineLevel="1" x14ac:dyDescent="0.35">
      <c r="A70" s="1216" t="s">
        <v>1182</v>
      </c>
      <c r="B70" s="1217"/>
      <c r="C70" s="1218"/>
      <c r="D70" s="1219">
        <f>IFERROR(INDEX(MO_BS_OL_Current,0,MATCH(D$3,MO_Common_ColumnHeader,0)),0)</f>
        <v>0</v>
      </c>
      <c r="E70" s="1219">
        <f>IFERROR(INDEX(MO_BS_OL_Current,0,MATCH(E$3,MO_Common_ColumnHeader,0)),0)</f>
        <v>0</v>
      </c>
      <c r="F70" s="1220">
        <f>IFERROR(INDEX(MO_BS_OL_Current,0,MATCH(F$3,MO_Common_ColumnHeader,0)),0)</f>
        <v>0</v>
      </c>
      <c r="G70" s="1220">
        <f>IFERROR(INDEX(MO_BS_OL_Current,0,MATCH(G$3,MO_Common_ColumnHeader,0)),0)</f>
        <v>0</v>
      </c>
      <c r="H70" s="1220">
        <f>IFERROR(INDEX(MO_BS_OL_Current,0,MATCH(H$3,MO_Common_ColumnHeader,0)),0)</f>
        <v>0</v>
      </c>
      <c r="I70" s="1220">
        <f>IFERROR(INDEX(MO_BS_OL_Current,0,MATCH(I$3,MO_Common_ColumnHeader,0)),0)</f>
        <v>0</v>
      </c>
      <c r="J70" s="1219">
        <f>IFERROR(INDEX(MO_BS_OL_Current,0,MATCH(J$3,MO_Common_ColumnHeader,0)),0)</f>
        <v>0</v>
      </c>
      <c r="K70" s="1220">
        <f>IFERROR(INDEX(MO_BS_OL_Current,0,MATCH(K$3,MO_Common_ColumnHeader,0)),0)</f>
        <v>255</v>
      </c>
      <c r="L70" s="1220">
        <f>IFERROR(INDEX(MO_BS_OL_Current,0,MATCH(L$3,MO_Common_ColumnHeader,0)),0)</f>
        <v>247</v>
      </c>
      <c r="M70" s="1220">
        <f>IFERROR(INDEX(MO_BS_OL_Current,0,MATCH(M$3,MO_Common_ColumnHeader,0)),0)</f>
        <v>241</v>
      </c>
      <c r="N70" s="1220">
        <f>IFERROR(INDEX(MO_BS_OL_Current,0,MATCH(N$3,MO_Common_ColumnHeader,0)),0)</f>
        <v>247</v>
      </c>
      <c r="O70" s="1219">
        <f>IFERROR(INDEX(MO_BS_OL_Current,0,MATCH(O$3,MO_Common_ColumnHeader,0)),0)</f>
        <v>247</v>
      </c>
      <c r="P70" s="1220">
        <f>IFERROR(INDEX(MO_BS_OL_Current,0,MATCH(P$3,MO_Common_ColumnHeader,0)),0)</f>
        <v>244</v>
      </c>
      <c r="Q70" s="1220">
        <f>IFERROR(INDEX(MO_BS_OL_Current,0,MATCH(Q$3,MO_Common_ColumnHeader,0)),0)</f>
        <v>248</v>
      </c>
      <c r="R70" s="1220">
        <f>IFERROR(INDEX(MO_BS_OL_Current,0,MATCH(R$3,MO_Common_ColumnHeader,0)),0)</f>
        <v>252</v>
      </c>
      <c r="S70" s="1220">
        <f>IFERROR(INDEX(MO_BS_OL_Current,0,MATCH(S$3,MO_Common_ColumnHeader,0)),0)</f>
        <v>256</v>
      </c>
      <c r="T70" s="1219">
        <f>IFERROR(INDEX(MO_BS_OL_Current,0,MATCH(T$3,MO_Common_ColumnHeader,0)),0)</f>
        <v>256</v>
      </c>
      <c r="U70" s="1220">
        <f>IFERROR(INDEX(MO_BS_OL_Current,0,MATCH(U$3,MO_Common_ColumnHeader,0)),0)</f>
        <v>267</v>
      </c>
      <c r="V70" s="1220">
        <f>IFERROR(INDEX(MO_BS_OL_Current,0,MATCH(V$3,MO_Common_ColumnHeader,0)),0)</f>
        <v>267</v>
      </c>
      <c r="W70" s="1220">
        <f>IFERROR(INDEX(MO_BS_OL_Current,0,MATCH(W$3,MO_Common_ColumnHeader,0)),0)</f>
        <v>267</v>
      </c>
      <c r="X70" s="1220">
        <f>IFERROR(INDEX(MO_BS_OL_Current,0,MATCH(X$3,MO_Common_ColumnHeader,0)),0)</f>
        <v>267</v>
      </c>
      <c r="Y70" s="1219">
        <f>IFERROR(INDEX(MO_BS_OL_Current,0,MATCH(Y$3,MO_Common_ColumnHeader,0)),0)</f>
        <v>267</v>
      </c>
      <c r="Z70" s="1220">
        <f>IFERROR(INDEX(MO_BS_OL_Current,0,MATCH(Z$3,MO_Common_ColumnHeader,0)),0)</f>
        <v>267</v>
      </c>
      <c r="AA70" s="1220">
        <f>IFERROR(INDEX(MO_BS_OL_Current,0,MATCH(AA$3,MO_Common_ColumnHeader,0)),0)</f>
        <v>267</v>
      </c>
      <c r="AB70" s="1220">
        <f>IFERROR(INDEX(MO_BS_OL_Current,0,MATCH(AB$3,MO_Common_ColumnHeader,0)),0)</f>
        <v>267</v>
      </c>
      <c r="AC70" s="1220">
        <f>IFERROR(INDEX(MO_BS_OL_Current,0,MATCH(AC$3,MO_Common_ColumnHeader,0)),0)</f>
        <v>267</v>
      </c>
      <c r="AD70" s="1219">
        <f>IFERROR(INDEX(MO_BS_OL_Current,0,MATCH(AD$3,MO_Common_ColumnHeader,0)),0)</f>
        <v>267</v>
      </c>
      <c r="AE70" s="1219">
        <f>IFERROR(INDEX(MO_BS_OL_Current,0,MATCH(AE$3,MO_Common_ColumnHeader,0)),0)</f>
        <v>267</v>
      </c>
      <c r="AF70" s="1219">
        <f>IFERROR(INDEX(MO_BS_OL_Current,0,MATCH(AF$3,MO_Common_ColumnHeader,0)),0)</f>
        <v>267</v>
      </c>
      <c r="AG70" s="1221">
        <f>IFERROR(INDEX(MO_BS_OL_Current,0,MATCH(AG$3,MO_Common_ColumnHeader,0)),0)</f>
        <v>267</v>
      </c>
    </row>
    <row r="71" spans="1:34" s="1222" customFormat="1" ht="14.25" customHeight="1" outlineLevel="1" x14ac:dyDescent="0.35">
      <c r="A71" s="1216" t="s">
        <v>717</v>
      </c>
      <c r="B71" s="1217"/>
      <c r="C71" s="1218"/>
      <c r="D71" s="1219">
        <f>IFERROR(INDEX(MO_BSS_Debt_ST,0,MATCH(D$3,MO_Common_ColumnHeader,0)),0)</f>
        <v>972</v>
      </c>
      <c r="E71" s="1219">
        <f>IFERROR(INDEX(MO_BSS_Debt_ST,0,MATCH(E$3,MO_Common_ColumnHeader,0)),0)</f>
        <v>1853</v>
      </c>
      <c r="F71" s="1220">
        <f>IFERROR(INDEX(MO_BSS_Debt_ST,0,MATCH(F$3,MO_Common_ColumnHeader,0)),0)</f>
        <v>3449</v>
      </c>
      <c r="G71" s="1220">
        <f>IFERROR(INDEX(MO_BSS_Debt_ST,0,MATCH(G$3,MO_Common_ColumnHeader,0)),0)</f>
        <v>3225</v>
      </c>
      <c r="H71" s="1220">
        <f>IFERROR(INDEX(MO_BSS_Debt_ST,0,MATCH(H$3,MO_Common_ColumnHeader,0)),0)</f>
        <v>1307</v>
      </c>
      <c r="I71" s="1220">
        <f>IFERROR(INDEX(MO_BSS_Debt_ST,0,MATCH(I$3,MO_Common_ColumnHeader,0)),0)</f>
        <v>1211</v>
      </c>
      <c r="J71" s="1219">
        <f>IFERROR(INDEX(MO_BSS_Debt_ST,0,MATCH(J$3,MO_Common_ColumnHeader,0)),0)</f>
        <v>1211</v>
      </c>
      <c r="K71" s="1220">
        <f>IFERROR(INDEX(MO_BSS_Debt_ST,0,MATCH(K$3,MO_Common_ColumnHeader,0)),0)</f>
        <v>790</v>
      </c>
      <c r="L71" s="1220">
        <f>IFERROR(INDEX(MO_BSS_Debt_ST,0,MATCH(L$3,MO_Common_ColumnHeader,0)),0)</f>
        <v>892</v>
      </c>
      <c r="M71" s="1220">
        <f>IFERROR(INDEX(MO_BSS_Debt_ST,0,MATCH(M$3,MO_Common_ColumnHeader,0)),0)</f>
        <v>1960</v>
      </c>
      <c r="N71" s="1220">
        <f>IFERROR(INDEX(MO_BSS_Debt_ST,0,MATCH(N$3,MO_Common_ColumnHeader,0)),0)</f>
        <v>2795</v>
      </c>
      <c r="O71" s="1219">
        <f>IFERROR(INDEX(MO_BSS_Debt_ST,0,MATCH(O$3,MO_Common_ColumnHeader,0)),0)</f>
        <v>2795</v>
      </c>
      <c r="P71" s="1220">
        <f>IFERROR(INDEX(MO_BSS_Debt_ST,0,MATCH(P$3,MO_Common_ColumnHeader,0)),0)</f>
        <v>3248</v>
      </c>
      <c r="Q71" s="1220">
        <f>IFERROR(INDEX(MO_BSS_Debt_ST,0,MATCH(Q$3,MO_Common_ColumnHeader,0)),0)</f>
        <v>1486</v>
      </c>
      <c r="R71" s="1220">
        <f>IFERROR(INDEX(MO_BSS_Debt_ST,0,MATCH(R$3,MO_Common_ColumnHeader,0)),0)</f>
        <v>1169</v>
      </c>
      <c r="S71" s="1220">
        <f>IFERROR(INDEX(MO_BSS_Debt_ST,0,MATCH(S$3,MO_Common_ColumnHeader,0)),0)</f>
        <v>806</v>
      </c>
      <c r="T71" s="1219">
        <f>IFERROR(INDEX(MO_BSS_Debt_ST,0,MATCH(T$3,MO_Common_ColumnHeader,0)),0)</f>
        <v>806</v>
      </c>
      <c r="U71" s="1220">
        <f>IFERROR(INDEX(MO_BSS_Debt_ST,0,MATCH(U$3,MO_Common_ColumnHeader,0)),0)</f>
        <v>1368</v>
      </c>
      <c r="V71" s="1220">
        <f>IFERROR(INDEX(MO_BSS_Debt_ST,0,MATCH(V$3,MO_Common_ColumnHeader,0)),0)</f>
        <v>1368</v>
      </c>
      <c r="W71" s="1220">
        <f>IFERROR(INDEX(MO_BSS_Debt_ST,0,MATCH(W$3,MO_Common_ColumnHeader,0)),0)</f>
        <v>1368</v>
      </c>
      <c r="X71" s="1220">
        <f>IFERROR(INDEX(MO_BSS_Debt_ST,0,MATCH(X$3,MO_Common_ColumnHeader,0)),0)</f>
        <v>1368</v>
      </c>
      <c r="Y71" s="1219">
        <f>IFERROR(INDEX(MO_BSS_Debt_ST,0,MATCH(Y$3,MO_Common_ColumnHeader,0)),0)</f>
        <v>1368</v>
      </c>
      <c r="Z71" s="1220">
        <f>IFERROR(INDEX(MO_BSS_Debt_ST,0,MATCH(Z$3,MO_Common_ColumnHeader,0)),0)</f>
        <v>1368</v>
      </c>
      <c r="AA71" s="1220">
        <f>IFERROR(INDEX(MO_BSS_Debt_ST,0,MATCH(AA$3,MO_Common_ColumnHeader,0)),0)</f>
        <v>1368</v>
      </c>
      <c r="AB71" s="1220">
        <f>IFERROR(INDEX(MO_BSS_Debt_ST,0,MATCH(AB$3,MO_Common_ColumnHeader,0)),0)</f>
        <v>1368</v>
      </c>
      <c r="AC71" s="1220">
        <f>IFERROR(INDEX(MO_BSS_Debt_ST,0,MATCH(AC$3,MO_Common_ColumnHeader,0)),0)</f>
        <v>1368</v>
      </c>
      <c r="AD71" s="1219">
        <f>IFERROR(INDEX(MO_BSS_Debt_ST,0,MATCH(AD$3,MO_Common_ColumnHeader,0)),0)</f>
        <v>1368</v>
      </c>
      <c r="AE71" s="1219">
        <f>IFERROR(INDEX(MO_BSS_Debt_ST,0,MATCH(AE$3,MO_Common_ColumnHeader,0)),0)</f>
        <v>1368</v>
      </c>
      <c r="AF71" s="1219">
        <f>IFERROR(INDEX(MO_BSS_Debt_ST,0,MATCH(AF$3,MO_Common_ColumnHeader,0)),0)</f>
        <v>1368</v>
      </c>
      <c r="AG71" s="1221">
        <f>IFERROR(INDEX(MO_BSS_Debt_ST,0,MATCH(AG$3,MO_Common_ColumnHeader,0)),0)</f>
        <v>1368</v>
      </c>
    </row>
    <row r="72" spans="1:34" s="1222" customFormat="1" ht="14.25" customHeight="1" outlineLevel="1" x14ac:dyDescent="0.35">
      <c r="A72" s="1216" t="s">
        <v>189</v>
      </c>
      <c r="B72" s="1217"/>
      <c r="C72" s="1218"/>
      <c r="D72" s="1219">
        <f>IFERROR(INDEX(MO_BS_CL,0,MATCH(D$3,MO_Common_ColumnHeader,0)),0)</f>
        <v>6219</v>
      </c>
      <c r="E72" s="1219">
        <f>IFERROR(INDEX(MO_BS_CL,0,MATCH(E$3,MO_Common_ColumnHeader,0)),0)</f>
        <v>7687</v>
      </c>
      <c r="F72" s="1220">
        <f>IFERROR(INDEX(MO_BS_CL,0,MATCH(F$3,MO_Common_ColumnHeader,0)),0)</f>
        <v>8959</v>
      </c>
      <c r="G72" s="1220">
        <f>IFERROR(INDEX(MO_BS_CL,0,MATCH(G$3,MO_Common_ColumnHeader,0)),0)</f>
        <v>8902</v>
      </c>
      <c r="H72" s="1220">
        <f>IFERROR(INDEX(MO_BS_CL,0,MATCH(H$3,MO_Common_ColumnHeader,0)),0)</f>
        <v>7336</v>
      </c>
      <c r="I72" s="1220">
        <f>IFERROR(INDEX(MO_BS_CL,0,MATCH(I$3,MO_Common_ColumnHeader,0)),0)</f>
        <v>7244</v>
      </c>
      <c r="J72" s="1219">
        <f>IFERROR(INDEX(MO_BS_CL,0,MATCH(J$3,MO_Common_ColumnHeader,0)),0)</f>
        <v>7244</v>
      </c>
      <c r="K72" s="1220">
        <f>IFERROR(INDEX(MO_BS_CL,0,MATCH(K$3,MO_Common_ColumnHeader,0)),0)</f>
        <v>7125</v>
      </c>
      <c r="L72" s="1220">
        <f>IFERROR(INDEX(MO_BS_CL,0,MATCH(L$3,MO_Common_ColumnHeader,0)),0)</f>
        <v>7265</v>
      </c>
      <c r="M72" s="1220">
        <f>IFERROR(INDEX(MO_BS_CL,0,MATCH(M$3,MO_Common_ColumnHeader,0)),0)</f>
        <v>7821</v>
      </c>
      <c r="N72" s="1220">
        <f>IFERROR(INDEX(MO_BS_CL,0,MATCH(N$3,MO_Common_ColumnHeader,0)),0)</f>
        <v>9222</v>
      </c>
      <c r="O72" s="1219">
        <f>IFERROR(INDEX(MO_BS_CL,0,MATCH(O$3,MO_Common_ColumnHeader,0)),0)</f>
        <v>9222</v>
      </c>
      <c r="P72" s="1220">
        <f>IFERROR(INDEX(MO_BS_CL,0,MATCH(P$3,MO_Common_ColumnHeader,0)),0)</f>
        <v>9134</v>
      </c>
      <c r="Q72" s="1220">
        <f>IFERROR(INDEX(MO_BS_CL,0,MATCH(Q$3,MO_Common_ColumnHeader,0)),0)</f>
        <v>7282</v>
      </c>
      <c r="R72" s="1220">
        <f>IFERROR(INDEX(MO_BS_CL,0,MATCH(R$3,MO_Common_ColumnHeader,0)),0)</f>
        <v>7410</v>
      </c>
      <c r="S72" s="1220">
        <f>IFERROR(INDEX(MO_BS_CL,0,MATCH(S$3,MO_Common_ColumnHeader,0)),0)</f>
        <v>7948</v>
      </c>
      <c r="T72" s="1219">
        <f>IFERROR(INDEX(MO_BS_CL,0,MATCH(T$3,MO_Common_ColumnHeader,0)),0)</f>
        <v>7948</v>
      </c>
      <c r="U72" s="1220">
        <f>IFERROR(INDEX(MO_BS_CL,0,MATCH(U$3,MO_Common_ColumnHeader,0)),0)</f>
        <v>8363</v>
      </c>
      <c r="V72" s="1220">
        <f>IFERROR(INDEX(MO_BS_CL,0,MATCH(V$3,MO_Common_ColumnHeader,0)),0)</f>
        <v>7831.6780929638571</v>
      </c>
      <c r="W72" s="1220">
        <f>IFERROR(INDEX(MO_BS_CL,0,MATCH(W$3,MO_Common_ColumnHeader,0)),0)</f>
        <v>8119.382182706664</v>
      </c>
      <c r="X72" s="1220">
        <f>IFERROR(INDEX(MO_BS_CL,0,MATCH(X$3,MO_Common_ColumnHeader,0)),0)</f>
        <v>8528.1399875376264</v>
      </c>
      <c r="Y72" s="1219">
        <f>IFERROR(INDEX(MO_BS_CL,0,MATCH(Y$3,MO_Common_ColumnHeader,0)),0)</f>
        <v>8528.1399875376264</v>
      </c>
      <c r="Z72" s="1220">
        <f>IFERROR(INDEX(MO_BS_CL,0,MATCH(Z$3,MO_Common_ColumnHeader,0)),0)</f>
        <v>8671.2601903130071</v>
      </c>
      <c r="AA72" s="1220">
        <f ca="1">IFERROR(INDEX(MO_BS_CL,0,MATCH(AA$3,MO_Common_ColumnHeader,0)),0)</f>
        <v>8110.8068326282037</v>
      </c>
      <c r="AB72" s="1220">
        <f ca="1">IFERROR(INDEX(MO_BS_CL,0,MATCH(AB$3,MO_Common_ColumnHeader,0)),0)</f>
        <v>8424.4587860271968</v>
      </c>
      <c r="AC72" s="1220">
        <f ca="1">IFERROR(INDEX(MO_BS_CL,0,MATCH(AC$3,MO_Common_ColumnHeader,0)),0)</f>
        <v>8872.147035059379</v>
      </c>
      <c r="AD72" s="1219">
        <f>IFERROR(INDEX(MO_BS_CL,0,MATCH(AD$3,MO_Common_ColumnHeader,0)),0)</f>
        <v>8872.147035059379</v>
      </c>
      <c r="AE72" s="1219">
        <f ca="1">IFERROR(INDEX(MO_BS_CL,0,MATCH(AE$3,MO_Common_ColumnHeader,0)),0)</f>
        <v>9239.2686136964458</v>
      </c>
      <c r="AF72" s="1219">
        <f ca="1">IFERROR(INDEX(MO_BS_CL,0,MATCH(AF$3,MO_Common_ColumnHeader,0)),0)</f>
        <v>9636.5826242266448</v>
      </c>
      <c r="AG72" s="1221">
        <f ca="1">IFERROR(INDEX(MO_BS_CL,0,MATCH(AG$3,MO_Common_ColumnHeader,0)),0)</f>
        <v>10066.527072916741</v>
      </c>
    </row>
    <row r="73" spans="1:34" ht="14.25" customHeight="1" outlineLevel="1" x14ac:dyDescent="0.35">
      <c r="A73" s="1216"/>
      <c r="B73" s="1217"/>
      <c r="C73" s="1207"/>
      <c r="D73" s="1297"/>
      <c r="E73" s="1297"/>
      <c r="F73" s="1298"/>
      <c r="G73" s="1298"/>
      <c r="H73" s="1298"/>
      <c r="I73" s="1298"/>
      <c r="J73" s="1297"/>
      <c r="K73" s="1298"/>
      <c r="L73" s="1298"/>
      <c r="M73" s="1298"/>
      <c r="N73" s="1298"/>
      <c r="O73" s="1297"/>
      <c r="P73" s="1298"/>
      <c r="Q73" s="1298"/>
      <c r="R73" s="1298"/>
      <c r="S73" s="1298"/>
      <c r="T73" s="1297"/>
      <c r="U73" s="1298"/>
      <c r="V73" s="1298"/>
      <c r="W73" s="1298"/>
      <c r="X73" s="1298"/>
      <c r="Y73" s="1297"/>
      <c r="Z73" s="1298"/>
      <c r="AA73" s="1298"/>
      <c r="AB73" s="1298"/>
      <c r="AC73" s="1298"/>
      <c r="AD73" s="1297"/>
      <c r="AE73" s="1297"/>
      <c r="AF73" s="1297"/>
      <c r="AG73" s="1299"/>
      <c r="AH73" s="1222"/>
    </row>
    <row r="74" spans="1:34" s="1264" customFormat="1" ht="14.25" customHeight="1" x14ac:dyDescent="0.35">
      <c r="A74" s="1216" t="s">
        <v>1183</v>
      </c>
      <c r="B74" s="1217"/>
      <c r="C74" s="1290"/>
      <c r="D74" s="1300">
        <f>IFERROR(D69/D72, "")</f>
        <v>1.8855121402154686</v>
      </c>
      <c r="E74" s="1300">
        <f>IFERROR(E69/E72, "")</f>
        <v>1.8572915311564979</v>
      </c>
      <c r="F74" s="1293">
        <f>IFERROR(F69/F72, "")</f>
        <v>1.6539792387543253</v>
      </c>
      <c r="G74" s="1264">
        <f>IFERROR(G69/G72, "")</f>
        <v>1.5603235228038643</v>
      </c>
      <c r="H74" s="1264">
        <f>IFERROR(H69/H72, "")</f>
        <v>1.9655125408942202</v>
      </c>
      <c r="I74" s="1264">
        <f>IFERROR(I69/I72, "")</f>
        <v>1.8924627277747101</v>
      </c>
      <c r="J74" s="1300">
        <f>IFERROR(J69/J72, "")</f>
        <v>1.8924627277747101</v>
      </c>
      <c r="K74" s="1264">
        <f>IFERROR(K69/K72, "")</f>
        <v>2.0174035087719298</v>
      </c>
      <c r="L74" s="1264">
        <f>IFERROR(L69/L72, "")</f>
        <v>1.9340674466620784</v>
      </c>
      <c r="M74" s="1264">
        <f>IFERROR(M69/M72, "")</f>
        <v>2.3040531901291397</v>
      </c>
      <c r="N74" s="1264">
        <f>IFERROR(N69/N72, "")</f>
        <v>1.4065278681414011</v>
      </c>
      <c r="O74" s="1300">
        <f>IFERROR(O69/O72, "")</f>
        <v>1.4065278681414011</v>
      </c>
      <c r="P74" s="1264">
        <f>IFERROR(P69/P72, "")</f>
        <v>1.6520691920297788</v>
      </c>
      <c r="Q74" s="1264">
        <f>IFERROR(Q69/Q72, "")</f>
        <v>1.9371051908816259</v>
      </c>
      <c r="R74" s="1264">
        <f>IFERROR(R69/R72, "")</f>
        <v>1.9041835357624832</v>
      </c>
      <c r="S74" s="1264">
        <f>IFERROR(S69/S72, "")</f>
        <v>1.885002516356316</v>
      </c>
      <c r="T74" s="1300">
        <f>IFERROR(T69/T72, "")</f>
        <v>1.885002516356316</v>
      </c>
      <c r="U74" s="1264">
        <f>IFERROR(U69/U72, "")</f>
        <v>1.8348678703814421</v>
      </c>
      <c r="V74" s="1264">
        <f>IFERROR(V69/V72, "")</f>
        <v>1.8770386278277875</v>
      </c>
      <c r="W74" s="1264">
        <f>IFERROR(W69/W72, "")</f>
        <v>1.8654962607717684</v>
      </c>
      <c r="X74" s="1264">
        <f>IFERROR(X69/X72, "")</f>
        <v>1.8526144212761291</v>
      </c>
      <c r="Y74" s="1300">
        <f>IFERROR(Y69/Y72, "")</f>
        <v>1.8526144212761291</v>
      </c>
      <c r="Z74" s="1264">
        <f ca="1">IFERROR(Z69/Z72, "")</f>
        <v>1.887979423861204</v>
      </c>
      <c r="AA74" s="1264">
        <f ca="1">IFERROR(AA69/AA72, "")</f>
        <v>1.9644668547744089</v>
      </c>
      <c r="AB74" s="1264">
        <f ca="1">IFERROR(AB69/AB72, "")</f>
        <v>1.9566034858893204</v>
      </c>
      <c r="AC74" s="1264">
        <f ca="1">IFERROR(AC69/AC72, "")</f>
        <v>1.9553304172771706</v>
      </c>
      <c r="AD74" s="1300">
        <f ca="1">IFERROR(AD69/AD72, "")</f>
        <v>1.9553304172771706</v>
      </c>
      <c r="AE74" s="1300">
        <f ca="1">IFERROR(AE69/AE72, "")</f>
        <v>2.1245702282216619</v>
      </c>
      <c r="AF74" s="1300">
        <f ca="1">IFERROR(AF69/AF72, "")</f>
        <v>2.3539149190085764</v>
      </c>
      <c r="AG74" s="1301">
        <f ca="1">IFERROR(AG69/AG72, "")</f>
        <v>2.6395037607333243</v>
      </c>
    </row>
    <row r="75" spans="1:34" s="1264" customFormat="1" ht="14.25" customHeight="1" x14ac:dyDescent="0.35">
      <c r="A75" s="1216" t="s">
        <v>1184</v>
      </c>
      <c r="B75" s="1217"/>
      <c r="C75" s="1290"/>
      <c r="D75" s="1300">
        <f>IFERROR((D67+D68)/D72, "")</f>
        <v>1.1368387200514551</v>
      </c>
      <c r="E75" s="1300">
        <f>IFERROR((E67+E68)/E72, "")</f>
        <v>1.1760114478990504</v>
      </c>
      <c r="F75" s="1293">
        <f>IFERROR((F67+F68)/F72, "")</f>
        <v>1.0433084049559103</v>
      </c>
      <c r="G75" s="1264">
        <f>IFERROR((G67+G68)/G72, "")</f>
        <v>0.9625926758031903</v>
      </c>
      <c r="H75" s="1264">
        <f>IFERROR((H67+H68)/H72, "")</f>
        <v>1.2066521264994547</v>
      </c>
      <c r="I75" s="1264">
        <f>IFERROR((I67+I68)/I72, "")</f>
        <v>1.1392876863611265</v>
      </c>
      <c r="J75" s="1300">
        <f>IFERROR((J67+J68)/J72, "")</f>
        <v>1.1392876863611265</v>
      </c>
      <c r="K75" s="1264">
        <f>IFERROR((K67+K68)/K72, "")</f>
        <v>1.2140350877192982</v>
      </c>
      <c r="L75" s="1264">
        <f>IFERROR((L67+L68)/L72, "")</f>
        <v>1.1509979353062629</v>
      </c>
      <c r="M75" s="1264">
        <f>IFERROR((M67+M68)/M72, "")</f>
        <v>1.6341900012786088</v>
      </c>
      <c r="N75" s="1264">
        <f>IFERROR((N67+N68)/N72, "")</f>
        <v>0.78529603122966818</v>
      </c>
      <c r="O75" s="1300">
        <f>IFERROR((O67+O68)/O72, "")</f>
        <v>0.78529603122966818</v>
      </c>
      <c r="P75" s="1264">
        <f>IFERROR((P67+P68)/P72, "")</f>
        <v>1.017954893803372</v>
      </c>
      <c r="Q75" s="1264">
        <f>IFERROR((Q67+Q68)/Q72, "")</f>
        <v>1.2256248283438615</v>
      </c>
      <c r="R75" s="1264">
        <f>IFERROR((R67+R68)/R72, "")</f>
        <v>1.2394062078272605</v>
      </c>
      <c r="S75" s="1264">
        <f>IFERROR((S67+S68)/S72, "")</f>
        <v>1.2258429793658783</v>
      </c>
      <c r="T75" s="1300">
        <f>IFERROR((T67+T68)/T72, "")</f>
        <v>1.2258429793658783</v>
      </c>
      <c r="U75" s="1264">
        <f>IFERROR((U67+U68)/U72, "")</f>
        <v>1.1902427358603371</v>
      </c>
      <c r="V75" s="1264">
        <f>IFERROR((V67+V68)/V72, "")</f>
        <v>1.1811432269089903</v>
      </c>
      <c r="W75" s="1264">
        <f>IFERROR((W67+W68)/W72, "")</f>
        <v>1.2249212539378433</v>
      </c>
      <c r="X75" s="1264">
        <f>IFERROR((X67+X68)/X72, "")</f>
        <v>1.1927976724236882</v>
      </c>
      <c r="Y75" s="1300">
        <f>IFERROR((Y67+Y68)/Y72, "")</f>
        <v>1.1927976724236882</v>
      </c>
      <c r="Z75" s="1264">
        <f ca="1">IFERROR((Z67+Z68)/Z72, "")</f>
        <v>1.2327225238044348</v>
      </c>
      <c r="AA75" s="1264">
        <f ca="1">IFERROR((AA67+AA68)/AA72, "")</f>
        <v>1.2568064628478277</v>
      </c>
      <c r="AB75" s="1264">
        <f ca="1">IFERROR((AB67+AB68)/AB72, "")</f>
        <v>1.3041074913240742</v>
      </c>
      <c r="AC75" s="1264">
        <f ca="1">IFERROR((AC67+AC68)/AC72, "")</f>
        <v>1.2821543087471483</v>
      </c>
      <c r="AD75" s="1300">
        <f ca="1">IFERROR((AD67+AD68)/AD72, "")</f>
        <v>1.2821543087471483</v>
      </c>
      <c r="AE75" s="1300">
        <f ca="1">IFERROR((AE67+AE68)/AE72, "")</f>
        <v>1.439302811766781</v>
      </c>
      <c r="AF75" s="1300">
        <f ca="1">IFERROR((AF67+AF68)/AF72, "")</f>
        <v>1.6571613981579845</v>
      </c>
      <c r="AG75" s="1301">
        <f ca="1">IFERROR((AG67+AG68)/AG72, "")</f>
        <v>1.9319058742163304</v>
      </c>
    </row>
    <row r="76" spans="1:34" s="1264" customFormat="1" ht="14.25" customHeight="1" x14ac:dyDescent="0.35">
      <c r="A76" s="1216" t="s">
        <v>1185</v>
      </c>
      <c r="B76" s="1217"/>
      <c r="C76" s="1290"/>
      <c r="D76" s="1300">
        <f>IFERROR(D67/D72, "")</f>
        <v>0.43061585463900948</v>
      </c>
      <c r="E76" s="1300">
        <f>IFERROR(E67/E72, "")</f>
        <v>0.53714062703265253</v>
      </c>
      <c r="F76" s="1293">
        <f>IFERROR(F67/F72, "")</f>
        <v>0.45708226364549615</v>
      </c>
      <c r="G76" s="1264">
        <f>IFERROR(G67/G72, "")</f>
        <v>0.35789710177488204</v>
      </c>
      <c r="H76" s="1264">
        <f>IFERROR(H67/H72, "")</f>
        <v>0.48023446019629223</v>
      </c>
      <c r="I76" s="1264">
        <f>IFERROR(I67/I72, "")</f>
        <v>0.44630038652678078</v>
      </c>
      <c r="J76" s="1300">
        <f>IFERROR(J67/J72, "")</f>
        <v>0.44630038652678078</v>
      </c>
      <c r="K76" s="1264">
        <f>IFERROR(K67/K72, "")</f>
        <v>0.48799999999999999</v>
      </c>
      <c r="L76" s="1264">
        <f>IFERROR(L67/L72, "")</f>
        <v>0.41128699242945632</v>
      </c>
      <c r="M76" s="1264">
        <f>IFERROR(M67/M72, "")</f>
        <v>0.9923283467587265</v>
      </c>
      <c r="N76" s="1264">
        <f>IFERROR(N67/N72, "")</f>
        <v>0.26577748861418349</v>
      </c>
      <c r="O76" s="1300">
        <f>IFERROR(O67/O72, "")</f>
        <v>0.26577748861418349</v>
      </c>
      <c r="P76" s="1264">
        <f>IFERROR(P67/P72, "")</f>
        <v>0.49014670462010074</v>
      </c>
      <c r="Q76" s="1264">
        <f>IFERROR(Q67/Q72, "")</f>
        <v>0.61329305135951662</v>
      </c>
      <c r="R76" s="1264">
        <f>IFERROR(R67/R72, "")</f>
        <v>0.61551956815114706</v>
      </c>
      <c r="S76" s="1264">
        <f>IFERROR(S67/S72, "")</f>
        <v>0.63387015601409158</v>
      </c>
      <c r="T76" s="1300">
        <f>IFERROR(T67/T72, "")</f>
        <v>0.63387015601409158</v>
      </c>
      <c r="U76" s="1264">
        <f>IFERROR(U67/U72, "")</f>
        <v>0.6142532584000957</v>
      </c>
      <c r="V76" s="1264">
        <f>IFERROR(V67/V72, "")</f>
        <v>0.5736681348519298</v>
      </c>
      <c r="W76" s="1264">
        <f>IFERROR(W67/W72, "")</f>
        <v>0.61719554407530242</v>
      </c>
      <c r="X76" s="1264">
        <f>IFERROR(X67/X72, "")</f>
        <v>0.62580697290572718</v>
      </c>
      <c r="Y76" s="1300">
        <f>IFERROR(Y67/Y72, "")</f>
        <v>0.62580697290572718</v>
      </c>
      <c r="Z76" s="1264">
        <f ca="1">IFERROR(Z67/Z72, "")</f>
        <v>0.64484385149185586</v>
      </c>
      <c r="AA76" s="1264">
        <f ca="1">IFERROR(AA67/AA72, "")</f>
        <v>0.6366051812317437</v>
      </c>
      <c r="AB76" s="1264">
        <f ca="1">IFERROR(AB67/AB72, "")</f>
        <v>0.68231131654694899</v>
      </c>
      <c r="AC76" s="1264">
        <f ca="1">IFERROR(AC67/AC72, "")</f>
        <v>0.70113660923114562</v>
      </c>
      <c r="AD76" s="1300">
        <f ca="1">IFERROR(AD67/AD72, "")</f>
        <v>0.70113660923114562</v>
      </c>
      <c r="AE76" s="1300">
        <f ca="1">IFERROR(AE67/AE72, "")</f>
        <v>0.84545571879722092</v>
      </c>
      <c r="AF76" s="1300">
        <f ca="1">IFERROR(AF67/AF72, "")</f>
        <v>1.0510505055592398</v>
      </c>
      <c r="AG76" s="1301">
        <f ca="1">IFERROR(AG67/AG72, "")</f>
        <v>1.3141357806071283</v>
      </c>
    </row>
    <row r="77" spans="1:34" ht="14.25" customHeight="1" x14ac:dyDescent="0.35">
      <c r="A77" s="1249"/>
      <c r="B77" s="1250"/>
      <c r="C77" s="1251"/>
      <c r="D77" s="1252"/>
      <c r="E77" s="1252"/>
      <c r="F77" s="1250"/>
      <c r="J77" s="1252"/>
      <c r="O77" s="1252"/>
      <c r="T77" s="1252"/>
      <c r="Y77" s="1252"/>
      <c r="AD77" s="1252"/>
      <c r="AE77" s="1252"/>
      <c r="AF77" s="1252"/>
      <c r="AG77" s="1254"/>
      <c r="AH77" s="1264"/>
    </row>
    <row r="78" spans="1:34" ht="14.25" customHeight="1" x14ac:dyDescent="0.35">
      <c r="A78" s="1210" t="s">
        <v>1186</v>
      </c>
      <c r="B78" s="1211"/>
      <c r="C78" s="1212"/>
      <c r="D78" s="1213"/>
      <c r="E78" s="1213"/>
      <c r="F78" s="1214"/>
      <c r="G78" s="1213"/>
      <c r="H78" s="1213"/>
      <c r="I78" s="1213"/>
      <c r="J78" s="1213"/>
      <c r="K78" s="1213"/>
      <c r="L78" s="1213"/>
      <c r="M78" s="1213"/>
      <c r="N78" s="1213"/>
      <c r="O78" s="1213"/>
      <c r="P78" s="1213"/>
      <c r="Q78" s="1213"/>
      <c r="R78" s="1213"/>
      <c r="S78" s="1213"/>
      <c r="T78" s="1213"/>
      <c r="U78" s="1213"/>
      <c r="V78" s="1213"/>
      <c r="W78" s="1213"/>
      <c r="X78" s="1213"/>
      <c r="Y78" s="1213"/>
      <c r="Z78" s="1213"/>
      <c r="AA78" s="1213"/>
      <c r="AB78" s="1213"/>
      <c r="AC78" s="1213"/>
      <c r="AD78" s="1213"/>
      <c r="AE78" s="1213"/>
      <c r="AF78" s="1213"/>
      <c r="AG78" s="1215"/>
      <c r="AH78" s="1264"/>
    </row>
    <row r="79" spans="1:34" s="1222" customFormat="1" ht="14.25" customHeight="1" outlineLevel="1" x14ac:dyDescent="0.35">
      <c r="A79" s="1291" t="s">
        <v>717</v>
      </c>
      <c r="B79" s="1292"/>
      <c r="C79" s="1218"/>
      <c r="D79" s="1219">
        <f>IFERROR(INDEX(MO_BSS_Debt_ST,0,MATCH(D$3,MO_Common_ColumnHeader,0)),0)</f>
        <v>972</v>
      </c>
      <c r="E79" s="1219">
        <f>IFERROR(INDEX(MO_BSS_Debt_ST,0,MATCH(E$3,MO_Common_ColumnHeader,0)),0)</f>
        <v>1853</v>
      </c>
      <c r="F79" s="1220">
        <f>IFERROR(INDEX(MO_BSS_Debt_ST,0,MATCH(F$3,MO_Common_ColumnHeader,0)),0)</f>
        <v>3449</v>
      </c>
      <c r="G79" s="1220">
        <f>IFERROR(INDEX(MO_BSS_Debt_ST,0,MATCH(G$3,MO_Common_ColumnHeader,0)),0)</f>
        <v>3225</v>
      </c>
      <c r="H79" s="1220">
        <f>IFERROR(INDEX(MO_BSS_Debt_ST,0,MATCH(H$3,MO_Common_ColumnHeader,0)),0)</f>
        <v>1307</v>
      </c>
      <c r="I79" s="1220">
        <f>IFERROR(INDEX(MO_BSS_Debt_ST,0,MATCH(I$3,MO_Common_ColumnHeader,0)),0)</f>
        <v>1211</v>
      </c>
      <c r="J79" s="1219">
        <f>IFERROR(INDEX(MO_BSS_Debt_ST,0,MATCH(J$3,MO_Common_ColumnHeader,0)),0)</f>
        <v>1211</v>
      </c>
      <c r="K79" s="1220">
        <f>IFERROR(INDEX(MO_BSS_Debt_ST,0,MATCH(K$3,MO_Common_ColumnHeader,0)),0)</f>
        <v>790</v>
      </c>
      <c r="L79" s="1220">
        <f>IFERROR(INDEX(MO_BSS_Debt_ST,0,MATCH(L$3,MO_Common_ColumnHeader,0)),0)</f>
        <v>892</v>
      </c>
      <c r="M79" s="1220">
        <f>IFERROR(INDEX(MO_BSS_Debt_ST,0,MATCH(M$3,MO_Common_ColumnHeader,0)),0)</f>
        <v>1960</v>
      </c>
      <c r="N79" s="1220">
        <f>IFERROR(INDEX(MO_BSS_Debt_ST,0,MATCH(N$3,MO_Common_ColumnHeader,0)),0)</f>
        <v>2795</v>
      </c>
      <c r="O79" s="1219">
        <f>IFERROR(INDEX(MO_BSS_Debt_ST,0,MATCH(O$3,MO_Common_ColumnHeader,0)),0)</f>
        <v>2795</v>
      </c>
      <c r="P79" s="1220">
        <f>IFERROR(INDEX(MO_BSS_Debt_ST,0,MATCH(P$3,MO_Common_ColumnHeader,0)),0)</f>
        <v>3248</v>
      </c>
      <c r="Q79" s="1220">
        <f>IFERROR(INDEX(MO_BSS_Debt_ST,0,MATCH(Q$3,MO_Common_ColumnHeader,0)),0)</f>
        <v>1486</v>
      </c>
      <c r="R79" s="1220">
        <f>IFERROR(INDEX(MO_BSS_Debt_ST,0,MATCH(R$3,MO_Common_ColumnHeader,0)),0)</f>
        <v>1169</v>
      </c>
      <c r="S79" s="1220">
        <f>IFERROR(INDEX(MO_BSS_Debt_ST,0,MATCH(S$3,MO_Common_ColumnHeader,0)),0)</f>
        <v>806</v>
      </c>
      <c r="T79" s="1219">
        <f>IFERROR(INDEX(MO_BSS_Debt_ST,0,MATCH(T$3,MO_Common_ColumnHeader,0)),0)</f>
        <v>806</v>
      </c>
      <c r="U79" s="1220">
        <f>IFERROR(INDEX(MO_BSS_Debt_ST,0,MATCH(U$3,MO_Common_ColumnHeader,0)),0)</f>
        <v>1368</v>
      </c>
      <c r="V79" s="1220">
        <f>IFERROR(INDEX(MO_BSS_Debt_ST,0,MATCH(V$3,MO_Common_ColumnHeader,0)),0)</f>
        <v>1368</v>
      </c>
      <c r="W79" s="1220">
        <f>IFERROR(INDEX(MO_BSS_Debt_ST,0,MATCH(W$3,MO_Common_ColumnHeader,0)),0)</f>
        <v>1368</v>
      </c>
      <c r="X79" s="1220">
        <f>IFERROR(INDEX(MO_BSS_Debt_ST,0,MATCH(X$3,MO_Common_ColumnHeader,0)),0)</f>
        <v>1368</v>
      </c>
      <c r="Y79" s="1219">
        <f>IFERROR(INDEX(MO_BSS_Debt_ST,0,MATCH(Y$3,MO_Common_ColumnHeader,0)),0)</f>
        <v>1368</v>
      </c>
      <c r="Z79" s="1220">
        <f>IFERROR(INDEX(MO_BSS_Debt_ST,0,MATCH(Z$3,MO_Common_ColumnHeader,0)),0)</f>
        <v>1368</v>
      </c>
      <c r="AA79" s="1220">
        <f>IFERROR(INDEX(MO_BSS_Debt_ST,0,MATCH(AA$3,MO_Common_ColumnHeader,0)),0)</f>
        <v>1368</v>
      </c>
      <c r="AB79" s="1220">
        <f>IFERROR(INDEX(MO_BSS_Debt_ST,0,MATCH(AB$3,MO_Common_ColumnHeader,0)),0)</f>
        <v>1368</v>
      </c>
      <c r="AC79" s="1220">
        <f>IFERROR(INDEX(MO_BSS_Debt_ST,0,MATCH(AC$3,MO_Common_ColumnHeader,0)),0)</f>
        <v>1368</v>
      </c>
      <c r="AD79" s="1219">
        <f>IFERROR(INDEX(MO_BSS_Debt_ST,0,MATCH(AD$3,MO_Common_ColumnHeader,0)),0)</f>
        <v>1368</v>
      </c>
      <c r="AE79" s="1219">
        <f>IFERROR(INDEX(MO_BSS_Debt_ST,0,MATCH(AE$3,MO_Common_ColumnHeader,0)),0)</f>
        <v>1368</v>
      </c>
      <c r="AF79" s="1219">
        <f>IFERROR(INDEX(MO_BSS_Debt_ST,0,MATCH(AF$3,MO_Common_ColumnHeader,0)),0)</f>
        <v>1368</v>
      </c>
      <c r="AG79" s="1221">
        <f>IFERROR(INDEX(MO_BSS_Debt_ST,0,MATCH(AG$3,MO_Common_ColumnHeader,0)),0)</f>
        <v>1368</v>
      </c>
      <c r="AH79" s="1264"/>
    </row>
    <row r="80" spans="1:34" s="1222" customFormat="1" ht="14.25" customHeight="1" outlineLevel="1" x14ac:dyDescent="0.35">
      <c r="A80" s="1291" t="s">
        <v>718</v>
      </c>
      <c r="B80" s="1292"/>
      <c r="C80" s="1218"/>
      <c r="D80" s="1219">
        <f>IFERROR(INDEX(MO_BSS_Debt_LT,0,MATCH(D$3,MO_Common_ColumnHeader,0)),0)</f>
        <v>10678</v>
      </c>
      <c r="E80" s="1219">
        <f>IFERROR(INDEX(MO_BSS_Debt_LT,0,MATCH(E$3,MO_Common_ColumnHeader,0)),0)</f>
        <v>12096</v>
      </c>
      <c r="F80" s="1220">
        <f>IFERROR(INDEX(MO_BSS_Debt_LT,0,MATCH(F$3,MO_Common_ColumnHeader,0)),0)</f>
        <v>12211</v>
      </c>
      <c r="G80" s="1220">
        <f>IFERROR(INDEX(MO_BSS_Debt_LT,0,MATCH(G$3,MO_Common_ColumnHeader,0)),0)</f>
        <v>11294</v>
      </c>
      <c r="H80" s="1220">
        <f>IFERROR(INDEX(MO_BSS_Debt_LT,0,MATCH(H$3,MO_Common_ColumnHeader,0)),0)</f>
        <v>13539</v>
      </c>
      <c r="I80" s="1220">
        <f>IFERROR(INDEX(MO_BSS_Debt_LT,0,MATCH(I$3,MO_Common_ColumnHeader,0)),0)</f>
        <v>13411</v>
      </c>
      <c r="J80" s="1219">
        <f>IFERROR(INDEX(MO_BSS_Debt_LT,0,MATCH(J$3,MO_Common_ColumnHeader,0)),0)</f>
        <v>13411</v>
      </c>
      <c r="K80" s="1220">
        <f>IFERROR(INDEX(MO_BSS_Debt_LT,0,MATCH(K$3,MO_Common_ColumnHeader,0)),0)</f>
        <v>15580</v>
      </c>
      <c r="L80" s="1220">
        <f>IFERROR(INDEX(MO_BSS_Debt_LT,0,MATCH(L$3,MO_Common_ColumnHeader,0)),0)</f>
        <v>14914</v>
      </c>
      <c r="M80" s="1220">
        <f>IFERROR(INDEX(MO_BSS_Debt_LT,0,MATCH(M$3,MO_Common_ColumnHeader,0)),0)</f>
        <v>17479</v>
      </c>
      <c r="N80" s="1220">
        <f>IFERROR(INDEX(MO_BSS_Debt_LT,0,MATCH(N$3,MO_Common_ColumnHeader,0)),0)</f>
        <v>17518</v>
      </c>
      <c r="O80" s="1219">
        <f>IFERROR(INDEX(MO_BSS_Debt_LT,0,MATCH(O$3,MO_Common_ColumnHeader,0)),0)</f>
        <v>17518</v>
      </c>
      <c r="P80" s="1220">
        <f>IFERROR(INDEX(MO_BSS_Debt_LT,0,MATCH(P$3,MO_Common_ColumnHeader,0)),0)</f>
        <v>19247</v>
      </c>
      <c r="Q80" s="1220">
        <f>IFERROR(INDEX(MO_BSS_Debt_LT,0,MATCH(Q$3,MO_Common_ColumnHeader,0)),0)</f>
        <v>19276</v>
      </c>
      <c r="R80" s="1220">
        <f>IFERROR(INDEX(MO_BSS_Debt_LT,0,MATCH(R$3,MO_Common_ColumnHeader,0)),0)</f>
        <v>18429</v>
      </c>
      <c r="S80" s="1220">
        <f>IFERROR(INDEX(MO_BSS_Debt_LT,0,MATCH(S$3,MO_Common_ColumnHeader,0)),0)</f>
        <v>17989</v>
      </c>
      <c r="T80" s="1219">
        <f>IFERROR(INDEX(MO_BSS_Debt_LT,0,MATCH(T$3,MO_Common_ColumnHeader,0)),0)</f>
        <v>17989</v>
      </c>
      <c r="U80" s="1220">
        <f>IFERROR(INDEX(MO_BSS_Debt_LT,0,MATCH(U$3,MO_Common_ColumnHeader,0)),0)</f>
        <v>16819</v>
      </c>
      <c r="V80" s="1220">
        <f>IFERROR(INDEX(MO_BSS_Debt_LT,0,MATCH(V$3,MO_Common_ColumnHeader,0)),0)</f>
        <v>16819</v>
      </c>
      <c r="W80" s="1220">
        <f>IFERROR(INDEX(MO_BSS_Debt_LT,0,MATCH(W$3,MO_Common_ColumnHeader,0)),0)</f>
        <v>16819</v>
      </c>
      <c r="X80" s="1220">
        <f>IFERROR(INDEX(MO_BSS_Debt_LT,0,MATCH(X$3,MO_Common_ColumnHeader,0)),0)</f>
        <v>16819</v>
      </c>
      <c r="Y80" s="1219">
        <f>IFERROR(INDEX(MO_BSS_Debt_LT,0,MATCH(Y$3,MO_Common_ColumnHeader,0)),0)</f>
        <v>16819</v>
      </c>
      <c r="Z80" s="1220">
        <f>IFERROR(INDEX(MO_BSS_Debt_LT,0,MATCH(Z$3,MO_Common_ColumnHeader,0)),0)</f>
        <v>16819</v>
      </c>
      <c r="AA80" s="1220">
        <f>IFERROR(INDEX(MO_BSS_Debt_LT,0,MATCH(AA$3,MO_Common_ColumnHeader,0)),0)</f>
        <v>16819</v>
      </c>
      <c r="AB80" s="1220">
        <f>IFERROR(INDEX(MO_BSS_Debt_LT,0,MATCH(AB$3,MO_Common_ColumnHeader,0)),0)</f>
        <v>16819</v>
      </c>
      <c r="AC80" s="1220">
        <f>IFERROR(INDEX(MO_BSS_Debt_LT,0,MATCH(AC$3,MO_Common_ColumnHeader,0)),0)</f>
        <v>16819</v>
      </c>
      <c r="AD80" s="1219">
        <f>IFERROR(INDEX(MO_BSS_Debt_LT,0,MATCH(AD$3,MO_Common_ColumnHeader,0)),0)</f>
        <v>16819</v>
      </c>
      <c r="AE80" s="1219">
        <f>IFERROR(INDEX(MO_BSS_Debt_LT,0,MATCH(AE$3,MO_Common_ColumnHeader,0)),0)</f>
        <v>16819</v>
      </c>
      <c r="AF80" s="1219">
        <f>IFERROR(INDEX(MO_BSS_Debt_LT,0,MATCH(AF$3,MO_Common_ColumnHeader,0)),0)</f>
        <v>16819</v>
      </c>
      <c r="AG80" s="1221">
        <f>IFERROR(INDEX(MO_BSS_Debt_LT,0,MATCH(AG$3,MO_Common_ColumnHeader,0)),0)</f>
        <v>16819</v>
      </c>
      <c r="AH80" s="1264"/>
    </row>
    <row r="81" spans="1:34" s="1222" customFormat="1" ht="14.25" customHeight="1" outlineLevel="1" x14ac:dyDescent="0.35">
      <c r="A81" s="1291" t="s">
        <v>322</v>
      </c>
      <c r="B81" s="1292"/>
      <c r="C81" s="1218"/>
      <c r="D81" s="1219">
        <f>IFERROR(INDEX(MO_BSS_Debt,0,MATCH(D$3,MO_Common_ColumnHeader,0)),0)</f>
        <v>11650</v>
      </c>
      <c r="E81" s="1219">
        <f>IFERROR(INDEX(MO_BSS_Debt,0,MATCH(E$3,MO_Common_ColumnHeader,0)),0)</f>
        <v>13949</v>
      </c>
      <c r="F81" s="1220">
        <f>IFERROR(INDEX(MO_BSS_Debt,0,MATCH(F$3,MO_Common_ColumnHeader,0)),0)</f>
        <v>15660</v>
      </c>
      <c r="G81" s="1220">
        <f>IFERROR(INDEX(MO_BSS_Debt,0,MATCH(G$3,MO_Common_ColumnHeader,0)),0)</f>
        <v>14519</v>
      </c>
      <c r="H81" s="1220">
        <f>IFERROR(INDEX(MO_BSS_Debt,0,MATCH(H$3,MO_Common_ColumnHeader,0)),0)</f>
        <v>14846</v>
      </c>
      <c r="I81" s="1220">
        <f>IFERROR(INDEX(MO_BSS_Debt,0,MATCH(I$3,MO_Common_ColumnHeader,0)),0)</f>
        <v>14622</v>
      </c>
      <c r="J81" s="1219">
        <f>IFERROR(INDEX(MO_BSS_Debt,0,MATCH(J$3,MO_Common_ColumnHeader,0)),0)</f>
        <v>14622</v>
      </c>
      <c r="K81" s="1220">
        <f>IFERROR(INDEX(MO_BSS_Debt,0,MATCH(K$3,MO_Common_ColumnHeader,0)),0)</f>
        <v>16370</v>
      </c>
      <c r="L81" s="1220">
        <f>IFERROR(INDEX(MO_BSS_Debt,0,MATCH(L$3,MO_Common_ColumnHeader,0)),0)</f>
        <v>15806</v>
      </c>
      <c r="M81" s="1220">
        <f>IFERROR(INDEX(MO_BSS_Debt,0,MATCH(M$3,MO_Common_ColumnHeader,0)),0)</f>
        <v>19439</v>
      </c>
      <c r="N81" s="1220">
        <f>IFERROR(INDEX(MO_BSS_Debt,0,MATCH(N$3,MO_Common_ColumnHeader,0)),0)</f>
        <v>20313</v>
      </c>
      <c r="O81" s="1219">
        <f>IFERROR(INDEX(MO_BSS_Debt,0,MATCH(O$3,MO_Common_ColumnHeader,0)),0)</f>
        <v>20313</v>
      </c>
      <c r="P81" s="1220">
        <f>IFERROR(INDEX(MO_BSS_Debt,0,MATCH(P$3,MO_Common_ColumnHeader,0)),0)</f>
        <v>22495</v>
      </c>
      <c r="Q81" s="1220">
        <f>IFERROR(INDEX(MO_BSS_Debt,0,MATCH(Q$3,MO_Common_ColumnHeader,0)),0)</f>
        <v>20762</v>
      </c>
      <c r="R81" s="1220">
        <f>IFERROR(INDEX(MO_BSS_Debt,0,MATCH(R$3,MO_Common_ColumnHeader,0)),0)</f>
        <v>19598</v>
      </c>
      <c r="S81" s="1220">
        <f>IFERROR(INDEX(MO_BSS_Debt,0,MATCH(S$3,MO_Common_ColumnHeader,0)),0)</f>
        <v>18795</v>
      </c>
      <c r="T81" s="1219">
        <f>IFERROR(INDEX(MO_BSS_Debt,0,MATCH(T$3,MO_Common_ColumnHeader,0)),0)</f>
        <v>18795</v>
      </c>
      <c r="U81" s="1220">
        <f>IFERROR(INDEX(MO_BSS_Debt,0,MATCH(U$3,MO_Common_ColumnHeader,0)),0)</f>
        <v>18187</v>
      </c>
      <c r="V81" s="1220">
        <f>IFERROR(INDEX(MO_BSS_Debt,0,MATCH(V$3,MO_Common_ColumnHeader,0)),0)</f>
        <v>18187</v>
      </c>
      <c r="W81" s="1220">
        <f>IFERROR(INDEX(MO_BSS_Debt,0,MATCH(W$3,MO_Common_ColumnHeader,0)),0)</f>
        <v>18187</v>
      </c>
      <c r="X81" s="1220">
        <f>IFERROR(INDEX(MO_BSS_Debt,0,MATCH(X$3,MO_Common_ColumnHeader,0)),0)</f>
        <v>18187</v>
      </c>
      <c r="Y81" s="1219">
        <f>IFERROR(INDEX(MO_BSS_Debt,0,MATCH(Y$3,MO_Common_ColumnHeader,0)),0)</f>
        <v>18187</v>
      </c>
      <c r="Z81" s="1220">
        <f>IFERROR(INDEX(MO_BSS_Debt,0,MATCH(Z$3,MO_Common_ColumnHeader,0)),0)</f>
        <v>18187</v>
      </c>
      <c r="AA81" s="1220">
        <f>IFERROR(INDEX(MO_BSS_Debt,0,MATCH(AA$3,MO_Common_ColumnHeader,0)),0)</f>
        <v>18187</v>
      </c>
      <c r="AB81" s="1220">
        <f>IFERROR(INDEX(MO_BSS_Debt,0,MATCH(AB$3,MO_Common_ColumnHeader,0)),0)</f>
        <v>18187</v>
      </c>
      <c r="AC81" s="1220">
        <f>IFERROR(INDEX(MO_BSS_Debt,0,MATCH(AC$3,MO_Common_ColumnHeader,0)),0)</f>
        <v>18187</v>
      </c>
      <c r="AD81" s="1219">
        <f>IFERROR(INDEX(MO_BSS_Debt,0,MATCH(AD$3,MO_Common_ColumnHeader,0)),0)</f>
        <v>18187</v>
      </c>
      <c r="AE81" s="1219">
        <f>IFERROR(INDEX(MO_BSS_Debt,0,MATCH(AE$3,MO_Common_ColumnHeader,0)),0)</f>
        <v>18187</v>
      </c>
      <c r="AF81" s="1219">
        <f>IFERROR(INDEX(MO_BSS_Debt,0,MATCH(AF$3,MO_Common_ColumnHeader,0)),0)</f>
        <v>18187</v>
      </c>
      <c r="AG81" s="1221">
        <f>IFERROR(INDEX(MO_BSS_Debt,0,MATCH(AG$3,MO_Common_ColumnHeader,0)),0)</f>
        <v>18187</v>
      </c>
      <c r="AH81" s="1264"/>
    </row>
    <row r="82" spans="1:34" s="1222" customFormat="1" ht="14.25" customHeight="1" outlineLevel="1" x14ac:dyDescent="0.35">
      <c r="A82" s="1291" t="s">
        <v>1187</v>
      </c>
      <c r="B82" s="1292"/>
      <c r="C82" s="1218"/>
      <c r="D82" s="1219">
        <f>IFERROR(INDEX(MO_BSS_OL,0,MATCH(D$3,MO_Common_ColumnHeader,0)),0)</f>
        <v>0</v>
      </c>
      <c r="E82" s="1219">
        <f>IFERROR(INDEX(MO_BSS_OL,0,MATCH(E$3,MO_Common_ColumnHeader,0)),0)</f>
        <v>0</v>
      </c>
      <c r="F82" s="1220">
        <f>IFERROR(INDEX(MO_BSS_OL,0,MATCH(F$3,MO_Common_ColumnHeader,0)),0)</f>
        <v>0</v>
      </c>
      <c r="G82" s="1220">
        <f>IFERROR(INDEX(MO_BSS_OL,0,MATCH(G$3,MO_Common_ColumnHeader,0)),0)</f>
        <v>0</v>
      </c>
      <c r="H82" s="1220">
        <f>IFERROR(INDEX(MO_BSS_OL,0,MATCH(H$3,MO_Common_ColumnHeader,0)),0)</f>
        <v>0</v>
      </c>
      <c r="I82" s="1220">
        <f>IFERROR(INDEX(MO_BSS_OL,0,MATCH(I$3,MO_Common_ColumnHeader,0)),0)</f>
        <v>0</v>
      </c>
      <c r="J82" s="1219">
        <f>IFERROR(INDEX(MO_BSS_OL,0,MATCH(J$3,MO_Common_ColumnHeader,0)),0)</f>
        <v>0</v>
      </c>
      <c r="K82" s="1220">
        <f>IFERROR(INDEX(MO_BSS_OL,0,MATCH(K$3,MO_Common_ColumnHeader,0)),0)</f>
        <v>786</v>
      </c>
      <c r="L82" s="1220">
        <f>IFERROR(INDEX(MO_BSS_OL,0,MATCH(L$3,MO_Common_ColumnHeader,0)),0)</f>
        <v>866</v>
      </c>
      <c r="M82" s="1220">
        <f>IFERROR(INDEX(MO_BSS_OL,0,MATCH(M$3,MO_Common_ColumnHeader,0)),0)</f>
        <v>825</v>
      </c>
      <c r="N82" s="1220">
        <f>IFERROR(INDEX(MO_BSS_OL,0,MATCH(N$3,MO_Common_ColumnHeader,0)),0)</f>
        <v>854</v>
      </c>
      <c r="O82" s="1219">
        <f>IFERROR(INDEX(MO_BSS_OL,0,MATCH(O$3,MO_Common_ColumnHeader,0)),0)</f>
        <v>854</v>
      </c>
      <c r="P82" s="1220">
        <f>IFERROR(INDEX(MO_BSS_OL,0,MATCH(P$3,MO_Common_ColumnHeader,0)),0)</f>
        <v>847</v>
      </c>
      <c r="Q82" s="1220">
        <f>IFERROR(INDEX(MO_BSS_OL,0,MATCH(Q$3,MO_Common_ColumnHeader,0)),0)</f>
        <v>855</v>
      </c>
      <c r="R82" s="1220">
        <f>IFERROR(INDEX(MO_BSS_OL,0,MATCH(R$3,MO_Common_ColumnHeader,0)),0)</f>
        <v>857</v>
      </c>
      <c r="S82" s="1220">
        <f>IFERROR(INDEX(MO_BSS_OL,0,MATCH(S$3,MO_Common_ColumnHeader,0)),0)</f>
        <v>865</v>
      </c>
      <c r="T82" s="1219">
        <f>IFERROR(INDEX(MO_BSS_OL,0,MATCH(T$3,MO_Common_ColumnHeader,0)),0)</f>
        <v>865</v>
      </c>
      <c r="U82" s="1220">
        <f>IFERROR(INDEX(MO_BSS_OL,0,MATCH(U$3,MO_Common_ColumnHeader,0)),0)</f>
        <v>876</v>
      </c>
      <c r="V82" s="1220">
        <f>IFERROR(INDEX(MO_BSS_OL,0,MATCH(V$3,MO_Common_ColumnHeader,0)),0)</f>
        <v>876</v>
      </c>
      <c r="W82" s="1220">
        <f>IFERROR(INDEX(MO_BSS_OL,0,MATCH(W$3,MO_Common_ColumnHeader,0)),0)</f>
        <v>876</v>
      </c>
      <c r="X82" s="1220">
        <f>IFERROR(INDEX(MO_BSS_OL,0,MATCH(X$3,MO_Common_ColumnHeader,0)),0)</f>
        <v>876</v>
      </c>
      <c r="Y82" s="1219">
        <f>IFERROR(INDEX(MO_BSS_OL,0,MATCH(Y$3,MO_Common_ColumnHeader,0)),0)</f>
        <v>876</v>
      </c>
      <c r="Z82" s="1220">
        <f>IFERROR(INDEX(MO_BSS_OL,0,MATCH(Z$3,MO_Common_ColumnHeader,0)),0)</f>
        <v>876</v>
      </c>
      <c r="AA82" s="1220">
        <f>IFERROR(INDEX(MO_BSS_OL,0,MATCH(AA$3,MO_Common_ColumnHeader,0)),0)</f>
        <v>876</v>
      </c>
      <c r="AB82" s="1220">
        <f>IFERROR(INDEX(MO_BSS_OL,0,MATCH(AB$3,MO_Common_ColumnHeader,0)),0)</f>
        <v>876</v>
      </c>
      <c r="AC82" s="1220">
        <f>IFERROR(INDEX(MO_BSS_OL,0,MATCH(AC$3,MO_Common_ColumnHeader,0)),0)</f>
        <v>876</v>
      </c>
      <c r="AD82" s="1219">
        <f>IFERROR(INDEX(MO_BSS_OL,0,MATCH(AD$3,MO_Common_ColumnHeader,0)),0)</f>
        <v>876</v>
      </c>
      <c r="AE82" s="1219">
        <f>IFERROR(INDEX(MO_BSS_OL,0,MATCH(AE$3,MO_Common_ColumnHeader,0)),0)</f>
        <v>876</v>
      </c>
      <c r="AF82" s="1219">
        <f>IFERROR(INDEX(MO_BSS_OL,0,MATCH(AF$3,MO_Common_ColumnHeader,0)),0)</f>
        <v>876</v>
      </c>
      <c r="AG82" s="1221">
        <f>IFERROR(INDEX(MO_BSS_OL,0,MATCH(AG$3,MO_Common_ColumnHeader,0)),0)</f>
        <v>876</v>
      </c>
      <c r="AH82" s="1264"/>
    </row>
    <row r="83" spans="1:34" s="1222" customFormat="1" ht="14.25" customHeight="1" outlineLevel="1" x14ac:dyDescent="0.35">
      <c r="A83" s="1302"/>
      <c r="B83" s="1303"/>
      <c r="C83" s="1218"/>
      <c r="D83" s="1219"/>
      <c r="E83" s="1219"/>
      <c r="F83" s="1225"/>
      <c r="G83" s="1225"/>
      <c r="H83" s="1225"/>
      <c r="I83" s="1225"/>
      <c r="J83" s="1219"/>
      <c r="K83" s="1225"/>
      <c r="L83" s="1225"/>
      <c r="M83" s="1225"/>
      <c r="N83" s="1225"/>
      <c r="O83" s="1219"/>
      <c r="P83" s="1225"/>
      <c r="Q83" s="1225"/>
      <c r="R83" s="1225"/>
      <c r="S83" s="1225"/>
      <c r="T83" s="1219"/>
      <c r="U83" s="1225"/>
      <c r="V83" s="1225"/>
      <c r="W83" s="1225"/>
      <c r="X83" s="1225"/>
      <c r="Y83" s="1219"/>
      <c r="Z83" s="1225"/>
      <c r="AA83" s="1225"/>
      <c r="AB83" s="1225"/>
      <c r="AC83" s="1225"/>
      <c r="AD83" s="1219"/>
      <c r="AE83" s="1219"/>
      <c r="AF83" s="1219"/>
      <c r="AG83" s="1221"/>
      <c r="AH83" s="1264"/>
    </row>
    <row r="84" spans="1:34" s="1222" customFormat="1" ht="14.25" customHeight="1" outlineLevel="1" x14ac:dyDescent="0.35">
      <c r="A84" s="1291" t="s">
        <v>188</v>
      </c>
      <c r="B84" s="1292"/>
      <c r="C84" s="1218"/>
      <c r="D84" s="1219">
        <f>IFERROR(INDEX(MO_BS_TA,0,MATCH(D$3,MO_Common_ColumnHeader,0)),0)</f>
        <v>32906</v>
      </c>
      <c r="E84" s="1219">
        <f>IFERROR(INDEX(MO_BS_TA,0,MATCH(E$3,MO_Common_ColumnHeader,0)),0)</f>
        <v>37987</v>
      </c>
      <c r="F84" s="1220">
        <f>IFERROR(INDEX(MO_BS_TA,0,MATCH(F$3,MO_Common_ColumnHeader,0)),0)</f>
        <v>38575</v>
      </c>
      <c r="G84" s="1220">
        <f>IFERROR(INDEX(MO_BS_TA,0,MATCH(G$3,MO_Common_ColumnHeader,0)),0)</f>
        <v>36778</v>
      </c>
      <c r="H84" s="1220">
        <f>IFERROR(INDEX(MO_BS_TA,0,MATCH(H$3,MO_Common_ColumnHeader,0)),0)</f>
        <v>37275</v>
      </c>
      <c r="I84" s="1220">
        <f>IFERROR(INDEX(MO_BS_TA,0,MATCH(I$3,MO_Common_ColumnHeader,0)),0)</f>
        <v>36500</v>
      </c>
      <c r="J84" s="1219">
        <f>IFERROR(INDEX(MO_BS_TA,0,MATCH(J$3,MO_Common_ColumnHeader,0)),0)</f>
        <v>36500</v>
      </c>
      <c r="K84" s="1220">
        <f>IFERROR(INDEX(MO_BS_TA,0,MATCH(K$3,MO_Common_ColumnHeader,0)),0)</f>
        <v>39140</v>
      </c>
      <c r="L84" s="1220">
        <f>IFERROR(INDEX(MO_BS_TA,0,MATCH(L$3,MO_Common_ColumnHeader,0)),0)</f>
        <v>38969</v>
      </c>
      <c r="M84" s="1220">
        <f>IFERROR(INDEX(MO_BS_TA,0,MATCH(M$3,MO_Common_ColumnHeader,0)),0)</f>
        <v>42550</v>
      </c>
      <c r="N84" s="1220">
        <f>IFERROR(INDEX(MO_BS_TA,0,MATCH(N$3,MO_Common_ColumnHeader,0)),0)</f>
        <v>44659</v>
      </c>
      <c r="O84" s="1219">
        <f>IFERROR(INDEX(MO_BS_TA,0,MATCH(O$3,MO_Common_ColumnHeader,0)),0)</f>
        <v>44659</v>
      </c>
      <c r="P84" s="1220">
        <f>IFERROR(INDEX(MO_BS_TA,0,MATCH(P$3,MO_Common_ColumnHeader,0)),0)</f>
        <v>46212</v>
      </c>
      <c r="Q84" s="1220">
        <f>IFERROR(INDEX(MO_BS_TA,0,MATCH(Q$3,MO_Common_ColumnHeader,0)),0)</f>
        <v>45079</v>
      </c>
      <c r="R84" s="1220">
        <f>IFERROR(INDEX(MO_BS_TA,0,MATCH(R$3,MO_Common_ColumnHeader,0)),0)</f>
        <v>45390</v>
      </c>
      <c r="S84" s="1220">
        <f>IFERROR(INDEX(MO_BS_TA,0,MATCH(S$3,MO_Common_ColumnHeader,0)),0)</f>
        <v>47344</v>
      </c>
      <c r="T84" s="1219">
        <f>IFERROR(INDEX(MO_BS_TA,0,MATCH(T$3,MO_Common_ColumnHeader,0)),0)</f>
        <v>47344</v>
      </c>
      <c r="U84" s="1220">
        <f>IFERROR(INDEX(MO_BS_TA,0,MATCH(U$3,MO_Common_ColumnHeader,0)),0)</f>
        <v>47180</v>
      </c>
      <c r="V84" s="1220">
        <f>IFERROR(INDEX(MO_BS_TA,0,MATCH(V$3,MO_Common_ColumnHeader,0)),0)</f>
        <v>46585.362301205823</v>
      </c>
      <c r="W84" s="1220">
        <f>IFERROR(INDEX(MO_BS_TA,0,MATCH(W$3,MO_Common_ColumnHeader,0)),0)</f>
        <v>47081.677101616202</v>
      </c>
      <c r="X84" s="1220">
        <f>IFERROR(INDEX(MO_BS_TA,0,MATCH(X$3,MO_Common_ColumnHeader,0)),0)</f>
        <v>47784.355127573835</v>
      </c>
      <c r="Y84" s="1219">
        <f>IFERROR(INDEX(MO_BS_TA,0,MATCH(Y$3,MO_Common_ColumnHeader,0)),0)</f>
        <v>47784.355127573835</v>
      </c>
      <c r="Z84" s="1220">
        <f ca="1">IFERROR(INDEX(MO_BS_TA,0,MATCH(Z$3,MO_Common_ColumnHeader,0)),0)</f>
        <v>48406.160818257747</v>
      </c>
      <c r="AA84" s="1220">
        <f ca="1">IFERROR(INDEX(MO_BS_TA,0,MATCH(AA$3,MO_Common_ColumnHeader,0)),0)</f>
        <v>48018.411188175916</v>
      </c>
      <c r="AB84" s="1220">
        <f ca="1">IFERROR(INDEX(MO_BS_TA,0,MATCH(AB$3,MO_Common_ColumnHeader,0)),0)</f>
        <v>48618.325427471726</v>
      </c>
      <c r="AC84" s="1220">
        <f ca="1">IFERROR(INDEX(MO_BS_TA,0,MATCH(AC$3,MO_Common_ColumnHeader,0)),0)</f>
        <v>49532.978964207068</v>
      </c>
      <c r="AD84" s="1219">
        <f ca="1">IFERROR(INDEX(MO_BS_TA,0,MATCH(AD$3,MO_Common_ColumnHeader,0)),0)</f>
        <v>49532.978964207068</v>
      </c>
      <c r="AE84" s="1219">
        <f ca="1">IFERROR(INDEX(MO_BS_TA,0,MATCH(AE$3,MO_Common_ColumnHeader,0)),0)</f>
        <v>52014.475027202294</v>
      </c>
      <c r="AF84" s="1219">
        <f ca="1">IFERROR(INDEX(MO_BS_TA,0,MATCH(AF$3,MO_Common_ColumnHeader,0)),0)</f>
        <v>55268.695607425921</v>
      </c>
      <c r="AG84" s="1221">
        <f ca="1">IFERROR(INDEX(MO_BS_TA,0,MATCH(AG$3,MO_Common_ColumnHeader,0)),0)</f>
        <v>59355.636066487554</v>
      </c>
      <c r="AH84" s="1264"/>
    </row>
    <row r="85" spans="1:34" s="1222" customFormat="1" ht="14.25" customHeight="1" outlineLevel="1" x14ac:dyDescent="0.35">
      <c r="A85" s="1291" t="s">
        <v>200</v>
      </c>
      <c r="B85" s="1292"/>
      <c r="C85" s="1218"/>
      <c r="D85" s="1219">
        <f>IFERROR(INDEX(MO_BS_TL,0,MATCH(D$3,MO_Common_ColumnHeader,0)),0)</f>
        <v>22563</v>
      </c>
      <c r="E85" s="1219">
        <f>IFERROR(INDEX(MO_BS_TL,0,MATCH(E$3,MO_Common_ColumnHeader,0)),0)</f>
        <v>26365</v>
      </c>
      <c r="F85" s="1220">
        <f>IFERROR(INDEX(MO_BS_TL,0,MATCH(F$3,MO_Common_ColumnHeader,0)),0)</f>
        <v>27536</v>
      </c>
      <c r="G85" s="1220">
        <f>IFERROR(INDEX(MO_BS_TL,0,MATCH(G$3,MO_Common_ColumnHeader,0)),0)</f>
        <v>26350</v>
      </c>
      <c r="H85" s="1220">
        <f>IFERROR(INDEX(MO_BS_TL,0,MATCH(H$3,MO_Common_ColumnHeader,0)),0)</f>
        <v>26964</v>
      </c>
      <c r="I85" s="1220">
        <f>IFERROR(INDEX(MO_BS_TL,0,MATCH(I$3,MO_Common_ColumnHeader,0)),0)</f>
        <v>26652</v>
      </c>
      <c r="J85" s="1219">
        <f>IFERROR(INDEX(MO_BS_TL,0,MATCH(J$3,MO_Common_ColumnHeader,0)),0)</f>
        <v>26652</v>
      </c>
      <c r="K85" s="1220">
        <f>IFERROR(INDEX(MO_BS_TL,0,MATCH(K$3,MO_Common_ColumnHeader,0)),0)</f>
        <v>29383</v>
      </c>
      <c r="L85" s="1220">
        <f>IFERROR(INDEX(MO_BS_TL,0,MATCH(L$3,MO_Common_ColumnHeader,0)),0)</f>
        <v>28827</v>
      </c>
      <c r="M85" s="1220">
        <f>IFERROR(INDEX(MO_BS_TL,0,MATCH(M$3,MO_Common_ColumnHeader,0)),0)</f>
        <v>31786</v>
      </c>
      <c r="N85" s="1220">
        <f>IFERROR(INDEX(MO_BS_TL,0,MATCH(N$3,MO_Common_ColumnHeader,0)),0)</f>
        <v>34533</v>
      </c>
      <c r="O85" s="1219">
        <f>IFERROR(INDEX(MO_BS_TL,0,MATCH(O$3,MO_Common_ColumnHeader,0)),0)</f>
        <v>34533</v>
      </c>
      <c r="P85" s="1220">
        <f>IFERROR(INDEX(MO_BS_TL,0,MATCH(P$3,MO_Common_ColumnHeader,0)),0)</f>
        <v>36003</v>
      </c>
      <c r="Q85" s="1220">
        <f>IFERROR(INDEX(MO_BS_TL,0,MATCH(Q$3,MO_Common_ColumnHeader,0)),0)</f>
        <v>34164</v>
      </c>
      <c r="R85" s="1220">
        <f>IFERROR(INDEX(MO_BS_TL,0,MATCH(R$3,MO_Common_ColumnHeader,0)),0)</f>
        <v>33447</v>
      </c>
      <c r="S85" s="1220">
        <f>IFERROR(INDEX(MO_BS_TL,0,MATCH(S$3,MO_Common_ColumnHeader,0)),0)</f>
        <v>34413</v>
      </c>
      <c r="T85" s="1219">
        <f>IFERROR(INDEX(MO_BS_TL,0,MATCH(T$3,MO_Common_ColumnHeader,0)),0)</f>
        <v>34413</v>
      </c>
      <c r="U85" s="1220">
        <f>IFERROR(INDEX(MO_BS_TL,0,MATCH(U$3,MO_Common_ColumnHeader,0)),0)</f>
        <v>33352</v>
      </c>
      <c r="V85" s="1220">
        <f>IFERROR(INDEX(MO_BS_TL,0,MATCH(V$3,MO_Common_ColumnHeader,0)),0)</f>
        <v>32820.678092963855</v>
      </c>
      <c r="W85" s="1220">
        <f>IFERROR(INDEX(MO_BS_TL,0,MATCH(W$3,MO_Common_ColumnHeader,0)),0)</f>
        <v>33108.382182706664</v>
      </c>
      <c r="X85" s="1220">
        <f>IFERROR(INDEX(MO_BS_TL,0,MATCH(X$3,MO_Common_ColumnHeader,0)),0)</f>
        <v>33517.139987537623</v>
      </c>
      <c r="Y85" s="1219">
        <f>IFERROR(INDEX(MO_BS_TL,0,MATCH(Y$3,MO_Common_ColumnHeader,0)),0)</f>
        <v>33517.139987537623</v>
      </c>
      <c r="Z85" s="1220">
        <f>IFERROR(INDEX(MO_BS_TL,0,MATCH(Z$3,MO_Common_ColumnHeader,0)),0)</f>
        <v>33660.260190313005</v>
      </c>
      <c r="AA85" s="1220">
        <f ca="1">IFERROR(INDEX(MO_BS_TL,0,MATCH(AA$3,MO_Common_ColumnHeader,0)),0)</f>
        <v>33099.806832628201</v>
      </c>
      <c r="AB85" s="1220">
        <f ca="1">IFERROR(INDEX(MO_BS_TL,0,MATCH(AB$3,MO_Common_ColumnHeader,0)),0)</f>
        <v>33413.4587860272</v>
      </c>
      <c r="AC85" s="1220">
        <f ca="1">IFERROR(INDEX(MO_BS_TL,0,MATCH(AC$3,MO_Common_ColumnHeader,0)),0)</f>
        <v>33861.147035059381</v>
      </c>
      <c r="AD85" s="1219">
        <f>IFERROR(INDEX(MO_BS_TL,0,MATCH(AD$3,MO_Common_ColumnHeader,0)),0)</f>
        <v>33861.147035059381</v>
      </c>
      <c r="AE85" s="1219">
        <f ca="1">IFERROR(INDEX(MO_BS_TL,0,MATCH(AE$3,MO_Common_ColumnHeader,0)),0)</f>
        <v>34228.268613696448</v>
      </c>
      <c r="AF85" s="1219">
        <f ca="1">IFERROR(INDEX(MO_BS_TL,0,MATCH(AF$3,MO_Common_ColumnHeader,0)),0)</f>
        <v>34625.582624226648</v>
      </c>
      <c r="AG85" s="1221">
        <f ca="1">IFERROR(INDEX(MO_BS_TL,0,MATCH(AG$3,MO_Common_ColumnHeader,0)),0)</f>
        <v>35055.527072916739</v>
      </c>
      <c r="AH85" s="1264"/>
    </row>
    <row r="86" spans="1:34" s="1222" customFormat="1" ht="14.25" customHeight="1" outlineLevel="1" x14ac:dyDescent="0.35">
      <c r="A86" s="1291" t="s">
        <v>1188</v>
      </c>
      <c r="B86" s="1292"/>
      <c r="C86" s="1218"/>
      <c r="D86" s="1219">
        <f>IFERROR(INDEX(MO_BS_SE,0,MATCH(D$3,MO_Common_ColumnHeader,0)),0)</f>
        <v>10298</v>
      </c>
      <c r="E86" s="1219">
        <f>IFERROR(INDEX(MO_BS_SE,0,MATCH(E$3,MO_Common_ColumnHeader,0)),0)</f>
        <v>11563</v>
      </c>
      <c r="F86" s="1220">
        <f>IFERROR(INDEX(MO_BS_SE,0,MATCH(F$3,MO_Common_ColumnHeader,0)),0)</f>
        <v>10977</v>
      </c>
      <c r="G86" s="1220">
        <f>IFERROR(INDEX(MO_BS_SE,0,MATCH(G$3,MO_Common_ColumnHeader,0)),0)</f>
        <v>10365</v>
      </c>
      <c r="H86" s="1220">
        <f>IFERROR(INDEX(MO_BS_SE,0,MATCH(H$3,MO_Common_ColumnHeader,0)),0)</f>
        <v>10248</v>
      </c>
      <c r="I86" s="1220">
        <f>IFERROR(INDEX(MO_BS_SE,0,MATCH(I$3,MO_Common_ColumnHeader,0)),0)</f>
        <v>9796</v>
      </c>
      <c r="J86" s="1219">
        <f>IFERROR(INDEX(MO_BS_SE,0,MATCH(J$3,MO_Common_ColumnHeader,0)),0)</f>
        <v>9796</v>
      </c>
      <c r="K86" s="1220">
        <f>IFERROR(INDEX(MO_BS_SE,0,MATCH(K$3,MO_Common_ColumnHeader,0)),0)</f>
        <v>9703</v>
      </c>
      <c r="L86" s="1220">
        <f>IFERROR(INDEX(MO_BS_SE,0,MATCH(L$3,MO_Common_ColumnHeader,0)),0)</f>
        <v>10083</v>
      </c>
      <c r="M86" s="1220">
        <f>IFERROR(INDEX(MO_BS_SE,0,MATCH(M$3,MO_Common_ColumnHeader,0)),0)</f>
        <v>10702</v>
      </c>
      <c r="N86" s="1220">
        <f>IFERROR(INDEX(MO_BS_SE,0,MATCH(N$3,MO_Common_ColumnHeader,0)),0)</f>
        <v>10063</v>
      </c>
      <c r="O86" s="1219">
        <f>IFERROR(INDEX(MO_BS_SE,0,MATCH(O$3,MO_Common_ColumnHeader,0)),0)</f>
        <v>10063</v>
      </c>
      <c r="P86" s="1220">
        <f>IFERROR(INDEX(MO_BS_SE,0,MATCH(P$3,MO_Common_ColumnHeader,0)),0)</f>
        <v>10147</v>
      </c>
      <c r="Q86" s="1220">
        <f>IFERROR(INDEX(MO_BS_SE,0,MATCH(Q$3,MO_Common_ColumnHeader,0)),0)</f>
        <v>10857</v>
      </c>
      <c r="R86" s="1220">
        <f>IFERROR(INDEX(MO_BS_SE,0,MATCH(R$3,MO_Common_ColumnHeader,0)),0)</f>
        <v>11880</v>
      </c>
      <c r="S86" s="1220">
        <f>IFERROR(INDEX(MO_BS_SE,0,MATCH(S$3,MO_Common_ColumnHeader,0)),0)</f>
        <v>12868</v>
      </c>
      <c r="T86" s="1219">
        <f>IFERROR(INDEX(MO_BS_SE,0,MATCH(T$3,MO_Common_ColumnHeader,0)),0)</f>
        <v>12867</v>
      </c>
      <c r="U86" s="1220">
        <f>IFERROR(INDEX(MO_BS_SE,0,MATCH(U$3,MO_Common_ColumnHeader,0)),0)</f>
        <v>13760</v>
      </c>
      <c r="V86" s="1220">
        <f ca="1">IFERROR(INDEX(MO_BS_SE,0,MATCH(V$3,MO_Common_ColumnHeader,0)),0)</f>
        <v>13696.684208241961</v>
      </c>
      <c r="W86" s="1220">
        <f ca="1">IFERROR(INDEX(MO_BS_SE,0,MATCH(W$3,MO_Common_ColumnHeader,0)),0)</f>
        <v>13905.294918909531</v>
      </c>
      <c r="X86" s="1220">
        <f ca="1">IFERROR(INDEX(MO_BS_SE,0,MATCH(X$3,MO_Common_ColumnHeader,0)),0)</f>
        <v>14199.215140036191</v>
      </c>
      <c r="Y86" s="1219">
        <f ca="1">IFERROR(INDEX(MO_BS_SE,0,MATCH(Y$3,MO_Common_ColumnHeader,0)),0)</f>
        <v>14199.215140036191</v>
      </c>
      <c r="Z86" s="1220">
        <f ca="1">IFERROR(INDEX(MO_BS_SE,0,MATCH(Z$3,MO_Common_ColumnHeader,0)),0)</f>
        <v>14677.900627944728</v>
      </c>
      <c r="AA86" s="1220">
        <f ca="1">IFERROR(INDEX(MO_BS_SE,0,MATCH(AA$3,MO_Common_ColumnHeader,0)),0)</f>
        <v>14850.604355547701</v>
      </c>
      <c r="AB86" s="1220">
        <f ca="1">IFERROR(INDEX(MO_BS_SE,0,MATCH(AB$3,MO_Common_ColumnHeader,0)),0)</f>
        <v>15136.866641444518</v>
      </c>
      <c r="AC86" s="1220">
        <f ca="1">IFERROR(INDEX(MO_BS_SE,0,MATCH(AC$3,MO_Common_ColumnHeader,0)),0)</f>
        <v>15603.83192914768</v>
      </c>
      <c r="AD86" s="1219">
        <f ca="1">IFERROR(INDEX(MO_BS_SE,0,MATCH(AD$3,MO_Common_ColumnHeader,0)),0)</f>
        <v>15603.83192914768</v>
      </c>
      <c r="AE86" s="1219">
        <f ca="1">IFERROR(INDEX(MO_BS_SE,0,MATCH(AE$3,MO_Common_ColumnHeader,0)),0)</f>
        <v>17718.206413505839</v>
      </c>
      <c r="AF86" s="1219">
        <f ca="1">IFERROR(INDEX(MO_BS_SE,0,MATCH(AF$3,MO_Common_ColumnHeader,0)),0)</f>
        <v>20575.112983199266</v>
      </c>
      <c r="AG86" s="1221">
        <f ca="1">IFERROR(INDEX(MO_BS_SE,0,MATCH(AG$3,MO_Common_ColumnHeader,0)),0)</f>
        <v>24232.108993570815</v>
      </c>
      <c r="AH86" s="1264"/>
    </row>
    <row r="87" spans="1:34" s="1222" customFormat="1" ht="14.25" customHeight="1" outlineLevel="1" x14ac:dyDescent="0.35">
      <c r="A87" s="1291" t="s">
        <v>1189</v>
      </c>
      <c r="B87" s="1292"/>
      <c r="C87" s="1218"/>
      <c r="D87" s="1219">
        <f>IFERROR(INDEX(MO_BS_NCI,0,MATCH(D$3,MO_Common_ColumnHeader,0)),0)</f>
        <v>45</v>
      </c>
      <c r="E87" s="1219">
        <f>IFERROR(INDEX(MO_BS_NCI,0,MATCH(E$3,MO_Common_ColumnHeader,0)),0)</f>
        <v>59</v>
      </c>
      <c r="F87" s="1220">
        <f>IFERROR(INDEX(MO_BS_NCI,0,MATCH(F$3,MO_Common_ColumnHeader,0)),0)</f>
        <v>62</v>
      </c>
      <c r="G87" s="1220">
        <f>IFERROR(INDEX(MO_BS_NCI,0,MATCH(G$3,MO_Common_ColumnHeader,0)),0)</f>
        <v>63</v>
      </c>
      <c r="H87" s="1220">
        <f>IFERROR(INDEX(MO_BS_NCI,0,MATCH(H$3,MO_Common_ColumnHeader,0)),0)</f>
        <v>63</v>
      </c>
      <c r="I87" s="1220">
        <f>IFERROR(INDEX(MO_BS_NCI,0,MATCH(I$3,MO_Common_ColumnHeader,0)),0)</f>
        <v>52</v>
      </c>
      <c r="J87" s="1219">
        <f>IFERROR(INDEX(MO_BS_NCI,0,MATCH(J$3,MO_Common_ColumnHeader,0)),0)</f>
        <v>52</v>
      </c>
      <c r="K87" s="1220">
        <f>IFERROR(INDEX(MO_BS_NCI,0,MATCH(K$3,MO_Common_ColumnHeader,0)),0)</f>
        <v>54</v>
      </c>
      <c r="L87" s="1220">
        <f>IFERROR(INDEX(MO_BS_NCI,0,MATCH(L$3,MO_Common_ColumnHeader,0)),0)</f>
        <v>59</v>
      </c>
      <c r="M87" s="1220">
        <f>IFERROR(INDEX(MO_BS_NCI,0,MATCH(M$3,MO_Common_ColumnHeader,0)),0)</f>
        <v>62</v>
      </c>
      <c r="N87" s="1220">
        <f>IFERROR(INDEX(MO_BS_NCI,0,MATCH(N$3,MO_Common_ColumnHeader,0)),0)</f>
        <v>63</v>
      </c>
      <c r="O87" s="1219">
        <f>IFERROR(INDEX(MO_BS_NCI,0,MATCH(O$3,MO_Common_ColumnHeader,0)),0)</f>
        <v>63</v>
      </c>
      <c r="P87" s="1220">
        <f>IFERROR(INDEX(MO_BS_NCI,0,MATCH(P$3,MO_Common_ColumnHeader,0)),0)</f>
        <v>62</v>
      </c>
      <c r="Q87" s="1220">
        <f>IFERROR(INDEX(MO_BS_NCI,0,MATCH(Q$3,MO_Common_ColumnHeader,0)),0)</f>
        <v>58</v>
      </c>
      <c r="R87" s="1220">
        <f>IFERROR(INDEX(MO_BS_NCI,0,MATCH(R$3,MO_Common_ColumnHeader,0)),0)</f>
        <v>63</v>
      </c>
      <c r="S87" s="1220">
        <f>IFERROR(INDEX(MO_BS_NCI,0,MATCH(S$3,MO_Common_ColumnHeader,0)),0)</f>
        <v>63</v>
      </c>
      <c r="T87" s="1219">
        <f>IFERROR(INDEX(MO_BS_NCI,0,MATCH(T$3,MO_Common_ColumnHeader,0)),0)</f>
        <v>64</v>
      </c>
      <c r="U87" s="1220">
        <f>IFERROR(INDEX(MO_BS_NCI,0,MATCH(U$3,MO_Common_ColumnHeader,0)),0)</f>
        <v>68</v>
      </c>
      <c r="V87" s="1220">
        <f>IFERROR(INDEX(MO_BS_NCI,0,MATCH(V$3,MO_Common_ColumnHeader,0)),0)</f>
        <v>68</v>
      </c>
      <c r="W87" s="1220">
        <f>IFERROR(INDEX(MO_BS_NCI,0,MATCH(W$3,MO_Common_ColumnHeader,0)),0)</f>
        <v>68</v>
      </c>
      <c r="X87" s="1220">
        <f>IFERROR(INDEX(MO_BS_NCI,0,MATCH(X$3,MO_Common_ColumnHeader,0)),0)</f>
        <v>68</v>
      </c>
      <c r="Y87" s="1219">
        <f>IFERROR(INDEX(MO_BS_NCI,0,MATCH(Y$3,MO_Common_ColumnHeader,0)),0)</f>
        <v>68</v>
      </c>
      <c r="Z87" s="1220">
        <f>IFERROR(INDEX(MO_BS_NCI,0,MATCH(Z$3,MO_Common_ColumnHeader,0)),0)</f>
        <v>68</v>
      </c>
      <c r="AA87" s="1220">
        <f>IFERROR(INDEX(MO_BS_NCI,0,MATCH(AA$3,MO_Common_ColumnHeader,0)),0)</f>
        <v>68</v>
      </c>
      <c r="AB87" s="1220">
        <f>IFERROR(INDEX(MO_BS_NCI,0,MATCH(AB$3,MO_Common_ColumnHeader,0)),0)</f>
        <v>68</v>
      </c>
      <c r="AC87" s="1220">
        <f>IFERROR(INDEX(MO_BS_NCI,0,MATCH(AC$3,MO_Common_ColumnHeader,0)),0)</f>
        <v>68</v>
      </c>
      <c r="AD87" s="1219">
        <f>IFERROR(INDEX(MO_BS_NCI,0,MATCH(AD$3,MO_Common_ColumnHeader,0)),0)</f>
        <v>68</v>
      </c>
      <c r="AE87" s="1219">
        <f>IFERROR(INDEX(MO_BS_NCI,0,MATCH(AE$3,MO_Common_ColumnHeader,0)),0)</f>
        <v>68</v>
      </c>
      <c r="AF87" s="1219">
        <f>IFERROR(INDEX(MO_BS_NCI,0,MATCH(AF$3,MO_Common_ColumnHeader,0)),0)</f>
        <v>68</v>
      </c>
      <c r="AG87" s="1221">
        <f>IFERROR(INDEX(MO_BS_NCI,0,MATCH(AG$3,MO_Common_ColumnHeader,0)),0)</f>
        <v>68</v>
      </c>
      <c r="AH87" s="1264"/>
    </row>
    <row r="88" spans="1:34" s="1240" customFormat="1" ht="14.25" customHeight="1" outlineLevel="1" x14ac:dyDescent="0.35">
      <c r="A88" s="1248"/>
      <c r="B88" s="1234"/>
      <c r="C88" s="1235"/>
      <c r="D88" s="1236"/>
      <c r="E88" s="1236"/>
      <c r="F88" s="1237"/>
      <c r="G88" s="1238"/>
      <c r="H88" s="1238"/>
      <c r="I88" s="1238"/>
      <c r="J88" s="1236"/>
      <c r="K88" s="1238"/>
      <c r="L88" s="1238"/>
      <c r="M88" s="1238"/>
      <c r="N88" s="1238"/>
      <c r="O88" s="1236"/>
      <c r="P88" s="1238"/>
      <c r="Q88" s="1238"/>
      <c r="R88" s="1238"/>
      <c r="S88" s="1238"/>
      <c r="T88" s="1236"/>
      <c r="U88" s="1238"/>
      <c r="V88" s="1238"/>
      <c r="W88" s="1238"/>
      <c r="X88" s="1238"/>
      <c r="Y88" s="1236"/>
      <c r="Z88" s="1238"/>
      <c r="AA88" s="1238"/>
      <c r="AB88" s="1238"/>
      <c r="AC88" s="1238"/>
      <c r="AD88" s="1236"/>
      <c r="AE88" s="1236"/>
      <c r="AF88" s="1236"/>
      <c r="AG88" s="1239"/>
      <c r="AH88" s="1264"/>
    </row>
    <row r="89" spans="1:34" s="1240" customFormat="1" ht="14.25" customHeight="1" x14ac:dyDescent="0.35">
      <c r="A89" s="1248" t="s">
        <v>1190</v>
      </c>
      <c r="B89" s="1234"/>
      <c r="C89" s="1304" t="s">
        <v>1191</v>
      </c>
      <c r="D89" s="1236">
        <f>IFERROR((D80+IFERROR(INDEX(MO_BS_OL_NonCurrent,0,MATCH(D$3,MO_Common_ColumnHeader,0)),D82))/D84,"")</f>
        <v>0.32450009116878381</v>
      </c>
      <c r="E89" s="1236">
        <f>IFERROR((E80+IFERROR(INDEX(MO_BS_OL_NonCurrent,0,MATCH(E$3,MO_Common_ColumnHeader,0)),E82))/E84,"")</f>
        <v>0.31842472424776896</v>
      </c>
      <c r="F89" s="1237">
        <f>IFERROR((F80+IFERROR(INDEX(MO_BS_OL_NonCurrent,0,MATCH(F$3,MO_Common_ColumnHeader,0)),F82))/F84,"")</f>
        <v>0.31655217109526895</v>
      </c>
      <c r="G89" s="1238">
        <f>IFERROR((G80+IFERROR(INDEX(MO_BS_OL_NonCurrent,0,MATCH(G$3,MO_Common_ColumnHeader,0)),G82))/G84,"")</f>
        <v>0.30708575778998315</v>
      </c>
      <c r="H89" s="1238">
        <f>IFERROR((H80+IFERROR(INDEX(MO_BS_OL_NonCurrent,0,MATCH(H$3,MO_Common_ColumnHeader,0)),H82))/H84,"")</f>
        <v>0.36321931589537221</v>
      </c>
      <c r="I89" s="1238">
        <f>IFERROR((I80+IFERROR(INDEX(MO_BS_OL_NonCurrent,0,MATCH(I$3,MO_Common_ColumnHeader,0)),I82))/I84,"")</f>
        <v>0.36742465753424658</v>
      </c>
      <c r="J89" s="1236">
        <f>IFERROR((J80+IFERROR(INDEX(MO_BS_OL_NonCurrent,0,MATCH(J$3,MO_Common_ColumnHeader,0)),J82))/J84,"")</f>
        <v>0.36742465753424658</v>
      </c>
      <c r="K89" s="1238">
        <f>IFERROR((K80+IFERROR(INDEX(MO_BS_OL_NonCurrent,0,MATCH(K$3,MO_Common_ColumnHeader,0)),K82))/K84,"")</f>
        <v>0.41162493612672457</v>
      </c>
      <c r="L89" s="1238">
        <f>IFERROR((L80+IFERROR(INDEX(MO_BS_OL_NonCurrent,0,MATCH(L$3,MO_Common_ColumnHeader,0)),L82))/L84,"")</f>
        <v>0.3985988862942339</v>
      </c>
      <c r="M89" s="1238">
        <f>IFERROR((M80+IFERROR(INDEX(MO_BS_OL_NonCurrent,0,MATCH(M$3,MO_Common_ColumnHeader,0)),M82))/M84,"")</f>
        <v>0.42451233842538189</v>
      </c>
      <c r="N89" s="1238">
        <f>IFERROR((N80+IFERROR(INDEX(MO_BS_OL_NonCurrent,0,MATCH(N$3,MO_Common_ColumnHeader,0)),N82))/N84,"")</f>
        <v>0.40585324346716228</v>
      </c>
      <c r="O89" s="1236">
        <f>IFERROR((O80+IFERROR(INDEX(MO_BS_OL_NonCurrent,0,MATCH(O$3,MO_Common_ColumnHeader,0)),O82))/O84,"")</f>
        <v>0.40585324346716228</v>
      </c>
      <c r="P89" s="1238">
        <f>IFERROR((P80+IFERROR(INDEX(MO_BS_OL_NonCurrent,0,MATCH(P$3,MO_Common_ColumnHeader,0)),P82))/P84,"")</f>
        <v>0.4295421102743876</v>
      </c>
      <c r="Q89" s="1238">
        <f>IFERROR((Q80+IFERROR(INDEX(MO_BS_OL_NonCurrent,0,MATCH(Q$3,MO_Common_ColumnHeader,0)),Q82))/Q84,"")</f>
        <v>0.44107012134253198</v>
      </c>
      <c r="R89" s="1238">
        <f>IFERROR((R80+IFERROR(INDEX(MO_BS_OL_NonCurrent,0,MATCH(R$3,MO_Common_ColumnHeader,0)),R82))/R84,"")</f>
        <v>0.41934346772416831</v>
      </c>
      <c r="S89" s="1238">
        <f>IFERROR((S80+IFERROR(INDEX(MO_BS_OL_NonCurrent,0,MATCH(S$3,MO_Common_ColumnHeader,0)),S82))/S84,"")</f>
        <v>0.39282696857046301</v>
      </c>
      <c r="T89" s="1236">
        <f>IFERROR((T80+IFERROR(INDEX(MO_BS_OL_NonCurrent,0,MATCH(T$3,MO_Common_ColumnHeader,0)),T82))/T84,"")</f>
        <v>0.39282696857046301</v>
      </c>
      <c r="U89" s="1238">
        <f>IFERROR((U80+IFERROR(INDEX(MO_BS_OL_NonCurrent,0,MATCH(U$3,MO_Common_ColumnHeader,0)),U82))/U84,"")</f>
        <v>0.36939381093683765</v>
      </c>
      <c r="V89" s="1238">
        <f>IFERROR((V80+IFERROR(INDEX(MO_BS_OL_NonCurrent,0,MATCH(V$3,MO_Common_ColumnHeader,0)),V82))/V84,"")</f>
        <v>0.37410892905192433</v>
      </c>
      <c r="W89" s="1238">
        <f>IFERROR((W80+IFERROR(INDEX(MO_BS_OL_NonCurrent,0,MATCH(W$3,MO_Common_ColumnHeader,0)),W82))/W84,"")</f>
        <v>0.37016523354478675</v>
      </c>
      <c r="X89" s="1238">
        <f>IFERROR((X80+IFERROR(INDEX(MO_BS_OL_NonCurrent,0,MATCH(X$3,MO_Common_ColumnHeader,0)),X82))/X84,"")</f>
        <v>0.36472188341709394</v>
      </c>
      <c r="Y89" s="1236">
        <f>IFERROR((Y80+IFERROR(INDEX(MO_BS_OL_NonCurrent,0,MATCH(Y$3,MO_Common_ColumnHeader,0)),Y82))/Y84,"")</f>
        <v>0.36472188341709394</v>
      </c>
      <c r="Z89" s="1238">
        <f ca="1">IFERROR((Z80+IFERROR(INDEX(MO_BS_OL_NonCurrent,0,MATCH(Z$3,MO_Common_ColumnHeader,0)),Z82))/Z84,"")</f>
        <v>0.36003681567381274</v>
      </c>
      <c r="AA89" s="1238">
        <f ca="1">IFERROR((AA80+IFERROR(INDEX(MO_BS_OL_NonCurrent,0,MATCH(AA$3,MO_Common_ColumnHeader,0)),AA82))/AA84,"")</f>
        <v>0.36294412015638455</v>
      </c>
      <c r="AB89" s="1238">
        <f ca="1">IFERROR((AB80+IFERROR(INDEX(MO_BS_OL_NonCurrent,0,MATCH(AB$3,MO_Common_ColumnHeader,0)),AB82))/AB84,"")</f>
        <v>0.35846565768701549</v>
      </c>
      <c r="AC89" s="1238">
        <f ca="1">IFERROR((AC80+IFERROR(INDEX(MO_BS_OL_NonCurrent,0,MATCH(AC$3,MO_Common_ColumnHeader,0)),AC82))/AC84,"")</f>
        <v>0.35184639334116397</v>
      </c>
      <c r="AD89" s="1236">
        <f ca="1">IFERROR((AD80+IFERROR(INDEX(MO_BS_OL_NonCurrent,0,MATCH(AD$3,MO_Common_ColumnHeader,0)),AD82))/AD84,"")</f>
        <v>0.35184639334116397</v>
      </c>
      <c r="AE89" s="1236">
        <f ca="1">IFERROR((AE80+IFERROR(INDEX(MO_BS_OL_NonCurrent,0,MATCH(AE$3,MO_Common_ColumnHeader,0)),AE82))/AE84,"")</f>
        <v>0.33506057671226297</v>
      </c>
      <c r="AF89" s="1236">
        <f ca="1">IFERROR((AF80+IFERROR(INDEX(MO_BS_OL_NonCurrent,0,MATCH(AF$3,MO_Common_ColumnHeader,0)),AF82))/AF84,"")</f>
        <v>0.3153322112718428</v>
      </c>
      <c r="AG89" s="1239">
        <f ca="1">IFERROR((AG80+IFERROR(INDEX(MO_BS_OL_NonCurrent,0,MATCH(AG$3,MO_Common_ColumnHeader,0)),AG82))/AG84,"")</f>
        <v>0.2936199686324299</v>
      </c>
      <c r="AH89" s="1264"/>
    </row>
    <row r="90" spans="1:34" s="1240" customFormat="1" ht="14.25" customHeight="1" x14ac:dyDescent="0.35">
      <c r="A90" s="1248" t="s">
        <v>1192</v>
      </c>
      <c r="B90" s="1234"/>
      <c r="C90" s="1304" t="s">
        <v>1193</v>
      </c>
      <c r="D90" s="1236">
        <f>IFERROR((D81+D82)/D84, "")</f>
        <v>0.3540387771227132</v>
      </c>
      <c r="E90" s="1236">
        <f>IFERROR((E81+E82)/E84, "")</f>
        <v>0.36720456998446838</v>
      </c>
      <c r="F90" s="1237">
        <f>IFERROR((F81+F82)/F84, "")</f>
        <v>0.40596241088788076</v>
      </c>
      <c r="G90" s="1238">
        <f>IFERROR((G81+G82)/G84, "")</f>
        <v>0.39477404970362717</v>
      </c>
      <c r="H90" s="1238">
        <f>IFERROR((H81+H82)/H84, "")</f>
        <v>0.39828303152246813</v>
      </c>
      <c r="I90" s="1238">
        <f>IFERROR((I81+I82)/I84, "")</f>
        <v>0.40060273972602739</v>
      </c>
      <c r="J90" s="1236">
        <f>IFERROR((J81+J82)/J84, "")</f>
        <v>0.40060273972602739</v>
      </c>
      <c r="K90" s="1238">
        <f>IFERROR((K81+K82)/K84, "")</f>
        <v>0.43832396525293815</v>
      </c>
      <c r="L90" s="1238">
        <f>IFERROR((L81+L82)/L84, "")</f>
        <v>0.42782724729913518</v>
      </c>
      <c r="M90" s="1238">
        <f>IFERROR((M81+M82)/M84, "")</f>
        <v>0.4762397179788484</v>
      </c>
      <c r="N90" s="1238">
        <f>IFERROR((N81+N82)/N84, "")</f>
        <v>0.47396941266038201</v>
      </c>
      <c r="O90" s="1236">
        <f>IFERROR((O81+O82)/O84, "")</f>
        <v>0.47396941266038201</v>
      </c>
      <c r="P90" s="1238">
        <f>IFERROR((P81+P82)/P84, "")</f>
        <v>0.50510689864104563</v>
      </c>
      <c r="Q90" s="1238">
        <f>IFERROR((Q81+Q82)/Q84, "")</f>
        <v>0.47953592581911753</v>
      </c>
      <c r="R90" s="1238">
        <f>IFERROR((R81+R82)/R84, "")</f>
        <v>0.45064992289050454</v>
      </c>
      <c r="S90" s="1238">
        <f>IFERROR((S81+S82)/S84, "")</f>
        <v>0.41525853328827306</v>
      </c>
      <c r="T90" s="1236">
        <f>IFERROR((T81+T82)/T84, "")</f>
        <v>0.41525853328827306</v>
      </c>
      <c r="U90" s="1238">
        <f>IFERROR((U81+U82)/U84, "")</f>
        <v>0.40404832556167869</v>
      </c>
      <c r="V90" s="1238">
        <f>IFERROR((V81+V82)/V84, "")</f>
        <v>0.40920579036704346</v>
      </c>
      <c r="W90" s="1238">
        <f>IFERROR((W81+W82)/W84, "")</f>
        <v>0.40489211883545273</v>
      </c>
      <c r="X90" s="1238">
        <f>IFERROR((X81+X82)/X84, "")</f>
        <v>0.39893810325797924</v>
      </c>
      <c r="Y90" s="1236">
        <f>IFERROR((Y81+Y82)/Y84, "")</f>
        <v>0.39893810325797924</v>
      </c>
      <c r="Z90" s="1238">
        <f ca="1">IFERROR((Z81+Z82)/Z84, "")</f>
        <v>0.39381350798656711</v>
      </c>
      <c r="AA90" s="1238">
        <f ca="1">IFERROR((AA81+AA82)/AA84, "")</f>
        <v>0.39699355993465452</v>
      </c>
      <c r="AB90" s="1238">
        <f ca="1">IFERROR((AB81+AB82)/AB84, "")</f>
        <v>0.39209495251822218</v>
      </c>
      <c r="AC90" s="1238">
        <f ca="1">IFERROR((AC81+AC82)/AC84, "")</f>
        <v>0.38485470485784995</v>
      </c>
      <c r="AD90" s="1236">
        <f ca="1">IFERROR((AD81+AD82)/AD84, "")</f>
        <v>0.38485470485784995</v>
      </c>
      <c r="AE90" s="1236">
        <f ca="1">IFERROR((AE81+AE82)/AE84, "")</f>
        <v>0.36649413437375883</v>
      </c>
      <c r="AF90" s="1236">
        <f ca="1">IFERROR((AF81+AF82)/AF84, "")</f>
        <v>0.34491496118172704</v>
      </c>
      <c r="AG90" s="1239">
        <f ca="1">IFERROR((AG81+AG82)/AG84, "")</f>
        <v>0.3211657942414512</v>
      </c>
      <c r="AH90" s="1264"/>
    </row>
    <row r="91" spans="1:34" s="1240" customFormat="1" ht="14.25" customHeight="1" x14ac:dyDescent="0.35">
      <c r="A91" s="1248" t="s">
        <v>1194</v>
      </c>
      <c r="B91" s="1234"/>
      <c r="C91" s="1304" t="s">
        <v>1195</v>
      </c>
      <c r="D91" s="1236">
        <f>IFERROR((D80+IFERROR(INDEX(MO_BS_OL_NonCurrent,0,MATCH(D$3,MO_Common_ColumnHeader,0)),D82))/(D86+D81+D82+D87),"")</f>
        <v>0.48551811940162781</v>
      </c>
      <c r="E91" s="1236">
        <f>IFERROR((E80+IFERROR(INDEX(MO_BS_OL_NonCurrent,0,MATCH(E$3,MO_Common_ColumnHeader,0)),E82))/(E86+E81+E82+E87),"")</f>
        <v>0.4730358609362168</v>
      </c>
      <c r="F91" s="1237">
        <f>IFERROR((F80+IFERROR(INDEX(MO_BS_OL_NonCurrent,0,MATCH(F$3,MO_Common_ColumnHeader,0)),F82))/(F86+F81+F82+F87),"")</f>
        <v>0.45735795348140379</v>
      </c>
      <c r="G91" s="1238">
        <f>IFERROR((G80+IFERROR(INDEX(MO_BS_OL_NonCurrent,0,MATCH(G$3,MO_Common_ColumnHeader,0)),G82))/(G86+G81+G82+G87),"")</f>
        <v>0.45271976590371588</v>
      </c>
      <c r="H91" s="1238">
        <f>IFERROR((H80+IFERROR(INDEX(MO_BS_OL_NonCurrent,0,MATCH(H$3,MO_Common_ColumnHeader,0)),H82))/(H86+H81+H82+H87),"")</f>
        <v>0.53818022816711053</v>
      </c>
      <c r="I91" s="1238">
        <f>IFERROR((I80+IFERROR(INDEX(MO_BS_OL_NonCurrent,0,MATCH(I$3,MO_Common_ColumnHeader,0)),I82))/(I86+I81+I82+I87),"")</f>
        <v>0.54805884756845114</v>
      </c>
      <c r="J91" s="1236">
        <f>IFERROR((J80+IFERROR(INDEX(MO_BS_OL_NonCurrent,0,MATCH(J$3,MO_Common_ColumnHeader,0)),J82))/(J86+J81+J82+J87),"")</f>
        <v>0.54805884756845114</v>
      </c>
      <c r="K91" s="1238">
        <f>IFERROR((K80+IFERROR(INDEX(MO_BS_OL_NonCurrent,0,MATCH(K$3,MO_Common_ColumnHeader,0)),K82))/(K86+K81+K82+K87),"")</f>
        <v>0.59863263107048637</v>
      </c>
      <c r="L91" s="1238">
        <f>IFERROR((L80+IFERROR(INDEX(MO_BS_OL_NonCurrent,0,MATCH(L$3,MO_Common_ColumnHeader,0)),L82))/(L86+L81+L82+L87),"")</f>
        <v>0.5792869396583874</v>
      </c>
      <c r="M91" s="1238">
        <f>IFERROR((M80+IFERROR(INDEX(MO_BS_OL_NonCurrent,0,MATCH(M$3,MO_Common_ColumnHeader,0)),M82))/(M86+M81+M82+M87),"")</f>
        <v>0.58215160500193375</v>
      </c>
      <c r="N91" s="1238">
        <f>IFERROR((N80+IFERROR(INDEX(MO_BS_OL_NonCurrent,0,MATCH(N$3,MO_Common_ColumnHeader,0)),N82))/(N86+N81+N82+N87),"")</f>
        <v>0.5792030166490908</v>
      </c>
      <c r="O91" s="1236">
        <f>IFERROR((O80+IFERROR(INDEX(MO_BS_OL_NonCurrent,0,MATCH(O$3,MO_Common_ColumnHeader,0)),O82))/(O86+O81+O82+O87),"")</f>
        <v>0.5792030166490908</v>
      </c>
      <c r="P91" s="1238">
        <f>IFERROR((P80+IFERROR(INDEX(MO_BS_OL_NonCurrent,0,MATCH(P$3,MO_Common_ColumnHeader,0)),P82))/(P86+P81+P82+P87),"")</f>
        <v>0.5916366129176478</v>
      </c>
      <c r="Q91" s="1238">
        <f>IFERROR((Q80+IFERROR(INDEX(MO_BS_OL_NonCurrent,0,MATCH(Q$3,MO_Common_ColumnHeader,0)),Q82))/(Q86+Q81+Q82+Q87),"")</f>
        <v>0.61118283536210505</v>
      </c>
      <c r="R91" s="1238">
        <f>IFERROR((R80+IFERROR(INDEX(MO_BS_OL_NonCurrent,0,MATCH(R$3,MO_Common_ColumnHeader,0)),R82))/(R86+R81+R82+R87),"")</f>
        <v>0.58750540156799802</v>
      </c>
      <c r="S91" s="1238">
        <f>IFERROR((S80+IFERROR(INDEX(MO_BS_OL_NonCurrent,0,MATCH(S$3,MO_Common_ColumnHeader,0)),S82))/(S86+S81+S82+S87),"")</f>
        <v>0.57064833849835839</v>
      </c>
      <c r="T91" s="1236">
        <f>IFERROR((T80+IFERROR(INDEX(MO_BS_OL_NonCurrent,0,MATCH(T$3,MO_Common_ColumnHeader,0)),T82))/(T86+T81+T82+T87),"")</f>
        <v>0.57064833849835839</v>
      </c>
      <c r="U91" s="1238">
        <f>IFERROR((U80+IFERROR(INDEX(MO_BS_OL_NonCurrent,0,MATCH(U$3,MO_Common_ColumnHeader,0)),U82))/(U86+U81+U82+U87),"")</f>
        <v>0.5298713933902891</v>
      </c>
      <c r="V91" s="1238">
        <f ca="1">IFERROR((V80+IFERROR(INDEX(MO_BS_OL_NonCurrent,0,MATCH(V$3,MO_Common_ColumnHeader,0)),V82))/(V86+V81+V82+V87),"")</f>
        <v>0.53089337308857132</v>
      </c>
      <c r="W91" s="1238">
        <f ca="1">IFERROR((W80+IFERROR(INDEX(MO_BS_OL_NonCurrent,0,MATCH(W$3,MO_Common_ColumnHeader,0)),W82))/(W86+W81+W82+W87),"")</f>
        <v>0.52754099824991108</v>
      </c>
      <c r="X91" s="1238">
        <f ca="1">IFERROR((X80+IFERROR(INDEX(MO_BS_OL_NonCurrent,0,MATCH(X$3,MO_Common_ColumnHeader,0)),X82))/(X86+X81+X82+X87),"")</f>
        <v>0.5228889140612093</v>
      </c>
      <c r="Y91" s="1236">
        <f ca="1">IFERROR((Y80+IFERROR(INDEX(MO_BS_OL_NonCurrent,0,MATCH(Y$3,MO_Common_ColumnHeader,0)),Y82))/(Y86+Y81+Y82+Y87),"")</f>
        <v>0.5228889140612093</v>
      </c>
      <c r="Z91" s="1238">
        <f ca="1">IFERROR((Z80+IFERROR(INDEX(MO_BS_OL_NonCurrent,0,MATCH(Z$3,MO_Common_ColumnHeader,0)),Z82))/(Z86+Z81+Z82+Z87),"")</f>
        <v>0.51548555783546823</v>
      </c>
      <c r="AA91" s="1238">
        <f ca="1">IFERROR((AA80+IFERROR(INDEX(MO_BS_OL_NonCurrent,0,MATCH(AA$3,MO_Common_ColumnHeader,0)),AA82))/(AA86+AA81+AA82+AA87),"")</f>
        <v>0.51286572045427203</v>
      </c>
      <c r="AB91" s="1238">
        <f ca="1">IFERROR((AB80+IFERROR(INDEX(MO_BS_OL_NonCurrent,0,MATCH(AB$3,MO_Common_ColumnHeader,0)),AB82))/(AB86+AB81+AB82+AB87),"")</f>
        <v>0.50858141192022988</v>
      </c>
      <c r="AC91" s="1238">
        <f ca="1">IFERROR((AC80+IFERROR(INDEX(MO_BS_OL_NonCurrent,0,MATCH(AC$3,MO_Common_ColumnHeader,0)),AC82))/(AC86+AC81+AC82+AC87),"")</f>
        <v>0.50174418680216271</v>
      </c>
      <c r="AD91" s="1236">
        <f ca="1">IFERROR((AD80+IFERROR(INDEX(MO_BS_OL_NonCurrent,0,MATCH(AD$3,MO_Common_ColumnHeader,0)),AD82))/(AD86+AD81+AD82+AD87),"")</f>
        <v>0.50174418680216271</v>
      </c>
      <c r="AE91" s="1236">
        <f ca="1">IFERROR((AE80+IFERROR(INDEX(MO_BS_OL_NonCurrent,0,MATCH(AE$3,MO_Common_ColumnHeader,0)),AE82))/(AE86+AE81+AE82+AE87),"")</f>
        <v>0.47295455441917883</v>
      </c>
      <c r="AF91" s="1236">
        <f ca="1">IFERROR((AF80+IFERROR(INDEX(MO_BS_OL_NonCurrent,0,MATCH(AF$3,MO_Common_ColumnHeader,0)),AF82))/(AF86+AF81+AF82+AF87),"")</f>
        <v>0.43892485792739921</v>
      </c>
      <c r="AG91" s="1239">
        <f ca="1">IFERROR((AG80+IFERROR(INDEX(MO_BS_OL_NonCurrent,0,MATCH(AG$3,MO_Common_ColumnHeader,0)),AG82))/(AG86+AG81+AG82+AG87),"")</f>
        <v>0.40190845178061252</v>
      </c>
      <c r="AH91" s="1264"/>
    </row>
    <row r="92" spans="1:34" s="1240" customFormat="1" ht="14.25" customHeight="1" x14ac:dyDescent="0.35">
      <c r="A92" s="1248" t="s">
        <v>1196</v>
      </c>
      <c r="B92" s="1234"/>
      <c r="C92" s="1304" t="s">
        <v>1197</v>
      </c>
      <c r="D92" s="1236">
        <f>IFERROR((D81+D82)/(D86+D81+D82+D87),"")</f>
        <v>0.52971399990906198</v>
      </c>
      <c r="E92" s="1236">
        <f>IFERROR((E81+E82)/(E86+E81+E82+E87),"")</f>
        <v>0.54550076258261315</v>
      </c>
      <c r="F92" s="1237">
        <f>IFERROR((F81+F82)/(F86+F81+F82+F87),"")</f>
        <v>0.58653882167871452</v>
      </c>
      <c r="G92" s="1238">
        <f>IFERROR((G81+G82)/(G86+G81+G82+G87),"")</f>
        <v>0.58199382691305568</v>
      </c>
      <c r="H92" s="1238">
        <f>IFERROR((H81+H82)/(H86+H81+H82+H87),"")</f>
        <v>0.59013395873911834</v>
      </c>
      <c r="I92" s="1238">
        <f>IFERROR((I81+I82)/(I86+I81+I82+I87),"")</f>
        <v>0.5975480179812015</v>
      </c>
      <c r="J92" s="1236">
        <f>IFERROR((J81+J82)/(J86+J81+J82+J87),"")</f>
        <v>0.5975480179812015</v>
      </c>
      <c r="K92" s="1238">
        <f>IFERROR((K81+K82)/(K86+K81+K82+K87),"")</f>
        <v>0.63746144985694642</v>
      </c>
      <c r="L92" s="1238">
        <f>IFERROR((L81+L82)/(L86+L81+L82+L87),"")</f>
        <v>0.62176474975758933</v>
      </c>
      <c r="M92" s="1238">
        <f>IFERROR((M81+M82)/(M86+M81+M82+M87),"")</f>
        <v>0.65308753384040219</v>
      </c>
      <c r="N92" s="1238">
        <f>IFERROR((N81+N82)/(N86+N81+N82+N87),"")</f>
        <v>0.6764132553606238</v>
      </c>
      <c r="O92" s="1236">
        <f>IFERROR((O81+O82)/(O86+O81+O82+O87),"")</f>
        <v>0.6764132553606238</v>
      </c>
      <c r="P92" s="1238">
        <f>IFERROR((P81+P82)/(P86+P81+P82+P87),"")</f>
        <v>0.69571696819766926</v>
      </c>
      <c r="Q92" s="1238">
        <f>IFERROR((Q81+Q82)/(Q86+Q81+Q82+Q87),"")</f>
        <v>0.66448420017213816</v>
      </c>
      <c r="R92" s="1238">
        <f>IFERROR((R81+R82)/(R86+R81+R82+R87),"")</f>
        <v>0.63136613371195749</v>
      </c>
      <c r="S92" s="1238">
        <f>IFERROR((S81+S82)/(S86+S81+S82+S87),"")</f>
        <v>0.60323402166242213</v>
      </c>
      <c r="T92" s="1236">
        <f>IFERROR((T81+T82)/(T86+T81+T82+T87),"")</f>
        <v>0.60323402166242213</v>
      </c>
      <c r="U92" s="1238">
        <f>IFERROR((U81+U82)/(U86+U81+U82+U87),"")</f>
        <v>0.57958104040619018</v>
      </c>
      <c r="V92" s="1238">
        <f ca="1">IFERROR((V81+V82)/(V86+V81+V82+V87),"")</f>
        <v>0.58069889667130103</v>
      </c>
      <c r="W92" s="1238">
        <f ca="1">IFERROR((W81+W82)/(W86+W81+W82+W87),"")</f>
        <v>0.57703202029137335</v>
      </c>
      <c r="X92" s="1238">
        <f ca="1">IFERROR((X81+X82)/(X86+X81+X82+X87),"")</f>
        <v>0.57194350291191376</v>
      </c>
      <c r="Y92" s="1236">
        <f ca="1">IFERROR((Y81+Y82)/(Y86+Y81+Y82+Y87),"")</f>
        <v>0.57194350291191376</v>
      </c>
      <c r="Z92" s="1238">
        <f ca="1">IFERROR((Z81+Z82)/(Z86+Z81+Z82+Z87),"")</f>
        <v>0.56384560414376472</v>
      </c>
      <c r="AA92" s="1238">
        <f ca="1">IFERROR((AA81+AA82)/(AA86+AA81+AA82+AA87),"")</f>
        <v>0.56097998789418102</v>
      </c>
      <c r="AB92" s="1238">
        <f ca="1">IFERROR((AB81+AB82)/(AB86+AB81+AB82+AB87),"")</f>
        <v>0.55629374887740091</v>
      </c>
      <c r="AC92" s="1238">
        <f ca="1">IFERROR((AC81+AC82)/(AC86+AC81+AC82+AC87),"")</f>
        <v>0.54881509255276728</v>
      </c>
      <c r="AD92" s="1236">
        <f ca="1">IFERROR((AD81+AD82)/(AD86+AD81+AD82+AD87),"")</f>
        <v>0.54881509255276728</v>
      </c>
      <c r="AE92" s="1236">
        <f ca="1">IFERROR((AE81+AE82)/(AE86+AE81+AE82+AE87),"")</f>
        <v>0.51732457372577489</v>
      </c>
      <c r="AF92" s="1236">
        <f ca="1">IFERROR((AF81+AF82)/(AF86+AF81+AF82+AF87),"")</f>
        <v>0.48010239652685399</v>
      </c>
      <c r="AG92" s="1239">
        <f ca="1">IFERROR((AG81+AG82)/(AG86+AG81+AG82+AG87),"")</f>
        <v>0.43961331284678767</v>
      </c>
      <c r="AH92" s="1264"/>
    </row>
    <row r="93" spans="1:34" s="1240" customFormat="1" ht="14.25" customHeight="1" x14ac:dyDescent="0.35">
      <c r="A93" s="1248" t="s">
        <v>1198</v>
      </c>
      <c r="B93" s="1234"/>
      <c r="C93" s="1304" t="s">
        <v>1199</v>
      </c>
      <c r="D93" s="1236">
        <f>IFERROR((D80+IFERROR(INDEX(MO_BS_OL_NonCurrent,0,MATCH(D$3,MO_Common_ColumnHeader,0)),D82))/(D86+D87),"")</f>
        <v>1.0323890553997872</v>
      </c>
      <c r="E93" s="1236">
        <f>IFERROR((E80+IFERROR(INDEX(MO_BS_OL_NonCurrent,0,MATCH(E$3,MO_Common_ColumnHeader,0)),E82))/(E86+E87),"")</f>
        <v>1.0407847186370676</v>
      </c>
      <c r="F93" s="1237">
        <f>IFERROR((F80+IFERROR(INDEX(MO_BS_OL_NonCurrent,0,MATCH(F$3,MO_Common_ColumnHeader,0)),F82))/(F86+F87),"")</f>
        <v>1.1061690370504575</v>
      </c>
      <c r="G93" s="1238">
        <f>IFERROR((G80+IFERROR(INDEX(MO_BS_OL_NonCurrent,0,MATCH(G$3,MO_Common_ColumnHeader,0)),G82))/(G86+G87),"")</f>
        <v>1.0830456463367857</v>
      </c>
      <c r="H93" s="1238">
        <f>IFERROR((H80+IFERROR(INDEX(MO_BS_OL_NonCurrent,0,MATCH(H$3,MO_Common_ColumnHeader,0)),H82))/(H86+H87),"")</f>
        <v>1.3130637183590341</v>
      </c>
      <c r="I93" s="1238">
        <f>IFERROR((I80+IFERROR(INDEX(MO_BS_OL_NonCurrent,0,MATCH(I$3,MO_Common_ColumnHeader,0)),I82))/(I86+I87),"")</f>
        <v>1.3617993501218522</v>
      </c>
      <c r="J93" s="1236">
        <f>IFERROR((J80+IFERROR(INDEX(MO_BS_OL_NonCurrent,0,MATCH(J$3,MO_Common_ColumnHeader,0)),J82))/(J86+J87),"")</f>
        <v>1.3617993501218522</v>
      </c>
      <c r="K93" s="1238">
        <f>IFERROR((K80+IFERROR(INDEX(MO_BS_OL_NonCurrent,0,MATCH(K$3,MO_Common_ColumnHeader,0)),K82))/(K86+K87),"")</f>
        <v>1.6512247617095419</v>
      </c>
      <c r="L93" s="1238">
        <f>IFERROR((L80+IFERROR(INDEX(MO_BS_OL_NonCurrent,0,MATCH(L$3,MO_Common_ColumnHeader,0)),L82))/(L86+L87),"")</f>
        <v>1.5315519621376454</v>
      </c>
      <c r="M93" s="1238">
        <f>IFERROR((M80+IFERROR(INDEX(MO_BS_OL_NonCurrent,0,MATCH(M$3,MO_Common_ColumnHeader,0)),M82))/(M86+M87),"")</f>
        <v>1.6780936454849498</v>
      </c>
      <c r="N93" s="1238">
        <f>IFERROR((N80+IFERROR(INDEX(MO_BS_OL_NonCurrent,0,MATCH(N$3,MO_Common_ColumnHeader,0)),N82))/(N86+N87),"")</f>
        <v>1.7899466719336361</v>
      </c>
      <c r="O93" s="1236">
        <f>IFERROR((O80+IFERROR(INDEX(MO_BS_OL_NonCurrent,0,MATCH(O$3,MO_Common_ColumnHeader,0)),O82))/(O86+O87),"")</f>
        <v>1.7899466719336361</v>
      </c>
      <c r="P93" s="1238">
        <f>IFERROR((P80+IFERROR(INDEX(MO_BS_OL_NonCurrent,0,MATCH(P$3,MO_Common_ColumnHeader,0)),P82))/(P86+P87),"")</f>
        <v>1.9443628171221472</v>
      </c>
      <c r="Q93" s="1238">
        <f>IFERROR((Q80+IFERROR(INDEX(MO_BS_OL_NonCurrent,0,MATCH(Q$3,MO_Common_ColumnHeader,0)),Q82))/(Q86+Q87),"")</f>
        <v>1.8216216216216217</v>
      </c>
      <c r="R93" s="1238">
        <f>IFERROR((R80+IFERROR(INDEX(MO_BS_OL_NonCurrent,0,MATCH(R$3,MO_Common_ColumnHeader,0)),R82))/(R86+R87),"")</f>
        <v>1.5937369170225237</v>
      </c>
      <c r="S93" s="1238">
        <f>IFERROR((S80+IFERROR(INDEX(MO_BS_OL_NonCurrent,0,MATCH(S$3,MO_Common_ColumnHeader,0)),S82))/(S86+S87),"")</f>
        <v>1.4382491686644499</v>
      </c>
      <c r="T93" s="1236">
        <f>IFERROR((T80+IFERROR(INDEX(MO_BS_OL_NonCurrent,0,MATCH(T$3,MO_Common_ColumnHeader,0)),T82))/(T86+T87),"")</f>
        <v>1.4382491686644499</v>
      </c>
      <c r="U93" s="1238">
        <f>IFERROR((U80+IFERROR(INDEX(MO_BS_OL_NonCurrent,0,MATCH(U$3,MO_Common_ColumnHeader,0)),U82))/(U86+U87),"")</f>
        <v>1.2603413364188603</v>
      </c>
      <c r="V93" s="1238">
        <f ca="1">IFERROR((V80+IFERROR(INDEX(MO_BS_OL_NonCurrent,0,MATCH(V$3,MO_Common_ColumnHeader,0)),V82))/(V86+V87),"")</f>
        <v>1.2661387458176872</v>
      </c>
      <c r="W93" s="1238">
        <f ca="1">IFERROR((W80+IFERROR(INDEX(MO_BS_OL_NonCurrent,0,MATCH(W$3,MO_Common_ColumnHeader,0)),W82))/(W86+W87),"")</f>
        <v>1.2472362532343999</v>
      </c>
      <c r="X93" s="1238">
        <f ca="1">IFERROR((X80+IFERROR(INDEX(MO_BS_OL_NonCurrent,0,MATCH(X$3,MO_Common_ColumnHeader,0)),X82))/(X86+X87),"")</f>
        <v>1.2215418236102797</v>
      </c>
      <c r="Y93" s="1236">
        <f ca="1">IFERROR((Y80+IFERROR(INDEX(MO_BS_OL_NonCurrent,0,MATCH(Y$3,MO_Common_ColumnHeader,0)),Y82))/(Y86+Y87),"")</f>
        <v>1.2215418236102797</v>
      </c>
      <c r="Z93" s="1238">
        <f ca="1">IFERROR((Z80+IFERROR(INDEX(MO_BS_OL_NonCurrent,0,MATCH(Z$3,MO_Common_ColumnHeader,0)),Z82))/(Z86+Z87),"")</f>
        <v>1.181887796461375</v>
      </c>
      <c r="AA93" s="1238">
        <f ca="1">IFERROR((AA80+IFERROR(INDEX(MO_BS_OL_NonCurrent,0,MATCH(AA$3,MO_Common_ColumnHeader,0)),AA82))/(AA86+AA87),"")</f>
        <v>1.1682057908801062</v>
      </c>
      <c r="AB93" s="1238">
        <f ca="1">IFERROR((AB80+IFERROR(INDEX(MO_BS_OL_NonCurrent,0,MATCH(AB$3,MO_Common_ColumnHeader,0)),AB82))/(AB86+AB87),"")</f>
        <v>1.1462119603532595</v>
      </c>
      <c r="AC93" s="1238">
        <f ca="1">IFERROR((AC80+IFERROR(INDEX(MO_BS_OL_NonCurrent,0,MATCH(AC$3,MO_Common_ColumnHeader,0)),AC82))/(AC86+AC87),"")</f>
        <v>1.1120588887624594</v>
      </c>
      <c r="AD93" s="1236">
        <f ca="1">IFERROR((AD80+IFERROR(INDEX(MO_BS_OL_NonCurrent,0,MATCH(AD$3,MO_Common_ColumnHeader,0)),AD82))/(AD86+AD87),"")</f>
        <v>1.1120588887624594</v>
      </c>
      <c r="AE93" s="1236">
        <f ca="1">IFERROR((AE80+IFERROR(INDEX(MO_BS_OL_NonCurrent,0,MATCH(AE$3,MO_Common_ColumnHeader,0)),AE82))/(AE86+AE87),"")</f>
        <v>0.97986043762351493</v>
      </c>
      <c r="AF93" s="1236">
        <f ca="1">IFERROR((AF80+IFERROR(INDEX(MO_BS_OL_NonCurrent,0,MATCH(AF$3,MO_Common_ColumnHeader,0)),AF82))/(AF86+AF87),"")</f>
        <v>0.84425251240857235</v>
      </c>
      <c r="AG93" s="1239">
        <f ca="1">IFERROR((AG80+IFERROR(INDEX(MO_BS_OL_NonCurrent,0,MATCH(AG$3,MO_Common_ColumnHeader,0)),AG82))/(AG86+AG87),"")</f>
        <v>0.7171984292173752</v>
      </c>
      <c r="AH93" s="1264"/>
    </row>
    <row r="94" spans="1:34" ht="14.25" customHeight="1" x14ac:dyDescent="0.35">
      <c r="A94" s="1248" t="s">
        <v>1200</v>
      </c>
      <c r="B94" s="1234"/>
      <c r="C94" s="1304" t="s">
        <v>1201</v>
      </c>
      <c r="D94" s="1305">
        <f>IFERROR((D81+D82)/(D86+D87),"")</f>
        <v>1.1263656579329016</v>
      </c>
      <c r="E94" s="1305">
        <f>IFERROR((E81+E82)/(E86+E87),"")</f>
        <v>1.2002237136465324</v>
      </c>
      <c r="F94" s="1306">
        <f>IFERROR((F81+F82)/(F86+F87),"")</f>
        <v>1.4186067578585018</v>
      </c>
      <c r="G94" s="1247">
        <f>IFERROR((G81+G82)/(G86+G87),"")</f>
        <v>1.3923091676256234</v>
      </c>
      <c r="H94" s="1247">
        <f>IFERROR((H81+H82)/(H86+H87),"")</f>
        <v>1.4398215498011833</v>
      </c>
      <c r="I94" s="1247">
        <f>IFERROR((I81+I82)/(I86+I87),"")</f>
        <v>1.4847684809098294</v>
      </c>
      <c r="J94" s="1305">
        <f>IFERROR((J81+J82)/(J86+J87),"")</f>
        <v>1.4847684809098294</v>
      </c>
      <c r="K94" s="1247">
        <f>IFERROR((K81+K82)/(K86+K87),"")</f>
        <v>1.7583273547196885</v>
      </c>
      <c r="L94" s="1247">
        <f>IFERROR((L81+L82)/(L86+L87),"")</f>
        <v>1.6438572273713272</v>
      </c>
      <c r="M94" s="1247">
        <f>IFERROR((M81+M82)/(M86+M87),"")</f>
        <v>1.8825715347454477</v>
      </c>
      <c r="N94" s="1247">
        <f>IFERROR((N81+N82)/(N86+N87),"")</f>
        <v>2.0903614457831323</v>
      </c>
      <c r="O94" s="1305">
        <f>IFERROR((O81+O82)/(O86+O87),"")</f>
        <v>2.0903614457831323</v>
      </c>
      <c r="P94" s="1247">
        <f>IFERROR((P81+P82)/(P86+P87),"")</f>
        <v>2.286413948476834</v>
      </c>
      <c r="Q94" s="1247">
        <f>IFERROR((Q81+Q82)/(Q86+Q87),"")</f>
        <v>1.9804855703160789</v>
      </c>
      <c r="R94" s="1247">
        <f>IFERROR((R81+R82)/(R86+R87),"")</f>
        <v>1.7127187473834045</v>
      </c>
      <c r="S94" s="1247">
        <f>IFERROR((S81+S82)/(S86+S87),"")</f>
        <v>1.5203773876730338</v>
      </c>
      <c r="T94" s="1305">
        <f>IFERROR((T81+T82)/(T86+T87),"")</f>
        <v>1.5203773876730338</v>
      </c>
      <c r="U94" s="1247">
        <f>IFERROR((U81+U82)/(U86+U87),"")</f>
        <v>1.3785796933757593</v>
      </c>
      <c r="V94" s="1247">
        <f ca="1">IFERROR((V81+V82)/(V86+V87),"")</f>
        <v>1.3849209841360208</v>
      </c>
      <c r="W94" s="1247">
        <f ca="1">IFERROR((W81+W82)/(W86+W87),"")</f>
        <v>1.364245162692642</v>
      </c>
      <c r="X94" s="1247">
        <f ca="1">IFERROR((X81+X82)/(X86+X87),"")</f>
        <v>1.3361402216825087</v>
      </c>
      <c r="Y94" s="1305">
        <f ca="1">IFERROR((Y81+Y82)/(Y86+Y87),"")</f>
        <v>1.3361402216825087</v>
      </c>
      <c r="Z94" s="1247">
        <f ca="1">IFERROR((Z81+Z82)/(Z86+Z87),"")</f>
        <v>1.2927660697695198</v>
      </c>
      <c r="AA94" s="1247">
        <f ca="1">IFERROR((AA81+AA82)/(AA86+AA87),"")</f>
        <v>1.2778004929738045</v>
      </c>
      <c r="AB94" s="1247">
        <f ca="1">IFERROR((AB81+AB82)/(AB86+AB87),"")</f>
        <v>1.2537433211047844</v>
      </c>
      <c r="AC94" s="1247">
        <f ca="1">IFERROR((AC81+AC82)/(AC86+AC87),"")</f>
        <v>1.2163861944272873</v>
      </c>
      <c r="AD94" s="1305">
        <f ca="1">IFERROR((AD81+AD82)/(AD86+AD87),"")</f>
        <v>1.2163861944272873</v>
      </c>
      <c r="AE94" s="1305">
        <f ca="1">IFERROR((AE81+AE82)/(AE86+AE87),"")</f>
        <v>1.0717856049126158</v>
      </c>
      <c r="AF94" s="1305">
        <f ca="1">IFERROR((AF81+AF82)/(AF86+AF87),"")</f>
        <v>0.92345568304134817</v>
      </c>
      <c r="AG94" s="1307">
        <f ca="1">IFERROR((AG81+AG82)/(AG86+AG87),"")</f>
        <v>0.78448207804514702</v>
      </c>
      <c r="AH94" s="1264"/>
    </row>
    <row r="95" spans="1:34" s="1240" customFormat="1" ht="14.25" customHeight="1" x14ac:dyDescent="0.35">
      <c r="A95" s="1248"/>
      <c r="B95" s="1234"/>
      <c r="C95" s="1235"/>
      <c r="D95" s="1236"/>
      <c r="E95" s="1236"/>
      <c r="F95" s="1237"/>
      <c r="G95" s="1238"/>
      <c r="H95" s="1238"/>
      <c r="I95" s="1238"/>
      <c r="J95" s="1236"/>
      <c r="K95" s="1238"/>
      <c r="L95" s="1238"/>
      <c r="M95" s="1238"/>
      <c r="N95" s="1238"/>
      <c r="O95" s="1236"/>
      <c r="P95" s="1238"/>
      <c r="Q95" s="1238"/>
      <c r="R95" s="1238"/>
      <c r="S95" s="1238"/>
      <c r="T95" s="1236"/>
      <c r="U95" s="1238"/>
      <c r="V95" s="1238"/>
      <c r="W95" s="1238"/>
      <c r="X95" s="1238"/>
      <c r="Y95" s="1236"/>
      <c r="Z95" s="1238"/>
      <c r="AA95" s="1238"/>
      <c r="AB95" s="1238"/>
      <c r="AC95" s="1238"/>
      <c r="AD95" s="1236"/>
      <c r="AE95" s="1236"/>
      <c r="AF95" s="1236"/>
      <c r="AG95" s="1239"/>
      <c r="AH95" s="1264"/>
    </row>
    <row r="96" spans="1:34" s="1240" customFormat="1" ht="14.25" customHeight="1" x14ac:dyDescent="0.35">
      <c r="A96" s="1248" t="s">
        <v>1202</v>
      </c>
      <c r="B96" s="1234"/>
      <c r="C96" s="1235"/>
      <c r="D96" s="1236">
        <f>IFERROR(D80/D84, "")</f>
        <v>0.32450009116878381</v>
      </c>
      <c r="E96" s="1236">
        <f>IFERROR(E80/E84, "")</f>
        <v>0.31842472424776896</v>
      </c>
      <c r="F96" s="1237">
        <f>IFERROR(F80/F84, "")</f>
        <v>0.31655217109526895</v>
      </c>
      <c r="G96" s="1238">
        <f>IFERROR(G80/G84, "")</f>
        <v>0.30708575778998315</v>
      </c>
      <c r="H96" s="1238">
        <f>IFERROR(H80/H84, "")</f>
        <v>0.36321931589537221</v>
      </c>
      <c r="I96" s="1238">
        <f>IFERROR(I80/I84, "")</f>
        <v>0.36742465753424658</v>
      </c>
      <c r="J96" s="1236">
        <f>IFERROR(J80/J84, "")</f>
        <v>0.36742465753424658</v>
      </c>
      <c r="K96" s="1238">
        <f>IFERROR(K80/K84, "")</f>
        <v>0.39805825242718446</v>
      </c>
      <c r="L96" s="1238">
        <f>IFERROR(L80/L84, "")</f>
        <v>0.38271446534424797</v>
      </c>
      <c r="M96" s="1238">
        <f>IFERROR(M80/M84, "")</f>
        <v>0.41078730904817862</v>
      </c>
      <c r="N96" s="1238">
        <f>IFERROR(N80/N84, "")</f>
        <v>0.39226135829284131</v>
      </c>
      <c r="O96" s="1236">
        <f>IFERROR(O80/O84, "")</f>
        <v>0.39226135829284131</v>
      </c>
      <c r="P96" s="1238">
        <f>IFERROR(P80/P84, "")</f>
        <v>0.41649355145849565</v>
      </c>
      <c r="Q96" s="1238">
        <f>IFERROR(Q80/Q84, "")</f>
        <v>0.42760487144790255</v>
      </c>
      <c r="R96" s="1238">
        <f>IFERROR(R80/R84, "")</f>
        <v>0.40601454064771975</v>
      </c>
      <c r="S96" s="1238">
        <f>IFERROR(S80/S84, "")</f>
        <v>0.37996367015883742</v>
      </c>
      <c r="T96" s="1236">
        <f>IFERROR(T80/T84, "")</f>
        <v>0.37996367015883742</v>
      </c>
      <c r="U96" s="1238">
        <f>IFERROR(U80/U84, "")</f>
        <v>0.35648579906740147</v>
      </c>
      <c r="V96" s="1238">
        <f>IFERROR(V80/V84, "")</f>
        <v>0.36103615318592586</v>
      </c>
      <c r="W96" s="1238">
        <f>IFERROR(W80/W84, "")</f>
        <v>0.35723026526220841</v>
      </c>
      <c r="X96" s="1238">
        <f>IFERROR(X80/X84, "")</f>
        <v>0.35197712630204864</v>
      </c>
      <c r="Y96" s="1236">
        <f>IFERROR(Y80/Y84, "")</f>
        <v>0.35197712630204864</v>
      </c>
      <c r="Z96" s="1238">
        <f ca="1">IFERROR(Z80/Z84, "")</f>
        <v>0.34745577248208953</v>
      </c>
      <c r="AA96" s="1238">
        <f ca="1">IFERROR(AA80/AA84, "")</f>
        <v>0.35026148478943264</v>
      </c>
      <c r="AB96" s="1238">
        <f ca="1">IFERROR(AB80/AB84, "")</f>
        <v>0.34593951667649264</v>
      </c>
      <c r="AC96" s="1238">
        <f ca="1">IFERROR(AC80/AC84, "")</f>
        <v>0.33955155437256351</v>
      </c>
      <c r="AD96" s="1236">
        <f ca="1">IFERROR(AD80/AD84, "")</f>
        <v>0.33955155437256351</v>
      </c>
      <c r="AE96" s="1236">
        <f ca="1">IFERROR(AE80/AE84, "")</f>
        <v>0.32335229743651311</v>
      </c>
      <c r="AF96" s="1236">
        <f ca="1">IFERROR(AF80/AF84, "")</f>
        <v>0.30431331543384921</v>
      </c>
      <c r="AG96" s="1239">
        <f ca="1">IFERROR(AG80/AG84, "")</f>
        <v>0.28335978037806048</v>
      </c>
      <c r="AH96" s="1264"/>
    </row>
    <row r="97" spans="1:34" s="1240" customFormat="1" ht="14.25" customHeight="1" x14ac:dyDescent="0.35">
      <c r="A97" s="1248" t="s">
        <v>1203</v>
      </c>
      <c r="B97" s="1234"/>
      <c r="C97" s="1235"/>
      <c r="D97" s="1236">
        <f>IFERROR(D81/D84, "")</f>
        <v>0.3540387771227132</v>
      </c>
      <c r="E97" s="1236">
        <f>IFERROR(E81/E84, "")</f>
        <v>0.36720456998446838</v>
      </c>
      <c r="F97" s="1237">
        <f>IFERROR(F81/F84, "")</f>
        <v>0.40596241088788076</v>
      </c>
      <c r="G97" s="1238">
        <f>IFERROR(G81/G84, "")</f>
        <v>0.39477404970362717</v>
      </c>
      <c r="H97" s="1238">
        <f>IFERROR(H81/H84, "")</f>
        <v>0.39828303152246813</v>
      </c>
      <c r="I97" s="1238">
        <f>IFERROR(I81/I84, "")</f>
        <v>0.40060273972602739</v>
      </c>
      <c r="J97" s="1236">
        <f>IFERROR(J81/J84, "")</f>
        <v>0.40060273972602739</v>
      </c>
      <c r="K97" s="1238">
        <f>IFERROR(K81/K84, "")</f>
        <v>0.41824220746039859</v>
      </c>
      <c r="L97" s="1238">
        <f>IFERROR(L81/L84, "")</f>
        <v>0.40560445482306451</v>
      </c>
      <c r="M97" s="1238">
        <f>IFERROR(M81/M84, "")</f>
        <v>0.45685076380728556</v>
      </c>
      <c r="N97" s="1238">
        <f>IFERROR(N81/N84, "")</f>
        <v>0.45484672742336374</v>
      </c>
      <c r="O97" s="1236">
        <f>IFERROR(O81/O84, "")</f>
        <v>0.45484672742336374</v>
      </c>
      <c r="P97" s="1238">
        <f>IFERROR(P81/P84, "")</f>
        <v>0.48677832597593701</v>
      </c>
      <c r="Q97" s="1238">
        <f>IFERROR(Q81/Q84, "")</f>
        <v>0.4605692229197631</v>
      </c>
      <c r="R97" s="1238">
        <f>IFERROR(R81/R84, "")</f>
        <v>0.43176911213923774</v>
      </c>
      <c r="S97" s="1238">
        <f>IFERROR(S81/S84, "")</f>
        <v>0.39698800270361606</v>
      </c>
      <c r="T97" s="1236">
        <f>IFERROR(T81/T84, "")</f>
        <v>0.39698800270361606</v>
      </c>
      <c r="U97" s="1238">
        <f>IFERROR(U81/U84, "")</f>
        <v>0.38548113607460788</v>
      </c>
      <c r="V97" s="1238">
        <f>IFERROR(V81/V84, "")</f>
        <v>0.39040160045142003</v>
      </c>
      <c r="W97" s="1238">
        <f>IFERROR(W81/W84, "")</f>
        <v>0.38628615460632526</v>
      </c>
      <c r="X97" s="1238">
        <f>IFERROR(X81/X84, "")</f>
        <v>0.38060574326983521</v>
      </c>
      <c r="Y97" s="1236">
        <f>IFERROR(Y81/Y84, "")</f>
        <v>0.38060574326983521</v>
      </c>
      <c r="Z97" s="1238">
        <f ca="1">IFERROR(Z81/Z84, "")</f>
        <v>0.37571663797679777</v>
      </c>
      <c r="AA97" s="1238">
        <f ca="1">IFERROR(AA81/AA84, "")</f>
        <v>0.37875055733785667</v>
      </c>
      <c r="AB97" s="1238">
        <f ca="1">IFERROR(AB81/AB84, "")</f>
        <v>0.37407705510407108</v>
      </c>
      <c r="AC97" s="1238">
        <f ca="1">IFERROR(AC81/AC84, "")</f>
        <v>0.36716951777001083</v>
      </c>
      <c r="AD97" s="1236">
        <f ca="1">IFERROR(AD81/AD84, "")</f>
        <v>0.36716951777001083</v>
      </c>
      <c r="AE97" s="1236">
        <f ca="1">IFERROR(AE81/AE84, "")</f>
        <v>0.34965266861750782</v>
      </c>
      <c r="AF97" s="1236">
        <f ca="1">IFERROR(AF81/AF84, "")</f>
        <v>0.32906512086303674</v>
      </c>
      <c r="AG97" s="1239">
        <f ca="1">IFERROR(AG81/AG84, "")</f>
        <v>0.30640729685092966</v>
      </c>
      <c r="AH97" s="1264"/>
    </row>
    <row r="98" spans="1:34" s="1240" customFormat="1" ht="14.25" customHeight="1" x14ac:dyDescent="0.35">
      <c r="A98" s="1248" t="s">
        <v>1204</v>
      </c>
      <c r="B98" s="1234"/>
      <c r="C98" s="1235"/>
      <c r="D98" s="1236">
        <f>IFERROR(D80/(D86+D81+D87), "")</f>
        <v>0.48551811940162781</v>
      </c>
      <c r="E98" s="1236">
        <f>IFERROR(E80/(E86+E81+E87), "")</f>
        <v>0.4730358609362168</v>
      </c>
      <c r="F98" s="1237">
        <f>IFERROR(F80/(F86+F81+F87), "")</f>
        <v>0.45735795348140379</v>
      </c>
      <c r="G98" s="1238">
        <f>IFERROR(G80/(G86+G81+G87), "")</f>
        <v>0.45271976590371588</v>
      </c>
      <c r="H98" s="1238">
        <f>IFERROR(H80/(H86+H81+H87), "")</f>
        <v>0.53818022816711053</v>
      </c>
      <c r="I98" s="1238">
        <f>IFERROR(I80/(I86+I81+I87), "")</f>
        <v>0.54805884756845114</v>
      </c>
      <c r="J98" s="1236">
        <f>IFERROR(J80/(J86+J81+J87), "")</f>
        <v>0.54805884756845114</v>
      </c>
      <c r="K98" s="1238">
        <f>IFERROR(K80/(K86+K81+K87), "")</f>
        <v>0.59631798522601143</v>
      </c>
      <c r="L98" s="1238">
        <f>IFERROR(L80/(L86+L81+L87), "")</f>
        <v>0.57476491444427313</v>
      </c>
      <c r="M98" s="1238">
        <f>IFERROR(M80/(M86+M81+M87), "")</f>
        <v>0.5787173459590107</v>
      </c>
      <c r="N98" s="1238">
        <f>IFERROR(N80/(N86+N81+N87), "")</f>
        <v>0.57551167909589673</v>
      </c>
      <c r="O98" s="1236">
        <f>IFERROR(O80/(O86+O81+O87), "")</f>
        <v>0.57551167909589673</v>
      </c>
      <c r="P98" s="1238">
        <f>IFERROR(P80/(P86+P81+P87), "")</f>
        <v>0.58852128180039143</v>
      </c>
      <c r="Q98" s="1238">
        <f>IFERROR(Q80/(Q86+Q81+Q87), "")</f>
        <v>0.60851722069640435</v>
      </c>
      <c r="R98" s="1238">
        <f>IFERROR(R80/(R86+R81+R87), "")</f>
        <v>0.58428711835388858</v>
      </c>
      <c r="S98" s="1238">
        <f>IFERROR(S80/(S86+S81+S87), "")</f>
        <v>0.5670112841202799</v>
      </c>
      <c r="T98" s="1236">
        <f>IFERROR(T80/(T86+T81+T87), "")</f>
        <v>0.5670112841202799</v>
      </c>
      <c r="U98" s="1238">
        <f>IFERROR(U80/(U86+U81+U87), "")</f>
        <v>0.52534749336248632</v>
      </c>
      <c r="V98" s="1238">
        <f ca="1">IFERROR(V80/(V86+V81+V87), "")</f>
        <v>0.52638852745238152</v>
      </c>
      <c r="W98" s="1238">
        <f ca="1">IFERROR(W80/(W86+W81+W87), "")</f>
        <v>0.52297405985884804</v>
      </c>
      <c r="X98" s="1238">
        <f ca="1">IFERROR(X80/(X86+X81+X87), "")</f>
        <v>0.51823776749577699</v>
      </c>
      <c r="Y98" s="1236">
        <f ca="1">IFERROR(Y80/(Y86+Y81+Y87), "")</f>
        <v>0.51823776749577699</v>
      </c>
      <c r="Z98" s="1238">
        <f ca="1">IFERROR(Z80/(Z86+Z81+Z87), "")</f>
        <v>0.51070509063293634</v>
      </c>
      <c r="AA98" s="1238">
        <f ca="1">IFERROR(AA80/(AA86+AA81+AA87), "")</f>
        <v>0.50804086883197286</v>
      </c>
      <c r="AB98" s="1238">
        <f ca="1">IFERROR(AB80/(AB86+AB81+AB87), "")</f>
        <v>0.50368552859291182</v>
      </c>
      <c r="AC98" s="1238">
        <f ca="1">IFERROR(AC80/(AC86+AC81+AC87), "")</f>
        <v>0.49673893166766964</v>
      </c>
      <c r="AD98" s="1236">
        <f ca="1">IFERROR(AD80/(AD86+AD81+AD87), "")</f>
        <v>0.49673893166766964</v>
      </c>
      <c r="AE98" s="1236">
        <f ca="1">IFERROR(AE80/(AE86+AE81+AE87), "")</f>
        <v>0.46754242050787687</v>
      </c>
      <c r="AF98" s="1236">
        <f ca="1">IFERROR(AF80/(AF86+AF81+AF87), "")</f>
        <v>0.43314321560890445</v>
      </c>
      <c r="AG98" s="1239">
        <f ca="1">IFERROR(AG80/(AG86+AG81+AG87), "")</f>
        <v>0.39586124823284785</v>
      </c>
      <c r="AH98" s="1264"/>
    </row>
    <row r="99" spans="1:34" s="1240" customFormat="1" ht="14.25" customHeight="1" x14ac:dyDescent="0.35">
      <c r="A99" s="1248" t="s">
        <v>1205</v>
      </c>
      <c r="B99" s="1234"/>
      <c r="C99" s="1235"/>
      <c r="D99" s="1236">
        <f>IFERROR(D81/(D81+D86+D87),"")</f>
        <v>0.52971399990906198</v>
      </c>
      <c r="E99" s="1236">
        <f>IFERROR(E81/(E81+E86+E87),"")</f>
        <v>0.54550076258261315</v>
      </c>
      <c r="F99" s="1237">
        <f>IFERROR(F81/(F81+F86+F87),"")</f>
        <v>0.58653882167871452</v>
      </c>
      <c r="G99" s="1238">
        <f>IFERROR(G81/(G81+G86+G87),"")</f>
        <v>0.58199382691305568</v>
      </c>
      <c r="H99" s="1238">
        <f>IFERROR(H81/(H81+H86+H87),"")</f>
        <v>0.59013395873911834</v>
      </c>
      <c r="I99" s="1238">
        <f>IFERROR(I81/(I81+I86+I87),"")</f>
        <v>0.5975480179812015</v>
      </c>
      <c r="J99" s="1236">
        <f>IFERROR(J81/(J81+J86+J87),"")</f>
        <v>0.5975480179812015</v>
      </c>
      <c r="K99" s="1238">
        <f>IFERROR(K81/(K81+K86+K87),"")</f>
        <v>0.62655490488766408</v>
      </c>
      <c r="L99" s="1238">
        <f>IFERROR(L81/(L81+L86+L87),"")</f>
        <v>0.6091413596423616</v>
      </c>
      <c r="M99" s="1238">
        <f>IFERROR(M81/(M81+M86+M87),"")</f>
        <v>0.64361156176538759</v>
      </c>
      <c r="N99" s="1238">
        <f>IFERROR(N81/(N81+N86+N87),"")</f>
        <v>0.66733466933867736</v>
      </c>
      <c r="O99" s="1236">
        <f>IFERROR(O81/(O81+O86+O87),"")</f>
        <v>0.66733466933867736</v>
      </c>
      <c r="P99" s="1238">
        <f>IFERROR(P81/(P81+P86+P87),"")</f>
        <v>0.68783635029354206</v>
      </c>
      <c r="Q99" s="1238">
        <f>IFERROR(Q81/(Q81+Q86+Q87),"")</f>
        <v>0.65542822868327177</v>
      </c>
      <c r="R99" s="1238">
        <f>IFERROR(R81/(R81+R86+R87),"")</f>
        <v>0.62134998890333215</v>
      </c>
      <c r="S99" s="1238">
        <f>IFERROR(S81/(S81+S86+S87),"")</f>
        <v>0.59241631469457223</v>
      </c>
      <c r="T99" s="1236">
        <f>IFERROR(T81/(T81+T86+T87),"")</f>
        <v>0.59241631469457223</v>
      </c>
      <c r="U99" s="1238">
        <f>IFERROR(U81/(U81+U86+U87),"")</f>
        <v>0.56807746368889578</v>
      </c>
      <c r="V99" s="1238">
        <f ca="1">IFERROR(V81/(V81+V86+V87),"")</f>
        <v>0.56920317193510095</v>
      </c>
      <c r="W99" s="1238">
        <f ca="1">IFERROR(W81/(W81+W86+W87),"")</f>
        <v>0.56551098321260895</v>
      </c>
      <c r="X99" s="1238">
        <f ca="1">IFERROR(X81/(X81+X86+X87),"")</f>
        <v>0.56038945700967335</v>
      </c>
      <c r="Y99" s="1236">
        <f ca="1">IFERROR(Y81/(Y81+Y86+Y87),"")</f>
        <v>0.56038945700967335</v>
      </c>
      <c r="Z99" s="1238">
        <f ca="1">IFERROR(Z81/(Z81+Z86+Z87),"")</f>
        <v>0.5522440979452532</v>
      </c>
      <c r="AA99" s="1238">
        <f ca="1">IFERROR(AA81/(AA81+AA86+AA87),"")</f>
        <v>0.54936317744497831</v>
      </c>
      <c r="AB99" s="1238">
        <f ca="1">IFERROR(AB81/(AB81+AB86+AB87),"")</f>
        <v>0.54465358871034464</v>
      </c>
      <c r="AC99" s="1238">
        <f ca="1">IFERROR(AC81/(AC81+AC86+AC87),"")</f>
        <v>0.53714197932337882</v>
      </c>
      <c r="AD99" s="1236">
        <f ca="1">IFERROR(AD81/(AD81+AD86+AD87),"")</f>
        <v>0.53714197932337882</v>
      </c>
      <c r="AE99" s="1236">
        <f ca="1">IFERROR(AE81/(AE81+AE86+AE87),"")</f>
        <v>0.50557072369206002</v>
      </c>
      <c r="AF99" s="1236">
        <f ca="1">IFERROR(AF81/(AF81+AF86+AF87),"")</f>
        <v>0.46837360498716601</v>
      </c>
      <c r="AG99" s="1239">
        <f ca="1">IFERROR(AG81/(AG81+AG86+AG87),"")</f>
        <v>0.42805924975389764</v>
      </c>
      <c r="AH99" s="1264"/>
    </row>
    <row r="100" spans="1:34" s="1240" customFormat="1" ht="14.25" customHeight="1" x14ac:dyDescent="0.35">
      <c r="A100" s="1248" t="s">
        <v>1206</v>
      </c>
      <c r="B100" s="1234"/>
      <c r="C100" s="1235"/>
      <c r="D100" s="1236">
        <f>IFERROR(D80/(D86+D87), "")</f>
        <v>1.0323890553997872</v>
      </c>
      <c r="E100" s="1236">
        <f>IFERROR(E80/(E86+E87), "")</f>
        <v>1.0407847186370676</v>
      </c>
      <c r="F100" s="1237">
        <f>IFERROR(F80/(F86+F87), "")</f>
        <v>1.1061690370504575</v>
      </c>
      <c r="G100" s="1238">
        <f>IFERROR(G80/(G86+G87), "")</f>
        <v>1.0830456463367857</v>
      </c>
      <c r="H100" s="1238">
        <f>IFERROR(H80/(H86+H87), "")</f>
        <v>1.3130637183590341</v>
      </c>
      <c r="I100" s="1238">
        <f>IFERROR(I80/(I86+I87), "")</f>
        <v>1.3617993501218522</v>
      </c>
      <c r="J100" s="1236">
        <f>IFERROR(J80/(J86+J87), "")</f>
        <v>1.3617993501218522</v>
      </c>
      <c r="K100" s="1238">
        <f>IFERROR(K80/(K86+K87), "")</f>
        <v>1.5968022957876395</v>
      </c>
      <c r="L100" s="1238">
        <f>IFERROR(L80/(L86+L87), "")</f>
        <v>1.4705186353776376</v>
      </c>
      <c r="M100" s="1238">
        <f>IFERROR(M80/(M86+M87), "")</f>
        <v>1.6238387216648087</v>
      </c>
      <c r="N100" s="1238">
        <f>IFERROR(N80/(N86+N87), "")</f>
        <v>1.7300019751135691</v>
      </c>
      <c r="O100" s="1236">
        <f>IFERROR(O80/(O86+O87), "")</f>
        <v>1.7300019751135691</v>
      </c>
      <c r="P100" s="1238">
        <f>IFERROR(P80/(P86+P87), "")</f>
        <v>1.8852972867078068</v>
      </c>
      <c r="Q100" s="1238">
        <f>IFERROR(Q80/(Q86+Q87), "")</f>
        <v>1.7660100778744847</v>
      </c>
      <c r="R100" s="1238">
        <f>IFERROR(R80/(R86+R87), "")</f>
        <v>1.5430796282341119</v>
      </c>
      <c r="S100" s="1238">
        <f>IFERROR(S80/(S86+S87), "")</f>
        <v>1.3911530430747816</v>
      </c>
      <c r="T100" s="1236">
        <f>IFERROR(T80/(T86+T87), "")</f>
        <v>1.3911530430747816</v>
      </c>
      <c r="U100" s="1238">
        <f>IFERROR(U80/(U86+U87), "")</f>
        <v>1.2163002603413364</v>
      </c>
      <c r="V100" s="1238">
        <f ca="1">IFERROR(V80/(V86+V87), "")</f>
        <v>1.2218950864073721</v>
      </c>
      <c r="W100" s="1238">
        <f ca="1">IFERROR(W80/(W86+W87), "")</f>
        <v>1.2036531181517887</v>
      </c>
      <c r="X100" s="1238">
        <f ca="1">IFERROR(X80/(X86+X87), "")</f>
        <v>1.178856548732</v>
      </c>
      <c r="Y100" s="1236">
        <f ca="1">IFERROR(Y80/(Y86+Y87), "")</f>
        <v>1.178856548732</v>
      </c>
      <c r="Z100" s="1238">
        <f ca="1">IFERROR(Z80/(Z86+Z87), "")</f>
        <v>1.1405881827337541</v>
      </c>
      <c r="AA100" s="1238">
        <f ca="1">IFERROR(AA80/(AA86+AA87), "")</f>
        <v>1.1273842779901599</v>
      </c>
      <c r="AB100" s="1238">
        <f ca="1">IFERROR(AB80/(AB86+AB87), "")</f>
        <v>1.1061589947889299</v>
      </c>
      <c r="AC100" s="1238">
        <f ca="1">IFERROR(AC80/(AC86+AC87), "")</f>
        <v>1.0731993602304226</v>
      </c>
      <c r="AD100" s="1236">
        <f ca="1">IFERROR(AD80/(AD86+AD87), "")</f>
        <v>1.0731993602304226</v>
      </c>
      <c r="AE100" s="1236">
        <f ca="1">IFERROR(AE80/(AE86+AE87), "")</f>
        <v>0.94562042118372147</v>
      </c>
      <c r="AF100" s="1236">
        <f ca="1">IFERROR(AF80/(AF86+AF87), "")</f>
        <v>0.81475114793434578</v>
      </c>
      <c r="AG100" s="1239">
        <f ca="1">IFERROR(AG80/(AG86+AG87), "")</f>
        <v>0.69213681323198495</v>
      </c>
      <c r="AH100" s="1264"/>
    </row>
    <row r="101" spans="1:34" s="1240" customFormat="1" ht="14.25" customHeight="1" x14ac:dyDescent="0.35">
      <c r="A101" s="1248" t="s">
        <v>1207</v>
      </c>
      <c r="B101" s="1234"/>
      <c r="C101" s="1235"/>
      <c r="D101" s="1236">
        <f>IFERROR(D81/(D86+D87), "")</f>
        <v>1.1263656579329016</v>
      </c>
      <c r="E101" s="1236">
        <f>IFERROR(E81/(E86+E87), "")</f>
        <v>1.2002237136465324</v>
      </c>
      <c r="F101" s="1237">
        <f>IFERROR(F81/(F86+F87), "")</f>
        <v>1.4186067578585018</v>
      </c>
      <c r="G101" s="1238">
        <f>IFERROR(G81/(G86+G87), "")</f>
        <v>1.3923091676256234</v>
      </c>
      <c r="H101" s="1238">
        <f>IFERROR(H81/(H86+H87), "")</f>
        <v>1.4398215498011833</v>
      </c>
      <c r="I101" s="1238">
        <f>IFERROR(I81/(I86+I87), "")</f>
        <v>1.4847684809098294</v>
      </c>
      <c r="J101" s="1236">
        <f>IFERROR(J81/(J86+J87), "")</f>
        <v>1.4847684809098294</v>
      </c>
      <c r="K101" s="1238">
        <f>IFERROR(K81/(K86+K87), "")</f>
        <v>1.6777698062929178</v>
      </c>
      <c r="L101" s="1238">
        <f>IFERROR(L81/(L86+L87), "")</f>
        <v>1.5584697298363241</v>
      </c>
      <c r="M101" s="1238">
        <f>IFERROR(M81/(M86+M87), "")</f>
        <v>1.8059271646228168</v>
      </c>
      <c r="N101" s="1238">
        <f>IFERROR(N81/(N86+N87), "")</f>
        <v>2.0060240963855422</v>
      </c>
      <c r="O101" s="1236">
        <f>IFERROR(O81/(O86+O87), "")</f>
        <v>2.0060240963855422</v>
      </c>
      <c r="P101" s="1238">
        <f>IFERROR(P81/(P86+P87), "")</f>
        <v>2.2034479380938388</v>
      </c>
      <c r="Q101" s="1238">
        <f>IFERROR(Q81/(Q86+Q87), "")</f>
        <v>1.9021530004580851</v>
      </c>
      <c r="R101" s="1238">
        <f>IFERROR(R81/(R86+R87), "")</f>
        <v>1.640961232521142</v>
      </c>
      <c r="S101" s="1238">
        <f>IFERROR(S81/(S86+S87), "")</f>
        <v>1.4534838759570026</v>
      </c>
      <c r="T101" s="1236">
        <f>IFERROR(T81/(T86+T87), "")</f>
        <v>1.4534838759570026</v>
      </c>
      <c r="U101" s="1238">
        <f>IFERROR(U81/(U86+U87), "")</f>
        <v>1.3152299681805033</v>
      </c>
      <c r="V101" s="1238">
        <f ca="1">IFERROR(V81/(V86+V87), "")</f>
        <v>1.32127985828473</v>
      </c>
      <c r="W101" s="1238">
        <f ca="1">IFERROR(W81/(W86+W87), "")</f>
        <v>1.3015541506526296</v>
      </c>
      <c r="X101" s="1238">
        <f ca="1">IFERROR(X81/(X86+X87), "")</f>
        <v>1.2747407129905988</v>
      </c>
      <c r="Y101" s="1236">
        <f ca="1">IFERROR(Y81/(Y86+Y87), "")</f>
        <v>1.2747407129905988</v>
      </c>
      <c r="Z101" s="1238">
        <f ca="1">IFERROR(Z81/(Z86+Z87), "")</f>
        <v>1.2333597288411193</v>
      </c>
      <c r="AA101" s="1238">
        <f ca="1">IFERROR(AA81/(AA86+AA87), "")</f>
        <v>1.2190818635951626</v>
      </c>
      <c r="AB101" s="1238">
        <f ca="1">IFERROR(AB81/(AB86+AB87), "")</f>
        <v>1.1961301883718574</v>
      </c>
      <c r="AC101" s="1238">
        <f ca="1">IFERROR(AC81/(AC86+AC87), "")</f>
        <v>1.1604897297408108</v>
      </c>
      <c r="AD101" s="1236">
        <f ca="1">IFERROR(AD81/(AD86+AD87), "")</f>
        <v>1.1604897297408108</v>
      </c>
      <c r="AE101" s="1236">
        <f ca="1">IFERROR(AE81/(AE86+AE87), "")</f>
        <v>1.0225339556494644</v>
      </c>
      <c r="AF101" s="1236">
        <f ca="1">IFERROR(AF81/(AF86+AF87), "")</f>
        <v>0.88102022281241144</v>
      </c>
      <c r="AG101" s="1239">
        <f ca="1">IFERROR(AG81/(AG86+AG87), "")</f>
        <v>0.74843285702182705</v>
      </c>
      <c r="AH101" s="1264"/>
    </row>
    <row r="102" spans="1:34" s="1315" customFormat="1" ht="14.25" customHeight="1" x14ac:dyDescent="0.35">
      <c r="A102" s="1308"/>
      <c r="B102" s="1309"/>
      <c r="C102" s="1310"/>
      <c r="D102" s="1311"/>
      <c r="E102" s="1311"/>
      <c r="F102" s="1312"/>
      <c r="G102" s="1313"/>
      <c r="H102" s="1313"/>
      <c r="I102" s="1313"/>
      <c r="J102" s="1311"/>
      <c r="K102" s="1313"/>
      <c r="L102" s="1313"/>
      <c r="M102" s="1313"/>
      <c r="N102" s="1313"/>
      <c r="O102" s="1311"/>
      <c r="P102" s="1313"/>
      <c r="Q102" s="1313"/>
      <c r="R102" s="1313"/>
      <c r="S102" s="1313"/>
      <c r="T102" s="1311"/>
      <c r="U102" s="1313"/>
      <c r="V102" s="1313"/>
      <c r="W102" s="1313"/>
      <c r="X102" s="1313"/>
      <c r="Y102" s="1311"/>
      <c r="Z102" s="1313"/>
      <c r="AA102" s="1313"/>
      <c r="AB102" s="1313"/>
      <c r="AC102" s="1313"/>
      <c r="AD102" s="1311"/>
      <c r="AE102" s="1311"/>
      <c r="AF102" s="1311"/>
      <c r="AG102" s="1314"/>
      <c r="AH102" s="1264"/>
    </row>
    <row r="103" spans="1:34" s="1323" customFormat="1" ht="14.25" customHeight="1" x14ac:dyDescent="0.35">
      <c r="A103" s="1316" t="s">
        <v>1208</v>
      </c>
      <c r="B103" s="1317"/>
      <c r="C103" s="1318" t="s">
        <v>1209</v>
      </c>
      <c r="D103" s="1319"/>
      <c r="E103" s="1319">
        <f>IFERROR((IF(LEFT(E$3,1)="F",AVERAGE(E84,INDEX(84:84,0,MATCH("FY"&amp;RIGHT(E$3,4)-1,$3:$3,0))),
IF(LEFT(E$3,2)="Q1",AVERAGE(E84,INDEX(84:84,0,MATCH("Q4-"&amp;RIGHT(E$3,4)-1,$3:$3,0))),
IF(LEFT(E$3,2)="Q2",AVERAGE(E84,INDEX(84:84,0,MATCH("Q1-"&amp;RIGHT(E$3,4),$3:$3,0))),
IF(LEFT(E$3,2)="Q3",AVERAGE(E84,INDEX(84:84,0,MATCH("Q2-"&amp;RIGHT(E$3,4),$3:$3,0))),
IF(LEFT(E$3,2)="Q4",AVERAGE(E84,INDEX(84:84,0,MATCH("Q3-"&amp;RIGHT(E$3,4),$3:$3,0)))))))))/
(IF(LEFT(E$3,1)="F",AVERAGE((E86+E87),(INDEX(86:86,0,MATCH("FY"&amp;RIGHT(E$3,4)-1,$3:$3,0))+INDEX(87:87,0,MATCH("FY"&amp;RIGHT(E$3,4)-1,$3:$3,0)))),
IF(LEFT(E$3,2)="Q1",AVERAGE((E86+E87),(INDEX(86:86,0,MATCH("Q4-"&amp;RIGHT(E$3,4)-1,$3:$3,0))+INDEX(87:87,0,MATCH("Q4-"&amp;RIGHT(E$3,4)-1,$3:$3,0)))),
IF(LEFT(E$3,2)="Q2",AVERAGE((E86+E87),(INDEX(86:86,0,MATCH("Q1-"&amp;RIGHT(E$3,4),$3:$3,0))+INDEX(87:87,0,MATCH("Q1-"&amp;RIGHT(E$3,4),$3:$3,0)))),
IF(LEFT(E$3,2)="Q3",AVERAGE((E86+E87),(INDEX(86:86,0,MATCH("Q2-"&amp;RIGHT(E$3,4),$3:$3,0))+INDEX(87:87,0,MATCH("Q2-"&amp;RIGHT(E$3,4),$3:$3,0)))),
IF(LEFT(E$3,2)="Q4",AVERAGE((E86+E87),(INDEX(86:86,0,MATCH("Q3-"&amp;RIGHT(E$3,4),$3:$3,0))+INDEX(87:87,0,MATCH("Q3-"&amp;RIGHT(E$3,4),$3:$3,0)))))))))), "")</f>
        <v>3.2275438197131803</v>
      </c>
      <c r="F103" s="1320" t="str">
        <f>IFERROR((IF(LEFT(F$3,1)="F",AVERAGE(F84,INDEX(84:84,0,MATCH("FY"&amp;RIGHT(F$3,4)-1,$3:$3,0))),
IF(LEFT(F$3,2)="Q1",AVERAGE(F84,INDEX(84:84,0,MATCH("Q4-"&amp;RIGHT(F$3,4)-1,$3:$3,0))),
IF(LEFT(F$3,2)="Q2",AVERAGE(F84,INDEX(84:84,0,MATCH("Q1-"&amp;RIGHT(F$3,4),$3:$3,0))),
IF(LEFT(F$3,2)="Q3",AVERAGE(F84,INDEX(84:84,0,MATCH("Q2-"&amp;RIGHT(F$3,4),$3:$3,0))),
IF(LEFT(F$3,2)="Q4",AVERAGE(F84,INDEX(84:84,0,MATCH("Q3-"&amp;RIGHT(F$3,4),$3:$3,0)))))))))/
(IF(LEFT(F$3,1)="F",AVERAGE((F86+F87),(INDEX(86:86,0,MATCH("FY"&amp;RIGHT(F$3,4)-1,$3:$3,0))+INDEX(87:87,0,MATCH("FY"&amp;RIGHT(F$3,4)-1,$3:$3,0)))),
IF(LEFT(F$3,2)="Q1",AVERAGE((F86+F87),(INDEX(86:86,0,MATCH("Q4-"&amp;RIGHT(F$3,4)-1,$3:$3,0))+INDEX(87:87,0,MATCH("Q4-"&amp;RIGHT(F$3,4)-1,$3:$3,0)))),
IF(LEFT(F$3,2)="Q2",AVERAGE((F86+F87),(INDEX(86:86,0,MATCH("Q1-"&amp;RIGHT(F$3,4),$3:$3,0))+INDEX(87:87,0,MATCH("Q1-"&amp;RIGHT(F$3,4),$3:$3,0)))),
IF(LEFT(F$3,2)="Q3",AVERAGE((F86+F87),(INDEX(86:86,0,MATCH("Q2-"&amp;RIGHT(F$3,4),$3:$3,0))+INDEX(87:87,0,MATCH("Q2-"&amp;RIGHT(F$3,4),$3:$3,0)))),
IF(LEFT(F$3,2)="Q4",AVERAGE((F86+F87),(INDEX(86:86,0,MATCH("Q3-"&amp;RIGHT(F$3,4),$3:$3,0))+INDEX(87:87,0,MATCH("Q3-"&amp;RIGHT(F$3,4),$3:$3,0)))))))))), "")</f>
        <v/>
      </c>
      <c r="G103" s="1321">
        <f>IFERROR((IF(LEFT(G$3,1)="F",AVERAGE(G84,INDEX(84:84,0,MATCH("FY"&amp;RIGHT(G$3,4)-1,$3:$3,0))),
IF(LEFT(G$3,2)="Q1",AVERAGE(G84,INDEX(84:84,0,MATCH("Q4-"&amp;RIGHT(G$3,4)-1,$3:$3,0))),
IF(LEFT(G$3,2)="Q2",AVERAGE(G84,INDEX(84:84,0,MATCH("Q1-"&amp;RIGHT(G$3,4),$3:$3,0))),
IF(LEFT(G$3,2)="Q3",AVERAGE(G84,INDEX(84:84,0,MATCH("Q2-"&amp;RIGHT(G$3,4),$3:$3,0))),
IF(LEFT(G$3,2)="Q4",AVERAGE(G84,INDEX(84:84,0,MATCH("Q3-"&amp;RIGHT(G$3,4),$3:$3,0)))))))))/
(IF(LEFT(G$3,1)="F",AVERAGE((G86+G87),(INDEX(86:86,0,MATCH("FY"&amp;RIGHT(G$3,4)-1,$3:$3,0))+INDEX(87:87,0,MATCH("FY"&amp;RIGHT(G$3,4)-1,$3:$3,0)))),
IF(LEFT(G$3,2)="Q1",AVERAGE((G86+G87),(INDEX(86:86,0,MATCH("Q4-"&amp;RIGHT(G$3,4)-1,$3:$3,0))+INDEX(87:87,0,MATCH("Q4-"&amp;RIGHT(G$3,4)-1,$3:$3,0)))),
IF(LEFT(G$3,2)="Q2",AVERAGE((G86+G87),(INDEX(86:86,0,MATCH("Q1-"&amp;RIGHT(G$3,4),$3:$3,0))+INDEX(87:87,0,MATCH("Q1-"&amp;RIGHT(G$3,4),$3:$3,0)))),
IF(LEFT(G$3,2)="Q3",AVERAGE((G86+G87),(INDEX(86:86,0,MATCH("Q2-"&amp;RIGHT(G$3,4),$3:$3,0))+INDEX(87:87,0,MATCH("Q2-"&amp;RIGHT(G$3,4),$3:$3,0)))),
IF(LEFT(G$3,2)="Q4",AVERAGE((G86+G87),(INDEX(86:86,0,MATCH("Q3-"&amp;RIGHT(G$3,4),$3:$3,0))+INDEX(87:87,0,MATCH("Q3-"&amp;RIGHT(G$3,4),$3:$3,0)))))))))), "")</f>
        <v>3.5101784133786742</v>
      </c>
      <c r="H103" s="1321">
        <f>IFERROR((IF(LEFT(H$3,1)="F",AVERAGE(H84,INDEX(84:84,0,MATCH("FY"&amp;RIGHT(H$3,4)-1,$3:$3,0))),
IF(LEFT(H$3,2)="Q1",AVERAGE(H84,INDEX(84:84,0,MATCH("Q4-"&amp;RIGHT(H$3,4)-1,$3:$3,0))),
IF(LEFT(H$3,2)="Q2",AVERAGE(H84,INDEX(84:84,0,MATCH("Q1-"&amp;RIGHT(H$3,4),$3:$3,0))),
IF(LEFT(H$3,2)="Q3",AVERAGE(H84,INDEX(84:84,0,MATCH("Q2-"&amp;RIGHT(H$3,4),$3:$3,0))),
IF(LEFT(H$3,2)="Q4",AVERAGE(H84,INDEX(84:84,0,MATCH("Q3-"&amp;RIGHT(H$3,4),$3:$3,0)))))))))/
(IF(LEFT(H$3,1)="F",AVERAGE((H86+H87),(INDEX(86:86,0,MATCH("FY"&amp;RIGHT(H$3,4)-1,$3:$3,0))+INDEX(87:87,0,MATCH("FY"&amp;RIGHT(H$3,4)-1,$3:$3,0)))),
IF(LEFT(H$3,2)="Q1",AVERAGE((H86+H87),(INDEX(86:86,0,MATCH("Q4-"&amp;RIGHT(H$3,4)-1,$3:$3,0))+INDEX(87:87,0,MATCH("Q4-"&amp;RIGHT(H$3,4)-1,$3:$3,0)))),
IF(LEFT(H$3,2)="Q2",AVERAGE((H86+H87),(INDEX(86:86,0,MATCH("Q1-"&amp;RIGHT(H$3,4),$3:$3,0))+INDEX(87:87,0,MATCH("Q1-"&amp;RIGHT(H$3,4),$3:$3,0)))),
IF(LEFT(H$3,2)="Q3",AVERAGE((H86+H87),(INDEX(86:86,0,MATCH("Q2-"&amp;RIGHT(H$3,4),$3:$3,0))+INDEX(87:87,0,MATCH("Q2-"&amp;RIGHT(H$3,4),$3:$3,0)))),
IF(LEFT(H$3,2)="Q4",AVERAGE((H86+H87),(INDEX(86:86,0,MATCH("Q3-"&amp;RIGHT(H$3,4),$3:$3,0))+INDEX(87:87,0,MATCH("Q3-"&amp;RIGHT(H$3,4),$3:$3,0)))))))))), "")</f>
        <v>3.5707121847726504</v>
      </c>
      <c r="I103" s="1321">
        <f>IFERROR((IF(LEFT(I$3,1)="F",AVERAGE(I84,INDEX(84:84,0,MATCH("FY"&amp;RIGHT(I$3,4)-1,$3:$3,0))),
IF(LEFT(I$3,2)="Q1",AVERAGE(I84,INDEX(84:84,0,MATCH("Q4-"&amp;RIGHT(I$3,4)-1,$3:$3,0))),
IF(LEFT(I$3,2)="Q2",AVERAGE(I84,INDEX(84:84,0,MATCH("Q1-"&amp;RIGHT(I$3,4),$3:$3,0))),
IF(LEFT(I$3,2)="Q3",AVERAGE(I84,INDEX(84:84,0,MATCH("Q2-"&amp;RIGHT(I$3,4),$3:$3,0))),
IF(LEFT(I$3,2)="Q4",AVERAGE(I84,INDEX(84:84,0,MATCH("Q3-"&amp;RIGHT(I$3,4),$3:$3,0)))))))))/
(IF(LEFT(I$3,1)="F",AVERAGE((I86+I87),(INDEX(86:86,0,MATCH("FY"&amp;RIGHT(I$3,4)-1,$3:$3,0))+INDEX(87:87,0,MATCH("FY"&amp;RIGHT(I$3,4)-1,$3:$3,0)))),
IF(LEFT(I$3,2)="Q1",AVERAGE((I86+I87),(INDEX(86:86,0,MATCH("Q4-"&amp;RIGHT(I$3,4)-1,$3:$3,0))+INDEX(87:87,0,MATCH("Q4-"&amp;RIGHT(I$3,4)-1,$3:$3,0)))),
IF(LEFT(I$3,2)="Q2",AVERAGE((I86+I87),(INDEX(86:86,0,MATCH("Q1-"&amp;RIGHT(I$3,4),$3:$3,0))+INDEX(87:87,0,MATCH("Q1-"&amp;RIGHT(I$3,4),$3:$3,0)))),
IF(LEFT(I$3,2)="Q3",AVERAGE((I86+I87),(INDEX(86:86,0,MATCH("Q2-"&amp;RIGHT(I$3,4),$3:$3,0))+INDEX(87:87,0,MATCH("Q2-"&amp;RIGHT(I$3,4),$3:$3,0)))),
IF(LEFT(I$3,2)="Q4",AVERAGE((I86+I87),(INDEX(86:86,0,MATCH("Q3-"&amp;RIGHT(I$3,4),$3:$3,0))+INDEX(87:87,0,MATCH("Q3-"&amp;RIGHT(I$3,4),$3:$3,0)))))))))), "")</f>
        <v>3.6596557368917111</v>
      </c>
      <c r="J103" s="1319">
        <f>IFERROR((IF(LEFT(J$3,1)="F",AVERAGE(J84,INDEX(84:84,0,MATCH("FY"&amp;RIGHT(J$3,4)-1,$3:$3,0))),
IF(LEFT(J$3,2)="Q1",AVERAGE(J84,INDEX(84:84,0,MATCH("Q4-"&amp;RIGHT(J$3,4)-1,$3:$3,0))),
IF(LEFT(J$3,2)="Q2",AVERAGE(J84,INDEX(84:84,0,MATCH("Q1-"&amp;RIGHT(J$3,4),$3:$3,0))),
IF(LEFT(J$3,2)="Q3",AVERAGE(J84,INDEX(84:84,0,MATCH("Q2-"&amp;RIGHT(J$3,4),$3:$3,0))),
IF(LEFT(J$3,2)="Q4",AVERAGE(J84,INDEX(84:84,0,MATCH("Q3-"&amp;RIGHT(J$3,4),$3:$3,0)))))))))/
(IF(LEFT(J$3,1)="F",AVERAGE((J86+J87),(INDEX(86:86,0,MATCH("FY"&amp;RIGHT(J$3,4)-1,$3:$3,0))+INDEX(87:87,0,MATCH("FY"&amp;RIGHT(J$3,4)-1,$3:$3,0)))),
IF(LEFT(J$3,2)="Q1",AVERAGE((J86+J87),(INDEX(86:86,0,MATCH("Q4-"&amp;RIGHT(J$3,4)-1,$3:$3,0))+INDEX(87:87,0,MATCH("Q4-"&amp;RIGHT(J$3,4)-1,$3:$3,0)))),
IF(LEFT(J$3,2)="Q2",AVERAGE((J86+J87),(INDEX(86:86,0,MATCH("Q1-"&amp;RIGHT(J$3,4),$3:$3,0))+INDEX(87:87,0,MATCH("Q1-"&amp;RIGHT(J$3,4),$3:$3,0)))),
IF(LEFT(J$3,2)="Q3",AVERAGE((J86+J87),(INDEX(86:86,0,MATCH("Q2-"&amp;RIGHT(J$3,4),$3:$3,0))+INDEX(87:87,0,MATCH("Q2-"&amp;RIGHT(J$3,4),$3:$3,0)))),
IF(LEFT(J$3,2)="Q4",AVERAGE((J86+J87),(INDEX(86:86,0,MATCH("Q3-"&amp;RIGHT(J$3,4),$3:$3,0))+INDEX(87:87,0,MATCH("Q3-"&amp;RIGHT(J$3,4),$3:$3,0)))))))))), "")</f>
        <v>3.469352585002329</v>
      </c>
      <c r="K103" s="1320">
        <f>IFERROR((IF(LEFT(K$3,1)="F",AVERAGE(K84,INDEX(84:84,0,MATCH("FY"&amp;RIGHT(K$3,4)-1,$3:$3,0))),
IF(LEFT(K$3,2)="Q1",AVERAGE(K84,INDEX(84:84,0,MATCH("Q4-"&amp;RIGHT(K$3,4)-1,$3:$3,0))),
IF(LEFT(K$3,2)="Q2",AVERAGE(K84,INDEX(84:84,0,MATCH("Q1-"&amp;RIGHT(K$3,4),$3:$3,0))),
IF(LEFT(K$3,2)="Q3",AVERAGE(K84,INDEX(84:84,0,MATCH("Q2-"&amp;RIGHT(K$3,4),$3:$3,0))),
IF(LEFT(K$3,2)="Q4",AVERAGE(K84,INDEX(84:84,0,MATCH("Q3-"&amp;RIGHT(K$3,4),$3:$3,0)))))))))/
(IF(LEFT(K$3,1)="F",AVERAGE((K86+K87),(INDEX(86:86,0,MATCH("FY"&amp;RIGHT(K$3,4)-1,$3:$3,0))+INDEX(87:87,0,MATCH("FY"&amp;RIGHT(K$3,4)-1,$3:$3,0)))),
IF(LEFT(K$3,2)="Q1",AVERAGE((K86+K87),(INDEX(86:86,0,MATCH("Q4-"&amp;RIGHT(K$3,4)-1,$3:$3,0))+INDEX(87:87,0,MATCH("Q4-"&amp;RIGHT(K$3,4)-1,$3:$3,0)))),
IF(LEFT(K$3,2)="Q2",AVERAGE((K86+K87),(INDEX(86:86,0,MATCH("Q1-"&amp;RIGHT(K$3,4),$3:$3,0))+INDEX(87:87,0,MATCH("Q1-"&amp;RIGHT(K$3,4),$3:$3,0)))),
IF(LEFT(K$3,2)="Q3",AVERAGE((K86+K87),(INDEX(86:86,0,MATCH("Q2-"&amp;RIGHT(K$3,4),$3:$3,0))+INDEX(87:87,0,MATCH("Q2-"&amp;RIGHT(K$3,4),$3:$3,0)))),
IF(LEFT(K$3,2)="Q4",AVERAGE((K86+K87),(INDEX(86:86,0,MATCH("Q3-"&amp;RIGHT(K$3,4),$3:$3,0))+INDEX(87:87,0,MATCH("Q3-"&amp;RIGHT(K$3,4),$3:$3,0)))))))))), "")</f>
        <v>3.8581994389186431</v>
      </c>
      <c r="L103" s="1321">
        <f>IFERROR((IF(LEFT(L$3,1)="F",AVERAGE(L84,INDEX(84:84,0,MATCH("FY"&amp;RIGHT(L$3,4)-1,$3:$3,0))),
IF(LEFT(L$3,2)="Q1",AVERAGE(L84,INDEX(84:84,0,MATCH("Q4-"&amp;RIGHT(L$3,4)-1,$3:$3,0))),
IF(LEFT(L$3,2)="Q2",AVERAGE(L84,INDEX(84:84,0,MATCH("Q1-"&amp;RIGHT(L$3,4),$3:$3,0))),
IF(LEFT(L$3,2)="Q3",AVERAGE(L84,INDEX(84:84,0,MATCH("Q2-"&amp;RIGHT(L$3,4),$3:$3,0))),
IF(LEFT(L$3,2)="Q4",AVERAGE(L84,INDEX(84:84,0,MATCH("Q3-"&amp;RIGHT(L$3,4),$3:$3,0)))))))))/
(IF(LEFT(L$3,1)="F",AVERAGE((L86+L87),(INDEX(86:86,0,MATCH("FY"&amp;RIGHT(L$3,4)-1,$3:$3,0))+INDEX(87:87,0,MATCH("FY"&amp;RIGHT(L$3,4)-1,$3:$3,0)))),
IF(LEFT(L$3,2)="Q1",AVERAGE((L86+L87),(INDEX(86:86,0,MATCH("Q4-"&amp;RIGHT(L$3,4)-1,$3:$3,0))+INDEX(87:87,0,MATCH("Q4-"&amp;RIGHT(L$3,4)-1,$3:$3,0)))),
IF(LEFT(L$3,2)="Q2",AVERAGE((L86+L87),(INDEX(86:86,0,MATCH("Q1-"&amp;RIGHT(L$3,4),$3:$3,0))+INDEX(87:87,0,MATCH("Q1-"&amp;RIGHT(L$3,4),$3:$3,0)))),
IF(LEFT(L$3,2)="Q3",AVERAGE((L86+L87),(INDEX(86:86,0,MATCH("Q2-"&amp;RIGHT(L$3,4),$3:$3,0))+INDEX(87:87,0,MATCH("Q2-"&amp;RIGHT(L$3,4),$3:$3,0)))),
IF(LEFT(L$3,2)="Q4",AVERAGE((L86+L87),(INDEX(86:86,0,MATCH("Q3-"&amp;RIGHT(L$3,4),$3:$3,0))+INDEX(87:87,0,MATCH("Q3-"&amp;RIGHT(L$3,4),$3:$3,0)))))))))), "")</f>
        <v>3.9252726267651639</v>
      </c>
      <c r="M103" s="1321">
        <f>IFERROR((IF(LEFT(M$3,1)="F",AVERAGE(M84,INDEX(84:84,0,MATCH("FY"&amp;RIGHT(M$3,4)-1,$3:$3,0))),
IF(LEFT(M$3,2)="Q1",AVERAGE(M84,INDEX(84:84,0,MATCH("Q4-"&amp;RIGHT(M$3,4)-1,$3:$3,0))),
IF(LEFT(M$3,2)="Q2",AVERAGE(M84,INDEX(84:84,0,MATCH("Q1-"&amp;RIGHT(M$3,4),$3:$3,0))),
IF(LEFT(M$3,2)="Q3",AVERAGE(M84,INDEX(84:84,0,MATCH("Q2-"&amp;RIGHT(M$3,4),$3:$3,0))),
IF(LEFT(M$3,2)="Q4",AVERAGE(M84,INDEX(84:84,0,MATCH("Q3-"&amp;RIGHT(M$3,4),$3:$3,0)))))))))/
(IF(LEFT(M$3,1)="F",AVERAGE((M86+M87),(INDEX(86:86,0,MATCH("FY"&amp;RIGHT(M$3,4)-1,$3:$3,0))+INDEX(87:87,0,MATCH("FY"&amp;RIGHT(M$3,4)-1,$3:$3,0)))),
IF(LEFT(M$3,2)="Q1",AVERAGE((M86+M87),(INDEX(86:86,0,MATCH("Q4-"&amp;RIGHT(M$3,4)-1,$3:$3,0))+INDEX(87:87,0,MATCH("Q4-"&amp;RIGHT(M$3,4)-1,$3:$3,0)))),
IF(LEFT(M$3,2)="Q2",AVERAGE((M86+M87),(INDEX(86:86,0,MATCH("Q1-"&amp;RIGHT(M$3,4),$3:$3,0))+INDEX(87:87,0,MATCH("Q1-"&amp;RIGHT(M$3,4),$3:$3,0)))),
IF(LEFT(M$3,2)="Q3",AVERAGE((M86+M87),(INDEX(86:86,0,MATCH("Q2-"&amp;RIGHT(M$3,4),$3:$3,0))+INDEX(87:87,0,MATCH("Q2-"&amp;RIGHT(M$3,4),$3:$3,0)))),
IF(LEFT(M$3,2)="Q4",AVERAGE((M86+M87),(INDEX(86:86,0,MATCH("Q3-"&amp;RIGHT(M$3,4),$3:$3,0))+INDEX(87:87,0,MATCH("Q3-"&amp;RIGHT(M$3,4),$3:$3,0)))))))))), "")</f>
        <v>3.8993112025255909</v>
      </c>
      <c r="N103" s="1321">
        <f>IFERROR((IF(LEFT(N$3,1)="F",AVERAGE(N84,INDEX(84:84,0,MATCH("FY"&amp;RIGHT(N$3,4)-1,$3:$3,0))),
IF(LEFT(N$3,2)="Q1",AVERAGE(N84,INDEX(84:84,0,MATCH("Q4-"&amp;RIGHT(N$3,4)-1,$3:$3,0))),
IF(LEFT(N$3,2)="Q2",AVERAGE(N84,INDEX(84:84,0,MATCH("Q1-"&amp;RIGHT(N$3,4),$3:$3,0))),
IF(LEFT(N$3,2)="Q3",AVERAGE(N84,INDEX(84:84,0,MATCH("Q2-"&amp;RIGHT(N$3,4),$3:$3,0))),
IF(LEFT(N$3,2)="Q4",AVERAGE(N84,INDEX(84:84,0,MATCH("Q3-"&amp;RIGHT(N$3,4),$3:$3,0)))))))))/
(IF(LEFT(N$3,1)="F",AVERAGE((N86+N87),(INDEX(86:86,0,MATCH("FY"&amp;RIGHT(N$3,4)-1,$3:$3,0))+INDEX(87:87,0,MATCH("FY"&amp;RIGHT(N$3,4)-1,$3:$3,0)))),
IF(LEFT(N$3,2)="Q1",AVERAGE((N86+N87),(INDEX(86:86,0,MATCH("Q4-"&amp;RIGHT(N$3,4)-1,$3:$3,0))+INDEX(87:87,0,MATCH("Q4-"&amp;RIGHT(N$3,4)-1,$3:$3,0)))),
IF(LEFT(N$3,2)="Q2",AVERAGE((N86+N87),(INDEX(86:86,0,MATCH("Q1-"&amp;RIGHT(N$3,4),$3:$3,0))+INDEX(87:87,0,MATCH("Q1-"&amp;RIGHT(N$3,4),$3:$3,0)))),
IF(LEFT(N$3,2)="Q3",AVERAGE((N86+N87),(INDEX(86:86,0,MATCH("Q2-"&amp;RIGHT(N$3,4),$3:$3,0))+INDEX(87:87,0,MATCH("Q2-"&amp;RIGHT(N$3,4),$3:$3,0)))),
IF(LEFT(N$3,2)="Q4",AVERAGE((N86+N87),(INDEX(86:86,0,MATCH("Q3-"&amp;RIGHT(N$3,4),$3:$3,0))+INDEX(87:87,0,MATCH("Q3-"&amp;RIGHT(N$3,4),$3:$3,0)))))))))), "")</f>
        <v>4.1746768788894206</v>
      </c>
      <c r="O103" s="1319">
        <f>IFERROR((IF(LEFT(O$3,1)="F",AVERAGE(O84,INDEX(84:84,0,MATCH("FY"&amp;RIGHT(O$3,4)-1,$3:$3,0))),
IF(LEFT(O$3,2)="Q1",AVERAGE(O84,INDEX(84:84,0,MATCH("Q4-"&amp;RIGHT(O$3,4)-1,$3:$3,0))),
IF(LEFT(O$3,2)="Q2",AVERAGE(O84,INDEX(84:84,0,MATCH("Q1-"&amp;RIGHT(O$3,4),$3:$3,0))),
IF(LEFT(O$3,2)="Q3",AVERAGE(O84,INDEX(84:84,0,MATCH("Q2-"&amp;RIGHT(O$3,4),$3:$3,0))),
IF(LEFT(O$3,2)="Q4",AVERAGE(O84,INDEX(84:84,0,MATCH("Q3-"&amp;RIGHT(O$3,4),$3:$3,0)))))))))/
(IF(LEFT(O$3,1)="F",AVERAGE((O86+O87),(INDEX(86:86,0,MATCH("FY"&amp;RIGHT(O$3,4)-1,$3:$3,0))+INDEX(87:87,0,MATCH("FY"&amp;RIGHT(O$3,4)-1,$3:$3,0)))),
IF(LEFT(O$3,2)="Q1",AVERAGE((O86+O87),(INDEX(86:86,0,MATCH("Q4-"&amp;RIGHT(O$3,4)-1,$3:$3,0))+INDEX(87:87,0,MATCH("Q4-"&amp;RIGHT(O$3,4)-1,$3:$3,0)))),
IF(LEFT(O$3,2)="Q2",AVERAGE((O86+O87),(INDEX(86:86,0,MATCH("Q1-"&amp;RIGHT(O$3,4),$3:$3,0))+INDEX(87:87,0,MATCH("Q1-"&amp;RIGHT(O$3,4),$3:$3,0)))),
IF(LEFT(O$3,2)="Q3",AVERAGE((O86+O87),(INDEX(86:86,0,MATCH("Q2-"&amp;RIGHT(O$3,4),$3:$3,0))+INDEX(87:87,0,MATCH("Q2-"&amp;RIGHT(O$3,4),$3:$3,0)))),
IF(LEFT(O$3,2)="Q4",AVERAGE((O86+O87),(INDEX(86:86,0,MATCH("Q3-"&amp;RIGHT(O$3,4),$3:$3,0))+INDEX(87:87,0,MATCH("Q3-"&amp;RIGHT(O$3,4),$3:$3,0)))))))))), "")</f>
        <v>4.0632322018624212</v>
      </c>
      <c r="P103" s="1320">
        <f>IFERROR((IF(LEFT(P$3,1)="F",AVERAGE(P84,INDEX(84:84,0,MATCH("FY"&amp;RIGHT(P$3,4)-1,$3:$3,0))),
IF(LEFT(P$3,2)="Q1",AVERAGE(P84,INDEX(84:84,0,MATCH("Q4-"&amp;RIGHT(P$3,4)-1,$3:$3,0))),
IF(LEFT(P$3,2)="Q2",AVERAGE(P84,INDEX(84:84,0,MATCH("Q1-"&amp;RIGHT(P$3,4),$3:$3,0))),
IF(LEFT(P$3,2)="Q3",AVERAGE(P84,INDEX(84:84,0,MATCH("Q2-"&amp;RIGHT(P$3,4),$3:$3,0))),
IF(LEFT(P$3,2)="Q4",AVERAGE(P84,INDEX(84:84,0,MATCH("Q3-"&amp;RIGHT(P$3,4),$3:$3,0)))))))))/
(IF(LEFT(P$3,1)="F",AVERAGE((P86+P87),(INDEX(86:86,0,MATCH("FY"&amp;RIGHT(P$3,4)-1,$3:$3,0))+INDEX(87:87,0,MATCH("FY"&amp;RIGHT(P$3,4)-1,$3:$3,0)))),
IF(LEFT(P$3,2)="Q1",AVERAGE((P86+P87),(INDEX(86:86,0,MATCH("Q4-"&amp;RIGHT(P$3,4)-1,$3:$3,0))+INDEX(87:87,0,MATCH("Q4-"&amp;RIGHT(P$3,4)-1,$3:$3,0)))),
IF(LEFT(P$3,2)="Q2",AVERAGE((P86+P87),(INDEX(86:86,0,MATCH("Q1-"&amp;RIGHT(P$3,4),$3:$3,0))+INDEX(87:87,0,MATCH("Q1-"&amp;RIGHT(P$3,4),$3:$3,0)))),
IF(LEFT(P$3,2)="Q3",AVERAGE((P86+P87),(INDEX(86:86,0,MATCH("Q2-"&amp;RIGHT(P$3,4),$3:$3,0))+INDEX(87:87,0,MATCH("Q2-"&amp;RIGHT(P$3,4),$3:$3,0)))),
IF(LEFT(P$3,2)="Q4",AVERAGE((P86+P87),(INDEX(86:86,0,MATCH("Q3-"&amp;RIGHT(P$3,4),$3:$3,0))+INDEX(87:87,0,MATCH("Q3-"&amp;RIGHT(P$3,4),$3:$3,0)))))))))), "")</f>
        <v>4.4686992869436928</v>
      </c>
      <c r="Q103" s="1321">
        <f>IFERROR((IF(LEFT(Q$3,1)="F",AVERAGE(Q84,INDEX(84:84,0,MATCH("FY"&amp;RIGHT(Q$3,4)-1,$3:$3,0))),
IF(LEFT(Q$3,2)="Q1",AVERAGE(Q84,INDEX(84:84,0,MATCH("Q4-"&amp;RIGHT(Q$3,4)-1,$3:$3,0))),
IF(LEFT(Q$3,2)="Q2",AVERAGE(Q84,INDEX(84:84,0,MATCH("Q1-"&amp;RIGHT(Q$3,4),$3:$3,0))),
IF(LEFT(Q$3,2)="Q3",AVERAGE(Q84,INDEX(84:84,0,MATCH("Q2-"&amp;RIGHT(Q$3,4),$3:$3,0))),
IF(LEFT(Q$3,2)="Q4",AVERAGE(Q84,INDEX(84:84,0,MATCH("Q3-"&amp;RIGHT(Q$3,4),$3:$3,0)))))))))/
(IF(LEFT(Q$3,1)="F",AVERAGE((Q86+Q87),(INDEX(86:86,0,MATCH("FY"&amp;RIGHT(Q$3,4)-1,$3:$3,0))+INDEX(87:87,0,MATCH("FY"&amp;RIGHT(Q$3,4)-1,$3:$3,0)))),
IF(LEFT(Q$3,2)="Q1",AVERAGE((Q86+Q87),(INDEX(86:86,0,MATCH("Q4-"&amp;RIGHT(Q$3,4)-1,$3:$3,0))+INDEX(87:87,0,MATCH("Q4-"&amp;RIGHT(Q$3,4)-1,$3:$3,0)))),
IF(LEFT(Q$3,2)="Q2",AVERAGE((Q86+Q87),(INDEX(86:86,0,MATCH("Q1-"&amp;RIGHT(Q$3,4),$3:$3,0))+INDEX(87:87,0,MATCH("Q1-"&amp;RIGHT(Q$3,4),$3:$3,0)))),
IF(LEFT(Q$3,2)="Q3",AVERAGE((Q86+Q87),(INDEX(86:86,0,MATCH("Q2-"&amp;RIGHT(Q$3,4),$3:$3,0))+INDEX(87:87,0,MATCH("Q2-"&amp;RIGHT(Q$3,4),$3:$3,0)))),
IF(LEFT(Q$3,2)="Q4",AVERAGE((Q86+Q87),(INDEX(86:86,0,MATCH("Q3-"&amp;RIGHT(Q$3,4),$3:$3,0))+INDEX(87:87,0,MATCH("Q3-"&amp;RIGHT(Q$3,4),$3:$3,0)))))))))), "")</f>
        <v>4.3216720318121569</v>
      </c>
      <c r="R103" s="1321">
        <f>IFERROR((IF(LEFT(R$3,1)="F",AVERAGE(R84,INDEX(84:84,0,MATCH("FY"&amp;RIGHT(R$3,4)-1,$3:$3,0))),
IF(LEFT(R$3,2)="Q1",AVERAGE(R84,INDEX(84:84,0,MATCH("Q4-"&amp;RIGHT(R$3,4)-1,$3:$3,0))),
IF(LEFT(R$3,2)="Q2",AVERAGE(R84,INDEX(84:84,0,MATCH("Q1-"&amp;RIGHT(R$3,4),$3:$3,0))),
IF(LEFT(R$3,2)="Q3",AVERAGE(R84,INDEX(84:84,0,MATCH("Q2-"&amp;RIGHT(R$3,4),$3:$3,0))),
IF(LEFT(R$3,2)="Q4",AVERAGE(R84,INDEX(84:84,0,MATCH("Q3-"&amp;RIGHT(R$3,4),$3:$3,0)))))))))/
(IF(LEFT(R$3,1)="F",AVERAGE((R86+R87),(INDEX(86:86,0,MATCH("FY"&amp;RIGHT(R$3,4)-1,$3:$3,0))+INDEX(87:87,0,MATCH("FY"&amp;RIGHT(R$3,4)-1,$3:$3,0)))),
IF(LEFT(R$3,2)="Q1",AVERAGE((R86+R87),(INDEX(86:86,0,MATCH("Q4-"&amp;RIGHT(R$3,4)-1,$3:$3,0))+INDEX(87:87,0,MATCH("Q4-"&amp;RIGHT(R$3,4)-1,$3:$3,0)))),
IF(LEFT(R$3,2)="Q2",AVERAGE((R86+R87),(INDEX(86:86,0,MATCH("Q1-"&amp;RIGHT(R$3,4),$3:$3,0))+INDEX(87:87,0,MATCH("Q1-"&amp;RIGHT(R$3,4),$3:$3,0)))),
IF(LEFT(R$3,2)="Q3",AVERAGE((R86+R87),(INDEX(86:86,0,MATCH("Q2-"&amp;RIGHT(R$3,4),$3:$3,0))+INDEX(87:87,0,MATCH("Q2-"&amp;RIGHT(R$3,4),$3:$3,0)))),
IF(LEFT(R$3,2)="Q4",AVERAGE((R86+R87),(INDEX(86:86,0,MATCH("Q3-"&amp;RIGHT(R$3,4),$3:$3,0))+INDEX(87:87,0,MATCH("Q3-"&amp;RIGHT(R$3,4),$3:$3,0)))))))))), "")</f>
        <v>3.9578703298626303</v>
      </c>
      <c r="S103" s="1321">
        <f>IFERROR((IF(LEFT(S$3,1)="F",AVERAGE(S84,INDEX(84:84,0,MATCH("FY"&amp;RIGHT(S$3,4)-1,$3:$3,0))),
IF(LEFT(S$3,2)="Q1",AVERAGE(S84,INDEX(84:84,0,MATCH("Q4-"&amp;RIGHT(S$3,4)-1,$3:$3,0))),
IF(LEFT(S$3,2)="Q2",AVERAGE(S84,INDEX(84:84,0,MATCH("Q1-"&amp;RIGHT(S$3,4),$3:$3,0))),
IF(LEFT(S$3,2)="Q3",AVERAGE(S84,INDEX(84:84,0,MATCH("Q2-"&amp;RIGHT(S$3,4),$3:$3,0))),
IF(LEFT(S$3,2)="Q4",AVERAGE(S84,INDEX(84:84,0,MATCH("Q3-"&amp;RIGHT(S$3,4),$3:$3,0)))))))))/
(IF(LEFT(S$3,1)="F",AVERAGE((S86+S87),(INDEX(86:86,0,MATCH("FY"&amp;RIGHT(S$3,4)-1,$3:$3,0))+INDEX(87:87,0,MATCH("FY"&amp;RIGHT(S$3,4)-1,$3:$3,0)))),
IF(LEFT(S$3,2)="Q1",AVERAGE((S86+S87),(INDEX(86:86,0,MATCH("Q4-"&amp;RIGHT(S$3,4)-1,$3:$3,0))+INDEX(87:87,0,MATCH("Q4-"&amp;RIGHT(S$3,4)-1,$3:$3,0)))),
IF(LEFT(S$3,2)="Q2",AVERAGE((S86+S87),(INDEX(86:86,0,MATCH("Q1-"&amp;RIGHT(S$3,4),$3:$3,0))+INDEX(87:87,0,MATCH("Q1-"&amp;RIGHT(S$3,4),$3:$3,0)))),
IF(LEFT(S$3,2)="Q3",AVERAGE((S86+S87),(INDEX(86:86,0,MATCH("Q2-"&amp;RIGHT(S$3,4),$3:$3,0))+INDEX(87:87,0,MATCH("Q2-"&amp;RIGHT(S$3,4),$3:$3,0)))),
IF(LEFT(S$3,2)="Q4",AVERAGE((S86+S87),(INDEX(86:86,0,MATCH("Q3-"&amp;RIGHT(S$3,4),$3:$3,0))+INDEX(87:87,0,MATCH("Q3-"&amp;RIGHT(S$3,4),$3:$3,0)))))))))), "")</f>
        <v>3.7281498753718743</v>
      </c>
      <c r="T103" s="1319">
        <f>IFERROR((IF(LEFT(T$3,1)="F",AVERAGE(T84,INDEX(84:84,0,MATCH("FY"&amp;RIGHT(T$3,4)-1,$3:$3,0))),
IF(LEFT(T$3,2)="Q1",AVERAGE(T84,INDEX(84:84,0,MATCH("Q4-"&amp;RIGHT(T$3,4)-1,$3:$3,0))),
IF(LEFT(T$3,2)="Q2",AVERAGE(T84,INDEX(84:84,0,MATCH("Q1-"&amp;RIGHT(T$3,4),$3:$3,0))),
IF(LEFT(T$3,2)="Q3",AVERAGE(T84,INDEX(84:84,0,MATCH("Q2-"&amp;RIGHT(T$3,4),$3:$3,0))),
IF(LEFT(T$3,2)="Q4",AVERAGE(T84,INDEX(84:84,0,MATCH("Q3-"&amp;RIGHT(T$3,4),$3:$3,0)))))))))/
(IF(LEFT(T$3,1)="F",AVERAGE((T86+T87),(INDEX(86:86,0,MATCH("FY"&amp;RIGHT(T$3,4)-1,$3:$3,0))+INDEX(87:87,0,MATCH("FY"&amp;RIGHT(T$3,4)-1,$3:$3,0)))),
IF(LEFT(T$3,2)="Q1",AVERAGE((T86+T87),(INDEX(86:86,0,MATCH("Q4-"&amp;RIGHT(T$3,4)-1,$3:$3,0))+INDEX(87:87,0,MATCH("Q4-"&amp;RIGHT(T$3,4)-1,$3:$3,0)))),
IF(LEFT(T$3,2)="Q2",AVERAGE((T86+T87),(INDEX(86:86,0,MATCH("Q1-"&amp;RIGHT(T$3,4),$3:$3,0))+INDEX(87:87,0,MATCH("Q1-"&amp;RIGHT(T$3,4),$3:$3,0)))),
IF(LEFT(T$3,2)="Q3",AVERAGE((T86+T87),(INDEX(86:86,0,MATCH("Q2-"&amp;RIGHT(T$3,4),$3:$3,0))+INDEX(87:87,0,MATCH("Q2-"&amp;RIGHT(T$3,4),$3:$3,0)))),
IF(LEFT(T$3,2)="Q4",AVERAGE((T86+T87),(INDEX(86:86,0,MATCH("Q3-"&amp;RIGHT(T$3,4),$3:$3,0))+INDEX(87:87,0,MATCH("Q3-"&amp;RIGHT(T$3,4),$3:$3,0)))))))))), "")</f>
        <v>3.9902415752266123</v>
      </c>
      <c r="U103" s="1320">
        <f>IFERROR((IF(LEFT(U$3,1)="F",AVERAGE(U84,INDEX(84:84,0,MATCH("FY"&amp;RIGHT(U$3,4)-1,$3:$3,0))),
IF(LEFT(U$3,2)="Q1",AVERAGE(U84,INDEX(84:84,0,MATCH("Q4-"&amp;RIGHT(U$3,4)-1,$3:$3,0))),
IF(LEFT(U$3,2)="Q2",AVERAGE(U84,INDEX(84:84,0,MATCH("Q1-"&amp;RIGHT(U$3,4),$3:$3,0))),
IF(LEFT(U$3,2)="Q3",AVERAGE(U84,INDEX(84:84,0,MATCH("Q2-"&amp;RIGHT(U$3,4),$3:$3,0))),
IF(LEFT(U$3,2)="Q4",AVERAGE(U84,INDEX(84:84,0,MATCH("Q3-"&amp;RIGHT(U$3,4),$3:$3,0)))))))))/
(IF(LEFT(U$3,1)="F",AVERAGE((U86+U87),(INDEX(86:86,0,MATCH("FY"&amp;RIGHT(U$3,4)-1,$3:$3,0))+INDEX(87:87,0,MATCH("FY"&amp;RIGHT(U$3,4)-1,$3:$3,0)))),
IF(LEFT(U$3,2)="Q1",AVERAGE((U86+U87),(INDEX(86:86,0,MATCH("Q4-"&amp;RIGHT(U$3,4)-1,$3:$3,0))+INDEX(87:87,0,MATCH("Q4-"&amp;RIGHT(U$3,4)-1,$3:$3,0)))),
IF(LEFT(U$3,2)="Q2",AVERAGE((U86+U87),(INDEX(86:86,0,MATCH("Q1-"&amp;RIGHT(U$3,4),$3:$3,0))+INDEX(87:87,0,MATCH("Q1-"&amp;RIGHT(U$3,4),$3:$3,0)))),
IF(LEFT(U$3,2)="Q3",AVERAGE((U86+U87),(INDEX(86:86,0,MATCH("Q2-"&amp;RIGHT(U$3,4),$3:$3,0))+INDEX(87:87,0,MATCH("Q2-"&amp;RIGHT(U$3,4),$3:$3,0)))),
IF(LEFT(U$3,2)="Q4",AVERAGE((U86+U87),(INDEX(86:86,0,MATCH("Q3-"&amp;RIGHT(U$3,4),$3:$3,0))+INDEX(87:87,0,MATCH("Q3-"&amp;RIGHT(U$3,4),$3:$3,0)))))))))), "")</f>
        <v>3.5324189992152175</v>
      </c>
      <c r="V103" s="1321">
        <f ca="1">IFERROR((IF(LEFT(V$3,1)="F",AVERAGE(V84,INDEX(84:84,0,MATCH("FY"&amp;RIGHT(V$3,4)-1,$3:$3,0))),
IF(LEFT(V$3,2)="Q1",AVERAGE(V84,INDEX(84:84,0,MATCH("Q4-"&amp;RIGHT(V$3,4)-1,$3:$3,0))),
IF(LEFT(V$3,2)="Q2",AVERAGE(V84,INDEX(84:84,0,MATCH("Q1-"&amp;RIGHT(V$3,4),$3:$3,0))),
IF(LEFT(V$3,2)="Q3",AVERAGE(V84,INDEX(84:84,0,MATCH("Q2-"&amp;RIGHT(V$3,4),$3:$3,0))),
IF(LEFT(V$3,2)="Q4",AVERAGE(V84,INDEX(84:84,0,MATCH("Q3-"&amp;RIGHT(V$3,4),$3:$3,0)))))))))/
(IF(LEFT(V$3,1)="F",AVERAGE((V86+V87),(INDEX(86:86,0,MATCH("FY"&amp;RIGHT(V$3,4)-1,$3:$3,0))+INDEX(87:87,0,MATCH("FY"&amp;RIGHT(V$3,4)-1,$3:$3,0)))),
IF(LEFT(V$3,2)="Q1",AVERAGE((V86+V87),(INDEX(86:86,0,MATCH("Q4-"&amp;RIGHT(V$3,4)-1,$3:$3,0))+INDEX(87:87,0,MATCH("Q4-"&amp;RIGHT(V$3,4)-1,$3:$3,0)))),
IF(LEFT(V$3,2)="Q2",AVERAGE((V86+V87),(INDEX(86:86,0,MATCH("Q1-"&amp;RIGHT(V$3,4),$3:$3,0))+INDEX(87:87,0,MATCH("Q1-"&amp;RIGHT(V$3,4),$3:$3,0)))),
IF(LEFT(V$3,2)="Q3",AVERAGE((V86+V87),(INDEX(86:86,0,MATCH("Q2-"&amp;RIGHT(V$3,4),$3:$3,0))+INDEX(87:87,0,MATCH("Q2-"&amp;RIGHT(V$3,4),$3:$3,0)))),
IF(LEFT(V$3,2)="Q4",AVERAGE((V86+V87),(INDEX(86:86,0,MATCH("Q3-"&amp;RIGHT(V$3,4),$3:$3,0))+INDEX(87:87,0,MATCH("Q3-"&amp;RIGHT(V$3,4),$3:$3,0)))))))))), "")</f>
        <v>3.3981964782243992</v>
      </c>
      <c r="W103" s="1321">
        <f ca="1">IFERROR((IF(LEFT(W$3,1)="F",AVERAGE(W84,INDEX(84:84,0,MATCH("FY"&amp;RIGHT(W$3,4)-1,$3:$3,0))),
IF(LEFT(W$3,2)="Q1",AVERAGE(W84,INDEX(84:84,0,MATCH("Q4-"&amp;RIGHT(W$3,4)-1,$3:$3,0))),
IF(LEFT(W$3,2)="Q2",AVERAGE(W84,INDEX(84:84,0,MATCH("Q1-"&amp;RIGHT(W$3,4),$3:$3,0))),
IF(LEFT(W$3,2)="Q3",AVERAGE(W84,INDEX(84:84,0,MATCH("Q2-"&amp;RIGHT(W$3,4),$3:$3,0))),
IF(LEFT(W$3,2)="Q4",AVERAGE(W84,INDEX(84:84,0,MATCH("Q3-"&amp;RIGHT(W$3,4),$3:$3,0)))))))))/
(IF(LEFT(W$3,1)="F",AVERAGE((W86+W87),(INDEX(86:86,0,MATCH("FY"&amp;RIGHT(W$3,4)-1,$3:$3,0))+INDEX(87:87,0,MATCH("FY"&amp;RIGHT(W$3,4)-1,$3:$3,0)))),
IF(LEFT(W$3,2)="Q1",AVERAGE((W86+W87),(INDEX(86:86,0,MATCH("Q4-"&amp;RIGHT(W$3,4)-1,$3:$3,0))+INDEX(87:87,0,MATCH("Q4-"&amp;RIGHT(W$3,4)-1,$3:$3,0)))),
IF(LEFT(W$3,2)="Q2",AVERAGE((W86+W87),(INDEX(86:86,0,MATCH("Q1-"&amp;RIGHT(W$3,4),$3:$3,0))+INDEX(87:87,0,MATCH("Q1-"&amp;RIGHT(W$3,4),$3:$3,0)))),
IF(LEFT(W$3,2)="Q3",AVERAGE((W86+W87),(INDEX(86:86,0,MATCH("Q2-"&amp;RIGHT(W$3,4),$3:$3,0))+INDEX(87:87,0,MATCH("Q2-"&amp;RIGHT(W$3,4),$3:$3,0)))),
IF(LEFT(W$3,2)="Q4",AVERAGE((W86+W87),(INDEX(86:86,0,MATCH("Q3-"&amp;RIGHT(W$3,4),$3:$3,0))+INDEX(87:87,0,MATCH("Q3-"&amp;RIGHT(W$3,4),$3:$3,0)))))))))), "")</f>
        <v>3.376851607445889</v>
      </c>
      <c r="X103" s="1321">
        <f ca="1">IFERROR((IF(LEFT(X$3,1)="F",AVERAGE(X84,INDEX(84:84,0,MATCH("FY"&amp;RIGHT(X$3,4)-1,$3:$3,0))),
IF(LEFT(X$3,2)="Q1",AVERAGE(X84,INDEX(84:84,0,MATCH("Q4-"&amp;RIGHT(X$3,4)-1,$3:$3,0))),
IF(LEFT(X$3,2)="Q2",AVERAGE(X84,INDEX(84:84,0,MATCH("Q1-"&amp;RIGHT(X$3,4),$3:$3,0))),
IF(LEFT(X$3,2)="Q3",AVERAGE(X84,INDEX(84:84,0,MATCH("Q2-"&amp;RIGHT(X$3,4),$3:$3,0))),
IF(LEFT(X$3,2)="Q4",AVERAGE(X84,INDEX(84:84,0,MATCH("Q3-"&amp;RIGHT(X$3,4),$3:$3,0)))))))))/
(IF(LEFT(X$3,1)="F",AVERAGE((X86+X87),(INDEX(86:86,0,MATCH("FY"&amp;RIGHT(X$3,4)-1,$3:$3,0))+INDEX(87:87,0,MATCH("FY"&amp;RIGHT(X$3,4)-1,$3:$3,0)))),
IF(LEFT(X$3,2)="Q1",AVERAGE((X86+X87),(INDEX(86:86,0,MATCH("Q4-"&amp;RIGHT(X$3,4)-1,$3:$3,0))+INDEX(87:87,0,MATCH("Q4-"&amp;RIGHT(X$3,4)-1,$3:$3,0)))),
IF(LEFT(X$3,2)="Q2",AVERAGE((X86+X87),(INDEX(86:86,0,MATCH("Q1-"&amp;RIGHT(X$3,4),$3:$3,0))+INDEX(87:87,0,MATCH("Q1-"&amp;RIGHT(X$3,4),$3:$3,0)))),
IF(LEFT(X$3,2)="Q3",AVERAGE((X86+X87),(INDEX(86:86,0,MATCH("Q2-"&amp;RIGHT(X$3,4),$3:$3,0))+INDEX(87:87,0,MATCH("Q2-"&amp;RIGHT(X$3,4),$3:$3,0)))),
IF(LEFT(X$3,2)="Q4",AVERAGE((X86+X87),(INDEX(86:86,0,MATCH("Q3-"&amp;RIGHT(X$3,4),$3:$3,0))+INDEX(87:87,0,MATCH("Q3-"&amp;RIGHT(X$3,4),$3:$3,0)))))))))), "")</f>
        <v>3.3592180888793619</v>
      </c>
      <c r="Y103" s="1319">
        <f ca="1">IFERROR((IF(LEFT(Y$3,1)="F",AVERAGE(Y84,INDEX(84:84,0,MATCH("FY"&amp;RIGHT(Y$3,4)-1,$3:$3,0))),
IF(LEFT(Y$3,2)="Q1",AVERAGE(Y84,INDEX(84:84,0,MATCH("Q4-"&amp;RIGHT(Y$3,4)-1,$3:$3,0))),
IF(LEFT(Y$3,2)="Q2",AVERAGE(Y84,INDEX(84:84,0,MATCH("Q1-"&amp;RIGHT(Y$3,4),$3:$3,0))),
IF(LEFT(Y$3,2)="Q3",AVERAGE(Y84,INDEX(84:84,0,MATCH("Q2-"&amp;RIGHT(Y$3,4),$3:$3,0))),
IF(LEFT(Y$3,2)="Q4",AVERAGE(Y84,INDEX(84:84,0,MATCH("Q3-"&amp;RIGHT(Y$3,4),$3:$3,0)))))))))/
(IF(LEFT(Y$3,1)="F",AVERAGE((Y86+Y87),(INDEX(86:86,0,MATCH("FY"&amp;RIGHT(Y$3,4)-1,$3:$3,0))+INDEX(87:87,0,MATCH("FY"&amp;RIGHT(Y$3,4)-1,$3:$3,0)))),
IF(LEFT(Y$3,2)="Q1",AVERAGE((Y86+Y87),(INDEX(86:86,0,MATCH("Q4-"&amp;RIGHT(Y$3,4)-1,$3:$3,0))+INDEX(87:87,0,MATCH("Q4-"&amp;RIGHT(Y$3,4)-1,$3:$3,0)))),
IF(LEFT(Y$3,2)="Q2",AVERAGE((Y86+Y87),(INDEX(86:86,0,MATCH("Q1-"&amp;RIGHT(Y$3,4),$3:$3,0))+INDEX(87:87,0,MATCH("Q1-"&amp;RIGHT(Y$3,4),$3:$3,0)))),
IF(LEFT(Y$3,2)="Q3",AVERAGE((Y86+Y87),(INDEX(86:86,0,MATCH("Q2-"&amp;RIGHT(Y$3,4),$3:$3,0))+INDEX(87:87,0,MATCH("Q2-"&amp;RIGHT(Y$3,4),$3:$3,0)))),
IF(LEFT(Y$3,2)="Q4",AVERAGE((Y86+Y87),(INDEX(86:86,0,MATCH("Q3-"&amp;RIGHT(Y$3,4),$3:$3,0))+INDEX(87:87,0,MATCH("Q3-"&amp;RIGHT(Y$3,4),$3:$3,0)))))))))), "")</f>
        <v>3.4975955090355701</v>
      </c>
      <c r="Z103" s="1320">
        <f ca="1">IFERROR((IF(LEFT(Z$3,1)="F",AVERAGE(Z84,INDEX(84:84,0,MATCH("FY"&amp;RIGHT(Z$3,4)-1,$3:$3,0))),
IF(LEFT(Z$3,2)="Q1",AVERAGE(Z84,INDEX(84:84,0,MATCH("Q4-"&amp;RIGHT(Z$3,4)-1,$3:$3,0))),
IF(LEFT(Z$3,2)="Q2",AVERAGE(Z84,INDEX(84:84,0,MATCH("Q1-"&amp;RIGHT(Z$3,4),$3:$3,0))),
IF(LEFT(Z$3,2)="Q3",AVERAGE(Z84,INDEX(84:84,0,MATCH("Q2-"&amp;RIGHT(Z$3,4),$3:$3,0))),
IF(LEFT(Z$3,2)="Q4",AVERAGE(Z84,INDEX(84:84,0,MATCH("Q3-"&amp;RIGHT(Z$3,4),$3:$3,0)))))))))/
(IF(LEFT(Z$3,1)="F",AVERAGE((Z86+Z87),(INDEX(86:86,0,MATCH("FY"&amp;RIGHT(Z$3,4)-1,$3:$3,0))+INDEX(87:87,0,MATCH("FY"&amp;RIGHT(Z$3,4)-1,$3:$3,0)))),
IF(LEFT(Z$3,2)="Q1",AVERAGE((Z86+Z87),(INDEX(86:86,0,MATCH("Q4-"&amp;RIGHT(Z$3,4)-1,$3:$3,0))+INDEX(87:87,0,MATCH("Q4-"&amp;RIGHT(Z$3,4)-1,$3:$3,0)))),
IF(LEFT(Z$3,2)="Q2",AVERAGE((Z86+Z87),(INDEX(86:86,0,MATCH("Q1-"&amp;RIGHT(Z$3,4),$3:$3,0))+INDEX(87:87,0,MATCH("Q1-"&amp;RIGHT(Z$3,4),$3:$3,0)))),
IF(LEFT(Z$3,2)="Q3",AVERAGE((Z86+Z87),(INDEX(86:86,0,MATCH("Q2-"&amp;RIGHT(Z$3,4),$3:$3,0))+INDEX(87:87,0,MATCH("Q2-"&amp;RIGHT(Z$3,4),$3:$3,0)))),
IF(LEFT(Z$3,2)="Q4",AVERAGE((Z86+Z87),(INDEX(86:86,0,MATCH("Q3-"&amp;RIGHT(Z$3,4),$3:$3,0))+INDEX(87:87,0,MATCH("Q3-"&amp;RIGHT(Z$3,4),$3:$3,0)))))))))), "")</f>
        <v>3.3154148873589135</v>
      </c>
      <c r="AA103" s="1321">
        <f ca="1">IFERROR((IF(LEFT(AA$3,1)="F",AVERAGE(AA84,INDEX(84:84,0,MATCH("FY"&amp;RIGHT(AA$3,4)-1,$3:$3,0))),
IF(LEFT(AA$3,2)="Q1",AVERAGE(AA84,INDEX(84:84,0,MATCH("Q4-"&amp;RIGHT(AA$3,4)-1,$3:$3,0))),
IF(LEFT(AA$3,2)="Q2",AVERAGE(AA84,INDEX(84:84,0,MATCH("Q1-"&amp;RIGHT(AA$3,4),$3:$3,0))),
IF(LEFT(AA$3,2)="Q3",AVERAGE(AA84,INDEX(84:84,0,MATCH("Q2-"&amp;RIGHT(AA$3,4),$3:$3,0))),
IF(LEFT(AA$3,2)="Q4",AVERAGE(AA84,INDEX(84:84,0,MATCH("Q3-"&amp;RIGHT(AA$3,4),$3:$3,0)))))))))/
(IF(LEFT(AA$3,1)="F",AVERAGE((AA86+AA87),(INDEX(86:86,0,MATCH("FY"&amp;RIGHT(AA$3,4)-1,$3:$3,0))+INDEX(87:87,0,MATCH("FY"&amp;RIGHT(AA$3,4)-1,$3:$3,0)))),
IF(LEFT(AA$3,2)="Q1",AVERAGE((AA86+AA87),(INDEX(86:86,0,MATCH("Q4-"&amp;RIGHT(AA$3,4)-1,$3:$3,0))+INDEX(87:87,0,MATCH("Q4-"&amp;RIGHT(AA$3,4)-1,$3:$3,0)))),
IF(LEFT(AA$3,2)="Q2",AVERAGE((AA86+AA87),(INDEX(86:86,0,MATCH("Q1-"&amp;RIGHT(AA$3,4),$3:$3,0))+INDEX(87:87,0,MATCH("Q1-"&amp;RIGHT(AA$3,4),$3:$3,0)))),
IF(LEFT(AA$3,2)="Q3",AVERAGE((AA86+AA87),(INDEX(86:86,0,MATCH("Q2-"&amp;RIGHT(AA$3,4),$3:$3,0))+INDEX(87:87,0,MATCH("Q2-"&amp;RIGHT(AA$3,4),$3:$3,0)))),
IF(LEFT(AA$3,2)="Q4",AVERAGE((AA86+AA87),(INDEX(86:86,0,MATCH("Q3-"&amp;RIGHT(AA$3,4),$3:$3,0))+INDEX(87:87,0,MATCH("Q3-"&amp;RIGHT(AA$3,4),$3:$3,0)))))))))), "")</f>
        <v>3.2505033224080959</v>
      </c>
      <c r="AB103" s="1321">
        <f ca="1">IFERROR((IF(LEFT(AB$3,1)="F",AVERAGE(AB84,INDEX(84:84,0,MATCH("FY"&amp;RIGHT(AB$3,4)-1,$3:$3,0))),
IF(LEFT(AB$3,2)="Q1",AVERAGE(AB84,INDEX(84:84,0,MATCH("Q4-"&amp;RIGHT(AB$3,4)-1,$3:$3,0))),
IF(LEFT(AB$3,2)="Q2",AVERAGE(AB84,INDEX(84:84,0,MATCH("Q1-"&amp;RIGHT(AB$3,4),$3:$3,0))),
IF(LEFT(AB$3,2)="Q3",AVERAGE(AB84,INDEX(84:84,0,MATCH("Q2-"&amp;RIGHT(AB$3,4),$3:$3,0))),
IF(LEFT(AB$3,2)="Q4",AVERAGE(AB84,INDEX(84:84,0,MATCH("Q3-"&amp;RIGHT(AB$3,4),$3:$3,0)))))))))/
(IF(LEFT(AB$3,1)="F",AVERAGE((AB86+AB87),(INDEX(86:86,0,MATCH("FY"&amp;RIGHT(AB$3,4)-1,$3:$3,0))+INDEX(87:87,0,MATCH("FY"&amp;RIGHT(AB$3,4)-1,$3:$3,0)))),
IF(LEFT(AB$3,2)="Q1",AVERAGE((AB86+AB87),(INDEX(86:86,0,MATCH("Q4-"&amp;RIGHT(AB$3,4)-1,$3:$3,0))+INDEX(87:87,0,MATCH("Q4-"&amp;RIGHT(AB$3,4)-1,$3:$3,0)))),
IF(LEFT(AB$3,2)="Q2",AVERAGE((AB86+AB87),(INDEX(86:86,0,MATCH("Q1-"&amp;RIGHT(AB$3,4),$3:$3,0))+INDEX(87:87,0,MATCH("Q1-"&amp;RIGHT(AB$3,4),$3:$3,0)))),
IF(LEFT(AB$3,2)="Q3",AVERAGE((AB86+AB87),(INDEX(86:86,0,MATCH("Q2-"&amp;RIGHT(AB$3,4),$3:$3,0))+INDEX(87:87,0,MATCH("Q2-"&amp;RIGHT(AB$3,4),$3:$3,0)))),
IF(LEFT(AB$3,2)="Q4",AVERAGE((AB86+AB87),(INDEX(86:86,0,MATCH("Q3-"&amp;RIGHT(AB$3,4),$3:$3,0))+INDEX(87:87,0,MATCH("Q3-"&amp;RIGHT(AB$3,4),$3:$3,0)))))))))), "")</f>
        <v>3.2080213009084071</v>
      </c>
      <c r="AC103" s="1321">
        <f ca="1">IFERROR((IF(LEFT(AC$3,1)="F",AVERAGE(AC84,INDEX(84:84,0,MATCH("FY"&amp;RIGHT(AC$3,4)-1,$3:$3,0))),
IF(LEFT(AC$3,2)="Q1",AVERAGE(AC84,INDEX(84:84,0,MATCH("Q4-"&amp;RIGHT(AC$3,4)-1,$3:$3,0))),
IF(LEFT(AC$3,2)="Q2",AVERAGE(AC84,INDEX(84:84,0,MATCH("Q1-"&amp;RIGHT(AC$3,4),$3:$3,0))),
IF(LEFT(AC$3,2)="Q3",AVERAGE(AC84,INDEX(84:84,0,MATCH("Q2-"&amp;RIGHT(AC$3,4),$3:$3,0))),
IF(LEFT(AC$3,2)="Q4",AVERAGE(AC84,INDEX(84:84,0,MATCH("Q3-"&amp;RIGHT(AC$3,4),$3:$3,0)))))))))/
(IF(LEFT(AC$3,1)="F",AVERAGE((AC86+AC87),(INDEX(86:86,0,MATCH("FY"&amp;RIGHT(AC$3,4)-1,$3:$3,0))+INDEX(87:87,0,MATCH("FY"&amp;RIGHT(AC$3,4)-1,$3:$3,0)))),
IF(LEFT(AC$3,2)="Q1",AVERAGE((AC86+AC87),(INDEX(86:86,0,MATCH("Q4-"&amp;RIGHT(AC$3,4)-1,$3:$3,0))+INDEX(87:87,0,MATCH("Q4-"&amp;RIGHT(AC$3,4)-1,$3:$3,0)))),
IF(LEFT(AC$3,2)="Q2",AVERAGE((AC86+AC87),(INDEX(86:86,0,MATCH("Q1-"&amp;RIGHT(AC$3,4),$3:$3,0))+INDEX(87:87,0,MATCH("Q1-"&amp;RIGHT(AC$3,4),$3:$3,0)))),
IF(LEFT(AC$3,2)="Q3",AVERAGE((AC86+AC87),(INDEX(86:86,0,MATCH("Q2-"&amp;RIGHT(AC$3,4),$3:$3,0))+INDEX(87:87,0,MATCH("Q2-"&amp;RIGHT(AC$3,4),$3:$3,0)))),
IF(LEFT(AC$3,2)="Q4",AVERAGE((AC86+AC87),(INDEX(86:86,0,MATCH("Q3-"&amp;RIGHT(AC$3,4),$3:$3,0))+INDEX(87:87,0,MATCH("Q3-"&amp;RIGHT(AC$3,4),$3:$3,0)))))))))), "")</f>
        <v>3.1788147352372951</v>
      </c>
      <c r="AD103" s="1319">
        <f ca="1">IFERROR((IF(LEFT(AD$3,1)="F",AVERAGE(AD84,INDEX(84:84,0,MATCH("FY"&amp;RIGHT(AD$3,4)-1,$3:$3,0))),
IF(LEFT(AD$3,2)="Q1",AVERAGE(AD84,INDEX(84:84,0,MATCH("Q4-"&amp;RIGHT(AD$3,4)-1,$3:$3,0))),
IF(LEFT(AD$3,2)="Q2",AVERAGE(AD84,INDEX(84:84,0,MATCH("Q1-"&amp;RIGHT(AD$3,4),$3:$3,0))),
IF(LEFT(AD$3,2)="Q3",AVERAGE(AD84,INDEX(84:84,0,MATCH("Q2-"&amp;RIGHT(AD$3,4),$3:$3,0))),
IF(LEFT(AD$3,2)="Q4",AVERAGE(AD84,INDEX(84:84,0,MATCH("Q3-"&amp;RIGHT(AD$3,4),$3:$3,0)))))))))/
(IF(LEFT(AD$3,1)="F",AVERAGE((AD86+AD87),(INDEX(86:86,0,MATCH("FY"&amp;RIGHT(AD$3,4)-1,$3:$3,0))+INDEX(87:87,0,MATCH("FY"&amp;RIGHT(AD$3,4)-1,$3:$3,0)))),
IF(LEFT(AD$3,2)="Q1",AVERAGE((AD86+AD87),(INDEX(86:86,0,MATCH("Q4-"&amp;RIGHT(AD$3,4)-1,$3:$3,0))+INDEX(87:87,0,MATCH("Q4-"&amp;RIGHT(AD$3,4)-1,$3:$3,0)))),
IF(LEFT(AD$3,2)="Q2",AVERAGE((AD86+AD87),(INDEX(86:86,0,MATCH("Q1-"&amp;RIGHT(AD$3,4),$3:$3,0))+INDEX(87:87,0,MATCH("Q1-"&amp;RIGHT(AD$3,4),$3:$3,0)))),
IF(LEFT(AD$3,2)="Q3",AVERAGE((AD86+AD87),(INDEX(86:86,0,MATCH("Q2-"&amp;RIGHT(AD$3,4),$3:$3,0))+INDEX(87:87,0,MATCH("Q2-"&amp;RIGHT(AD$3,4),$3:$3,0)))),
IF(LEFT(AD$3,2)="Q4",AVERAGE((AD86+AD87),(INDEX(86:86,0,MATCH("Q3-"&amp;RIGHT(AD$3,4),$3:$3,0))+INDEX(87:87,0,MATCH("Q3-"&amp;RIGHT(AD$3,4),$3:$3,0)))))))))), "")</f>
        <v>3.2505154177719042</v>
      </c>
      <c r="AE103" s="1319">
        <f ca="1">IFERROR((IF(LEFT(AE$3,1)="F",AVERAGE(AE84,INDEX(84:84,0,MATCH("FY"&amp;RIGHT(AE$3,4)-1,$3:$3,0))),
IF(LEFT(AE$3,2)="Q1",AVERAGE(AE84,INDEX(84:84,0,MATCH("Q4-"&amp;RIGHT(AE$3,4)-1,$3:$3,0))),
IF(LEFT(AE$3,2)="Q2",AVERAGE(AE84,INDEX(84:84,0,MATCH("Q1-"&amp;RIGHT(AE$3,4),$3:$3,0))),
IF(LEFT(AE$3,2)="Q3",AVERAGE(AE84,INDEX(84:84,0,MATCH("Q2-"&amp;RIGHT(AE$3,4),$3:$3,0))),
IF(LEFT(AE$3,2)="Q4",AVERAGE(AE84,INDEX(84:84,0,MATCH("Q3-"&amp;RIGHT(AE$3,4),$3:$3,0)))))))))/
(IF(LEFT(AE$3,1)="F",AVERAGE((AE86+AE87),(INDEX(86:86,0,MATCH("FY"&amp;RIGHT(AE$3,4)-1,$3:$3,0))+INDEX(87:87,0,MATCH("FY"&amp;RIGHT(AE$3,4)-1,$3:$3,0)))),
IF(LEFT(AE$3,2)="Q1",AVERAGE((AE86+AE87),(INDEX(86:86,0,MATCH("Q4-"&amp;RIGHT(AE$3,4)-1,$3:$3,0))+INDEX(87:87,0,MATCH("Q4-"&amp;RIGHT(AE$3,4)-1,$3:$3,0)))),
IF(LEFT(AE$3,2)="Q2",AVERAGE((AE86+AE87),(INDEX(86:86,0,MATCH("Q1-"&amp;RIGHT(AE$3,4),$3:$3,0))+INDEX(87:87,0,MATCH("Q1-"&amp;RIGHT(AE$3,4),$3:$3,0)))),
IF(LEFT(AE$3,2)="Q3",AVERAGE((AE86+AE87),(INDEX(86:86,0,MATCH("Q2-"&amp;RIGHT(AE$3,4),$3:$3,0))+INDEX(87:87,0,MATCH("Q2-"&amp;RIGHT(AE$3,4),$3:$3,0)))),
IF(LEFT(AE$3,2)="Q4",AVERAGE((AE86+AE87),(INDEX(86:86,0,MATCH("Q3-"&amp;RIGHT(AE$3,4),$3:$3,0))+INDEX(87:87,0,MATCH("Q3-"&amp;RIGHT(AE$3,4),$3:$3,0)))))))))), "")</f>
        <v>3.0350689706142453</v>
      </c>
      <c r="AF103" s="1319">
        <f ca="1">IFERROR((IF(LEFT(AF$3,1)="F",AVERAGE(AF84,INDEX(84:84,0,MATCH("FY"&amp;RIGHT(AF$3,4)-1,$3:$3,0))),
IF(LEFT(AF$3,2)="Q1",AVERAGE(AF84,INDEX(84:84,0,MATCH("Q4-"&amp;RIGHT(AF$3,4)-1,$3:$3,0))),
IF(LEFT(AF$3,2)="Q2",AVERAGE(AF84,INDEX(84:84,0,MATCH("Q1-"&amp;RIGHT(AF$3,4),$3:$3,0))),
IF(LEFT(AF$3,2)="Q3",AVERAGE(AF84,INDEX(84:84,0,MATCH("Q2-"&amp;RIGHT(AF$3,4),$3:$3,0))),
IF(LEFT(AF$3,2)="Q4",AVERAGE(AF84,INDEX(84:84,0,MATCH("Q3-"&amp;RIGHT(AF$3,4),$3:$3,0)))))))))/
(IF(LEFT(AF$3,1)="F",AVERAGE((AF86+AF87),(INDEX(86:86,0,MATCH("FY"&amp;RIGHT(AF$3,4)-1,$3:$3,0))+INDEX(87:87,0,MATCH("FY"&amp;RIGHT(AF$3,4)-1,$3:$3,0)))),
IF(LEFT(AF$3,2)="Q1",AVERAGE((AF86+AF87),(INDEX(86:86,0,MATCH("Q4-"&amp;RIGHT(AF$3,4)-1,$3:$3,0))+INDEX(87:87,0,MATCH("Q4-"&amp;RIGHT(AF$3,4)-1,$3:$3,0)))),
IF(LEFT(AF$3,2)="Q2",AVERAGE((AF86+AF87),(INDEX(86:86,0,MATCH("Q1-"&amp;RIGHT(AF$3,4),$3:$3,0))+INDEX(87:87,0,MATCH("Q1-"&amp;RIGHT(AF$3,4),$3:$3,0)))),
IF(LEFT(AF$3,2)="Q3",AVERAGE((AF86+AF87),(INDEX(86:86,0,MATCH("Q2-"&amp;RIGHT(AF$3,4),$3:$3,0))+INDEX(87:87,0,MATCH("Q2-"&amp;RIGHT(AF$3,4),$3:$3,0)))),
IF(LEFT(AF$3,2)="Q4",AVERAGE((AF86+AF87),(INDEX(86:86,0,MATCH("Q3-"&amp;RIGHT(AF$3,4),$3:$3,0))+INDEX(87:87,0,MATCH("Q3-"&amp;RIGHT(AF$3,4),$3:$3,0)))))))))), "")</f>
        <v>2.7917010324108569</v>
      </c>
      <c r="AG103" s="1322">
        <f ca="1">IFERROR((IF(LEFT(AG$3,1)="F",AVERAGE(AG84,INDEX(84:84,0,MATCH("FY"&amp;RIGHT(AG$3,4)-1,$3:$3,0))),
IF(LEFT(AG$3,2)="Q1",AVERAGE(AG84,INDEX(84:84,0,MATCH("Q4-"&amp;RIGHT(AG$3,4)-1,$3:$3,0))),
IF(LEFT(AG$3,2)="Q2",AVERAGE(AG84,INDEX(84:84,0,MATCH("Q1-"&amp;RIGHT(AG$3,4),$3:$3,0))),
IF(LEFT(AG$3,2)="Q3",AVERAGE(AG84,INDEX(84:84,0,MATCH("Q2-"&amp;RIGHT(AG$3,4),$3:$3,0))),
IF(LEFT(AG$3,2)="Q4",AVERAGE(AG84,INDEX(84:84,0,MATCH("Q3-"&amp;RIGHT(AG$3,4),$3:$3,0)))))))))/
(IF(LEFT(AG$3,1)="F",AVERAGE((AG86+AG87),(INDEX(86:86,0,MATCH("FY"&amp;RIGHT(AG$3,4)-1,$3:$3,0))+INDEX(87:87,0,MATCH("FY"&amp;RIGHT(AG$3,4)-1,$3:$3,0)))),
IF(LEFT(AG$3,2)="Q1",AVERAGE((AG86+AG87),(INDEX(86:86,0,MATCH("Q4-"&amp;RIGHT(AG$3,4)-1,$3:$3,0))+INDEX(87:87,0,MATCH("Q4-"&amp;RIGHT(AG$3,4)-1,$3:$3,0)))),
IF(LEFT(AG$3,2)="Q2",AVERAGE((AG86+AG87),(INDEX(86:86,0,MATCH("Q1-"&amp;RIGHT(AG$3,4),$3:$3,0))+INDEX(87:87,0,MATCH("Q1-"&amp;RIGHT(AG$3,4),$3:$3,0)))),
IF(LEFT(AG$3,2)="Q3",AVERAGE((AG86+AG87),(INDEX(86:86,0,MATCH("Q2-"&amp;RIGHT(AG$3,4),$3:$3,0))+INDEX(87:87,0,MATCH("Q2-"&amp;RIGHT(AG$3,4),$3:$3,0)))),
IF(LEFT(AG$3,2)="Q4",AVERAGE((AG86+AG87),(INDEX(86:86,0,MATCH("Q3-"&amp;RIGHT(AG$3,4),$3:$3,0))+INDEX(87:87,0,MATCH("Q3-"&amp;RIGHT(AG$3,4),$3:$3,0)))))))))), "")</f>
        <v>2.5504253284991374</v>
      </c>
      <c r="AH103" s="1264"/>
    </row>
    <row r="104" spans="1:34" s="1240" customFormat="1" ht="14.25" customHeight="1" x14ac:dyDescent="0.35">
      <c r="A104" s="1248" t="s">
        <v>1210</v>
      </c>
      <c r="B104" s="1234"/>
      <c r="C104" s="1235"/>
      <c r="D104" s="1236">
        <f>IFERROR(D85/D84, "")</f>
        <v>0.6856804230231569</v>
      </c>
      <c r="E104" s="1236">
        <f>IFERROR(E85/E84, "")</f>
        <v>0.69405322873614661</v>
      </c>
      <c r="F104" s="1237">
        <f>IFERROR(F85/F84, "")</f>
        <v>0.71383020090732341</v>
      </c>
      <c r="G104" s="1238">
        <f>IFERROR(G85/G84, "")</f>
        <v>0.71646092772853331</v>
      </c>
      <c r="H104" s="1238">
        <f>IFERROR(H85/H84, "")</f>
        <v>0.72338028169014079</v>
      </c>
      <c r="I104" s="1238">
        <f>IFERROR(I85/I84, "")</f>
        <v>0.73019178082191782</v>
      </c>
      <c r="J104" s="1236">
        <f>IFERROR(J85/J84, "")</f>
        <v>0.73019178082191782</v>
      </c>
      <c r="K104" s="1238">
        <f>IFERROR(K85/K84, "")</f>
        <v>0.75071538068472154</v>
      </c>
      <c r="L104" s="1238">
        <f>IFERROR(L85/L84, "")</f>
        <v>0.73974184608278371</v>
      </c>
      <c r="M104" s="1238">
        <f>IFERROR(M85/M84, "")</f>
        <v>0.74702702702702706</v>
      </c>
      <c r="N104" s="1238">
        <f>IFERROR(N85/N84, "")</f>
        <v>0.77325958933249739</v>
      </c>
      <c r="O104" s="1236">
        <f>IFERROR(O85/O84, "")</f>
        <v>0.77325958933249739</v>
      </c>
      <c r="P104" s="1238">
        <f>IFERROR(P85/P84, "")</f>
        <v>0.7790833549727344</v>
      </c>
      <c r="Q104" s="1238">
        <f>IFERROR(Q85/Q84, "")</f>
        <v>0.75786951795736379</v>
      </c>
      <c r="R104" s="1238">
        <f>IFERROR(R85/R84, "")</f>
        <v>0.73688037012557828</v>
      </c>
      <c r="S104" s="1238">
        <f>IFERROR(S85/S84, "")</f>
        <v>0.72687140925988514</v>
      </c>
      <c r="T104" s="1236">
        <f>IFERROR(T85/T84, "")</f>
        <v>0.72687140925988514</v>
      </c>
      <c r="U104" s="1238">
        <f>IFERROR(U85/U84, "")</f>
        <v>0.70690970750317927</v>
      </c>
      <c r="V104" s="1238">
        <f>IFERROR(V85/V84, "")</f>
        <v>0.70452769865255116</v>
      </c>
      <c r="W104" s="1238">
        <f>IFERROR(W85/W84, "")</f>
        <v>0.70321161481246663</v>
      </c>
      <c r="X104" s="1238">
        <f>IFERROR(X85/X84, "")</f>
        <v>0.70142497263077319</v>
      </c>
      <c r="Y104" s="1236">
        <f>IFERROR(Y85/Y84, "")</f>
        <v>0.70142497263077319</v>
      </c>
      <c r="Z104" s="1238">
        <f ca="1">IFERROR(Z85/Z84, "")</f>
        <v>0.69537140771587669</v>
      </c>
      <c r="AA104" s="1238">
        <f ca="1">IFERROR(AA85/AA84, "")</f>
        <v>0.68931491096020936</v>
      </c>
      <c r="AB104" s="1238">
        <f ca="1">IFERROR(AB85/AB84, "")</f>
        <v>0.68726058522671718</v>
      </c>
      <c r="AC104" s="1238">
        <f ca="1">IFERROR(AC85/AC84, "")</f>
        <v>0.68360812822357642</v>
      </c>
      <c r="AD104" s="1236">
        <f ca="1">IFERROR(AD85/AD84, "")</f>
        <v>0.68360812822357642</v>
      </c>
      <c r="AE104" s="1236">
        <f ca="1">IFERROR(AE85/AE84, "")</f>
        <v>0.65805275542617514</v>
      </c>
      <c r="AF104" s="1236">
        <f ca="1">IFERROR(AF85/AF84, "")</f>
        <v>0.62649538303151742</v>
      </c>
      <c r="AG104" s="1239">
        <f ca="1">IFERROR(AG85/AG84, "")</f>
        <v>0.59060148953081881</v>
      </c>
      <c r="AH104" s="1264"/>
    </row>
    <row r="105" spans="1:34" ht="14.25" customHeight="1" x14ac:dyDescent="0.35">
      <c r="A105" s="1248"/>
      <c r="B105" s="1234"/>
      <c r="C105" s="1251"/>
      <c r="D105" s="1252"/>
      <c r="E105" s="1252"/>
      <c r="F105" s="1324"/>
      <c r="J105" s="1252"/>
      <c r="O105" s="1252"/>
      <c r="T105" s="1252"/>
      <c r="Y105" s="1252"/>
      <c r="AD105" s="1252"/>
      <c r="AE105" s="1252"/>
      <c r="AF105" s="1252"/>
      <c r="AG105" s="1254"/>
      <c r="AH105" s="1264"/>
    </row>
    <row r="106" spans="1:34" ht="14.25" customHeight="1" x14ac:dyDescent="0.35">
      <c r="A106" s="1210" t="s">
        <v>1211</v>
      </c>
      <c r="B106" s="1211"/>
      <c r="C106" s="1212"/>
      <c r="D106" s="1213"/>
      <c r="E106" s="1213"/>
      <c r="F106" s="1214"/>
      <c r="G106" s="1213"/>
      <c r="H106" s="1213"/>
      <c r="I106" s="1213"/>
      <c r="J106" s="1213"/>
      <c r="K106" s="1213"/>
      <c r="L106" s="1213"/>
      <c r="M106" s="1213"/>
      <c r="N106" s="1213"/>
      <c r="O106" s="1213"/>
      <c r="P106" s="1213"/>
      <c r="Q106" s="1213"/>
      <c r="R106" s="1213"/>
      <c r="S106" s="1213"/>
      <c r="T106" s="1213"/>
      <c r="U106" s="1213"/>
      <c r="V106" s="1213"/>
      <c r="W106" s="1213"/>
      <c r="X106" s="1213"/>
      <c r="Y106" s="1213"/>
      <c r="Z106" s="1213"/>
      <c r="AA106" s="1213"/>
      <c r="AB106" s="1213"/>
      <c r="AC106" s="1213"/>
      <c r="AD106" s="1213"/>
      <c r="AE106" s="1213"/>
      <c r="AF106" s="1213"/>
      <c r="AG106" s="1215"/>
      <c r="AH106" s="1264"/>
    </row>
    <row r="107" spans="1:34" s="1222" customFormat="1" ht="14.25" customHeight="1" outlineLevel="1" x14ac:dyDescent="0.35">
      <c r="A107" s="1216" t="s">
        <v>115</v>
      </c>
      <c r="B107" s="1217"/>
      <c r="C107" s="1218"/>
      <c r="D107" s="1219">
        <f>IFERROR(INDEX(MO_CFS_CFO,0,MATCH(D$3,MO_Common_ColumnHeader,0)),0)</f>
        <v>6662</v>
      </c>
      <c r="E107" s="1219">
        <f>IFERROR(INDEX(MO_CFS_CFO,0,MATCH(E$3,MO_Common_ColumnHeader,0)),0)</f>
        <v>6240</v>
      </c>
      <c r="F107" s="1220">
        <f>IFERROR(INDEX(MO_CFS_CFO,0,MATCH(F$3,MO_Common_ColumnHeader,0)),0)</f>
        <v>143</v>
      </c>
      <c r="G107" s="1220">
        <f>IFERROR(INDEX(MO_CFS_CFO,0,MATCH(G$3,MO_Common_ColumnHeader,0)),0)</f>
        <v>1899</v>
      </c>
      <c r="H107" s="1220">
        <f>IFERROR(INDEX(MO_CFS_CFO,0,MATCH(H$3,MO_Common_ColumnHeader,0)),0)</f>
        <v>2139</v>
      </c>
      <c r="I107" s="1220">
        <f>IFERROR(INDEX(MO_CFS_CFO,0,MATCH(I$3,MO_Common_ColumnHeader,0)),0)</f>
        <v>2258</v>
      </c>
      <c r="J107" s="1219">
        <f>IFERROR(INDEX(MO_CFS_CFO,0,MATCH(J$3,MO_Common_ColumnHeader,0)),0)</f>
        <v>6439</v>
      </c>
      <c r="K107" s="1220">
        <f>IFERROR(INDEX(MO_CFS_CFO,0,MATCH(K$3,MO_Common_ColumnHeader,0)),0)</f>
        <v>1048</v>
      </c>
      <c r="L107" s="1220">
        <f>IFERROR(INDEX(MO_CFS_CFO,0,MATCH(L$3,MO_Common_ColumnHeader,0)),0)</f>
        <v>1662</v>
      </c>
      <c r="M107" s="1220">
        <f>IFERROR(INDEX(MO_CFS_CFO,0,MATCH(M$3,MO_Common_ColumnHeader,0)),0)</f>
        <v>2022</v>
      </c>
      <c r="N107" s="1220">
        <f>IFERROR(INDEX(MO_CFS_CFO,0,MATCH(N$3,MO_Common_ColumnHeader,0)),0)</f>
        <v>2338</v>
      </c>
      <c r="O107" s="1219">
        <f>IFERROR(INDEX(MO_CFS_CFO,0,MATCH(O$3,MO_Common_ColumnHeader,0)),0)</f>
        <v>7070</v>
      </c>
      <c r="P107" s="1220">
        <f>IFERROR(INDEX(MO_CFS_CFO,0,MATCH(P$3,MO_Common_ColumnHeader,0)),0)</f>
        <v>1213</v>
      </c>
      <c r="Q107" s="1220">
        <f>IFERROR(INDEX(MO_CFS_CFO,0,MATCH(Q$3,MO_Common_ColumnHeader,0)),0)</f>
        <v>1905</v>
      </c>
      <c r="R107" s="1220">
        <f>IFERROR(INDEX(MO_CFS_CFO,0,MATCH(R$3,MO_Common_ColumnHeader,0)),0)</f>
        <v>2480</v>
      </c>
      <c r="S107" s="1220">
        <f>IFERROR(INDEX(MO_CFS_CFO,0,MATCH(S$3,MO_Common_ColumnHeader,0)),0)</f>
        <v>2515</v>
      </c>
      <c r="T107" s="1219">
        <f>IFERROR(INDEX(MO_CFS_CFO,0,MATCH(T$3,MO_Common_ColumnHeader,0)),0)</f>
        <v>8113</v>
      </c>
      <c r="U107" s="1220">
        <f>IFERROR(INDEX(MO_CFS_CFO,0,MATCH(U$3,MO_Common_ColumnHeader,0)),0)</f>
        <v>1688</v>
      </c>
      <c r="V107" s="1220">
        <f>IFERROR(INDEX(MO_CFS_CFO,0,MATCH(V$3,MO_Common_ColumnHeader,0)),0)</f>
        <v>1186.109731361604</v>
      </c>
      <c r="W107" s="1220">
        <f>IFERROR(INDEX(MO_CFS_CFO,0,MATCH(W$3,MO_Common_ColumnHeader,0)),0)</f>
        <v>2344.9734734802796</v>
      </c>
      <c r="X107" s="1220">
        <f>IFERROR(INDEX(MO_CFS_CFO,0,MATCH(X$3,MO_Common_ColumnHeader,0)),0)</f>
        <v>2148.4196673371798</v>
      </c>
      <c r="Y107" s="1219">
        <f>IFERROR(INDEX(MO_CFS_CFO,0,MATCH(Y$3,MO_Common_ColumnHeader,0)),0)</f>
        <v>7367.5028721790632</v>
      </c>
      <c r="Z107" s="1220">
        <f>IFERROR(INDEX(MO_CFS_CFO,0,MATCH(Z$3,MO_Common_ColumnHeader,0)),0)</f>
        <v>2073.8618709194066</v>
      </c>
      <c r="AA107" s="1220">
        <f ca="1">IFERROR(INDEX(MO_CFS_CFO,0,MATCH(AA$3,MO_Common_ColumnHeader,0)),0)</f>
        <v>1387.5211794349166</v>
      </c>
      <c r="AB107" s="1220">
        <f ca="1">IFERROR(INDEX(MO_CFS_CFO,0,MATCH(AB$3,MO_Common_ColumnHeader,0)),0)</f>
        <v>2396.9960776884459</v>
      </c>
      <c r="AC107" s="1220">
        <f ca="1">IFERROR(INDEX(MO_CFS_CFO,0,MATCH(AC$3,MO_Common_ColumnHeader,0)),0)</f>
        <v>2281.2835106878711</v>
      </c>
      <c r="AD107" s="1219">
        <f ca="1">IFERROR(INDEX(MO_CFS_CFO,0,MATCH(AD$3,MO_Common_ColumnHeader,0)),0)</f>
        <v>8139.6626387306387</v>
      </c>
      <c r="AE107" s="1219">
        <f ca="1">IFERROR(INDEX(MO_CFS_CFO,0,MATCH(AE$3,MO_Common_ColumnHeader,0)),0)</f>
        <v>8775.4070572569672</v>
      </c>
      <c r="AF107" s="1219">
        <f ca="1">IFERROR(INDEX(MO_CFS_CFO,0,MATCH(AF$3,MO_Common_ColumnHeader,0)),0)</f>
        <v>9455.6741722582938</v>
      </c>
      <c r="AG107" s="1221">
        <f ca="1">IFERROR(INDEX(MO_CFS_CFO,0,MATCH(AG$3,MO_Common_ColumnHeader,0)),0)</f>
        <v>10196.942538237863</v>
      </c>
      <c r="AH107" s="1264"/>
    </row>
    <row r="108" spans="1:34" s="1222" customFormat="1" ht="14.25" customHeight="1" outlineLevel="1" x14ac:dyDescent="0.35">
      <c r="A108" s="1216" t="str">
        <f>"LTM "&amp;A107</f>
        <v>LTM CFO</v>
      </c>
      <c r="B108" s="1217"/>
      <c r="C108" s="1218"/>
      <c r="D108" s="1219">
        <f>IFERROR(IF(LEFT(D$3,1)="F",D107,
IF(LEFT(D$3,2)="Q1",D107+INDEX(107:107,0,MATCH("Q4-"&amp;RIGHT(D$3,4)-1,$3:$3,0))+INDEX(107:107,0,MATCH("Q3-"&amp;RIGHT(D$3,4)-1,$3:$3,0))+INDEX(107:107,0,MATCH("Q2-"&amp;RIGHT(D$3,4)-1,$3:$3,0)),
IF(LEFT(D$3,2)="Q2",D107+INDEX(107:107,0,MATCH("Q4-"&amp;RIGHT(D$3,4)-1,$3:$3,0))+INDEX(107:107,0,MATCH("Q3-"&amp;RIGHT(D$3,4)-1,$3:$3,0))+INDEX(107:107,0,MATCH("Q1-"&amp;RIGHT(D$3,4),$3:$3,0)),
IF(LEFT(D$3,2)="Q3",D107+INDEX(107:107,0,MATCH("Q4-"&amp;RIGHT(D$3,4)-1,$3:$3,0))+INDEX(107:107,0,MATCH("Q2-"&amp;RIGHT(D$3,4),$3:$3,0))+INDEX(107:107,0,MATCH("Q1-"&amp;RIGHT(D$3,4),$3:$3,0)),
IF(LEFT(D$3,2)="Q4",INDEX(107:107,0,MATCH("FY"&amp;RIGHT(D$3,4),$3:$3,0))))))), "")</f>
        <v>6662</v>
      </c>
      <c r="E108" s="1219">
        <f>IFERROR(IF(LEFT(E$3,1)="F",E107,
IF(LEFT(E$3,2)="Q1",E107+INDEX(107:107,0,MATCH("Q4-"&amp;RIGHT(E$3,4)-1,$3:$3,0))+INDEX(107:107,0,MATCH("Q3-"&amp;RIGHT(E$3,4)-1,$3:$3,0))+INDEX(107:107,0,MATCH("Q2-"&amp;RIGHT(E$3,4)-1,$3:$3,0)),
IF(LEFT(E$3,2)="Q2",E107+INDEX(107:107,0,MATCH("Q4-"&amp;RIGHT(E$3,4)-1,$3:$3,0))+INDEX(107:107,0,MATCH("Q3-"&amp;RIGHT(E$3,4)-1,$3:$3,0))+INDEX(107:107,0,MATCH("Q1-"&amp;RIGHT(E$3,4),$3:$3,0)),
IF(LEFT(E$3,2)="Q3",E107+INDEX(107:107,0,MATCH("Q4-"&amp;RIGHT(E$3,4)-1,$3:$3,0))+INDEX(107:107,0,MATCH("Q2-"&amp;RIGHT(E$3,4),$3:$3,0))+INDEX(107:107,0,MATCH("Q1-"&amp;RIGHT(E$3,4),$3:$3,0)),
IF(LEFT(E$3,2)="Q4",INDEX(107:107,0,MATCH("FY"&amp;RIGHT(E$3,4),$3:$3,0))))))), "")</f>
        <v>6240</v>
      </c>
      <c r="F108" s="1220" t="str">
        <f>IFERROR(IF(LEFT(F$3,1)="F",F107,
IF(LEFT(F$3,2)="Q1",F107+INDEX(107:107,0,MATCH("Q4-"&amp;RIGHT(F$3,4)-1,$3:$3,0))+INDEX(107:107,0,MATCH("Q3-"&amp;RIGHT(F$3,4)-1,$3:$3,0))+INDEX(107:107,0,MATCH("Q2-"&amp;RIGHT(F$3,4)-1,$3:$3,0)),
IF(LEFT(F$3,2)="Q2",F107+INDEX(107:107,0,MATCH("Q4-"&amp;RIGHT(F$3,4)-1,$3:$3,0))+INDEX(107:107,0,MATCH("Q3-"&amp;RIGHT(F$3,4)-1,$3:$3,0))+INDEX(107:107,0,MATCH("Q1-"&amp;RIGHT(F$3,4),$3:$3,0)),
IF(LEFT(F$3,2)="Q3",F107+INDEX(107:107,0,MATCH("Q4-"&amp;RIGHT(F$3,4)-1,$3:$3,0))+INDEX(107:107,0,MATCH("Q2-"&amp;RIGHT(F$3,4),$3:$3,0))+INDEX(107:107,0,MATCH("Q1-"&amp;RIGHT(F$3,4),$3:$3,0)),
IF(LEFT(F$3,2)="Q4",INDEX(107:107,0,MATCH("FY"&amp;RIGHT(F$3,4),$3:$3,0))))))), "")</f>
        <v/>
      </c>
      <c r="G108" s="1220" t="str">
        <f>IFERROR(IF(LEFT(G$3,1)="F",G107,
IF(LEFT(G$3,2)="Q1",G107+INDEX(107:107,0,MATCH("Q4-"&amp;RIGHT(G$3,4)-1,$3:$3,0))+INDEX(107:107,0,MATCH("Q3-"&amp;RIGHT(G$3,4)-1,$3:$3,0))+INDEX(107:107,0,MATCH("Q2-"&amp;RIGHT(G$3,4)-1,$3:$3,0)),
IF(LEFT(G$3,2)="Q2",G107+INDEX(107:107,0,MATCH("Q4-"&amp;RIGHT(G$3,4)-1,$3:$3,0))+INDEX(107:107,0,MATCH("Q3-"&amp;RIGHT(G$3,4)-1,$3:$3,0))+INDEX(107:107,0,MATCH("Q1-"&amp;RIGHT(G$3,4),$3:$3,0)),
IF(LEFT(G$3,2)="Q3",G107+INDEX(107:107,0,MATCH("Q4-"&amp;RIGHT(G$3,4)-1,$3:$3,0))+INDEX(107:107,0,MATCH("Q2-"&amp;RIGHT(G$3,4),$3:$3,0))+INDEX(107:107,0,MATCH("Q1-"&amp;RIGHT(G$3,4),$3:$3,0)),
IF(LEFT(G$3,2)="Q4",INDEX(107:107,0,MATCH("FY"&amp;RIGHT(G$3,4),$3:$3,0))))))), "")</f>
        <v/>
      </c>
      <c r="H108" s="1220" t="str">
        <f>IFERROR(IF(LEFT(H$3,1)="F",H107,
IF(LEFT(H$3,2)="Q1",H107+INDEX(107:107,0,MATCH("Q4-"&amp;RIGHT(H$3,4)-1,$3:$3,0))+INDEX(107:107,0,MATCH("Q3-"&amp;RIGHT(H$3,4)-1,$3:$3,0))+INDEX(107:107,0,MATCH("Q2-"&amp;RIGHT(H$3,4)-1,$3:$3,0)),
IF(LEFT(H$3,2)="Q2",H107+INDEX(107:107,0,MATCH("Q4-"&amp;RIGHT(H$3,4)-1,$3:$3,0))+INDEX(107:107,0,MATCH("Q3-"&amp;RIGHT(H$3,4)-1,$3:$3,0))+INDEX(107:107,0,MATCH("Q1-"&amp;RIGHT(H$3,4),$3:$3,0)),
IF(LEFT(H$3,2)="Q3",H107+INDEX(107:107,0,MATCH("Q4-"&amp;RIGHT(H$3,4)-1,$3:$3,0))+INDEX(107:107,0,MATCH("Q2-"&amp;RIGHT(H$3,4),$3:$3,0))+INDEX(107:107,0,MATCH("Q1-"&amp;RIGHT(H$3,4),$3:$3,0)),
IF(LEFT(H$3,2)="Q4",INDEX(107:107,0,MATCH("FY"&amp;RIGHT(H$3,4),$3:$3,0))))))), "")</f>
        <v/>
      </c>
      <c r="I108" s="1220">
        <f>IFERROR(IF(LEFT(I$3,1)="F",I107,
IF(LEFT(I$3,2)="Q1",I107+INDEX(107:107,0,MATCH("Q4-"&amp;RIGHT(I$3,4)-1,$3:$3,0))+INDEX(107:107,0,MATCH("Q3-"&amp;RIGHT(I$3,4)-1,$3:$3,0))+INDEX(107:107,0,MATCH("Q2-"&amp;RIGHT(I$3,4)-1,$3:$3,0)),
IF(LEFT(I$3,2)="Q2",I107+INDEX(107:107,0,MATCH("Q4-"&amp;RIGHT(I$3,4)-1,$3:$3,0))+INDEX(107:107,0,MATCH("Q3-"&amp;RIGHT(I$3,4)-1,$3:$3,0))+INDEX(107:107,0,MATCH("Q1-"&amp;RIGHT(I$3,4),$3:$3,0)),
IF(LEFT(I$3,2)="Q3",I107+INDEX(107:107,0,MATCH("Q4-"&amp;RIGHT(I$3,4)-1,$3:$3,0))+INDEX(107:107,0,MATCH("Q2-"&amp;RIGHT(I$3,4),$3:$3,0))+INDEX(107:107,0,MATCH("Q1-"&amp;RIGHT(I$3,4),$3:$3,0)),
IF(LEFT(I$3,2)="Q4",INDEX(107:107,0,MATCH("FY"&amp;RIGHT(I$3,4),$3:$3,0))))))), "")</f>
        <v>6439</v>
      </c>
      <c r="J108" s="1219">
        <f>IFERROR(IF(LEFT(J$3,1)="F",J107,
IF(LEFT(J$3,2)="Q1",J107+INDEX(107:107,0,MATCH("Q4-"&amp;RIGHT(J$3,4)-1,$3:$3,0))+INDEX(107:107,0,MATCH("Q3-"&amp;RIGHT(J$3,4)-1,$3:$3,0))+INDEX(107:107,0,MATCH("Q2-"&amp;RIGHT(J$3,4)-1,$3:$3,0)),
IF(LEFT(J$3,2)="Q2",J107+INDEX(107:107,0,MATCH("Q4-"&amp;RIGHT(J$3,4)-1,$3:$3,0))+INDEX(107:107,0,MATCH("Q3-"&amp;RIGHT(J$3,4)-1,$3:$3,0))+INDEX(107:107,0,MATCH("Q1-"&amp;RIGHT(J$3,4),$3:$3,0)),
IF(LEFT(J$3,2)="Q3",J107+INDEX(107:107,0,MATCH("Q4-"&amp;RIGHT(J$3,4)-1,$3:$3,0))+INDEX(107:107,0,MATCH("Q2-"&amp;RIGHT(J$3,4),$3:$3,0))+INDEX(107:107,0,MATCH("Q1-"&amp;RIGHT(J$3,4),$3:$3,0)),
IF(LEFT(J$3,2)="Q4",INDEX(107:107,0,MATCH("FY"&amp;RIGHT(J$3,4),$3:$3,0))))))), "")</f>
        <v>6439</v>
      </c>
      <c r="K108" s="1220">
        <f>IFERROR(IF(LEFT(K$3,1)="F",K107,
IF(LEFT(K$3,2)="Q1",K107+INDEX(107:107,0,MATCH("Q4-"&amp;RIGHT(K$3,4)-1,$3:$3,0))+INDEX(107:107,0,MATCH("Q3-"&amp;RIGHT(K$3,4)-1,$3:$3,0))+INDEX(107:107,0,MATCH("Q2-"&amp;RIGHT(K$3,4)-1,$3:$3,0)),
IF(LEFT(K$3,2)="Q2",K107+INDEX(107:107,0,MATCH("Q4-"&amp;RIGHT(K$3,4)-1,$3:$3,0))+INDEX(107:107,0,MATCH("Q3-"&amp;RIGHT(K$3,4)-1,$3:$3,0))+INDEX(107:107,0,MATCH("Q1-"&amp;RIGHT(K$3,4),$3:$3,0)),
IF(LEFT(K$3,2)="Q3",K107+INDEX(107:107,0,MATCH("Q4-"&amp;RIGHT(K$3,4)-1,$3:$3,0))+INDEX(107:107,0,MATCH("Q2-"&amp;RIGHT(K$3,4),$3:$3,0))+INDEX(107:107,0,MATCH("Q1-"&amp;RIGHT(K$3,4),$3:$3,0)),
IF(LEFT(K$3,2)="Q4",INDEX(107:107,0,MATCH("FY"&amp;RIGHT(K$3,4),$3:$3,0))))))), "")</f>
        <v>7344</v>
      </c>
      <c r="L108" s="1220">
        <f>IFERROR(IF(LEFT(L$3,1)="F",L107,
IF(LEFT(L$3,2)="Q1",L107+INDEX(107:107,0,MATCH("Q4-"&amp;RIGHT(L$3,4)-1,$3:$3,0))+INDEX(107:107,0,MATCH("Q3-"&amp;RIGHT(L$3,4)-1,$3:$3,0))+INDEX(107:107,0,MATCH("Q2-"&amp;RIGHT(L$3,4)-1,$3:$3,0)),
IF(LEFT(L$3,2)="Q2",L107+INDEX(107:107,0,MATCH("Q4-"&amp;RIGHT(L$3,4)-1,$3:$3,0))+INDEX(107:107,0,MATCH("Q3-"&amp;RIGHT(L$3,4)-1,$3:$3,0))+INDEX(107:107,0,MATCH("Q1-"&amp;RIGHT(L$3,4),$3:$3,0)),
IF(LEFT(L$3,2)="Q3",L107+INDEX(107:107,0,MATCH("Q4-"&amp;RIGHT(L$3,4)-1,$3:$3,0))+INDEX(107:107,0,MATCH("Q2-"&amp;RIGHT(L$3,4),$3:$3,0))+INDEX(107:107,0,MATCH("Q1-"&amp;RIGHT(L$3,4),$3:$3,0)),
IF(LEFT(L$3,2)="Q4",INDEX(107:107,0,MATCH("FY"&amp;RIGHT(L$3,4),$3:$3,0))))))), "")</f>
        <v>7107</v>
      </c>
      <c r="M108" s="1220">
        <f>IFERROR(IF(LEFT(M$3,1)="F",M107,
IF(LEFT(M$3,2)="Q1",M107+INDEX(107:107,0,MATCH("Q4-"&amp;RIGHT(M$3,4)-1,$3:$3,0))+INDEX(107:107,0,MATCH("Q3-"&amp;RIGHT(M$3,4)-1,$3:$3,0))+INDEX(107:107,0,MATCH("Q2-"&amp;RIGHT(M$3,4)-1,$3:$3,0)),
IF(LEFT(M$3,2)="Q2",M107+INDEX(107:107,0,MATCH("Q4-"&amp;RIGHT(M$3,4)-1,$3:$3,0))+INDEX(107:107,0,MATCH("Q3-"&amp;RIGHT(M$3,4)-1,$3:$3,0))+INDEX(107:107,0,MATCH("Q1-"&amp;RIGHT(M$3,4),$3:$3,0)),
IF(LEFT(M$3,2)="Q3",M107+INDEX(107:107,0,MATCH("Q4-"&amp;RIGHT(M$3,4)-1,$3:$3,0))+INDEX(107:107,0,MATCH("Q2-"&amp;RIGHT(M$3,4),$3:$3,0))+INDEX(107:107,0,MATCH("Q1-"&amp;RIGHT(M$3,4),$3:$3,0)),
IF(LEFT(M$3,2)="Q4",INDEX(107:107,0,MATCH("FY"&amp;RIGHT(M$3,4),$3:$3,0))))))), "")</f>
        <v>6990</v>
      </c>
      <c r="N108" s="1220">
        <f>IFERROR(IF(LEFT(N$3,1)="F",N107,
IF(LEFT(N$3,2)="Q1",N107+INDEX(107:107,0,MATCH("Q4-"&amp;RIGHT(N$3,4)-1,$3:$3,0))+INDEX(107:107,0,MATCH("Q3-"&amp;RIGHT(N$3,4)-1,$3:$3,0))+INDEX(107:107,0,MATCH("Q2-"&amp;RIGHT(N$3,4)-1,$3:$3,0)),
IF(LEFT(N$3,2)="Q2",N107+INDEX(107:107,0,MATCH("Q4-"&amp;RIGHT(N$3,4)-1,$3:$3,0))+INDEX(107:107,0,MATCH("Q3-"&amp;RIGHT(N$3,4)-1,$3:$3,0))+INDEX(107:107,0,MATCH("Q1-"&amp;RIGHT(N$3,4),$3:$3,0)),
IF(LEFT(N$3,2)="Q3",N107+INDEX(107:107,0,MATCH("Q4-"&amp;RIGHT(N$3,4)-1,$3:$3,0))+INDEX(107:107,0,MATCH("Q2-"&amp;RIGHT(N$3,4),$3:$3,0))+INDEX(107:107,0,MATCH("Q1-"&amp;RIGHT(N$3,4),$3:$3,0)),
IF(LEFT(N$3,2)="Q4",INDEX(107:107,0,MATCH("FY"&amp;RIGHT(N$3,4),$3:$3,0))))))), "")</f>
        <v>7070</v>
      </c>
      <c r="O108" s="1219">
        <f>IFERROR(IF(LEFT(O$3,1)="F",O107,
IF(LEFT(O$3,2)="Q1",O107+INDEX(107:107,0,MATCH("Q4-"&amp;RIGHT(O$3,4)-1,$3:$3,0))+INDEX(107:107,0,MATCH("Q3-"&amp;RIGHT(O$3,4)-1,$3:$3,0))+INDEX(107:107,0,MATCH("Q2-"&amp;RIGHT(O$3,4)-1,$3:$3,0)),
IF(LEFT(O$3,2)="Q2",O107+INDEX(107:107,0,MATCH("Q4-"&amp;RIGHT(O$3,4)-1,$3:$3,0))+INDEX(107:107,0,MATCH("Q3-"&amp;RIGHT(O$3,4)-1,$3:$3,0))+INDEX(107:107,0,MATCH("Q1-"&amp;RIGHT(O$3,4),$3:$3,0)),
IF(LEFT(O$3,2)="Q3",O107+INDEX(107:107,0,MATCH("Q4-"&amp;RIGHT(O$3,4)-1,$3:$3,0))+INDEX(107:107,0,MATCH("Q2-"&amp;RIGHT(O$3,4),$3:$3,0))+INDEX(107:107,0,MATCH("Q1-"&amp;RIGHT(O$3,4),$3:$3,0)),
IF(LEFT(O$3,2)="Q4",INDEX(107:107,0,MATCH("FY"&amp;RIGHT(O$3,4),$3:$3,0))))))), "")</f>
        <v>7070</v>
      </c>
      <c r="P108" s="1220">
        <f>IFERROR(IF(LEFT(P$3,1)="F",P107,
IF(LEFT(P$3,2)="Q1",P107+INDEX(107:107,0,MATCH("Q4-"&amp;RIGHT(P$3,4)-1,$3:$3,0))+INDEX(107:107,0,MATCH("Q3-"&amp;RIGHT(P$3,4)-1,$3:$3,0))+INDEX(107:107,0,MATCH("Q2-"&amp;RIGHT(P$3,4)-1,$3:$3,0)),
IF(LEFT(P$3,2)="Q2",P107+INDEX(107:107,0,MATCH("Q4-"&amp;RIGHT(P$3,4)-1,$3:$3,0))+INDEX(107:107,0,MATCH("Q3-"&amp;RIGHT(P$3,4)-1,$3:$3,0))+INDEX(107:107,0,MATCH("Q1-"&amp;RIGHT(P$3,4),$3:$3,0)),
IF(LEFT(P$3,2)="Q3",P107+INDEX(107:107,0,MATCH("Q4-"&amp;RIGHT(P$3,4)-1,$3:$3,0))+INDEX(107:107,0,MATCH("Q2-"&amp;RIGHT(P$3,4),$3:$3,0))+INDEX(107:107,0,MATCH("Q1-"&amp;RIGHT(P$3,4),$3:$3,0)),
IF(LEFT(P$3,2)="Q4",INDEX(107:107,0,MATCH("FY"&amp;RIGHT(P$3,4),$3:$3,0))))))), "")</f>
        <v>7235</v>
      </c>
      <c r="Q108" s="1220">
        <f>IFERROR(IF(LEFT(Q$3,1)="F",Q107,
IF(LEFT(Q$3,2)="Q1",Q107+INDEX(107:107,0,MATCH("Q4-"&amp;RIGHT(Q$3,4)-1,$3:$3,0))+INDEX(107:107,0,MATCH("Q3-"&amp;RIGHT(Q$3,4)-1,$3:$3,0))+INDEX(107:107,0,MATCH("Q2-"&amp;RIGHT(Q$3,4)-1,$3:$3,0)),
IF(LEFT(Q$3,2)="Q2",Q107+INDEX(107:107,0,MATCH("Q4-"&amp;RIGHT(Q$3,4)-1,$3:$3,0))+INDEX(107:107,0,MATCH("Q3-"&amp;RIGHT(Q$3,4)-1,$3:$3,0))+INDEX(107:107,0,MATCH("Q1-"&amp;RIGHT(Q$3,4),$3:$3,0)),
IF(LEFT(Q$3,2)="Q3",Q107+INDEX(107:107,0,MATCH("Q4-"&amp;RIGHT(Q$3,4)-1,$3:$3,0))+INDEX(107:107,0,MATCH("Q2-"&amp;RIGHT(Q$3,4),$3:$3,0))+INDEX(107:107,0,MATCH("Q1-"&amp;RIGHT(Q$3,4),$3:$3,0)),
IF(LEFT(Q$3,2)="Q4",INDEX(107:107,0,MATCH("FY"&amp;RIGHT(Q$3,4),$3:$3,0))))))), "")</f>
        <v>7478</v>
      </c>
      <c r="R108" s="1220">
        <f>IFERROR(IF(LEFT(R$3,1)="F",R107,
IF(LEFT(R$3,2)="Q1",R107+INDEX(107:107,0,MATCH("Q4-"&amp;RIGHT(R$3,4)-1,$3:$3,0))+INDEX(107:107,0,MATCH("Q3-"&amp;RIGHT(R$3,4)-1,$3:$3,0))+INDEX(107:107,0,MATCH("Q2-"&amp;RIGHT(R$3,4)-1,$3:$3,0)),
IF(LEFT(R$3,2)="Q2",R107+INDEX(107:107,0,MATCH("Q4-"&amp;RIGHT(R$3,4)-1,$3:$3,0))+INDEX(107:107,0,MATCH("Q3-"&amp;RIGHT(R$3,4)-1,$3:$3,0))+INDEX(107:107,0,MATCH("Q1-"&amp;RIGHT(R$3,4),$3:$3,0)),
IF(LEFT(R$3,2)="Q3",R107+INDEX(107:107,0,MATCH("Q4-"&amp;RIGHT(R$3,4)-1,$3:$3,0))+INDEX(107:107,0,MATCH("Q2-"&amp;RIGHT(R$3,4),$3:$3,0))+INDEX(107:107,0,MATCH("Q1-"&amp;RIGHT(R$3,4),$3:$3,0)),
IF(LEFT(R$3,2)="Q4",INDEX(107:107,0,MATCH("FY"&amp;RIGHT(R$3,4),$3:$3,0))))))), "")</f>
        <v>7936</v>
      </c>
      <c r="S108" s="1220">
        <f>IFERROR(IF(LEFT(S$3,1)="F",S107,
IF(LEFT(S$3,2)="Q1",S107+INDEX(107:107,0,MATCH("Q4-"&amp;RIGHT(S$3,4)-1,$3:$3,0))+INDEX(107:107,0,MATCH("Q3-"&amp;RIGHT(S$3,4)-1,$3:$3,0))+INDEX(107:107,0,MATCH("Q2-"&amp;RIGHT(S$3,4)-1,$3:$3,0)),
IF(LEFT(S$3,2)="Q2",S107+INDEX(107:107,0,MATCH("Q4-"&amp;RIGHT(S$3,4)-1,$3:$3,0))+INDEX(107:107,0,MATCH("Q3-"&amp;RIGHT(S$3,4)-1,$3:$3,0))+INDEX(107:107,0,MATCH("Q1-"&amp;RIGHT(S$3,4),$3:$3,0)),
IF(LEFT(S$3,2)="Q3",S107+INDEX(107:107,0,MATCH("Q4-"&amp;RIGHT(S$3,4)-1,$3:$3,0))+INDEX(107:107,0,MATCH("Q2-"&amp;RIGHT(S$3,4),$3:$3,0))+INDEX(107:107,0,MATCH("Q1-"&amp;RIGHT(S$3,4),$3:$3,0)),
IF(LEFT(S$3,2)="Q4",INDEX(107:107,0,MATCH("FY"&amp;RIGHT(S$3,4),$3:$3,0))))))), "")</f>
        <v>8113</v>
      </c>
      <c r="T108" s="1219">
        <f>IFERROR(IF(LEFT(T$3,1)="F",T107,
IF(LEFT(T$3,2)="Q1",T107+INDEX(107:107,0,MATCH("Q4-"&amp;RIGHT(T$3,4)-1,$3:$3,0))+INDEX(107:107,0,MATCH("Q3-"&amp;RIGHT(T$3,4)-1,$3:$3,0))+INDEX(107:107,0,MATCH("Q2-"&amp;RIGHT(T$3,4)-1,$3:$3,0)),
IF(LEFT(T$3,2)="Q2",T107+INDEX(107:107,0,MATCH("Q4-"&amp;RIGHT(T$3,4)-1,$3:$3,0))+INDEX(107:107,0,MATCH("Q3-"&amp;RIGHT(T$3,4)-1,$3:$3,0))+INDEX(107:107,0,MATCH("Q1-"&amp;RIGHT(T$3,4),$3:$3,0)),
IF(LEFT(T$3,2)="Q3",T107+INDEX(107:107,0,MATCH("Q4-"&amp;RIGHT(T$3,4)-1,$3:$3,0))+INDEX(107:107,0,MATCH("Q2-"&amp;RIGHT(T$3,4),$3:$3,0))+INDEX(107:107,0,MATCH("Q1-"&amp;RIGHT(T$3,4),$3:$3,0)),
IF(LEFT(T$3,2)="Q4",INDEX(107:107,0,MATCH("FY"&amp;RIGHT(T$3,4),$3:$3,0))))))), "")</f>
        <v>8113</v>
      </c>
      <c r="U108" s="1220">
        <f>IFERROR(IF(LEFT(U$3,1)="F",U107,
IF(LEFT(U$3,2)="Q1",U107+INDEX(107:107,0,MATCH("Q4-"&amp;RIGHT(U$3,4)-1,$3:$3,0))+INDEX(107:107,0,MATCH("Q3-"&amp;RIGHT(U$3,4)-1,$3:$3,0))+INDEX(107:107,0,MATCH("Q2-"&amp;RIGHT(U$3,4)-1,$3:$3,0)),
IF(LEFT(U$3,2)="Q2",U107+INDEX(107:107,0,MATCH("Q4-"&amp;RIGHT(U$3,4)-1,$3:$3,0))+INDEX(107:107,0,MATCH("Q3-"&amp;RIGHT(U$3,4)-1,$3:$3,0))+INDEX(107:107,0,MATCH("Q1-"&amp;RIGHT(U$3,4),$3:$3,0)),
IF(LEFT(U$3,2)="Q3",U107+INDEX(107:107,0,MATCH("Q4-"&amp;RIGHT(U$3,4)-1,$3:$3,0))+INDEX(107:107,0,MATCH("Q2-"&amp;RIGHT(U$3,4),$3:$3,0))+INDEX(107:107,0,MATCH("Q1-"&amp;RIGHT(U$3,4),$3:$3,0)),
IF(LEFT(U$3,2)="Q4",INDEX(107:107,0,MATCH("FY"&amp;RIGHT(U$3,4),$3:$3,0))))))), "")</f>
        <v>8588</v>
      </c>
      <c r="V108" s="1220">
        <f>IFERROR(IF(LEFT(V$3,1)="F",V107,
IF(LEFT(V$3,2)="Q1",V107+INDEX(107:107,0,MATCH("Q4-"&amp;RIGHT(V$3,4)-1,$3:$3,0))+INDEX(107:107,0,MATCH("Q3-"&amp;RIGHT(V$3,4)-1,$3:$3,0))+INDEX(107:107,0,MATCH("Q2-"&amp;RIGHT(V$3,4)-1,$3:$3,0)),
IF(LEFT(V$3,2)="Q2",V107+INDEX(107:107,0,MATCH("Q4-"&amp;RIGHT(V$3,4)-1,$3:$3,0))+INDEX(107:107,0,MATCH("Q3-"&amp;RIGHT(V$3,4)-1,$3:$3,0))+INDEX(107:107,0,MATCH("Q1-"&amp;RIGHT(V$3,4),$3:$3,0)),
IF(LEFT(V$3,2)="Q3",V107+INDEX(107:107,0,MATCH("Q4-"&amp;RIGHT(V$3,4)-1,$3:$3,0))+INDEX(107:107,0,MATCH("Q2-"&amp;RIGHT(V$3,4),$3:$3,0))+INDEX(107:107,0,MATCH("Q1-"&amp;RIGHT(V$3,4),$3:$3,0)),
IF(LEFT(V$3,2)="Q4",INDEX(107:107,0,MATCH("FY"&amp;RIGHT(V$3,4),$3:$3,0))))))), "")</f>
        <v>7869.1097313616037</v>
      </c>
      <c r="W108" s="1220">
        <f>IFERROR(IF(LEFT(W$3,1)="F",W107,
IF(LEFT(W$3,2)="Q1",W107+INDEX(107:107,0,MATCH("Q4-"&amp;RIGHT(W$3,4)-1,$3:$3,0))+INDEX(107:107,0,MATCH("Q3-"&amp;RIGHT(W$3,4)-1,$3:$3,0))+INDEX(107:107,0,MATCH("Q2-"&amp;RIGHT(W$3,4)-1,$3:$3,0)),
IF(LEFT(W$3,2)="Q2",W107+INDEX(107:107,0,MATCH("Q4-"&amp;RIGHT(W$3,4)-1,$3:$3,0))+INDEX(107:107,0,MATCH("Q3-"&amp;RIGHT(W$3,4)-1,$3:$3,0))+INDEX(107:107,0,MATCH("Q1-"&amp;RIGHT(W$3,4),$3:$3,0)),
IF(LEFT(W$3,2)="Q3",W107+INDEX(107:107,0,MATCH("Q4-"&amp;RIGHT(W$3,4)-1,$3:$3,0))+INDEX(107:107,0,MATCH("Q2-"&amp;RIGHT(W$3,4),$3:$3,0))+INDEX(107:107,0,MATCH("Q1-"&amp;RIGHT(W$3,4),$3:$3,0)),
IF(LEFT(W$3,2)="Q4",INDEX(107:107,0,MATCH("FY"&amp;RIGHT(W$3,4),$3:$3,0))))))), "")</f>
        <v>7734.0832048418833</v>
      </c>
      <c r="X108" s="1220">
        <f>IFERROR(IF(LEFT(X$3,1)="F",X107,
IF(LEFT(X$3,2)="Q1",X107+INDEX(107:107,0,MATCH("Q4-"&amp;RIGHT(X$3,4)-1,$3:$3,0))+INDEX(107:107,0,MATCH("Q3-"&amp;RIGHT(X$3,4)-1,$3:$3,0))+INDEX(107:107,0,MATCH("Q2-"&amp;RIGHT(X$3,4)-1,$3:$3,0)),
IF(LEFT(X$3,2)="Q2",X107+INDEX(107:107,0,MATCH("Q4-"&amp;RIGHT(X$3,4)-1,$3:$3,0))+INDEX(107:107,0,MATCH("Q3-"&amp;RIGHT(X$3,4)-1,$3:$3,0))+INDEX(107:107,0,MATCH("Q1-"&amp;RIGHT(X$3,4),$3:$3,0)),
IF(LEFT(X$3,2)="Q3",X107+INDEX(107:107,0,MATCH("Q4-"&amp;RIGHT(X$3,4)-1,$3:$3,0))+INDEX(107:107,0,MATCH("Q2-"&amp;RIGHT(X$3,4),$3:$3,0))+INDEX(107:107,0,MATCH("Q1-"&amp;RIGHT(X$3,4),$3:$3,0)),
IF(LEFT(X$3,2)="Q4",INDEX(107:107,0,MATCH("FY"&amp;RIGHT(X$3,4),$3:$3,0))))))), "")</f>
        <v>7367.5028721790632</v>
      </c>
      <c r="Y108" s="1219">
        <f>IFERROR(IF(LEFT(Y$3,1)="F",Y107,
IF(LEFT(Y$3,2)="Q1",Y107+INDEX(107:107,0,MATCH("Q4-"&amp;RIGHT(Y$3,4)-1,$3:$3,0))+INDEX(107:107,0,MATCH("Q3-"&amp;RIGHT(Y$3,4)-1,$3:$3,0))+INDEX(107:107,0,MATCH("Q2-"&amp;RIGHT(Y$3,4)-1,$3:$3,0)),
IF(LEFT(Y$3,2)="Q2",Y107+INDEX(107:107,0,MATCH("Q4-"&amp;RIGHT(Y$3,4)-1,$3:$3,0))+INDEX(107:107,0,MATCH("Q3-"&amp;RIGHT(Y$3,4)-1,$3:$3,0))+INDEX(107:107,0,MATCH("Q1-"&amp;RIGHT(Y$3,4),$3:$3,0)),
IF(LEFT(Y$3,2)="Q3",Y107+INDEX(107:107,0,MATCH("Q4-"&amp;RIGHT(Y$3,4)-1,$3:$3,0))+INDEX(107:107,0,MATCH("Q2-"&amp;RIGHT(Y$3,4),$3:$3,0))+INDEX(107:107,0,MATCH("Q1-"&amp;RIGHT(Y$3,4),$3:$3,0)),
IF(LEFT(Y$3,2)="Q4",INDEX(107:107,0,MATCH("FY"&amp;RIGHT(Y$3,4),$3:$3,0))))))), "")</f>
        <v>7367.5028721790632</v>
      </c>
      <c r="Z108" s="1220">
        <f>IFERROR(IF(LEFT(Z$3,1)="F",Z107,
IF(LEFT(Z$3,2)="Q1",Z107+INDEX(107:107,0,MATCH("Q4-"&amp;RIGHT(Z$3,4)-1,$3:$3,0))+INDEX(107:107,0,MATCH("Q3-"&amp;RIGHT(Z$3,4)-1,$3:$3,0))+INDEX(107:107,0,MATCH("Q2-"&amp;RIGHT(Z$3,4)-1,$3:$3,0)),
IF(LEFT(Z$3,2)="Q2",Z107+INDEX(107:107,0,MATCH("Q4-"&amp;RIGHT(Z$3,4)-1,$3:$3,0))+INDEX(107:107,0,MATCH("Q3-"&amp;RIGHT(Z$3,4)-1,$3:$3,0))+INDEX(107:107,0,MATCH("Q1-"&amp;RIGHT(Z$3,4),$3:$3,0)),
IF(LEFT(Z$3,2)="Q3",Z107+INDEX(107:107,0,MATCH("Q4-"&amp;RIGHT(Z$3,4)-1,$3:$3,0))+INDEX(107:107,0,MATCH("Q2-"&amp;RIGHT(Z$3,4),$3:$3,0))+INDEX(107:107,0,MATCH("Q1-"&amp;RIGHT(Z$3,4),$3:$3,0)),
IF(LEFT(Z$3,2)="Q4",INDEX(107:107,0,MATCH("FY"&amp;RIGHT(Z$3,4),$3:$3,0))))))), "")</f>
        <v>7753.3647430984693</v>
      </c>
      <c r="AA108" s="1220">
        <f ca="1">IFERROR(IF(LEFT(AA$3,1)="F",AA107,
IF(LEFT(AA$3,2)="Q1",AA107+INDEX(107:107,0,MATCH("Q4-"&amp;RIGHT(AA$3,4)-1,$3:$3,0))+INDEX(107:107,0,MATCH("Q3-"&amp;RIGHT(AA$3,4)-1,$3:$3,0))+INDEX(107:107,0,MATCH("Q2-"&amp;RIGHT(AA$3,4)-1,$3:$3,0)),
IF(LEFT(AA$3,2)="Q2",AA107+INDEX(107:107,0,MATCH("Q4-"&amp;RIGHT(AA$3,4)-1,$3:$3,0))+INDEX(107:107,0,MATCH("Q3-"&amp;RIGHT(AA$3,4)-1,$3:$3,0))+INDEX(107:107,0,MATCH("Q1-"&amp;RIGHT(AA$3,4),$3:$3,0)),
IF(LEFT(AA$3,2)="Q3",AA107+INDEX(107:107,0,MATCH("Q4-"&amp;RIGHT(AA$3,4)-1,$3:$3,0))+INDEX(107:107,0,MATCH("Q2-"&amp;RIGHT(AA$3,4),$3:$3,0))+INDEX(107:107,0,MATCH("Q1-"&amp;RIGHT(AA$3,4),$3:$3,0)),
IF(LEFT(AA$3,2)="Q4",INDEX(107:107,0,MATCH("FY"&amp;RIGHT(AA$3,4),$3:$3,0))))))), "")</f>
        <v>7954.7761911717826</v>
      </c>
      <c r="AB108" s="1220">
        <f ca="1">IFERROR(IF(LEFT(AB$3,1)="F",AB107,
IF(LEFT(AB$3,2)="Q1",AB107+INDEX(107:107,0,MATCH("Q4-"&amp;RIGHT(AB$3,4)-1,$3:$3,0))+INDEX(107:107,0,MATCH("Q3-"&amp;RIGHT(AB$3,4)-1,$3:$3,0))+INDEX(107:107,0,MATCH("Q2-"&amp;RIGHT(AB$3,4)-1,$3:$3,0)),
IF(LEFT(AB$3,2)="Q2",AB107+INDEX(107:107,0,MATCH("Q4-"&amp;RIGHT(AB$3,4)-1,$3:$3,0))+INDEX(107:107,0,MATCH("Q3-"&amp;RIGHT(AB$3,4)-1,$3:$3,0))+INDEX(107:107,0,MATCH("Q1-"&amp;RIGHT(AB$3,4),$3:$3,0)),
IF(LEFT(AB$3,2)="Q3",AB107+INDEX(107:107,0,MATCH("Q4-"&amp;RIGHT(AB$3,4)-1,$3:$3,0))+INDEX(107:107,0,MATCH("Q2-"&amp;RIGHT(AB$3,4),$3:$3,0))+INDEX(107:107,0,MATCH("Q1-"&amp;RIGHT(AB$3,4),$3:$3,0)),
IF(LEFT(AB$3,2)="Q4",INDEX(107:107,0,MATCH("FY"&amp;RIGHT(AB$3,4),$3:$3,0))))))), "")</f>
        <v>8006.7987953799493</v>
      </c>
      <c r="AC108" s="1220">
        <f ca="1">IFERROR(IF(LEFT(AC$3,1)="F",AC107,
IF(LEFT(AC$3,2)="Q1",AC107+INDEX(107:107,0,MATCH("Q4-"&amp;RIGHT(AC$3,4)-1,$3:$3,0))+INDEX(107:107,0,MATCH("Q3-"&amp;RIGHT(AC$3,4)-1,$3:$3,0))+INDEX(107:107,0,MATCH("Q2-"&amp;RIGHT(AC$3,4)-1,$3:$3,0)),
IF(LEFT(AC$3,2)="Q2",AC107+INDEX(107:107,0,MATCH("Q4-"&amp;RIGHT(AC$3,4)-1,$3:$3,0))+INDEX(107:107,0,MATCH("Q3-"&amp;RIGHT(AC$3,4)-1,$3:$3,0))+INDEX(107:107,0,MATCH("Q1-"&amp;RIGHT(AC$3,4),$3:$3,0)),
IF(LEFT(AC$3,2)="Q3",AC107+INDEX(107:107,0,MATCH("Q4-"&amp;RIGHT(AC$3,4)-1,$3:$3,0))+INDEX(107:107,0,MATCH("Q2-"&amp;RIGHT(AC$3,4),$3:$3,0))+INDEX(107:107,0,MATCH("Q1-"&amp;RIGHT(AC$3,4),$3:$3,0)),
IF(LEFT(AC$3,2)="Q4",INDEX(107:107,0,MATCH("FY"&amp;RIGHT(AC$3,4),$3:$3,0))))))), "")</f>
        <v>8139.6626387306387</v>
      </c>
      <c r="AD108" s="1219">
        <f ca="1">IFERROR(IF(LEFT(AD$3,1)="F",AD107,
IF(LEFT(AD$3,2)="Q1",AD107+INDEX(107:107,0,MATCH("Q4-"&amp;RIGHT(AD$3,4)-1,$3:$3,0))+INDEX(107:107,0,MATCH("Q3-"&amp;RIGHT(AD$3,4)-1,$3:$3,0))+INDEX(107:107,0,MATCH("Q2-"&amp;RIGHT(AD$3,4)-1,$3:$3,0)),
IF(LEFT(AD$3,2)="Q2",AD107+INDEX(107:107,0,MATCH("Q4-"&amp;RIGHT(AD$3,4)-1,$3:$3,0))+INDEX(107:107,0,MATCH("Q3-"&amp;RIGHT(AD$3,4)-1,$3:$3,0))+INDEX(107:107,0,MATCH("Q1-"&amp;RIGHT(AD$3,4),$3:$3,0)),
IF(LEFT(AD$3,2)="Q3",AD107+INDEX(107:107,0,MATCH("Q4-"&amp;RIGHT(AD$3,4)-1,$3:$3,0))+INDEX(107:107,0,MATCH("Q2-"&amp;RIGHT(AD$3,4),$3:$3,0))+INDEX(107:107,0,MATCH("Q1-"&amp;RIGHT(AD$3,4),$3:$3,0)),
IF(LEFT(AD$3,2)="Q4",INDEX(107:107,0,MATCH("FY"&amp;RIGHT(AD$3,4),$3:$3,0))))))), "")</f>
        <v>8139.6626387306387</v>
      </c>
      <c r="AE108" s="1219">
        <f ca="1">IFERROR(IF(LEFT(AE$3,1)="F",AE107,
IF(LEFT(AE$3,2)="Q1",AE107+INDEX(107:107,0,MATCH("Q4-"&amp;RIGHT(AE$3,4)-1,$3:$3,0))+INDEX(107:107,0,MATCH("Q3-"&amp;RIGHT(AE$3,4)-1,$3:$3,0))+INDEX(107:107,0,MATCH("Q2-"&amp;RIGHT(AE$3,4)-1,$3:$3,0)),
IF(LEFT(AE$3,2)="Q2",AE107+INDEX(107:107,0,MATCH("Q4-"&amp;RIGHT(AE$3,4)-1,$3:$3,0))+INDEX(107:107,0,MATCH("Q3-"&amp;RIGHT(AE$3,4)-1,$3:$3,0))+INDEX(107:107,0,MATCH("Q1-"&amp;RIGHT(AE$3,4),$3:$3,0)),
IF(LEFT(AE$3,2)="Q3",AE107+INDEX(107:107,0,MATCH("Q4-"&amp;RIGHT(AE$3,4)-1,$3:$3,0))+INDEX(107:107,0,MATCH("Q2-"&amp;RIGHT(AE$3,4),$3:$3,0))+INDEX(107:107,0,MATCH("Q1-"&amp;RIGHT(AE$3,4),$3:$3,0)),
IF(LEFT(AE$3,2)="Q4",INDEX(107:107,0,MATCH("FY"&amp;RIGHT(AE$3,4),$3:$3,0))))))), "")</f>
        <v>8775.4070572569672</v>
      </c>
      <c r="AF108" s="1219">
        <f ca="1">IFERROR(IF(LEFT(AF$3,1)="F",AF107,
IF(LEFT(AF$3,2)="Q1",AF107+INDEX(107:107,0,MATCH("Q4-"&amp;RIGHT(AF$3,4)-1,$3:$3,0))+INDEX(107:107,0,MATCH("Q3-"&amp;RIGHT(AF$3,4)-1,$3:$3,0))+INDEX(107:107,0,MATCH("Q2-"&amp;RIGHT(AF$3,4)-1,$3:$3,0)),
IF(LEFT(AF$3,2)="Q2",AF107+INDEX(107:107,0,MATCH("Q4-"&amp;RIGHT(AF$3,4)-1,$3:$3,0))+INDEX(107:107,0,MATCH("Q3-"&amp;RIGHT(AF$3,4)-1,$3:$3,0))+INDEX(107:107,0,MATCH("Q1-"&amp;RIGHT(AF$3,4),$3:$3,0)),
IF(LEFT(AF$3,2)="Q3",AF107+INDEX(107:107,0,MATCH("Q4-"&amp;RIGHT(AF$3,4)-1,$3:$3,0))+INDEX(107:107,0,MATCH("Q2-"&amp;RIGHT(AF$3,4),$3:$3,0))+INDEX(107:107,0,MATCH("Q1-"&amp;RIGHT(AF$3,4),$3:$3,0)),
IF(LEFT(AF$3,2)="Q4",INDEX(107:107,0,MATCH("FY"&amp;RIGHT(AF$3,4),$3:$3,0))))))), "")</f>
        <v>9455.6741722582938</v>
      </c>
      <c r="AG108" s="1221">
        <f ca="1">IFERROR(IF(LEFT(AG$3,1)="F",AG107,
IF(LEFT(AG$3,2)="Q1",AG107+INDEX(107:107,0,MATCH("Q4-"&amp;RIGHT(AG$3,4)-1,$3:$3,0))+INDEX(107:107,0,MATCH("Q3-"&amp;RIGHT(AG$3,4)-1,$3:$3,0))+INDEX(107:107,0,MATCH("Q2-"&amp;RIGHT(AG$3,4)-1,$3:$3,0)),
IF(LEFT(AG$3,2)="Q2",AG107+INDEX(107:107,0,MATCH("Q4-"&amp;RIGHT(AG$3,4)-1,$3:$3,0))+INDEX(107:107,0,MATCH("Q3-"&amp;RIGHT(AG$3,4)-1,$3:$3,0))+INDEX(107:107,0,MATCH("Q1-"&amp;RIGHT(AG$3,4),$3:$3,0)),
IF(LEFT(AG$3,2)="Q3",AG107+INDEX(107:107,0,MATCH("Q4-"&amp;RIGHT(AG$3,4)-1,$3:$3,0))+INDEX(107:107,0,MATCH("Q2-"&amp;RIGHT(AG$3,4),$3:$3,0))+INDEX(107:107,0,MATCH("Q1-"&amp;RIGHT(AG$3,4),$3:$3,0)),
IF(LEFT(AG$3,2)="Q4",INDEX(107:107,0,MATCH("FY"&amp;RIGHT(AG$3,4),$3:$3,0))))))), "")</f>
        <v>10196.942538237863</v>
      </c>
      <c r="AH108" s="1264"/>
    </row>
    <row r="109" spans="1:34" s="1264" customFormat="1" ht="14.25" customHeight="1" outlineLevel="1" x14ac:dyDescent="0.35">
      <c r="A109" s="1325"/>
      <c r="B109" s="1326"/>
      <c r="C109" s="1290"/>
      <c r="D109" s="1327"/>
      <c r="E109" s="1327"/>
      <c r="F109" s="1328"/>
      <c r="G109" s="1328"/>
      <c r="H109" s="1328"/>
      <c r="I109" s="1328"/>
      <c r="J109" s="1327"/>
      <c r="K109" s="1328"/>
      <c r="L109" s="1328"/>
      <c r="M109" s="1328"/>
      <c r="N109" s="1328"/>
      <c r="O109" s="1327"/>
      <c r="P109" s="1328"/>
      <c r="Q109" s="1328"/>
      <c r="R109" s="1328"/>
      <c r="S109" s="1328"/>
      <c r="T109" s="1327"/>
      <c r="U109" s="1328"/>
      <c r="V109" s="1328"/>
      <c r="W109" s="1328"/>
      <c r="X109" s="1328"/>
      <c r="Y109" s="1327"/>
      <c r="Z109" s="1328"/>
      <c r="AA109" s="1328"/>
      <c r="AB109" s="1328"/>
      <c r="AC109" s="1328"/>
      <c r="AD109" s="1327"/>
      <c r="AE109" s="1327"/>
      <c r="AF109" s="1327"/>
      <c r="AG109" s="1329"/>
    </row>
    <row r="110" spans="1:34" s="1264" customFormat="1" ht="14.25" customHeight="1" x14ac:dyDescent="0.35">
      <c r="A110" s="1291" t="s">
        <v>1212</v>
      </c>
      <c r="B110" s="1292"/>
      <c r="C110" s="1290"/>
      <c r="D110" s="1327">
        <f>IFERROR(D18/D19, "")</f>
        <v>36.2964824120603</v>
      </c>
      <c r="E110" s="1327">
        <f>IFERROR(E18/E19, "")</f>
        <v>23.888198757763973</v>
      </c>
      <c r="F110" s="1328" t="str">
        <f>IFERROR(F18/F19, "")</f>
        <v/>
      </c>
      <c r="G110" s="1328" t="str">
        <f>IFERROR(G18/G19, "")</f>
        <v/>
      </c>
      <c r="H110" s="1328" t="str">
        <f>IFERROR(H18/H19, "")</f>
        <v/>
      </c>
      <c r="I110" s="1328">
        <f>IFERROR(I18/I19, "")</f>
        <v>23.154285714285713</v>
      </c>
      <c r="J110" s="1327">
        <f>IFERROR(J18/J19, "")</f>
        <v>23.154285714285713</v>
      </c>
      <c r="K110" s="1328">
        <f>IFERROR(K18/K19, "")</f>
        <v>21.172043010752688</v>
      </c>
      <c r="L110" s="1328">
        <f>IFERROR(L18/L19, "")</f>
        <v>18.169620253164556</v>
      </c>
      <c r="M110" s="1328">
        <f>IFERROR(M18/M19, "")</f>
        <v>16.863961813842483</v>
      </c>
      <c r="N110" s="1328">
        <f>IFERROR(N18/N19, "")</f>
        <v>15.227678571428571</v>
      </c>
      <c r="O110" s="1327">
        <f>IFERROR(O18/O19, "")</f>
        <v>15.227678571428571</v>
      </c>
      <c r="P110" s="1328">
        <f>IFERROR(P18/P19, "")</f>
        <v>14.612419700214133</v>
      </c>
      <c r="Q110" s="1328">
        <f>IFERROR(Q18/Q19, "")</f>
        <v>13.245436105476674</v>
      </c>
      <c r="R110" s="1328">
        <f>IFERROR(R18/R19, "")</f>
        <v>12.76171875</v>
      </c>
      <c r="S110" s="1328">
        <f>IFERROR(S18/S19, "")</f>
        <v>12.937618147448015</v>
      </c>
      <c r="T110" s="1327">
        <f>IFERROR(T18/T19, "")</f>
        <v>12.937618147448015</v>
      </c>
      <c r="U110" s="1328">
        <f>IFERROR(U18/U19, "")</f>
        <v>13.308550185873607</v>
      </c>
      <c r="V110" s="1328">
        <f>IFERROR(V18/V19, "")</f>
        <v>13.986950786608677</v>
      </c>
      <c r="W110" s="1328">
        <f>IFERROR(W18/W19, "")</f>
        <v>14.09785386005399</v>
      </c>
      <c r="X110" s="1328">
        <f>IFERROR(X18/X19, "")</f>
        <v>14.862345514078223</v>
      </c>
      <c r="Y110" s="1327">
        <f>IFERROR(Y18/Y19, "")</f>
        <v>14.862345514078223</v>
      </c>
      <c r="Z110" s="1328">
        <f>IFERROR(Z18/Z19, "")</f>
        <v>15.419270483084736</v>
      </c>
      <c r="AA110" s="1328">
        <f>IFERROR(AA18/AA19, "")</f>
        <v>15.949445806405867</v>
      </c>
      <c r="AB110" s="1328">
        <f>IFERROR(AB18/AB19, "")</f>
        <v>16.099718909004729</v>
      </c>
      <c r="AC110" s="1328">
        <f>IFERROR(AC18/AC19, "")</f>
        <v>16.479564386376783</v>
      </c>
      <c r="AD110" s="1327">
        <f>IFERROR(AD18/AD19, "")</f>
        <v>16.479564386376783</v>
      </c>
      <c r="AE110" s="1327">
        <f>IFERROR(AE18/AE19, "")</f>
        <v>18.003744912931705</v>
      </c>
      <c r="AF110" s="1327">
        <f>IFERROR(AF18/AF19, "")</f>
        <v>19.657388113413287</v>
      </c>
      <c r="AG110" s="1329">
        <f>IFERROR(AG18/AG19, "")</f>
        <v>21.451166274227923</v>
      </c>
    </row>
    <row r="111" spans="1:34" s="1264" customFormat="1" ht="14.25" customHeight="1" x14ac:dyDescent="0.35">
      <c r="A111" s="1291" t="s">
        <v>1213</v>
      </c>
      <c r="B111" s="1292"/>
      <c r="C111" s="1290"/>
      <c r="D111" s="1327">
        <f>IFERROR(D17/D19, "")</f>
        <v>43.7035175879397</v>
      </c>
      <c r="E111" s="1327">
        <f>IFERROR(E17/E19, "")</f>
        <v>28.683229813664596</v>
      </c>
      <c r="F111" s="1328" t="str">
        <f>IFERROR(F17/F19, "")</f>
        <v/>
      </c>
      <c r="G111" s="1328" t="str">
        <f>IFERROR(G17/G19, "")</f>
        <v/>
      </c>
      <c r="H111" s="1328" t="str">
        <f>IFERROR(H17/H19, "")</f>
        <v/>
      </c>
      <c r="I111" s="1328">
        <f>IFERROR(I17/I19, "")</f>
        <v>27.405714285714286</v>
      </c>
      <c r="J111" s="1327">
        <f>IFERROR(J17/J19, "")</f>
        <v>27.405714285714286</v>
      </c>
      <c r="K111" s="1328">
        <f>IFERROR(K17/K19, "")</f>
        <v>25.153225806451612</v>
      </c>
      <c r="L111" s="1328">
        <f>IFERROR(L17/L19, "")</f>
        <v>21.90886075949367</v>
      </c>
      <c r="M111" s="1328">
        <f>IFERROR(M17/M19, "")</f>
        <v>20.446300715990454</v>
      </c>
      <c r="N111" s="1328">
        <f>IFERROR(N17/N19, "")</f>
        <v>18.783482142857142</v>
      </c>
      <c r="O111" s="1327">
        <f>IFERROR(O17/O19, "")</f>
        <v>18.783482142857142</v>
      </c>
      <c r="P111" s="1328">
        <f>IFERROR(P17/P19, "")</f>
        <v>18.162740899357601</v>
      </c>
      <c r="Q111" s="1328">
        <f>IFERROR(Q17/Q19, "")</f>
        <v>16.843813387423936</v>
      </c>
      <c r="R111" s="1328">
        <f>IFERROR(R17/R19, "")</f>
        <v>16.42578125</v>
      </c>
      <c r="S111" s="1328">
        <f>IFERROR(S17/S19, "")</f>
        <v>16.550094517958414</v>
      </c>
      <c r="T111" s="1327">
        <f>IFERROR(T17/T19, "")</f>
        <v>16.550094517958414</v>
      </c>
      <c r="U111" s="1328">
        <f>IFERROR(U17/U19, "")</f>
        <v>16.897769516728623</v>
      </c>
      <c r="V111" s="1328">
        <f>IFERROR(V17/V19, "")</f>
        <v>17.487456416628866</v>
      </c>
      <c r="W111" s="1328">
        <f>IFERROR(W17/W19, "")</f>
        <v>17.46198789179892</v>
      </c>
      <c r="X111" s="1328">
        <f>IFERROR(X17/X19, "")</f>
        <v>18.139804666167155</v>
      </c>
      <c r="Y111" s="1327">
        <f>IFERROR(Y17/Y19, "")</f>
        <v>18.139804666167155</v>
      </c>
      <c r="Z111" s="1328">
        <f>IFERROR(Z17/Z19, "")</f>
        <v>18.642489796614861</v>
      </c>
      <c r="AA111" s="1328">
        <f>IFERROR(AA17/AA19, "")</f>
        <v>19.172665119935989</v>
      </c>
      <c r="AB111" s="1328">
        <f>IFERROR(AB17/AB19, "")</f>
        <v>19.322938222534855</v>
      </c>
      <c r="AC111" s="1328">
        <f>IFERROR(AC17/AC19, "")</f>
        <v>19.702783699906909</v>
      </c>
      <c r="AD111" s="1327">
        <f>IFERROR(AD17/AD19, "")</f>
        <v>19.702783699906909</v>
      </c>
      <c r="AE111" s="1327">
        <f>IFERROR(AE17/AE19, "")</f>
        <v>21.226964226461831</v>
      </c>
      <c r="AF111" s="1327">
        <f>IFERROR(AF17/AF19, "")</f>
        <v>22.880607426943413</v>
      </c>
      <c r="AG111" s="1329">
        <f>IFERROR(AG17/AG19, "")</f>
        <v>24.674385587758049</v>
      </c>
    </row>
    <row r="112" spans="1:34" s="1264" customFormat="1" ht="14.25" customHeight="1" x14ac:dyDescent="0.35">
      <c r="A112" s="1291" t="s">
        <v>1214</v>
      </c>
      <c r="B112" s="1292"/>
      <c r="C112" s="1290"/>
      <c r="D112" s="1327">
        <f>IFERROR((D17+D52)/D19, "")</f>
        <v>36.5678391959799</v>
      </c>
      <c r="E112" s="1327">
        <f>IFERROR((E17+E52)/E19, "")</f>
        <v>24.419254658385093</v>
      </c>
      <c r="F112" s="1328" t="str">
        <f>IFERROR((F17+F52)/F19, "")</f>
        <v/>
      </c>
      <c r="G112" s="1328" t="str">
        <f>IFERROR((G17+G52)/G19, "")</f>
        <v/>
      </c>
      <c r="H112" s="1328" t="str">
        <f>IFERROR((H17+H52)/H19, "")</f>
        <v/>
      </c>
      <c r="I112" s="1328">
        <f>IFERROR((I17+I52)/I19, "")</f>
        <v>22.9</v>
      </c>
      <c r="J112" s="1327">
        <f>IFERROR((J17+J52)/J19, "")</f>
        <v>22.9</v>
      </c>
      <c r="K112" s="1328">
        <f>IFERROR((K17+K52)/K19, "")</f>
        <v>20.68010752688172</v>
      </c>
      <c r="L112" s="1328">
        <f>IFERROR((L17+L52)/L19, "")</f>
        <v>17.554430379746837</v>
      </c>
      <c r="M112" s="1328">
        <f>IFERROR((M17+M52)/M19, "")</f>
        <v>16.408114558472555</v>
      </c>
      <c r="N112" s="1328">
        <f>IFERROR((N17+N52)/N19, "")</f>
        <v>14.991071428571429</v>
      </c>
      <c r="O112" s="1327">
        <f>IFERROR((O17+O52)/O19, "")</f>
        <v>14.991071428571429</v>
      </c>
      <c r="P112" s="1328">
        <f>IFERROR((P17+P52)/P19, "")</f>
        <v>14.650963597430406</v>
      </c>
      <c r="Q112" s="1328">
        <f>IFERROR((Q17+Q52)/Q19, "")</f>
        <v>13.602434077079108</v>
      </c>
      <c r="R112" s="1328">
        <f>IFERROR((R17+R52)/R19, "")</f>
        <v>13.267578125</v>
      </c>
      <c r="S112" s="1328">
        <f>IFERROR((S17+S52)/S19, "")</f>
        <v>13.712665406427222</v>
      </c>
      <c r="T112" s="1327">
        <f>IFERROR((T17+T52)/T19, "")</f>
        <v>13.712665406427222</v>
      </c>
      <c r="U112" s="1328">
        <f>IFERROR((U17+U52)/U19, "")</f>
        <v>14.148698884758364</v>
      </c>
      <c r="V112" s="1328">
        <f>IFERROR((V17+V52)/V19, "")</f>
        <v>14.52967939555494</v>
      </c>
      <c r="W112" s="1328">
        <f>IFERROR((W17+W52)/W19, "")</f>
        <v>14.332301253859223</v>
      </c>
      <c r="X112" s="1328">
        <f>IFERROR((X17+X52)/X19, "")</f>
        <v>14.862345514078223</v>
      </c>
      <c r="Y112" s="1327">
        <f>IFERROR((Y17+Y52)/Y19, "")</f>
        <v>14.862345514078223</v>
      </c>
      <c r="Z112" s="1328">
        <f>IFERROR((Z17+Z52)/Z19, "")</f>
        <v>15.040068210904721</v>
      </c>
      <c r="AA112" s="1328">
        <f>IFERROR((AA17+AA52)/AA19, "")</f>
        <v>15.570243534225849</v>
      </c>
      <c r="AB112" s="1328">
        <f>IFERROR((AB17+AB52)/AB19, "")</f>
        <v>15.720516636824712</v>
      </c>
      <c r="AC112" s="1328">
        <f>IFERROR((AC17+AC52)/AC19, "")</f>
        <v>16.100362114196766</v>
      </c>
      <c r="AD112" s="1327">
        <f>IFERROR((AD17+AD52)/AD19, "")</f>
        <v>16.100362114196766</v>
      </c>
      <c r="AE112" s="1327">
        <f>IFERROR((AE17+AE52)/AE19, "")</f>
        <v>17.624542640751692</v>
      </c>
      <c r="AF112" s="1327">
        <f>IFERROR((AF17+AF52)/AF19, "")</f>
        <v>19.278185841233274</v>
      </c>
      <c r="AG112" s="1329">
        <f>IFERROR((AG17+AG52)/AG19, "")</f>
        <v>21.071964002047906</v>
      </c>
    </row>
    <row r="113" spans="1:33" s="1264" customFormat="1" ht="14.25" customHeight="1" x14ac:dyDescent="0.35">
      <c r="A113" s="1325"/>
      <c r="B113" s="1326"/>
      <c r="C113" s="1290"/>
      <c r="D113" s="1327"/>
      <c r="E113" s="1327"/>
      <c r="F113" s="1328"/>
      <c r="G113" s="1328"/>
      <c r="H113" s="1328"/>
      <c r="I113" s="1328"/>
      <c r="J113" s="1327"/>
      <c r="K113" s="1328"/>
      <c r="L113" s="1328"/>
      <c r="M113" s="1328"/>
      <c r="N113" s="1328"/>
      <c r="O113" s="1327"/>
      <c r="P113" s="1328"/>
      <c r="Q113" s="1328"/>
      <c r="R113" s="1328"/>
      <c r="S113" s="1328"/>
      <c r="T113" s="1327"/>
      <c r="U113" s="1328"/>
      <c r="V113" s="1328"/>
      <c r="W113" s="1328"/>
      <c r="X113" s="1328"/>
      <c r="Y113" s="1327"/>
      <c r="Z113" s="1328"/>
      <c r="AA113" s="1328"/>
      <c r="AB113" s="1328"/>
      <c r="AC113" s="1328"/>
      <c r="AD113" s="1327"/>
      <c r="AE113" s="1327"/>
      <c r="AF113" s="1327"/>
      <c r="AG113" s="1329"/>
    </row>
    <row r="114" spans="1:33" s="1264" customFormat="1" ht="14.25" customHeight="1" x14ac:dyDescent="0.35">
      <c r="A114" s="1291" t="s">
        <v>1215</v>
      </c>
      <c r="B114" s="1292"/>
      <c r="C114" s="1290"/>
      <c r="D114" s="1327">
        <f>IFERROR((D$81+D$82)/D$17, "")</f>
        <v>1.3395423709325054</v>
      </c>
      <c r="E114" s="1327">
        <f>IFERROR((E$81+E$82)/E$17, "")</f>
        <v>1.5102858380251192</v>
      </c>
      <c r="F114" s="1328" t="str">
        <f>IFERROR((F$81+F$82)/F$17, "")</f>
        <v/>
      </c>
      <c r="G114" s="1328" t="str">
        <f>IFERROR((G$81+G$82)/G$17, "")</f>
        <v/>
      </c>
      <c r="H114" s="1328" t="str">
        <f>IFERROR((H$81+H$82)/H$17, "")</f>
        <v/>
      </c>
      <c r="I114" s="1328">
        <f>IFERROR((I$81+I$82)/I$17, "")</f>
        <v>1.5243953294412009</v>
      </c>
      <c r="J114" s="1327">
        <f>IFERROR((J$81+J$82)/J$17, "")</f>
        <v>1.5243953294412009</v>
      </c>
      <c r="K114" s="1328">
        <f>IFERROR((K$81+K$82)/K$17, "")</f>
        <v>1.8334936411242919</v>
      </c>
      <c r="L114" s="1328">
        <f>IFERROR((L$81+L$82)/L$17, "")</f>
        <v>1.9265079731915877</v>
      </c>
      <c r="M114" s="1328">
        <f>IFERROR((M$81+M$82)/M$17, "")</f>
        <v>2.3653554336407145</v>
      </c>
      <c r="N114" s="1328">
        <f>IFERROR((N$81+N$82)/N$17, "")</f>
        <v>2.5153891859774213</v>
      </c>
      <c r="O114" s="1327">
        <f>IFERROR((O$81+O$82)/O$17, "")</f>
        <v>2.5153891859774213</v>
      </c>
      <c r="P114" s="1328">
        <f>IFERROR((P$81+P$82)/P$17, "")</f>
        <v>2.7519452959207733</v>
      </c>
      <c r="Q114" s="1328">
        <f>IFERROR((Q$81+Q$82)/Q$17, "")</f>
        <v>2.6032032755298653</v>
      </c>
      <c r="R114" s="1328">
        <f>IFERROR((R$81+R$82)/R$17, "")</f>
        <v>2.4322235434007133</v>
      </c>
      <c r="S114" s="1328">
        <f>IFERROR((S$81+S$82)/S$17, "")</f>
        <v>2.245573957738435</v>
      </c>
      <c r="T114" s="1327">
        <f>IFERROR((T$81+T$82)/T$17, "")</f>
        <v>2.245573957738435</v>
      </c>
      <c r="U114" s="1328">
        <f>IFERROR((U$81+U$82)/U$17, "")</f>
        <v>2.0969090309096909</v>
      </c>
      <c r="V114" s="1328">
        <f>IFERROR((V$81+V$82)/V$17, "")</f>
        <v>2.0471491020332557</v>
      </c>
      <c r="W114" s="1328">
        <f>IFERROR((W$81+W$82)/W$17, "")</f>
        <v>2.031292333246276</v>
      </c>
      <c r="X114" s="1328">
        <f>IFERROR((X$81+X$82)/X$17, "")</f>
        <v>1.9851642713820636</v>
      </c>
      <c r="Y114" s="1327">
        <f>IFERROR((Y$81+Y$82)/Y$17, "")</f>
        <v>1.9851642713820636</v>
      </c>
      <c r="Z114" s="1328">
        <f>IFERROR((Z$81+Z$82)/Z$17, "")</f>
        <v>1.9387788308942058</v>
      </c>
      <c r="AA114" s="1328">
        <f>IFERROR((AA$81+AA$82)/AA$17, "")</f>
        <v>1.8851664255719702</v>
      </c>
      <c r="AB114" s="1328">
        <f>IFERROR((AB$81+AB$82)/AB$17, "")</f>
        <v>1.8705056216909366</v>
      </c>
      <c r="AC114" s="1328">
        <f>IFERROR((AC$81+AC$82)/AC$17, "")</f>
        <v>1.8344445700334664</v>
      </c>
      <c r="AD114" s="1327">
        <f>IFERROR((AD$81+AD$82)/AD$17, "")</f>
        <v>1.8344445700334664</v>
      </c>
      <c r="AE114" s="1327">
        <f>IFERROR((AE$81+AE$82)/AE$17, "")</f>
        <v>1.7027241477978712</v>
      </c>
      <c r="AF114" s="1327">
        <f>IFERROR((AF$81+AF$82)/AF$17, "")</f>
        <v>1.579663681929903</v>
      </c>
      <c r="AG114" s="1329">
        <f>IFERROR((AG$81+AG$82)/AG$17, "")</f>
        <v>1.4648253122367692</v>
      </c>
    </row>
    <row r="115" spans="1:33" s="1264" customFormat="1" ht="14.25" customHeight="1" x14ac:dyDescent="0.35">
      <c r="A115" s="1291" t="s">
        <v>1216</v>
      </c>
      <c r="B115" s="1292"/>
      <c r="C115" s="1290"/>
      <c r="D115" s="1327">
        <f>IFERROR((D$81+D$82)/(D$17+D$52), "")</f>
        <v>1.6009344510100316</v>
      </c>
      <c r="E115" s="1327">
        <f>IFERROR((E$81+E$82)/(E$17+E$52), "")</f>
        <v>1.7740048327610327</v>
      </c>
      <c r="F115" s="1328" t="str">
        <f>IFERROR((F$81+F$82)/(F$17+F$52), "")</f>
        <v/>
      </c>
      <c r="G115" s="1328" t="str">
        <f>IFERROR((G$81+G$82)/(G$17+G$52), "")</f>
        <v/>
      </c>
      <c r="H115" s="1328" t="str">
        <f>IFERROR((H$81+H$82)/(H$17+H$52), "")</f>
        <v/>
      </c>
      <c r="I115" s="1328">
        <f>IFERROR((I$81+I$82)/(I$17+I$52), "")</f>
        <v>1.8243293824079849</v>
      </c>
      <c r="J115" s="1327">
        <f>IFERROR((J$81+J$82)/(J$17+J$52), "")</f>
        <v>1.8243293824079849</v>
      </c>
      <c r="K115" s="1328">
        <f>IFERROR((K$81+K$82)/(K$17+K$52), "")</f>
        <v>2.2300792928636421</v>
      </c>
      <c r="L115" s="1328">
        <f>IFERROR((L$81+L$82)/(L$17+L$52), "")</f>
        <v>2.4043841938275166</v>
      </c>
      <c r="M115" s="1328">
        <f>IFERROR((M$81+M$82)/(M$17+M$52), "")</f>
        <v>2.9474909090909089</v>
      </c>
      <c r="N115" s="1328">
        <f>IFERROR((N$81+N$82)/(N$17+N$52), "")</f>
        <v>3.1517272185824896</v>
      </c>
      <c r="O115" s="1327">
        <f>IFERROR((O$81+O$82)/(O$17+O$52), "")</f>
        <v>3.1517272185824896</v>
      </c>
      <c r="P115" s="1328">
        <f>IFERROR((P$81+P$82)/(P$17+P$52), "")</f>
        <v>3.4115755627009645</v>
      </c>
      <c r="Q115" s="1328">
        <f>IFERROR((Q$81+Q$82)/(Q$17+Q$52), "")</f>
        <v>3.2235311661198924</v>
      </c>
      <c r="R115" s="1328">
        <f>IFERROR((R$81+R$82)/(R$17+R$52), "")</f>
        <v>3.0111879876343295</v>
      </c>
      <c r="S115" s="1328">
        <f>IFERROR((S$81+S$82)/(S$17+S$52), "")</f>
        <v>2.7102288392610974</v>
      </c>
      <c r="T115" s="1327">
        <f>IFERROR((T$81+T$82)/(T$17+T$52), "")</f>
        <v>2.7102288392610974</v>
      </c>
      <c r="U115" s="1328">
        <f>IFERROR((U$81+U$82)/(U$17+U$52), "")</f>
        <v>2.504335260115607</v>
      </c>
      <c r="V115" s="1328">
        <f>IFERROR((V$81+V$82)/(V$17+V$52), "")</f>
        <v>2.4638830441846911</v>
      </c>
      <c r="W115" s="1328">
        <f>IFERROR((W$81+W$82)/(W$17+W$52), "")</f>
        <v>2.4748574216788408</v>
      </c>
      <c r="X115" s="1328">
        <f>IFERROR((X$81+X$82)/(X$17+X$52), "")</f>
        <v>2.4229346625681702</v>
      </c>
      <c r="Y115" s="1327">
        <f>IFERROR((Y$81+Y$82)/(Y$17+Y$52), "")</f>
        <v>2.4229346625681702</v>
      </c>
      <c r="Z115" s="1328">
        <f>IFERROR((Z$81+Z$82)/(Z$17+Z$52), "")</f>
        <v>2.4031582879811908</v>
      </c>
      <c r="AA115" s="1328">
        <f>IFERROR((AA$81+AA$82)/(AA$17+AA$52), "")</f>
        <v>2.321329431578167</v>
      </c>
      <c r="AB115" s="1328">
        <f>IFERROR((AB$81+AB$82)/(AB$17+AB$52), "")</f>
        <v>2.2991397425306594</v>
      </c>
      <c r="AC115" s="1328">
        <f>IFERROR((AC$81+AC$82)/(AC$17+AC$52), "")</f>
        <v>2.2448976188534191</v>
      </c>
      <c r="AD115" s="1327">
        <f>IFERROR((AD$81+AD$82)/(AD$17+AD$52), "")</f>
        <v>2.2448976188534191</v>
      </c>
      <c r="AE115" s="1327">
        <f>IFERROR((AE$81+AE$82)/(AE$17+AE$52), "")</f>
        <v>2.0507575889808498</v>
      </c>
      <c r="AF115" s="1327">
        <f>IFERROR((AF$81+AF$82)/(AF$17+AF$52), "")</f>
        <v>1.8748478135080537</v>
      </c>
      <c r="AG115" s="1329">
        <f>IFERROR((AG$81+AG$82)/(AG$17+AG$52), "")</f>
        <v>1.7152489710653194</v>
      </c>
    </row>
    <row r="116" spans="1:33" s="1264" customFormat="1" ht="14.25" customHeight="1" x14ac:dyDescent="0.35">
      <c r="A116" s="1291" t="s">
        <v>1217</v>
      </c>
      <c r="B116" s="1292"/>
      <c r="C116" s="1290"/>
      <c r="D116" s="1327">
        <f>IFERROR((D$81+D$82)/D$108, "")</f>
        <v>1.7487241068748123</v>
      </c>
      <c r="E116" s="1327">
        <f>IFERROR((E$81+E$82)/E$108, "")</f>
        <v>2.2354166666666666</v>
      </c>
      <c r="F116" s="1328" t="str">
        <f>IFERROR((F$81+F$82)/F$108, "")</f>
        <v/>
      </c>
      <c r="G116" s="1328" t="str">
        <f>IFERROR((G$81+G$82)/G$108, "")</f>
        <v/>
      </c>
      <c r="H116" s="1328" t="str">
        <f>IFERROR((H$81+H$82)/H$108, "")</f>
        <v/>
      </c>
      <c r="I116" s="1328">
        <f>IFERROR((I$81+I$82)/I$108, "")</f>
        <v>2.2708495107936013</v>
      </c>
      <c r="J116" s="1327">
        <f>IFERROR((J$81+J$82)/J$108, "")</f>
        <v>2.2708495107936013</v>
      </c>
      <c r="K116" s="1328">
        <f>IFERROR((K$81+K$82)/K$108, "")</f>
        <v>2.3360566448801743</v>
      </c>
      <c r="L116" s="1328">
        <f>IFERROR((L$81+L$82)/L$108, "")</f>
        <v>2.3458561981145349</v>
      </c>
      <c r="M116" s="1328">
        <f>IFERROR((M$81+M$82)/M$108, "")</f>
        <v>2.8989985693848355</v>
      </c>
      <c r="N116" s="1328">
        <f>IFERROR((N$81+N$82)/N$108, "")</f>
        <v>2.9939179632248938</v>
      </c>
      <c r="O116" s="1327">
        <f>IFERROR((O$81+O$82)/O$108, "")</f>
        <v>2.9939179632248938</v>
      </c>
      <c r="P116" s="1328">
        <f>IFERROR((P$81+P$82)/P$108, "")</f>
        <v>3.2262612301313061</v>
      </c>
      <c r="Q116" s="1328">
        <f>IFERROR((Q$81+Q$82)/Q$108, "")</f>
        <v>2.8907461888205401</v>
      </c>
      <c r="R116" s="1328">
        <f>IFERROR((R$81+R$82)/R$108, "")</f>
        <v>2.5774949596774195</v>
      </c>
      <c r="S116" s="1328">
        <f>IFERROR((S$81+S$82)/S$108, "")</f>
        <v>2.423271292986565</v>
      </c>
      <c r="T116" s="1327">
        <f>IFERROR((T$81+T$82)/T$108, "")</f>
        <v>2.423271292986565</v>
      </c>
      <c r="U116" s="1328">
        <f>IFERROR((U$81+U$82)/U$108, "")</f>
        <v>2.2197251979506287</v>
      </c>
      <c r="V116" s="1328">
        <f>IFERROR((V$81+V$82)/V$108, "")</f>
        <v>2.4225103792905811</v>
      </c>
      <c r="W116" s="1328">
        <f>IFERROR((W$81+W$82)/W$108, "")</f>
        <v>2.4648041009005057</v>
      </c>
      <c r="X116" s="1328">
        <f>IFERROR((X$81+X$82)/X$108, "")</f>
        <v>2.5874438504781736</v>
      </c>
      <c r="Y116" s="1327">
        <f>IFERROR((Y$81+Y$82)/Y$108, "")</f>
        <v>2.5874438504781736</v>
      </c>
      <c r="Z116" s="1328">
        <f>IFERROR((Z$81+Z$82)/Z$108, "")</f>
        <v>2.4586744763902173</v>
      </c>
      <c r="AA116" s="1328">
        <f ca="1">IFERROR((AA$81+AA$82)/AA$108, "")</f>
        <v>2.3964219158241225</v>
      </c>
      <c r="AB116" s="1328">
        <f ca="1">IFERROR((AB$81+AB$82)/AB$108, "")</f>
        <v>2.3808516346132809</v>
      </c>
      <c r="AC116" s="1328">
        <f ca="1">IFERROR((AC$81+AC$82)/AC$108, "")</f>
        <v>2.3419889553276168</v>
      </c>
      <c r="AD116" s="1327">
        <f ca="1">IFERROR((AD$81+AD$82)/AD$108, "")</f>
        <v>2.3419889553276168</v>
      </c>
      <c r="AE116" s="1327">
        <f ca="1">IFERROR((AE$81+AE$82)/AE$108, "")</f>
        <v>2.1723208821675728</v>
      </c>
      <c r="AF116" s="1327">
        <f ca="1">IFERROR((AF$81+AF$82)/AF$108, "")</f>
        <v>2.0160381642515071</v>
      </c>
      <c r="AG116" s="1329">
        <f ca="1">IFERROR((AG$81+AG$82)/AG$108, "")</f>
        <v>1.8694819479971574</v>
      </c>
    </row>
    <row r="117" spans="1:33" s="1264" customFormat="1" ht="14.25" customHeight="1" x14ac:dyDescent="0.35">
      <c r="A117" s="1325"/>
      <c r="B117" s="1326"/>
      <c r="C117" s="1290"/>
      <c r="D117" s="1327"/>
      <c r="E117" s="1327"/>
      <c r="F117" s="1328"/>
      <c r="G117" s="1328"/>
      <c r="H117" s="1328"/>
      <c r="I117" s="1328"/>
      <c r="J117" s="1327"/>
      <c r="K117" s="1328"/>
      <c r="L117" s="1328"/>
      <c r="M117" s="1328"/>
      <c r="N117" s="1328"/>
      <c r="O117" s="1327"/>
      <c r="P117" s="1328"/>
      <c r="Q117" s="1328"/>
      <c r="R117" s="1328"/>
      <c r="S117" s="1328"/>
      <c r="T117" s="1327"/>
      <c r="U117" s="1328"/>
      <c r="V117" s="1328"/>
      <c r="W117" s="1328"/>
      <c r="X117" s="1328"/>
      <c r="Y117" s="1327"/>
      <c r="Z117" s="1328"/>
      <c r="AA117" s="1328"/>
      <c r="AB117" s="1328"/>
      <c r="AC117" s="1328"/>
      <c r="AD117" s="1327"/>
      <c r="AE117" s="1327"/>
      <c r="AF117" s="1327"/>
      <c r="AG117" s="1329"/>
    </row>
    <row r="118" spans="1:33" s="1264" customFormat="1" ht="14.25" customHeight="1" x14ac:dyDescent="0.35">
      <c r="A118" s="1291" t="s">
        <v>1218</v>
      </c>
      <c r="B118" s="1292"/>
      <c r="C118" s="1290"/>
      <c r="D118" s="1327">
        <f>IFERROR((D$81+D$82-D$67)/D$17, "")</f>
        <v>1.0316200988846729</v>
      </c>
      <c r="E118" s="1327">
        <f>IFERROR((E$81+E$82-E$67)/E$17, "")</f>
        <v>1.0632308358596796</v>
      </c>
      <c r="F118" s="1328" t="str">
        <f>IFERROR((F$81+F$82-F$67)/F$17, "")</f>
        <v/>
      </c>
      <c r="G118" s="1328" t="str">
        <f>IFERROR((G$81+G$82-G$67)/G$17, "")</f>
        <v/>
      </c>
      <c r="H118" s="1328" t="str">
        <f>IFERROR((H$81+H$82-H$67)/H$17, "")</f>
        <v/>
      </c>
      <c r="I118" s="1328">
        <f>IFERROR((I$81+I$82-I$67)/I$17, "")</f>
        <v>1.1873436196830691</v>
      </c>
      <c r="J118" s="1327">
        <f>IFERROR((J$81+J$82-J$67)/J$17, "")</f>
        <v>1.1873436196830691</v>
      </c>
      <c r="K118" s="1328">
        <f>IFERROR((K$81+K$82-K$67)/K$17, "")</f>
        <v>1.4619001816821631</v>
      </c>
      <c r="L118" s="1328">
        <f>IFERROR((L$81+L$82-L$67)/L$17, "")</f>
        <v>1.5812341113935753</v>
      </c>
      <c r="M118" s="1328">
        <f>IFERROR((M$81+M$82-M$67)/M$17, "")</f>
        <v>1.4594373759775885</v>
      </c>
      <c r="N118" s="1328">
        <f>IFERROR((N$81+N$82-N$67)/N$17, "")</f>
        <v>2.224123588829471</v>
      </c>
      <c r="O118" s="1327">
        <f>IFERROR((O$81+O$82-O$67)/O$17, "")</f>
        <v>2.224123588829471</v>
      </c>
      <c r="P118" s="1328">
        <f>IFERROR((P$81+P$82-P$67)/P$17, "")</f>
        <v>2.22412166941759</v>
      </c>
      <c r="Q118" s="1328">
        <f>IFERROR((Q$81+Q$82-Q$67)/Q$17, "")</f>
        <v>2.0653901734104045</v>
      </c>
      <c r="R118" s="1328">
        <f>IFERROR((R$81+R$82-R$67)/R$17, "")</f>
        <v>1.8898929845422117</v>
      </c>
      <c r="S118" s="1328">
        <f>IFERROR((S$81+S$82-S$67)/S$17, "")</f>
        <v>1.6701313535122786</v>
      </c>
      <c r="T118" s="1327">
        <f>IFERROR((T$81+T$82-T$67)/T$17, "")</f>
        <v>1.6701313535122786</v>
      </c>
      <c r="U118" s="1328">
        <f>IFERROR((U$81+U$82-U$67)/U$17, "")</f>
        <v>1.5318446815531845</v>
      </c>
      <c r="V118" s="1328">
        <f>IFERROR((V$81+V$82-V$67)/V$17, "")</f>
        <v>1.564675248616638</v>
      </c>
      <c r="W118" s="1328">
        <f>IFERROR((W$81+W$82-W$67)/W$17, "")</f>
        <v>1.4973099273711046</v>
      </c>
      <c r="X118" s="1328">
        <f>IFERROR((X$81+X$82-X$67)/X$17, "")</f>
        <v>1.4293881023880151</v>
      </c>
      <c r="Y118" s="1327">
        <f>IFERROR((Y$81+Y$82-Y$67)/Y$17, "")</f>
        <v>1.4293881023880151</v>
      </c>
      <c r="Z118" s="1328">
        <f ca="1">IFERROR((Z$81+Z$82-Z$67)/Z$17, "")</f>
        <v>1.3700911737692207</v>
      </c>
      <c r="AA118" s="1328">
        <f ca="1">IFERROR((AA$81+AA$82-AA$67)/AA$17, "")</f>
        <v>1.3745524752063154</v>
      </c>
      <c r="AB118" s="1328">
        <f ca="1">IFERROR((AB$81+AB$82-AB$67)/AB$17, "")</f>
        <v>1.3064884138374901</v>
      </c>
      <c r="AC118" s="1328">
        <f ca="1">IFERROR((AC$81+AC$82-AC$67)/AC$17, "")</f>
        <v>1.2358335325577712</v>
      </c>
      <c r="AD118" s="1327">
        <f ca="1">IFERROR((AD$81+AD$82-AD$67)/AD$17, "")</f>
        <v>1.2358335325577712</v>
      </c>
      <c r="AE118" s="1327">
        <f ca="1">IFERROR((AE$81+AE$82-AE$67)/AE$17, "")</f>
        <v>1.0050036098205168</v>
      </c>
      <c r="AF118" s="1327">
        <f ca="1">IFERROR((AF$81+AF$82-AF$67)/AF$17, "")</f>
        <v>0.74035827604664739</v>
      </c>
      <c r="AG118" s="1329">
        <f ca="1">IFERROR((AG$81+AG$82-AG$67)/AG$17, "")</f>
        <v>0.44830866777279643</v>
      </c>
    </row>
    <row r="119" spans="1:33" s="1264" customFormat="1" ht="14.25" customHeight="1" x14ac:dyDescent="0.35">
      <c r="A119" s="1291" t="s">
        <v>1219</v>
      </c>
      <c r="B119" s="1292"/>
      <c r="C119" s="1290"/>
      <c r="D119" s="1327">
        <f>IFERROR((D$81+D$82-D$67)/(D$17+D$52), "")</f>
        <v>1.2329256561769961</v>
      </c>
      <c r="E119" s="1327">
        <f>IFERROR((E$81+E$82-E$67)/(E$17+E$52), "")</f>
        <v>1.2488871931832635</v>
      </c>
      <c r="F119" s="1328" t="str">
        <f>IFERROR((F$81+F$82-F$67)/(F$17+F$52), "")</f>
        <v/>
      </c>
      <c r="G119" s="1328" t="str">
        <f>IFERROR((G$81+G$82-G$67)/(G$17+G$52), "")</f>
        <v/>
      </c>
      <c r="H119" s="1328" t="str">
        <f>IFERROR((H$81+H$82-H$67)/(H$17+H$52), "")</f>
        <v/>
      </c>
      <c r="I119" s="1328">
        <f>IFERROR((I$81+I$82-I$67)/(I$17+I$52), "")</f>
        <v>1.4209606986899563</v>
      </c>
      <c r="J119" s="1327">
        <f>IFERROR((J$81+J$82-J$67)/(J$17+J$52), "")</f>
        <v>1.4209606986899563</v>
      </c>
      <c r="K119" s="1328">
        <f>IFERROR((K$81+K$82-K$67)/(K$17+K$52), "")</f>
        <v>1.7781099701026908</v>
      </c>
      <c r="L119" s="1328">
        <f>IFERROR((L$81+L$82-L$67)/(L$17+L$52), "")</f>
        <v>1.9734640899913469</v>
      </c>
      <c r="M119" s="1328">
        <f>IFERROR((M$81+M$82-M$67)/(M$17+M$52), "")</f>
        <v>1.8186181818181819</v>
      </c>
      <c r="N119" s="1328">
        <f>IFERROR((N$81+N$82-N$67)/(N$17+N$52), "")</f>
        <v>2.7867778439547348</v>
      </c>
      <c r="O119" s="1327">
        <f>IFERROR((O$81+O$82-O$67)/(O$17+O$52), "")</f>
        <v>2.7867778439547348</v>
      </c>
      <c r="P119" s="1328">
        <f>IFERROR((P$81+P$82-P$67)/(P$17+P$52), "")</f>
        <v>2.757234726688103</v>
      </c>
      <c r="Q119" s="1328">
        <f>IFERROR((Q$81+Q$82-Q$67)/(Q$17+Q$52), "")</f>
        <v>2.5575603936773037</v>
      </c>
      <c r="R119" s="1328">
        <f>IFERROR((R$81+R$82-R$67)/(R$17+R$52), "")</f>
        <v>2.3397615192109527</v>
      </c>
      <c r="S119" s="1328">
        <f>IFERROR((S$81+S$82-S$67)/(S$17+S$52), "")</f>
        <v>2.0157154673283704</v>
      </c>
      <c r="T119" s="1327">
        <f>IFERROR((T$81+T$82-T$67)/(T$17+T$52), "")</f>
        <v>2.0157154673283704</v>
      </c>
      <c r="U119" s="1328">
        <f>IFERROR((U$81+U$82-U$67)/(U$17+U$52), "")</f>
        <v>1.8294797687861271</v>
      </c>
      <c r="V119" s="1328">
        <f>IFERROR((V$81+V$82-V$67)/(V$17+V$52), "")</f>
        <v>1.8831929784171495</v>
      </c>
      <c r="W119" s="1328">
        <f>IFERROR((W$81+W$82-W$67)/(W$17+W$52), "")</f>
        <v>1.8242714382649665</v>
      </c>
      <c r="X119" s="1328">
        <f>IFERROR((X$81+X$82-X$67)/(X$17+X$52), "")</f>
        <v>1.7445981823596477</v>
      </c>
      <c r="Y119" s="1327">
        <f>IFERROR((Y$81+Y$82-Y$67)/(Y$17+Y$52), "")</f>
        <v>1.7445981823596477</v>
      </c>
      <c r="Z119" s="1328">
        <f ca="1">IFERROR((Z$81+Z$82-Z$67)/(Z$17+Z$52), "")</f>
        <v>1.6982576388121533</v>
      </c>
      <c r="AA119" s="1328">
        <f ca="1">IFERROR((AA$81+AA$82-AA$67)/(AA$17+AA$52), "")</f>
        <v>1.6925768848110772</v>
      </c>
      <c r="AB119" s="1328">
        <f ca="1">IFERROR((AB$81+AB$82-AB$67)/(AB$17+AB$52), "")</f>
        <v>1.605875652324521</v>
      </c>
      <c r="AC119" s="1328">
        <f ca="1">IFERROR((AC$81+AC$82-AC$67)/(AC$17+AC$52), "")</f>
        <v>1.5123486421219785</v>
      </c>
      <c r="AD119" s="1327">
        <f ca="1">IFERROR((AD$81+AD$82-AD$67)/(AD$17+AD$52), "")</f>
        <v>1.5123486421219785</v>
      </c>
      <c r="AE119" s="1327">
        <f ca="1">IFERROR((AE$81+AE$82-AE$67)/(AE$17+AE$52), "")</f>
        <v>1.2104243558524055</v>
      </c>
      <c r="AF119" s="1327">
        <f ca="1">IFERROR((AF$81+AF$82-AF$67)/(AF$17+AF$52), "")</f>
        <v>0.87870545543139444</v>
      </c>
      <c r="AG119" s="1329">
        <f ca="1">IFERROR((AG$81+AG$82-AG$67)/(AG$17+AG$52), "")</f>
        <v>0.5249506372488606</v>
      </c>
    </row>
    <row r="120" spans="1:33" s="1264" customFormat="1" ht="14.25" customHeight="1" x14ac:dyDescent="0.35">
      <c r="A120" s="1291" t="s">
        <v>1220</v>
      </c>
      <c r="B120" s="1292"/>
      <c r="C120" s="1290"/>
      <c r="D120" s="1327">
        <f>IFERROR((D$81+D$82-D$67)/D$108, "")</f>
        <v>1.3467427199039328</v>
      </c>
      <c r="E120" s="1327">
        <f>IFERROR((E$81+E$82-E$67)/E$108, "")</f>
        <v>1.5737179487179487</v>
      </c>
      <c r="F120" s="1328" t="str">
        <f>IFERROR((F$81+F$82-F$67)/F$108, "")</f>
        <v/>
      </c>
      <c r="G120" s="1328" t="str">
        <f>IFERROR((G$81+G$82-G$67)/G$108, "")</f>
        <v/>
      </c>
      <c r="H120" s="1328" t="str">
        <f>IFERROR((H$81+H$82-H$67)/H$108, "")</f>
        <v/>
      </c>
      <c r="I120" s="1328">
        <f>IFERROR((I$81+I$82-I$67)/I$108, "")</f>
        <v>1.7687529119428482</v>
      </c>
      <c r="J120" s="1327">
        <f>IFERROR((J$81+J$82-J$67)/J$108, "")</f>
        <v>1.7687529119428482</v>
      </c>
      <c r="K120" s="1328">
        <f>IFERROR((K$81+K$82-K$67)/K$108, "")</f>
        <v>1.8626089324618735</v>
      </c>
      <c r="L120" s="1328">
        <f>IFERROR((L$81+L$82-L$67)/L$108, "")</f>
        <v>1.925425636696215</v>
      </c>
      <c r="M120" s="1328">
        <f>IFERROR((M$81+M$82-M$67)/M$108, "")</f>
        <v>1.7886981402002862</v>
      </c>
      <c r="N120" s="1328">
        <f>IFERROR((N$81+N$82-N$67)/N$108, "")</f>
        <v>2.6472418670438471</v>
      </c>
      <c r="O120" s="1327">
        <f>IFERROR((O$81+O$82-O$67)/O$108, "")</f>
        <v>2.6472418670438471</v>
      </c>
      <c r="P120" s="1328">
        <f>IFERROR((P$81+P$82-P$67)/P$108, "")</f>
        <v>2.6074637180373186</v>
      </c>
      <c r="Q120" s="1328">
        <f>IFERROR((Q$81+Q$82-Q$67)/Q$108, "")</f>
        <v>2.2935276811981815</v>
      </c>
      <c r="R120" s="1328">
        <f>IFERROR((R$81+R$82-R$67)/R$108, "")</f>
        <v>2.002772177419355</v>
      </c>
      <c r="S120" s="1328">
        <f>IFERROR((S$81+S$82-S$67)/S$108, "")</f>
        <v>1.8022926167878712</v>
      </c>
      <c r="T120" s="1327">
        <f>IFERROR((T$81+T$82-T$67)/T$108, "")</f>
        <v>1.8022926167878712</v>
      </c>
      <c r="U120" s="1328">
        <f>IFERROR((U$81+U$82-U$67)/U$108, "")</f>
        <v>1.6215649743828597</v>
      </c>
      <c r="V120" s="1328">
        <f>IFERROR((V$81+V$82-V$67)/V$108, "")</f>
        <v>1.8515710586142251</v>
      </c>
      <c r="W120" s="1328">
        <f>IFERROR((W$81+W$82-W$67)/W$108, "")</f>
        <v>1.8168609160284204</v>
      </c>
      <c r="X120" s="1328">
        <f>IFERROR((X$81+X$82-X$67)/X$108, "")</f>
        <v>1.8630505841693803</v>
      </c>
      <c r="Y120" s="1327">
        <f>IFERROR((Y$81+Y$82-Y$67)/Y$108, "")</f>
        <v>1.8630505841693803</v>
      </c>
      <c r="Z120" s="1328">
        <f ca="1">IFERROR((Z$81+Z$82-Z$67)/Z$108, "")</f>
        <v>1.7374896742194279</v>
      </c>
      <c r="AA120" s="1328">
        <f ca="1">IFERROR((AA$81+AA$82-AA$67)/AA$108, "")</f>
        <v>1.7473299075095119</v>
      </c>
      <c r="AB120" s="1328">
        <f ca="1">IFERROR((AB$81+AB$82-AB$67)/AB$108, "")</f>
        <v>1.6629487982379649</v>
      </c>
      <c r="AC120" s="1328">
        <f ca="1">IFERROR((AC$81+AC$82-AC$67)/AC$108, "")</f>
        <v>1.5777573937930491</v>
      </c>
      <c r="AD120" s="1327">
        <f ca="1">IFERROR((AD$81+AD$82-AD$67)/AD$108, "")</f>
        <v>1.5777573937930491</v>
      </c>
      <c r="AE120" s="1327">
        <f ca="1">IFERROR((AE$81+AE$82-AE$67)/AE$108, "")</f>
        <v>1.2821749965139186</v>
      </c>
      <c r="AF120" s="1327">
        <f ca="1">IFERROR((AF$81+AF$82-AF$67)/AF$108, "")</f>
        <v>0.94487868323083135</v>
      </c>
      <c r="AG120" s="1329">
        <f ca="1">IFERROR((AG$81+AG$82-AG$67)/AG$108, "")</f>
        <v>0.57215352201425485</v>
      </c>
    </row>
    <row r="121" spans="1:33" s="1264" customFormat="1" ht="14.25" customHeight="1" x14ac:dyDescent="0.35">
      <c r="A121" s="1291"/>
      <c r="B121" s="1292"/>
      <c r="C121" s="1330"/>
      <c r="D121" s="1327"/>
      <c r="E121" s="1327"/>
      <c r="F121" s="1328"/>
      <c r="G121" s="1328"/>
      <c r="H121" s="1328"/>
      <c r="I121" s="1328"/>
      <c r="J121" s="1327"/>
      <c r="K121" s="1328"/>
      <c r="L121" s="1328"/>
      <c r="M121" s="1328"/>
      <c r="N121" s="1328"/>
      <c r="O121" s="1327"/>
      <c r="P121" s="1328"/>
      <c r="Q121" s="1328"/>
      <c r="R121" s="1328"/>
      <c r="S121" s="1328"/>
      <c r="T121" s="1327"/>
      <c r="U121" s="1328"/>
      <c r="V121" s="1328"/>
      <c r="W121" s="1328"/>
      <c r="X121" s="1328"/>
      <c r="Y121" s="1327"/>
      <c r="Z121" s="1328"/>
      <c r="AA121" s="1328"/>
      <c r="AB121" s="1328"/>
      <c r="AC121" s="1328"/>
      <c r="AD121" s="1327"/>
      <c r="AE121" s="1327"/>
      <c r="AF121" s="1327"/>
      <c r="AG121" s="1329"/>
    </row>
    <row r="122" spans="1:33" s="1264" customFormat="1" ht="14.25" customHeight="1" x14ac:dyDescent="0.35">
      <c r="A122" s="1291" t="s">
        <v>1221</v>
      </c>
      <c r="B122" s="1292"/>
      <c r="C122" s="1290"/>
      <c r="D122" s="1327">
        <f>IFERROR(D$81/D$17, "")</f>
        <v>1.3395423709325054</v>
      </c>
      <c r="E122" s="1327">
        <f>IFERROR(E$81/E$17, "")</f>
        <v>1.5102858380251192</v>
      </c>
      <c r="F122" s="1328" t="str">
        <f>IFERROR(F$81/F$17, "")</f>
        <v/>
      </c>
      <c r="G122" s="1328" t="str">
        <f>IFERROR(G$81/G$17, "")</f>
        <v/>
      </c>
      <c r="H122" s="1328" t="str">
        <f>IFERROR(H$81/H$17, "")</f>
        <v/>
      </c>
      <c r="I122" s="1328">
        <f>IFERROR(I$81/I$17, "")</f>
        <v>1.5243953294412009</v>
      </c>
      <c r="J122" s="1327">
        <f>IFERROR(J$81/J$17, "")</f>
        <v>1.5243953294412009</v>
      </c>
      <c r="K122" s="1328">
        <f>IFERROR(K$81/K$17, "")</f>
        <v>1.7494923586619644</v>
      </c>
      <c r="L122" s="1328">
        <f>IFERROR(L$81/L$17, "")</f>
        <v>1.8264386410908251</v>
      </c>
      <c r="M122" s="1328">
        <f>IFERROR(M$81/M$17, "")</f>
        <v>2.269055678767363</v>
      </c>
      <c r="N122" s="1328">
        <f>IFERROR(N$81/N$17, "")</f>
        <v>2.4139037433155082</v>
      </c>
      <c r="O122" s="1327">
        <f>IFERROR(O$81/O$17, "")</f>
        <v>2.4139037433155082</v>
      </c>
      <c r="P122" s="1328">
        <f>IFERROR(P$81/P$17, "")</f>
        <v>2.6520867719877388</v>
      </c>
      <c r="Q122" s="1328">
        <f>IFERROR(Q$81/Q$17, "")</f>
        <v>2.5002408477842004</v>
      </c>
      <c r="R122" s="1328">
        <f>IFERROR(R$81/R$17, "")</f>
        <v>2.3303210463733652</v>
      </c>
      <c r="S122" s="1328">
        <f>IFERROR(S$81/S$17, "")</f>
        <v>2.1467732724157624</v>
      </c>
      <c r="T122" s="1327">
        <f>IFERROR(T$81/T$17, "")</f>
        <v>2.1467732724157624</v>
      </c>
      <c r="U122" s="1328">
        <f>IFERROR(U$81/U$17, "")</f>
        <v>2.0005499945000551</v>
      </c>
      <c r="V122" s="1328">
        <f>IFERROR(V$81/V$17, "")</f>
        <v>1.9530766783129005</v>
      </c>
      <c r="W122" s="1328">
        <f>IFERROR(W$81/W$17, "")</f>
        <v>1.9379485739259312</v>
      </c>
      <c r="X122" s="1328">
        <f>IFERROR(X$81/X$17, "")</f>
        <v>1.8939402299546553</v>
      </c>
      <c r="Y122" s="1327">
        <f>IFERROR(Y$81/Y$17, "")</f>
        <v>1.8939402299546553</v>
      </c>
      <c r="Z122" s="1328">
        <f>IFERROR(Z$81/Z$17, "")</f>
        <v>1.8496863346520966</v>
      </c>
      <c r="AA122" s="1328">
        <f>IFERROR(AA$81/AA$17, "")</f>
        <v>1.7985375744571905</v>
      </c>
      <c r="AB122" s="1328">
        <f>IFERROR(AB$81/AB$17, "")</f>
        <v>1.7845504769287659</v>
      </c>
      <c r="AC122" s="1328">
        <f>IFERROR(AC$81/AC$17, "")</f>
        <v>1.7501465349209806</v>
      </c>
      <c r="AD122" s="1327">
        <f>IFERROR(AD$81/AD$17, "")</f>
        <v>1.7501465349209806</v>
      </c>
      <c r="AE122" s="1327">
        <f>IFERROR(AE$81/AE$17, "")</f>
        <v>1.6244790471594126</v>
      </c>
      <c r="AF122" s="1327">
        <f>IFERROR(AF$81/AF$17, "")</f>
        <v>1.5070735657167889</v>
      </c>
      <c r="AG122" s="1329">
        <f>IFERROR(AG$81/AG$17, "")</f>
        <v>1.397512351342922</v>
      </c>
    </row>
    <row r="123" spans="1:33" s="1264" customFormat="1" ht="14.25" customHeight="1" x14ac:dyDescent="0.35">
      <c r="A123" s="1291" t="s">
        <v>1222</v>
      </c>
      <c r="B123" s="1292"/>
      <c r="C123" s="1290"/>
      <c r="D123" s="1327">
        <f>IFERROR(D$81/(D$17+D$52), "")</f>
        <v>1.6009344510100316</v>
      </c>
      <c r="E123" s="1327">
        <f>IFERROR(E$81/(E$17+E$52), "")</f>
        <v>1.7740048327610327</v>
      </c>
      <c r="F123" s="1328" t="str">
        <f>IFERROR(F$81/(F$17+F$52), "")</f>
        <v/>
      </c>
      <c r="G123" s="1328" t="str">
        <f>IFERROR(G$81/(G$17+G$52), "")</f>
        <v/>
      </c>
      <c r="H123" s="1328" t="str">
        <f>IFERROR(H$81/(H$17+H$52), "")</f>
        <v/>
      </c>
      <c r="I123" s="1328">
        <f>IFERROR(I$81/(I$17+I$52), "")</f>
        <v>1.8243293824079849</v>
      </c>
      <c r="J123" s="1327">
        <f>IFERROR(J$81/(J$17+J$52), "")</f>
        <v>1.8243293824079849</v>
      </c>
      <c r="K123" s="1328">
        <f>IFERROR(K$81/(K$17+K$52), "")</f>
        <v>2.1279084882360588</v>
      </c>
      <c r="L123" s="1328">
        <f>IFERROR(L$81/(L$17+L$52), "")</f>
        <v>2.2794923565041825</v>
      </c>
      <c r="M123" s="1328">
        <f>IFERROR(M$81/(M$17+M$52), "")</f>
        <v>2.8274909090909093</v>
      </c>
      <c r="N123" s="1328">
        <f>IFERROR(N$81/(N$17+N$52), "")</f>
        <v>3.0245681953543775</v>
      </c>
      <c r="O123" s="1327">
        <f>IFERROR(O$81/(O$17+O$52), "")</f>
        <v>3.0245681953543775</v>
      </c>
      <c r="P123" s="1328">
        <f>IFERROR(P$81/(P$17+P$52), "")</f>
        <v>3.287781350482315</v>
      </c>
      <c r="Q123" s="1328">
        <f>IFERROR(Q$81/(Q$17+Q$52), "")</f>
        <v>3.0960334029227559</v>
      </c>
      <c r="R123" s="1328">
        <f>IFERROR(R$81/(R$17+R$52), "")</f>
        <v>2.8850287060209037</v>
      </c>
      <c r="S123" s="1328">
        <f>IFERROR(S$81/(S$17+S$52), "")</f>
        <v>2.5909842845326718</v>
      </c>
      <c r="T123" s="1327">
        <f>IFERROR(T$81/(T$17+T$52), "")</f>
        <v>2.5909842845326718</v>
      </c>
      <c r="U123" s="1328">
        <f>IFERROR(U$81/(U$17+U$52), "")</f>
        <v>2.3892538097740408</v>
      </c>
      <c r="V123" s="1328">
        <f>IFERROR(V$81/(V$17+V$52), "")</f>
        <v>2.3506604901949837</v>
      </c>
      <c r="W123" s="1328">
        <f>IFERROR(W$81/(W$17+W$52), "")</f>
        <v>2.3611305632939765</v>
      </c>
      <c r="X123" s="1328">
        <f>IFERROR(X$81/(X$17+X$52), "")</f>
        <v>2.3115938051790019</v>
      </c>
      <c r="Y123" s="1327">
        <f>IFERROR(Y$81/(Y$17+Y$52), "")</f>
        <v>2.3115938051790019</v>
      </c>
      <c r="Z123" s="1328">
        <f>IFERROR(Z$81/(Z$17+Z$52), "")</f>
        <v>2.2927262122181147</v>
      </c>
      <c r="AA123" s="1328">
        <f>IFERROR(AA$81/(AA$17+AA$52), "")</f>
        <v>2.2146576285008721</v>
      </c>
      <c r="AB123" s="1328">
        <f>IFERROR(AB$81/(AB$17+AB$52), "")</f>
        <v>2.1934876198607305</v>
      </c>
      <c r="AC123" s="1328">
        <f>IFERROR(AC$81/(AC$17+AC$52), "")</f>
        <v>2.1417380786910312</v>
      </c>
      <c r="AD123" s="1327">
        <f>IFERROR(AD$81/(AD$17+AD$52), "")</f>
        <v>2.1417380786910312</v>
      </c>
      <c r="AE123" s="1327">
        <f>IFERROR(AE$81/(AE$17+AE$52), "")</f>
        <v>1.9565193448457598</v>
      </c>
      <c r="AF123" s="1327">
        <f>IFERROR(AF$81/(AF$17+AF$52), "")</f>
        <v>1.7886931324697568</v>
      </c>
      <c r="AG123" s="1329">
        <f>IFERROR(AG$81/(AG$17+AG$52), "")</f>
        <v>1.6364283185629209</v>
      </c>
    </row>
    <row r="124" spans="1:33" s="1264" customFormat="1" ht="14.25" customHeight="1" x14ac:dyDescent="0.35">
      <c r="A124" s="1291" t="s">
        <v>1223</v>
      </c>
      <c r="B124" s="1292"/>
      <c r="C124" s="1290"/>
      <c r="D124" s="1327">
        <f>IFERROR(D$81/D$108, "")</f>
        <v>1.7487241068748123</v>
      </c>
      <c r="E124" s="1327">
        <f>IFERROR(E$81/E$108, "")</f>
        <v>2.2354166666666666</v>
      </c>
      <c r="F124" s="1328" t="str">
        <f>IFERROR(F$81/F$108, "")</f>
        <v/>
      </c>
      <c r="G124" s="1328" t="str">
        <f>IFERROR(G$81/G$108, "")</f>
        <v/>
      </c>
      <c r="H124" s="1328" t="str">
        <f>IFERROR(H$81/H$108, "")</f>
        <v/>
      </c>
      <c r="I124" s="1328">
        <f>IFERROR(I$81/I$108, "")</f>
        <v>2.2708495107936013</v>
      </c>
      <c r="J124" s="1327">
        <f>IFERROR(J$81/J$108, "")</f>
        <v>2.2708495107936013</v>
      </c>
      <c r="K124" s="1328">
        <f>IFERROR(K$81/K$108, "")</f>
        <v>2.2290305010893245</v>
      </c>
      <c r="L124" s="1328">
        <f>IFERROR(L$81/L$108, "")</f>
        <v>2.2240045026030675</v>
      </c>
      <c r="M124" s="1328">
        <f>IFERROR(M$81/M$108, "")</f>
        <v>2.780972818311874</v>
      </c>
      <c r="N124" s="1328">
        <f>IFERROR(N$81/N$108, "")</f>
        <v>2.8731258840169733</v>
      </c>
      <c r="O124" s="1327">
        <f>IFERROR(O$81/O$108, "")</f>
        <v>2.8731258840169733</v>
      </c>
      <c r="P124" s="1328">
        <f>IFERROR(P$81/P$108, "")</f>
        <v>3.1091914305459571</v>
      </c>
      <c r="Q124" s="1328">
        <f>IFERROR(Q$81/Q$108, "")</f>
        <v>2.7764108050280822</v>
      </c>
      <c r="R124" s="1328">
        <f>IFERROR(R$81/R$108, "")</f>
        <v>2.469506048387097</v>
      </c>
      <c r="S124" s="1328">
        <f>IFERROR(S$81/S$108, "")</f>
        <v>2.3166522864538397</v>
      </c>
      <c r="T124" s="1327">
        <f>IFERROR(T$81/T$108, "")</f>
        <v>2.3166522864538397</v>
      </c>
      <c r="U124" s="1328">
        <f>IFERROR(U$81/U$108, "")</f>
        <v>2.1177224033535165</v>
      </c>
      <c r="V124" s="1328">
        <f>IFERROR(V$81/V$108, "")</f>
        <v>2.3111890189454858</v>
      </c>
      <c r="W124" s="1328">
        <f>IFERROR(W$81/W$108, "")</f>
        <v>2.3515392216900537</v>
      </c>
      <c r="X124" s="1328">
        <f>IFERROR(X$81/X$108, "")</f>
        <v>2.4685433199730653</v>
      </c>
      <c r="Y124" s="1327">
        <f>IFERROR(Y$81/Y$108, "")</f>
        <v>2.4685433199730653</v>
      </c>
      <c r="Z124" s="1328">
        <f>IFERROR(Z$81/Z$108, "")</f>
        <v>2.345691271159255</v>
      </c>
      <c r="AA124" s="1328">
        <f ca="1">IFERROR(AA$81/AA$108, "")</f>
        <v>2.28629939585025</v>
      </c>
      <c r="AB124" s="1328">
        <f ca="1">IFERROR(AB$81/AB$108, "")</f>
        <v>2.2714446141064752</v>
      </c>
      <c r="AC124" s="1328">
        <f ca="1">IFERROR(AC$81/AC$108, "")</f>
        <v>2.2343677873652292</v>
      </c>
      <c r="AD124" s="1327">
        <f ca="1">IFERROR(AD$81/AD$108, "")</f>
        <v>2.2343677873652292</v>
      </c>
      <c r="AE124" s="1327">
        <f ca="1">IFERROR(AE$81/AE$108, "")</f>
        <v>2.0724964530232204</v>
      </c>
      <c r="AF124" s="1327">
        <f ca="1">IFERROR(AF$81/AF$108, "")</f>
        <v>1.9233953781273756</v>
      </c>
      <c r="AG124" s="1329">
        <f ca="1">IFERROR(AG$81/AG$108, "")</f>
        <v>1.7835738440027438</v>
      </c>
    </row>
    <row r="125" spans="1:33" s="1264" customFormat="1" ht="14.25" customHeight="1" x14ac:dyDescent="0.35">
      <c r="A125" s="1325"/>
      <c r="B125" s="1326"/>
      <c r="C125" s="1290"/>
      <c r="D125" s="1327"/>
      <c r="E125" s="1327"/>
      <c r="F125" s="1328"/>
      <c r="G125" s="1328"/>
      <c r="H125" s="1328"/>
      <c r="I125" s="1328"/>
      <c r="J125" s="1327"/>
      <c r="K125" s="1328"/>
      <c r="L125" s="1328"/>
      <c r="M125" s="1328"/>
      <c r="N125" s="1328"/>
      <c r="O125" s="1327"/>
      <c r="P125" s="1328"/>
      <c r="Q125" s="1328"/>
      <c r="R125" s="1328"/>
      <c r="S125" s="1328"/>
      <c r="T125" s="1327"/>
      <c r="U125" s="1328"/>
      <c r="V125" s="1328"/>
      <c r="W125" s="1328"/>
      <c r="X125" s="1328"/>
      <c r="Y125" s="1327"/>
      <c r="Z125" s="1328"/>
      <c r="AA125" s="1328"/>
      <c r="AB125" s="1328"/>
      <c r="AC125" s="1328"/>
      <c r="AD125" s="1327"/>
      <c r="AE125" s="1327"/>
      <c r="AF125" s="1327"/>
      <c r="AG125" s="1329"/>
    </row>
    <row r="126" spans="1:33" s="1264" customFormat="1" ht="14.25" customHeight="1" x14ac:dyDescent="0.35">
      <c r="A126" s="1291" t="s">
        <v>106</v>
      </c>
      <c r="B126" s="1292"/>
      <c r="C126" s="1290"/>
      <c r="D126" s="1327">
        <f>IFERROR((D$81-D$67)/D$17, "")</f>
        <v>1.0316200988846729</v>
      </c>
      <c r="E126" s="1327">
        <f>IFERROR((E$81-E$67)/E$17, "")</f>
        <v>1.0632308358596796</v>
      </c>
      <c r="F126" s="1328" t="str">
        <f>IFERROR((F$81-F$67)/F$17, "")</f>
        <v/>
      </c>
      <c r="G126" s="1328" t="str">
        <f>IFERROR((G$81-G$67)/G$17, "")</f>
        <v/>
      </c>
      <c r="H126" s="1328" t="str">
        <f>IFERROR((H$81-H$67)/H$17, "")</f>
        <v/>
      </c>
      <c r="I126" s="1328">
        <f>IFERROR((I$81-I$67)/I$17, "")</f>
        <v>1.1873436196830691</v>
      </c>
      <c r="J126" s="1327">
        <f>IFERROR((J$81-J$67)/J$17, "")</f>
        <v>1.1873436196830691</v>
      </c>
      <c r="K126" s="1328">
        <f>IFERROR((K$81-K$67)/K$17, "")</f>
        <v>1.3778988992198353</v>
      </c>
      <c r="L126" s="1328">
        <f>IFERROR((L$81-L$67)/L$17, "")</f>
        <v>1.4811647792928126</v>
      </c>
      <c r="M126" s="1328">
        <f>IFERROR((M$81-M$67)/M$17, "")</f>
        <v>1.3631376211042372</v>
      </c>
      <c r="N126" s="1328">
        <f>IFERROR((N$81-N$67)/N$17, "")</f>
        <v>2.1226381461675579</v>
      </c>
      <c r="O126" s="1327">
        <f>IFERROR((O$81-O$67)/O$17, "")</f>
        <v>2.1226381461675579</v>
      </c>
      <c r="P126" s="1328">
        <f>IFERROR((P$81-P$67)/P$17, "")</f>
        <v>2.1242631454845555</v>
      </c>
      <c r="Q126" s="1328">
        <f>IFERROR((Q$81-Q$67)/Q$17, "")</f>
        <v>1.9624277456647399</v>
      </c>
      <c r="R126" s="1328">
        <f>IFERROR((R$81-R$67)/R$17, "")</f>
        <v>1.7879904875148633</v>
      </c>
      <c r="S126" s="1328">
        <f>IFERROR((S$81-S$67)/S$17, "")</f>
        <v>1.571330668189606</v>
      </c>
      <c r="T126" s="1327">
        <f>IFERROR((T$81-T$67)/T$17, "")</f>
        <v>1.571330668189606</v>
      </c>
      <c r="U126" s="1328">
        <f>IFERROR((U$81-U$67)/U$17, "")</f>
        <v>1.4354856451435485</v>
      </c>
      <c r="V126" s="1328">
        <f>IFERROR((V$81-V$67)/V$17, "")</f>
        <v>1.4706028248962828</v>
      </c>
      <c r="W126" s="1328">
        <f>IFERROR((W$81-W$67)/W$17, "")</f>
        <v>1.4039661680507594</v>
      </c>
      <c r="X126" s="1328">
        <f>IFERROR((X$81-X$67)/X$17, "")</f>
        <v>1.3381640609606067</v>
      </c>
      <c r="Y126" s="1327">
        <f>IFERROR((Y$81-Y$67)/Y$17, "")</f>
        <v>1.3381640609606067</v>
      </c>
      <c r="Z126" s="1328">
        <f ca="1">IFERROR((Z$81-Z$67)/Z$17, "")</f>
        <v>1.2809986775271116</v>
      </c>
      <c r="AA126" s="1328">
        <f ca="1">IFERROR((AA$81-AA$67)/AA$17, "")</f>
        <v>1.2879236240915357</v>
      </c>
      <c r="AB126" s="1328">
        <f ca="1">IFERROR((AB$81-AB$67)/AB$17, "")</f>
        <v>1.2205332690753192</v>
      </c>
      <c r="AC126" s="1328">
        <f ca="1">IFERROR((AC$81-AC$67)/AC$17, "")</f>
        <v>1.1515354974452854</v>
      </c>
      <c r="AD126" s="1327">
        <f ca="1">IFERROR((AD$81-AD$67)/AD$17, "")</f>
        <v>1.1515354974452854</v>
      </c>
      <c r="AE126" s="1327">
        <f ca="1">IFERROR((AE$81-AE$67)/AE$17, "")</f>
        <v>0.92675850918205838</v>
      </c>
      <c r="AF126" s="1327">
        <f ca="1">IFERROR((AF$81-AF$67)/AF$17, "")</f>
        <v>0.66776815983353333</v>
      </c>
      <c r="AG126" s="1329">
        <f ca="1">IFERROR((AG$81-AG$67)/AG$17, "")</f>
        <v>0.38099570687894918</v>
      </c>
    </row>
    <row r="127" spans="1:33" s="1264" customFormat="1" ht="14.25" customHeight="1" x14ac:dyDescent="0.35">
      <c r="A127" s="1291" t="s">
        <v>1224</v>
      </c>
      <c r="B127" s="1292"/>
      <c r="C127" s="1290"/>
      <c r="D127" s="1327">
        <f>IFERROR((D$81-D$67)/(D$17+D$52), "")</f>
        <v>1.2329256561769961</v>
      </c>
      <c r="E127" s="1327">
        <f>IFERROR((E$81-E$67)/(E$17+E$52), "")</f>
        <v>1.2488871931832635</v>
      </c>
      <c r="F127" s="1328" t="str">
        <f>IFERROR((F$81-F$67)/(F$17+F$52), "")</f>
        <v/>
      </c>
      <c r="G127" s="1328" t="str">
        <f>IFERROR((G$81-G$67)/(G$17+G$52), "")</f>
        <v/>
      </c>
      <c r="H127" s="1328" t="str">
        <f>IFERROR((H$81-H$67)/(H$17+H$52), "")</f>
        <v/>
      </c>
      <c r="I127" s="1328">
        <f>IFERROR((I$81-I$67)/(I$17+I$52), "")</f>
        <v>1.4209606986899563</v>
      </c>
      <c r="J127" s="1327">
        <f>IFERROR((J$81-J$67)/(J$17+J$52), "")</f>
        <v>1.4209606986899563</v>
      </c>
      <c r="K127" s="1328">
        <f>IFERROR((K$81-K$67)/(K$17+K$52), "")</f>
        <v>1.6759391654751072</v>
      </c>
      <c r="L127" s="1328">
        <f>IFERROR((L$81-L$67)/(L$17+L$52), "")</f>
        <v>1.8485722526680126</v>
      </c>
      <c r="M127" s="1328">
        <f>IFERROR((M$81-M$67)/(M$17+M$52), "")</f>
        <v>1.6986181818181818</v>
      </c>
      <c r="N127" s="1328">
        <f>IFERROR((N$81-N$67)/(N$17+N$52), "")</f>
        <v>2.6596188207266231</v>
      </c>
      <c r="O127" s="1327">
        <f>IFERROR((O$81-O$67)/(O$17+O$52), "")</f>
        <v>2.6596188207266231</v>
      </c>
      <c r="P127" s="1328">
        <f>IFERROR((P$81-P$67)/(P$17+P$52), "")</f>
        <v>2.6334405144694535</v>
      </c>
      <c r="Q127" s="1328">
        <f>IFERROR((Q$81-Q$67)/(Q$17+Q$52), "")</f>
        <v>2.4300626304801671</v>
      </c>
      <c r="R127" s="1328">
        <f>IFERROR((R$81-R$67)/(R$17+R$52), "")</f>
        <v>2.2136022375975268</v>
      </c>
      <c r="S127" s="1328">
        <f>IFERROR((S$81-S$67)/(S$17+S$52), "")</f>
        <v>1.8964709125999448</v>
      </c>
      <c r="T127" s="1327">
        <f>IFERROR((T$81-T$67)/(T$17+T$52), "")</f>
        <v>1.8964709125999448</v>
      </c>
      <c r="U127" s="1328">
        <f>IFERROR((U$81-U$67)/(U$17+U$52), "")</f>
        <v>1.7143983184445613</v>
      </c>
      <c r="V127" s="1328">
        <f>IFERROR((V$81-V$67)/(V$17+V$52), "")</f>
        <v>1.7699704244274423</v>
      </c>
      <c r="W127" s="1328">
        <f>IFERROR((W$81-W$67)/(W$17+W$52), "")</f>
        <v>1.7105445798801024</v>
      </c>
      <c r="X127" s="1328">
        <f>IFERROR((X$81-X$67)/(X$17+X$52), "")</f>
        <v>1.6332573249704794</v>
      </c>
      <c r="Y127" s="1327">
        <f>IFERROR((Y$81-Y$67)/(Y$17+Y$52), "")</f>
        <v>1.6332573249704794</v>
      </c>
      <c r="Z127" s="1328">
        <f ca="1">IFERROR((Z$81-Z$67)/(Z$17+Z$52), "")</f>
        <v>1.587825563049077</v>
      </c>
      <c r="AA127" s="1328">
        <f ca="1">IFERROR((AA$81-AA$67)/(AA$17+AA$52), "")</f>
        <v>1.5859050817337821</v>
      </c>
      <c r="AB127" s="1328">
        <f ca="1">IFERROR((AB$81-AB$67)/(AB$17+AB$52), "")</f>
        <v>1.500223529654592</v>
      </c>
      <c r="AC127" s="1328">
        <f ca="1">IFERROR((AC$81-AC$67)/(AC$17+AC$52), "")</f>
        <v>1.4091891019595908</v>
      </c>
      <c r="AD127" s="1327">
        <f ca="1">IFERROR((AD$81-AD$67)/(AD$17+AD$52), "")</f>
        <v>1.4091891019595908</v>
      </c>
      <c r="AE127" s="1327">
        <f ca="1">IFERROR((AE$81-AE$67)/(AE$17+AE$52), "")</f>
        <v>1.1161861117173153</v>
      </c>
      <c r="AF127" s="1327">
        <f ca="1">IFERROR((AF$81-AF$67)/(AF$17+AF$52), "")</f>
        <v>0.79255077439309751</v>
      </c>
      <c r="AG127" s="1329">
        <f ca="1">IFERROR((AG$81-AG$67)/(AG$17+AG$52), "")</f>
        <v>0.44612998474646226</v>
      </c>
    </row>
    <row r="128" spans="1:33" s="1264" customFormat="1" ht="14.25" customHeight="1" x14ac:dyDescent="0.35">
      <c r="A128" s="1291" t="s">
        <v>1225</v>
      </c>
      <c r="B128" s="1292"/>
      <c r="C128" s="1290"/>
      <c r="D128" s="1327">
        <f>IFERROR((D$81-D$67)/D$108, "")</f>
        <v>1.3467427199039328</v>
      </c>
      <c r="E128" s="1327">
        <f>IFERROR((E$81-E$67)/E$108, "")</f>
        <v>1.5737179487179487</v>
      </c>
      <c r="F128" s="1328" t="str">
        <f>IFERROR((F$81-F$67)/F$108, "")</f>
        <v/>
      </c>
      <c r="G128" s="1328" t="str">
        <f>IFERROR((G$81-G$67)/G$108, "")</f>
        <v/>
      </c>
      <c r="H128" s="1328" t="str">
        <f>IFERROR((H$81-H$67)/H$108, "")</f>
        <v/>
      </c>
      <c r="I128" s="1328">
        <f>IFERROR((I$81-I$67)/I$108, "")</f>
        <v>1.7687529119428482</v>
      </c>
      <c r="J128" s="1327">
        <f>IFERROR((J$81-J$67)/J$108, "")</f>
        <v>1.7687529119428482</v>
      </c>
      <c r="K128" s="1328">
        <f>IFERROR((K$81-K$67)/K$108, "")</f>
        <v>1.755582788671024</v>
      </c>
      <c r="L128" s="1328">
        <f>IFERROR((L$81-L$67)/L$108, "")</f>
        <v>1.8035739411847473</v>
      </c>
      <c r="M128" s="1328">
        <f>IFERROR((M$81-M$67)/M$108, "")</f>
        <v>1.6706723891273247</v>
      </c>
      <c r="N128" s="1328">
        <f>IFERROR((N$81-N$67)/N$108, "")</f>
        <v>2.5264497878359267</v>
      </c>
      <c r="O128" s="1327">
        <f>IFERROR((O$81-O$67)/O$108, "")</f>
        <v>2.5264497878359267</v>
      </c>
      <c r="P128" s="1328">
        <f>IFERROR((P$81-P$67)/P$108, "")</f>
        <v>2.4903939184519697</v>
      </c>
      <c r="Q128" s="1328">
        <f>IFERROR((Q$81-Q$67)/Q$108, "")</f>
        <v>2.1791922974057236</v>
      </c>
      <c r="R128" s="1328">
        <f>IFERROR((R$81-R$67)/R$108, "")</f>
        <v>1.8947832661290323</v>
      </c>
      <c r="S128" s="1328">
        <f>IFERROR((S$81-S$67)/S$108, "")</f>
        <v>1.695673610255146</v>
      </c>
      <c r="T128" s="1327">
        <f>IFERROR((T$81-T$67)/T$108, "")</f>
        <v>1.695673610255146</v>
      </c>
      <c r="U128" s="1328">
        <f>IFERROR((U$81-U$67)/U$108, "")</f>
        <v>1.5195621797857475</v>
      </c>
      <c r="V128" s="1328">
        <f>IFERROR((V$81-V$67)/V$108, "")</f>
        <v>1.74024969826913</v>
      </c>
      <c r="W128" s="1328">
        <f>IFERROR((W$81-W$67)/W$108, "")</f>
        <v>1.7035960368179686</v>
      </c>
      <c r="X128" s="1328">
        <f>IFERROR((X$81-X$67)/X$108, "")</f>
        <v>1.744150053664272</v>
      </c>
      <c r="Y128" s="1327">
        <f>IFERROR((Y$81-Y$67)/Y$108, "")</f>
        <v>1.744150053664272</v>
      </c>
      <c r="Z128" s="1328">
        <f ca="1">IFERROR((Z$81-Z$67)/Z$108, "")</f>
        <v>1.6245064689884658</v>
      </c>
      <c r="AA128" s="1328">
        <f ca="1">IFERROR((AA$81-AA$67)/AA$108, "")</f>
        <v>1.6372073875356394</v>
      </c>
      <c r="AB128" s="1328">
        <f ca="1">IFERROR((AB$81-AB$67)/AB$108, "")</f>
        <v>1.5535417777311595</v>
      </c>
      <c r="AC128" s="1328">
        <f ca="1">IFERROR((AC$81-AC$67)/AC$108, "")</f>
        <v>1.4701362258306616</v>
      </c>
      <c r="AD128" s="1327">
        <f ca="1">IFERROR((AD$81-AD$67)/AD$108, "")</f>
        <v>1.4701362258306616</v>
      </c>
      <c r="AE128" s="1327">
        <f ca="1">IFERROR((AE$81-AE$67)/AE$108, "")</f>
        <v>1.182350567369566</v>
      </c>
      <c r="AF128" s="1327">
        <f ca="1">IFERROR((AF$81-AF$67)/AF$108, "")</f>
        <v>0.85223589710669978</v>
      </c>
      <c r="AG128" s="1329">
        <f ca="1">IFERROR((AG$81-AG$67)/AG$108, "")</f>
        <v>0.486245418019841</v>
      </c>
    </row>
    <row r="129" spans="1:34" s="1264" customFormat="1" ht="14.25" customHeight="1" x14ac:dyDescent="0.35">
      <c r="A129" s="1325"/>
      <c r="B129" s="1326"/>
      <c r="C129" s="1290"/>
      <c r="D129" s="1327"/>
      <c r="E129" s="1327"/>
      <c r="F129" s="1328"/>
      <c r="G129" s="1328"/>
      <c r="H129" s="1328"/>
      <c r="I129" s="1328"/>
      <c r="J129" s="1327"/>
      <c r="K129" s="1328"/>
      <c r="L129" s="1328"/>
      <c r="M129" s="1328"/>
      <c r="N129" s="1328"/>
      <c r="O129" s="1327"/>
      <c r="P129" s="1328"/>
      <c r="Q129" s="1328"/>
      <c r="R129" s="1328"/>
      <c r="S129" s="1328"/>
      <c r="T129" s="1327"/>
      <c r="U129" s="1328"/>
      <c r="V129" s="1328"/>
      <c r="W129" s="1328"/>
      <c r="X129" s="1328"/>
      <c r="Y129" s="1327"/>
      <c r="Z129" s="1328"/>
      <c r="AA129" s="1328"/>
      <c r="AB129" s="1328"/>
      <c r="AC129" s="1328"/>
      <c r="AD129" s="1327"/>
      <c r="AE129" s="1327"/>
      <c r="AF129" s="1327"/>
      <c r="AG129" s="1329"/>
    </row>
    <row r="130" spans="1:34" ht="14.25" customHeight="1" x14ac:dyDescent="0.35">
      <c r="A130" s="1210" t="s">
        <v>314</v>
      </c>
      <c r="B130" s="1211"/>
      <c r="C130" s="1212"/>
      <c r="D130" s="1213"/>
      <c r="E130" s="1213"/>
      <c r="F130" s="1214"/>
      <c r="G130" s="1213"/>
      <c r="H130" s="1213"/>
      <c r="I130" s="1213"/>
      <c r="J130" s="1213"/>
      <c r="K130" s="1213"/>
      <c r="L130" s="1213"/>
      <c r="M130" s="1213"/>
      <c r="N130" s="1213"/>
      <c r="O130" s="1213"/>
      <c r="P130" s="1213"/>
      <c r="Q130" s="1213"/>
      <c r="R130" s="1213"/>
      <c r="S130" s="1213"/>
      <c r="T130" s="1213"/>
      <c r="U130" s="1213"/>
      <c r="V130" s="1213"/>
      <c r="W130" s="1213"/>
      <c r="X130" s="1213"/>
      <c r="Y130" s="1213"/>
      <c r="Z130" s="1213"/>
      <c r="AA130" s="1213"/>
      <c r="AB130" s="1213"/>
      <c r="AC130" s="1213"/>
      <c r="AD130" s="1213"/>
      <c r="AE130" s="1213"/>
      <c r="AF130" s="1213"/>
      <c r="AG130" s="1215"/>
      <c r="AH130" s="1264"/>
    </row>
    <row r="131" spans="1:34" s="1315" customFormat="1" ht="14.25" customHeight="1" outlineLevel="1" x14ac:dyDescent="0.35">
      <c r="A131" s="1291" t="s">
        <v>404</v>
      </c>
      <c r="B131" s="1292"/>
      <c r="C131" s="1310"/>
      <c r="D131" s="1331">
        <f>(D$9*(1-D$28))</f>
        <v>5179.9140791152704</v>
      </c>
      <c r="E131" s="1331">
        <f>(E$9*(1-E$28))</f>
        <v>4961.8903020667731</v>
      </c>
      <c r="F131" s="1332">
        <f>(F$9*(1-F$28))</f>
        <v>1195.6725388601037</v>
      </c>
      <c r="G131" s="1333">
        <f>(G$9*(1-G$28))</f>
        <v>1902.4093617021276</v>
      </c>
      <c r="H131" s="1333">
        <f>(H$9*(1-H$28))</f>
        <v>1586.1251908396948</v>
      </c>
      <c r="I131" s="1333">
        <f>(I$9*(1-I$28))</f>
        <v>1398.411046511628</v>
      </c>
      <c r="J131" s="1331">
        <f>(J$9*(1-J$28))</f>
        <v>6208.8217142857138</v>
      </c>
      <c r="K131" s="1333">
        <f>(K$9*(1-K$28))</f>
        <v>1375.6139705882354</v>
      </c>
      <c r="L131" s="1333">
        <f>(L$9*(1-L$28))</f>
        <v>1331.2323651452282</v>
      </c>
      <c r="M131" s="1333">
        <f>(M$9*(1-M$28))</f>
        <v>1538.7283825025431</v>
      </c>
      <c r="N131" s="1333">
        <f>(N$9*(1-N$28))</f>
        <v>1231.7079207920792</v>
      </c>
      <c r="O131" s="1331">
        <f>(O$9*(1-O$28))</f>
        <v>5472.4096638655465</v>
      </c>
      <c r="P131" s="1333">
        <f>(P$9*(1-P$28))</f>
        <v>1385.661774090619</v>
      </c>
      <c r="Q131" s="1333">
        <f>(Q$9*(1-Q$28))</f>
        <v>1112.3977900552486</v>
      </c>
      <c r="R131" s="1333">
        <f>(R$9*(1-R$28))</f>
        <v>1499.7019390581718</v>
      </c>
      <c r="S131" s="1333">
        <f>(S$9*(1-S$28))</f>
        <v>1507.3134502923976</v>
      </c>
      <c r="T131" s="1331">
        <f>(T$9*(1-T$28))</f>
        <v>5499.8796006556404</v>
      </c>
      <c r="U131" s="1333">
        <f>(U$9*(1-U$28))</f>
        <v>1666.9634961439588</v>
      </c>
      <c r="V131" s="1333">
        <f>(V$9*(1-V$28))</f>
        <v>1339.8197639920004</v>
      </c>
      <c r="W131" s="1333">
        <f>(W$9*(1-W$28))</f>
        <v>1609.77633872</v>
      </c>
      <c r="X131" s="1333">
        <f>(X$9*(1-X$28))</f>
        <v>1690.6519886360002</v>
      </c>
      <c r="Y131" s="1331">
        <f>(Y$9*(1-Y$28))</f>
        <v>6310.05723622402</v>
      </c>
      <c r="Z131" s="1333">
        <f>(Z$9*(1-Z$28))</f>
        <v>1784.4094464920006</v>
      </c>
      <c r="AA131" s="1333">
        <f>(AA$9*(1-AA$28))</f>
        <v>1560.7248250380801</v>
      </c>
      <c r="AB131" s="1333">
        <f>(AB$9*(1-AB$28))</f>
        <v>1672.3897562876803</v>
      </c>
      <c r="AC131" s="1333">
        <f>(AC$9*(1-AC$28))</f>
        <v>1848.91998919348</v>
      </c>
      <c r="AD131" s="1331">
        <f ca="1">(AD$9*(1-AD$28))</f>
        <v>6866.4440170112412</v>
      </c>
      <c r="AE131" s="1331">
        <f>(AE$9*(1-AE$28))</f>
        <v>7501.5154310384114</v>
      </c>
      <c r="AF131" s="1331">
        <f>(AF$9*(1-AF$28))</f>
        <v>8190.5293026432137</v>
      </c>
      <c r="AG131" s="1334">
        <f>(AG$9*(1-AG$28))</f>
        <v>8937.9323911831689</v>
      </c>
      <c r="AH131" s="1222"/>
    </row>
    <row r="132" spans="1:34" s="1315" customFormat="1" ht="14.25" customHeight="1" outlineLevel="1" x14ac:dyDescent="0.35">
      <c r="A132" s="1291" t="s">
        <v>1226</v>
      </c>
      <c r="B132" s="1292"/>
      <c r="C132" s="1310"/>
      <c r="D132" s="1219">
        <f>IFERROR(IF(LEFT(D$3,1)="F",D131,
IF(LEFT(D$3,2)="Q1",D131+INDEX(131:131,0,MATCH("Q4-"&amp;RIGHT(D$3,4)-1,$3:$3,0))+INDEX(131:131,0,MATCH("Q3-"&amp;RIGHT(D$3,4)-1,$3:$3,0))+INDEX(131:131,0,MATCH("Q2-"&amp;RIGHT(D$3,4)-1,$3:$3,0)),
IF(LEFT(D$3,2)="Q2",D131+INDEX(131:131,0,MATCH("Q4-"&amp;RIGHT(D$3,4)-1,$3:$3,0))+INDEX(131:131,0,MATCH("Q3-"&amp;RIGHT(D$3,4)-1,$3:$3,0))+INDEX(131:131,0,MATCH("Q1-"&amp;RIGHT(D$3,4),$3:$3,0)),
IF(LEFT(D$3,2)="Q3",D131+INDEX(131:131,0,MATCH("Q4-"&amp;RIGHT(D$3,4)-1,$3:$3,0))+INDEX(131:131,0,MATCH("Q2-"&amp;RIGHT(D$3,4),$3:$3,0))+INDEX(131:131,0,MATCH("Q1-"&amp;RIGHT(D$3,4),$3:$3,0)),
IF(LEFT(D$3,2)="Q4",INDEX(131:131,0,MATCH("FY"&amp;RIGHT(D$3,4),$3:$3,0))))))), "")</f>
        <v>5179.9140791152704</v>
      </c>
      <c r="E132" s="1219">
        <f>IFERROR(IF(LEFT(E$3,1)="F",E131,
IF(LEFT(E$3,2)="Q1",E131+INDEX(131:131,0,MATCH("Q4-"&amp;RIGHT(E$3,4)-1,$3:$3,0))+INDEX(131:131,0,MATCH("Q3-"&amp;RIGHT(E$3,4)-1,$3:$3,0))+INDEX(131:131,0,MATCH("Q2-"&amp;RIGHT(E$3,4)-1,$3:$3,0)),
IF(LEFT(E$3,2)="Q2",E131+INDEX(131:131,0,MATCH("Q4-"&amp;RIGHT(E$3,4)-1,$3:$3,0))+INDEX(131:131,0,MATCH("Q3-"&amp;RIGHT(E$3,4)-1,$3:$3,0))+INDEX(131:131,0,MATCH("Q1-"&amp;RIGHT(E$3,4),$3:$3,0)),
IF(LEFT(E$3,2)="Q3",E131+INDEX(131:131,0,MATCH("Q4-"&amp;RIGHT(E$3,4)-1,$3:$3,0))+INDEX(131:131,0,MATCH("Q2-"&amp;RIGHT(E$3,4),$3:$3,0))+INDEX(131:131,0,MATCH("Q1-"&amp;RIGHT(E$3,4),$3:$3,0)),
IF(LEFT(E$3,2)="Q4",INDEX(131:131,0,MATCH("FY"&amp;RIGHT(E$3,4),$3:$3,0))))))), "")</f>
        <v>4961.8903020667731</v>
      </c>
      <c r="F132" s="1225" t="str">
        <f>IFERROR(IF(LEFT(F$3,1)="F",F131,
IF(LEFT(F$3,2)="Q1",F131+INDEX(131:131,0,MATCH("Q4-"&amp;RIGHT(F$3,4)-1,$3:$3,0))+INDEX(131:131,0,MATCH("Q3-"&amp;RIGHT(F$3,4)-1,$3:$3,0))+INDEX(131:131,0,MATCH("Q2-"&amp;RIGHT(F$3,4)-1,$3:$3,0)),
IF(LEFT(F$3,2)="Q2",F131+INDEX(131:131,0,MATCH("Q4-"&amp;RIGHT(F$3,4)-1,$3:$3,0))+INDEX(131:131,0,MATCH("Q3-"&amp;RIGHT(F$3,4)-1,$3:$3,0))+INDEX(131:131,0,MATCH("Q1-"&amp;RIGHT(F$3,4),$3:$3,0)),
IF(LEFT(F$3,2)="Q3",F131+INDEX(131:131,0,MATCH("Q4-"&amp;RIGHT(F$3,4)-1,$3:$3,0))+INDEX(131:131,0,MATCH("Q2-"&amp;RIGHT(F$3,4),$3:$3,0))+INDEX(131:131,0,MATCH("Q1-"&amp;RIGHT(F$3,4),$3:$3,0)),
IF(LEFT(F$3,2)="Q4",INDEX(131:131,0,MATCH("FY"&amp;RIGHT(F$3,4),$3:$3,0))))))), "")</f>
        <v/>
      </c>
      <c r="G132" s="1225" t="str">
        <f>IFERROR(IF(LEFT(G$3,1)="F",G131,
IF(LEFT(G$3,2)="Q1",G131+INDEX(131:131,0,MATCH("Q4-"&amp;RIGHT(G$3,4)-1,$3:$3,0))+INDEX(131:131,0,MATCH("Q3-"&amp;RIGHT(G$3,4)-1,$3:$3,0))+INDEX(131:131,0,MATCH("Q2-"&amp;RIGHT(G$3,4)-1,$3:$3,0)),
IF(LEFT(G$3,2)="Q2",G131+INDEX(131:131,0,MATCH("Q4-"&amp;RIGHT(G$3,4)-1,$3:$3,0))+INDEX(131:131,0,MATCH("Q3-"&amp;RIGHT(G$3,4)-1,$3:$3,0))+INDEX(131:131,0,MATCH("Q1-"&amp;RIGHT(G$3,4),$3:$3,0)),
IF(LEFT(G$3,2)="Q3",G131+INDEX(131:131,0,MATCH("Q4-"&amp;RIGHT(G$3,4)-1,$3:$3,0))+INDEX(131:131,0,MATCH("Q2-"&amp;RIGHT(G$3,4),$3:$3,0))+INDEX(131:131,0,MATCH("Q1-"&amp;RIGHT(G$3,4),$3:$3,0)),
IF(LEFT(G$3,2)="Q4",INDEX(131:131,0,MATCH("FY"&amp;RIGHT(G$3,4),$3:$3,0))))))), "")</f>
        <v/>
      </c>
      <c r="H132" s="1225" t="str">
        <f>IFERROR(IF(LEFT(H$3,1)="F",H131,
IF(LEFT(H$3,2)="Q1",H131+INDEX(131:131,0,MATCH("Q4-"&amp;RIGHT(H$3,4)-1,$3:$3,0))+INDEX(131:131,0,MATCH("Q3-"&amp;RIGHT(H$3,4)-1,$3:$3,0))+INDEX(131:131,0,MATCH("Q2-"&amp;RIGHT(H$3,4)-1,$3:$3,0)),
IF(LEFT(H$3,2)="Q2",H131+INDEX(131:131,0,MATCH("Q4-"&amp;RIGHT(H$3,4)-1,$3:$3,0))+INDEX(131:131,0,MATCH("Q3-"&amp;RIGHT(H$3,4)-1,$3:$3,0))+INDEX(131:131,0,MATCH("Q1-"&amp;RIGHT(H$3,4),$3:$3,0)),
IF(LEFT(H$3,2)="Q3",H131+INDEX(131:131,0,MATCH("Q4-"&amp;RIGHT(H$3,4)-1,$3:$3,0))+INDEX(131:131,0,MATCH("Q2-"&amp;RIGHT(H$3,4),$3:$3,0))+INDEX(131:131,0,MATCH("Q1-"&amp;RIGHT(H$3,4),$3:$3,0)),
IF(LEFT(H$3,2)="Q4",INDEX(131:131,0,MATCH("FY"&amp;RIGHT(H$3,4),$3:$3,0))))))), "")</f>
        <v/>
      </c>
      <c r="I132" s="1225">
        <f>IFERROR(IF(LEFT(I$3,1)="F",I131,
IF(LEFT(I$3,2)="Q1",I131+INDEX(131:131,0,MATCH("Q4-"&amp;RIGHT(I$3,4)-1,$3:$3,0))+INDEX(131:131,0,MATCH("Q3-"&amp;RIGHT(I$3,4)-1,$3:$3,0))+INDEX(131:131,0,MATCH("Q2-"&amp;RIGHT(I$3,4)-1,$3:$3,0)),
IF(LEFT(I$3,2)="Q2",I131+INDEX(131:131,0,MATCH("Q4-"&amp;RIGHT(I$3,4)-1,$3:$3,0))+INDEX(131:131,0,MATCH("Q3-"&amp;RIGHT(I$3,4)-1,$3:$3,0))+INDEX(131:131,0,MATCH("Q1-"&amp;RIGHT(I$3,4),$3:$3,0)),
IF(LEFT(I$3,2)="Q3",I131+INDEX(131:131,0,MATCH("Q4-"&amp;RIGHT(I$3,4)-1,$3:$3,0))+INDEX(131:131,0,MATCH("Q2-"&amp;RIGHT(I$3,4),$3:$3,0))+INDEX(131:131,0,MATCH("Q1-"&amp;RIGHT(I$3,4),$3:$3,0)),
IF(LEFT(I$3,2)="Q4",INDEX(131:131,0,MATCH("FY"&amp;RIGHT(I$3,4),$3:$3,0))))))), "")</f>
        <v>6208.8217142857138</v>
      </c>
      <c r="J132" s="1219">
        <f>IFERROR(IF(LEFT(J$3,1)="F",J131,
IF(LEFT(J$3,2)="Q1",J131+INDEX(131:131,0,MATCH("Q4-"&amp;RIGHT(J$3,4)-1,$3:$3,0))+INDEX(131:131,0,MATCH("Q3-"&amp;RIGHT(J$3,4)-1,$3:$3,0))+INDEX(131:131,0,MATCH("Q2-"&amp;RIGHT(J$3,4)-1,$3:$3,0)),
IF(LEFT(J$3,2)="Q2",J131+INDEX(131:131,0,MATCH("Q4-"&amp;RIGHT(J$3,4)-1,$3:$3,0))+INDEX(131:131,0,MATCH("Q3-"&amp;RIGHT(J$3,4)-1,$3:$3,0))+INDEX(131:131,0,MATCH("Q1-"&amp;RIGHT(J$3,4),$3:$3,0)),
IF(LEFT(J$3,2)="Q3",J131+INDEX(131:131,0,MATCH("Q4-"&amp;RIGHT(J$3,4)-1,$3:$3,0))+INDEX(131:131,0,MATCH("Q2-"&amp;RIGHT(J$3,4),$3:$3,0))+INDEX(131:131,0,MATCH("Q1-"&amp;RIGHT(J$3,4),$3:$3,0)),
IF(LEFT(J$3,2)="Q4",INDEX(131:131,0,MATCH("FY"&amp;RIGHT(J$3,4),$3:$3,0))))))), "")</f>
        <v>6208.8217142857138</v>
      </c>
      <c r="K132" s="1225">
        <f>IFERROR(IF(LEFT(K$3,1)="F",K131,
IF(LEFT(K$3,2)="Q1",K131+INDEX(131:131,0,MATCH("Q4-"&amp;RIGHT(K$3,4)-1,$3:$3,0))+INDEX(131:131,0,MATCH("Q3-"&amp;RIGHT(K$3,4)-1,$3:$3,0))+INDEX(131:131,0,MATCH("Q2-"&amp;RIGHT(K$3,4)-1,$3:$3,0)),
IF(LEFT(K$3,2)="Q2",K131+INDEX(131:131,0,MATCH("Q4-"&amp;RIGHT(K$3,4)-1,$3:$3,0))+INDEX(131:131,0,MATCH("Q3-"&amp;RIGHT(K$3,4)-1,$3:$3,0))+INDEX(131:131,0,MATCH("Q1-"&amp;RIGHT(K$3,4),$3:$3,0)),
IF(LEFT(K$3,2)="Q3",K131+INDEX(131:131,0,MATCH("Q4-"&amp;RIGHT(K$3,4)-1,$3:$3,0))+INDEX(131:131,0,MATCH("Q2-"&amp;RIGHT(K$3,4),$3:$3,0))+INDEX(131:131,0,MATCH("Q1-"&amp;RIGHT(K$3,4),$3:$3,0)),
IF(LEFT(K$3,2)="Q4",INDEX(131:131,0,MATCH("FY"&amp;RIGHT(K$3,4),$3:$3,0))))))), "")</f>
        <v>6262.5595696416858</v>
      </c>
      <c r="L132" s="1225">
        <f>IFERROR(IF(LEFT(L$3,1)="F",L131,
IF(LEFT(L$3,2)="Q1",L131+INDEX(131:131,0,MATCH("Q4-"&amp;RIGHT(L$3,4)-1,$3:$3,0))+INDEX(131:131,0,MATCH("Q3-"&amp;RIGHT(L$3,4)-1,$3:$3,0))+INDEX(131:131,0,MATCH("Q2-"&amp;RIGHT(L$3,4)-1,$3:$3,0)),
IF(LEFT(L$3,2)="Q2",L131+INDEX(131:131,0,MATCH("Q4-"&amp;RIGHT(L$3,4)-1,$3:$3,0))+INDEX(131:131,0,MATCH("Q3-"&amp;RIGHT(L$3,4)-1,$3:$3,0))+INDEX(131:131,0,MATCH("Q1-"&amp;RIGHT(L$3,4),$3:$3,0)),
IF(LEFT(L$3,2)="Q3",L131+INDEX(131:131,0,MATCH("Q4-"&amp;RIGHT(L$3,4)-1,$3:$3,0))+INDEX(131:131,0,MATCH("Q2-"&amp;RIGHT(L$3,4),$3:$3,0))+INDEX(131:131,0,MATCH("Q1-"&amp;RIGHT(L$3,4),$3:$3,0)),
IF(LEFT(L$3,2)="Q4",INDEX(131:131,0,MATCH("FY"&amp;RIGHT(L$3,4),$3:$3,0))))))), "")</f>
        <v>5691.3825730847866</v>
      </c>
      <c r="M132" s="1225">
        <f>IFERROR(IF(LEFT(M$3,1)="F",M131,
IF(LEFT(M$3,2)="Q1",M131+INDEX(131:131,0,MATCH("Q4-"&amp;RIGHT(M$3,4)-1,$3:$3,0))+INDEX(131:131,0,MATCH("Q3-"&amp;RIGHT(M$3,4)-1,$3:$3,0))+INDEX(131:131,0,MATCH("Q2-"&amp;RIGHT(M$3,4)-1,$3:$3,0)),
IF(LEFT(M$3,2)="Q2",M131+INDEX(131:131,0,MATCH("Q4-"&amp;RIGHT(M$3,4)-1,$3:$3,0))+INDEX(131:131,0,MATCH("Q3-"&amp;RIGHT(M$3,4)-1,$3:$3,0))+INDEX(131:131,0,MATCH("Q1-"&amp;RIGHT(M$3,4),$3:$3,0)),
IF(LEFT(M$3,2)="Q3",M131+INDEX(131:131,0,MATCH("Q4-"&amp;RIGHT(M$3,4)-1,$3:$3,0))+INDEX(131:131,0,MATCH("Q2-"&amp;RIGHT(M$3,4),$3:$3,0))+INDEX(131:131,0,MATCH("Q1-"&amp;RIGHT(M$3,4),$3:$3,0)),
IF(LEFT(M$3,2)="Q4",INDEX(131:131,0,MATCH("FY"&amp;RIGHT(M$3,4),$3:$3,0))))))), "")</f>
        <v>5643.9857647476347</v>
      </c>
      <c r="N132" s="1225">
        <f>IFERROR(IF(LEFT(N$3,1)="F",N131,
IF(LEFT(N$3,2)="Q1",N131+INDEX(131:131,0,MATCH("Q4-"&amp;RIGHT(N$3,4)-1,$3:$3,0))+INDEX(131:131,0,MATCH("Q3-"&amp;RIGHT(N$3,4)-1,$3:$3,0))+INDEX(131:131,0,MATCH("Q2-"&amp;RIGHT(N$3,4)-1,$3:$3,0)),
IF(LEFT(N$3,2)="Q2",N131+INDEX(131:131,0,MATCH("Q4-"&amp;RIGHT(N$3,4)-1,$3:$3,0))+INDEX(131:131,0,MATCH("Q3-"&amp;RIGHT(N$3,4)-1,$3:$3,0))+INDEX(131:131,0,MATCH("Q1-"&amp;RIGHT(N$3,4),$3:$3,0)),
IF(LEFT(N$3,2)="Q3",N131+INDEX(131:131,0,MATCH("Q4-"&amp;RIGHT(N$3,4)-1,$3:$3,0))+INDEX(131:131,0,MATCH("Q2-"&amp;RIGHT(N$3,4),$3:$3,0))+INDEX(131:131,0,MATCH("Q1-"&amp;RIGHT(N$3,4),$3:$3,0)),
IF(LEFT(N$3,2)="Q4",INDEX(131:131,0,MATCH("FY"&amp;RIGHT(N$3,4),$3:$3,0))))))), "")</f>
        <v>5472.4096638655465</v>
      </c>
      <c r="O132" s="1219">
        <f>IFERROR(IF(LEFT(O$3,1)="F",O131,
IF(LEFT(O$3,2)="Q1",O131+INDEX(131:131,0,MATCH("Q4-"&amp;RIGHT(O$3,4)-1,$3:$3,0))+INDEX(131:131,0,MATCH("Q3-"&amp;RIGHT(O$3,4)-1,$3:$3,0))+INDEX(131:131,0,MATCH("Q2-"&amp;RIGHT(O$3,4)-1,$3:$3,0)),
IF(LEFT(O$3,2)="Q2",O131+INDEX(131:131,0,MATCH("Q4-"&amp;RIGHT(O$3,4)-1,$3:$3,0))+INDEX(131:131,0,MATCH("Q3-"&amp;RIGHT(O$3,4)-1,$3:$3,0))+INDEX(131:131,0,MATCH("Q1-"&amp;RIGHT(O$3,4),$3:$3,0)),
IF(LEFT(O$3,2)="Q3",O131+INDEX(131:131,0,MATCH("Q4-"&amp;RIGHT(O$3,4)-1,$3:$3,0))+INDEX(131:131,0,MATCH("Q2-"&amp;RIGHT(O$3,4),$3:$3,0))+INDEX(131:131,0,MATCH("Q1-"&amp;RIGHT(O$3,4),$3:$3,0)),
IF(LEFT(O$3,2)="Q4",INDEX(131:131,0,MATCH("FY"&amp;RIGHT(O$3,4),$3:$3,0))))))), "")</f>
        <v>5472.4096638655465</v>
      </c>
      <c r="P132" s="1225">
        <f>IFERROR(IF(LEFT(P$3,1)="F",P131,
IF(LEFT(P$3,2)="Q1",P131+INDEX(131:131,0,MATCH("Q4-"&amp;RIGHT(P$3,4)-1,$3:$3,0))+INDEX(131:131,0,MATCH("Q3-"&amp;RIGHT(P$3,4)-1,$3:$3,0))+INDEX(131:131,0,MATCH("Q2-"&amp;RIGHT(P$3,4)-1,$3:$3,0)),
IF(LEFT(P$3,2)="Q2",P131+INDEX(131:131,0,MATCH("Q4-"&amp;RIGHT(P$3,4)-1,$3:$3,0))+INDEX(131:131,0,MATCH("Q3-"&amp;RIGHT(P$3,4)-1,$3:$3,0))+INDEX(131:131,0,MATCH("Q1-"&amp;RIGHT(P$3,4),$3:$3,0)),
IF(LEFT(P$3,2)="Q3",P131+INDEX(131:131,0,MATCH("Q4-"&amp;RIGHT(P$3,4)-1,$3:$3,0))+INDEX(131:131,0,MATCH("Q2-"&amp;RIGHT(P$3,4),$3:$3,0))+INDEX(131:131,0,MATCH("Q1-"&amp;RIGHT(P$3,4),$3:$3,0)),
IF(LEFT(P$3,2)="Q4",INDEX(131:131,0,MATCH("FY"&amp;RIGHT(P$3,4),$3:$3,0))))))), "")</f>
        <v>5487.3304425304696</v>
      </c>
      <c r="Q132" s="1225">
        <f>IFERROR(IF(LEFT(Q$3,1)="F",Q131,
IF(LEFT(Q$3,2)="Q1",Q131+INDEX(131:131,0,MATCH("Q4-"&amp;RIGHT(Q$3,4)-1,$3:$3,0))+INDEX(131:131,0,MATCH("Q3-"&amp;RIGHT(Q$3,4)-1,$3:$3,0))+INDEX(131:131,0,MATCH("Q2-"&amp;RIGHT(Q$3,4)-1,$3:$3,0)),
IF(LEFT(Q$3,2)="Q2",Q131+INDEX(131:131,0,MATCH("Q4-"&amp;RIGHT(Q$3,4)-1,$3:$3,0))+INDEX(131:131,0,MATCH("Q3-"&amp;RIGHT(Q$3,4)-1,$3:$3,0))+INDEX(131:131,0,MATCH("Q1-"&amp;RIGHT(Q$3,4),$3:$3,0)),
IF(LEFT(Q$3,2)="Q3",Q131+INDEX(131:131,0,MATCH("Q4-"&amp;RIGHT(Q$3,4)-1,$3:$3,0))+INDEX(131:131,0,MATCH("Q2-"&amp;RIGHT(Q$3,4),$3:$3,0))+INDEX(131:131,0,MATCH("Q1-"&amp;RIGHT(Q$3,4),$3:$3,0)),
IF(LEFT(Q$3,2)="Q4",INDEX(131:131,0,MATCH("FY"&amp;RIGHT(Q$3,4),$3:$3,0))))))), "")</f>
        <v>5268.4958674404897</v>
      </c>
      <c r="R132" s="1225">
        <f>IFERROR(IF(LEFT(R$3,1)="F",R131,
IF(LEFT(R$3,2)="Q1",R131+INDEX(131:131,0,MATCH("Q4-"&amp;RIGHT(R$3,4)-1,$3:$3,0))+INDEX(131:131,0,MATCH("Q3-"&amp;RIGHT(R$3,4)-1,$3:$3,0))+INDEX(131:131,0,MATCH("Q2-"&amp;RIGHT(R$3,4)-1,$3:$3,0)),
IF(LEFT(R$3,2)="Q2",R131+INDEX(131:131,0,MATCH("Q4-"&amp;RIGHT(R$3,4)-1,$3:$3,0))+INDEX(131:131,0,MATCH("Q3-"&amp;RIGHT(R$3,4)-1,$3:$3,0))+INDEX(131:131,0,MATCH("Q1-"&amp;RIGHT(R$3,4),$3:$3,0)),
IF(LEFT(R$3,2)="Q3",R131+INDEX(131:131,0,MATCH("Q4-"&amp;RIGHT(R$3,4)-1,$3:$3,0))+INDEX(131:131,0,MATCH("Q2-"&amp;RIGHT(R$3,4),$3:$3,0))+INDEX(131:131,0,MATCH("Q1-"&amp;RIGHT(R$3,4),$3:$3,0)),
IF(LEFT(R$3,2)="Q4",INDEX(131:131,0,MATCH("FY"&amp;RIGHT(R$3,4),$3:$3,0))))))), "")</f>
        <v>5229.4694239961191</v>
      </c>
      <c r="S132" s="1225">
        <f>IFERROR(IF(LEFT(S$3,1)="F",S131,
IF(LEFT(S$3,2)="Q1",S131+INDEX(131:131,0,MATCH("Q4-"&amp;RIGHT(S$3,4)-1,$3:$3,0))+INDEX(131:131,0,MATCH("Q3-"&amp;RIGHT(S$3,4)-1,$3:$3,0))+INDEX(131:131,0,MATCH("Q2-"&amp;RIGHT(S$3,4)-1,$3:$3,0)),
IF(LEFT(S$3,2)="Q2",S131+INDEX(131:131,0,MATCH("Q4-"&amp;RIGHT(S$3,4)-1,$3:$3,0))+INDEX(131:131,0,MATCH("Q3-"&amp;RIGHT(S$3,4)-1,$3:$3,0))+INDEX(131:131,0,MATCH("Q1-"&amp;RIGHT(S$3,4),$3:$3,0)),
IF(LEFT(S$3,2)="Q3",S131+INDEX(131:131,0,MATCH("Q4-"&amp;RIGHT(S$3,4)-1,$3:$3,0))+INDEX(131:131,0,MATCH("Q2-"&amp;RIGHT(S$3,4),$3:$3,0))+INDEX(131:131,0,MATCH("Q1-"&amp;RIGHT(S$3,4),$3:$3,0)),
IF(LEFT(S$3,2)="Q4",INDEX(131:131,0,MATCH("FY"&amp;RIGHT(S$3,4),$3:$3,0))))))), "")</f>
        <v>5499.8796006556404</v>
      </c>
      <c r="T132" s="1219">
        <f>IFERROR(IF(LEFT(T$3,1)="F",T131,
IF(LEFT(T$3,2)="Q1",T131+INDEX(131:131,0,MATCH("Q4-"&amp;RIGHT(T$3,4)-1,$3:$3,0))+INDEX(131:131,0,MATCH("Q3-"&amp;RIGHT(T$3,4)-1,$3:$3,0))+INDEX(131:131,0,MATCH("Q2-"&amp;RIGHT(T$3,4)-1,$3:$3,0)),
IF(LEFT(T$3,2)="Q2",T131+INDEX(131:131,0,MATCH("Q4-"&amp;RIGHT(T$3,4)-1,$3:$3,0))+INDEX(131:131,0,MATCH("Q3-"&amp;RIGHT(T$3,4)-1,$3:$3,0))+INDEX(131:131,0,MATCH("Q1-"&amp;RIGHT(T$3,4),$3:$3,0)),
IF(LEFT(T$3,2)="Q3",T131+INDEX(131:131,0,MATCH("Q4-"&amp;RIGHT(T$3,4)-1,$3:$3,0))+INDEX(131:131,0,MATCH("Q2-"&amp;RIGHT(T$3,4),$3:$3,0))+INDEX(131:131,0,MATCH("Q1-"&amp;RIGHT(T$3,4),$3:$3,0)),
IF(LEFT(T$3,2)="Q4",INDEX(131:131,0,MATCH("FY"&amp;RIGHT(T$3,4),$3:$3,0))))))), "")</f>
        <v>5499.8796006556404</v>
      </c>
      <c r="U132" s="1225">
        <f>IFERROR(IF(LEFT(U$3,1)="F",U131,
IF(LEFT(U$3,2)="Q1",U131+INDEX(131:131,0,MATCH("Q4-"&amp;RIGHT(U$3,4)-1,$3:$3,0))+INDEX(131:131,0,MATCH("Q3-"&amp;RIGHT(U$3,4)-1,$3:$3,0))+INDEX(131:131,0,MATCH("Q2-"&amp;RIGHT(U$3,4)-1,$3:$3,0)),
IF(LEFT(U$3,2)="Q2",U131+INDEX(131:131,0,MATCH("Q4-"&amp;RIGHT(U$3,4)-1,$3:$3,0))+INDEX(131:131,0,MATCH("Q3-"&amp;RIGHT(U$3,4)-1,$3:$3,0))+INDEX(131:131,0,MATCH("Q1-"&amp;RIGHT(U$3,4),$3:$3,0)),
IF(LEFT(U$3,2)="Q3",U131+INDEX(131:131,0,MATCH("Q4-"&amp;RIGHT(U$3,4)-1,$3:$3,0))+INDEX(131:131,0,MATCH("Q2-"&amp;RIGHT(U$3,4),$3:$3,0))+INDEX(131:131,0,MATCH("Q1-"&amp;RIGHT(U$3,4),$3:$3,0)),
IF(LEFT(U$3,2)="Q4",INDEX(131:131,0,MATCH("FY"&amp;RIGHT(U$3,4),$3:$3,0))))))), "")</f>
        <v>5786.3766755497763</v>
      </c>
      <c r="V132" s="1225">
        <f>IFERROR(IF(LEFT(V$3,1)="F",V131,
IF(LEFT(V$3,2)="Q1",V131+INDEX(131:131,0,MATCH("Q4-"&amp;RIGHT(V$3,4)-1,$3:$3,0))+INDEX(131:131,0,MATCH("Q3-"&amp;RIGHT(V$3,4)-1,$3:$3,0))+INDEX(131:131,0,MATCH("Q2-"&amp;RIGHT(V$3,4)-1,$3:$3,0)),
IF(LEFT(V$3,2)="Q2",V131+INDEX(131:131,0,MATCH("Q4-"&amp;RIGHT(V$3,4)-1,$3:$3,0))+INDEX(131:131,0,MATCH("Q3-"&amp;RIGHT(V$3,4)-1,$3:$3,0))+INDEX(131:131,0,MATCH("Q1-"&amp;RIGHT(V$3,4),$3:$3,0)),
IF(LEFT(V$3,2)="Q3",V131+INDEX(131:131,0,MATCH("Q4-"&amp;RIGHT(V$3,4)-1,$3:$3,0))+INDEX(131:131,0,MATCH("Q2-"&amp;RIGHT(V$3,4),$3:$3,0))+INDEX(131:131,0,MATCH("Q1-"&amp;RIGHT(V$3,4),$3:$3,0)),
IF(LEFT(V$3,2)="Q4",INDEX(131:131,0,MATCH("FY"&amp;RIGHT(V$3,4),$3:$3,0))))))), "")</f>
        <v>6013.798649486529</v>
      </c>
      <c r="W132" s="1225">
        <f>IFERROR(IF(LEFT(W$3,1)="F",W131,
IF(LEFT(W$3,2)="Q1",W131+INDEX(131:131,0,MATCH("Q4-"&amp;RIGHT(W$3,4)-1,$3:$3,0))+INDEX(131:131,0,MATCH("Q3-"&amp;RIGHT(W$3,4)-1,$3:$3,0))+INDEX(131:131,0,MATCH("Q2-"&amp;RIGHT(W$3,4)-1,$3:$3,0)),
IF(LEFT(W$3,2)="Q2",W131+INDEX(131:131,0,MATCH("Q4-"&amp;RIGHT(W$3,4)-1,$3:$3,0))+INDEX(131:131,0,MATCH("Q3-"&amp;RIGHT(W$3,4)-1,$3:$3,0))+INDEX(131:131,0,MATCH("Q1-"&amp;RIGHT(W$3,4),$3:$3,0)),
IF(LEFT(W$3,2)="Q3",W131+INDEX(131:131,0,MATCH("Q4-"&amp;RIGHT(W$3,4)-1,$3:$3,0))+INDEX(131:131,0,MATCH("Q2-"&amp;RIGHT(W$3,4),$3:$3,0))+INDEX(131:131,0,MATCH("Q1-"&amp;RIGHT(W$3,4),$3:$3,0)),
IF(LEFT(W$3,2)="Q4",INDEX(131:131,0,MATCH("FY"&amp;RIGHT(W$3,4),$3:$3,0))))))), "")</f>
        <v>6123.8730491483566</v>
      </c>
      <c r="X132" s="1225">
        <f>IFERROR(IF(LEFT(X$3,1)="F",X131,
IF(LEFT(X$3,2)="Q1",X131+INDEX(131:131,0,MATCH("Q4-"&amp;RIGHT(X$3,4)-1,$3:$3,0))+INDEX(131:131,0,MATCH("Q3-"&amp;RIGHT(X$3,4)-1,$3:$3,0))+INDEX(131:131,0,MATCH("Q2-"&amp;RIGHT(X$3,4)-1,$3:$3,0)),
IF(LEFT(X$3,2)="Q2",X131+INDEX(131:131,0,MATCH("Q4-"&amp;RIGHT(X$3,4)-1,$3:$3,0))+INDEX(131:131,0,MATCH("Q3-"&amp;RIGHT(X$3,4)-1,$3:$3,0))+INDEX(131:131,0,MATCH("Q1-"&amp;RIGHT(X$3,4),$3:$3,0)),
IF(LEFT(X$3,2)="Q3",X131+INDEX(131:131,0,MATCH("Q4-"&amp;RIGHT(X$3,4)-1,$3:$3,0))+INDEX(131:131,0,MATCH("Q2-"&amp;RIGHT(X$3,4),$3:$3,0))+INDEX(131:131,0,MATCH("Q1-"&amp;RIGHT(X$3,4),$3:$3,0)),
IF(LEFT(X$3,2)="Q4",INDEX(131:131,0,MATCH("FY"&amp;RIGHT(X$3,4),$3:$3,0))))))), "")</f>
        <v>6310.05723622402</v>
      </c>
      <c r="Y132" s="1219">
        <f>IFERROR(IF(LEFT(Y$3,1)="F",Y131,
IF(LEFT(Y$3,2)="Q1",Y131+INDEX(131:131,0,MATCH("Q4-"&amp;RIGHT(Y$3,4)-1,$3:$3,0))+INDEX(131:131,0,MATCH("Q3-"&amp;RIGHT(Y$3,4)-1,$3:$3,0))+INDEX(131:131,0,MATCH("Q2-"&amp;RIGHT(Y$3,4)-1,$3:$3,0)),
IF(LEFT(Y$3,2)="Q2",Y131+INDEX(131:131,0,MATCH("Q4-"&amp;RIGHT(Y$3,4)-1,$3:$3,0))+INDEX(131:131,0,MATCH("Q3-"&amp;RIGHT(Y$3,4)-1,$3:$3,0))+INDEX(131:131,0,MATCH("Q1-"&amp;RIGHT(Y$3,4),$3:$3,0)),
IF(LEFT(Y$3,2)="Q3",Y131+INDEX(131:131,0,MATCH("Q4-"&amp;RIGHT(Y$3,4)-1,$3:$3,0))+INDEX(131:131,0,MATCH("Q2-"&amp;RIGHT(Y$3,4),$3:$3,0))+INDEX(131:131,0,MATCH("Q1-"&amp;RIGHT(Y$3,4),$3:$3,0)),
IF(LEFT(Y$3,2)="Q4",INDEX(131:131,0,MATCH("FY"&amp;RIGHT(Y$3,4),$3:$3,0))))))), "")</f>
        <v>6310.05723622402</v>
      </c>
      <c r="Z132" s="1225">
        <f>IFERROR(IF(LEFT(Z$3,1)="F",Z131,
IF(LEFT(Z$3,2)="Q1",Z131+INDEX(131:131,0,MATCH("Q4-"&amp;RIGHT(Z$3,4)-1,$3:$3,0))+INDEX(131:131,0,MATCH("Q3-"&amp;RIGHT(Z$3,4)-1,$3:$3,0))+INDEX(131:131,0,MATCH("Q2-"&amp;RIGHT(Z$3,4)-1,$3:$3,0)),
IF(LEFT(Z$3,2)="Q2",Z131+INDEX(131:131,0,MATCH("Q4-"&amp;RIGHT(Z$3,4)-1,$3:$3,0))+INDEX(131:131,0,MATCH("Q3-"&amp;RIGHT(Z$3,4)-1,$3:$3,0))+INDEX(131:131,0,MATCH("Q1-"&amp;RIGHT(Z$3,4),$3:$3,0)),
IF(LEFT(Z$3,2)="Q3",Z131+INDEX(131:131,0,MATCH("Q4-"&amp;RIGHT(Z$3,4)-1,$3:$3,0))+INDEX(131:131,0,MATCH("Q2-"&amp;RIGHT(Z$3,4),$3:$3,0))+INDEX(131:131,0,MATCH("Q1-"&amp;RIGHT(Z$3,4),$3:$3,0)),
IF(LEFT(Z$3,2)="Q4",INDEX(131:131,0,MATCH("FY"&amp;RIGHT(Z$3,4),$3:$3,0))))))), "")</f>
        <v>6424.6575378400012</v>
      </c>
      <c r="AA132" s="1225">
        <f>IFERROR(IF(LEFT(AA$3,1)="F",AA131,
IF(LEFT(AA$3,2)="Q1",AA131+INDEX(131:131,0,MATCH("Q4-"&amp;RIGHT(AA$3,4)-1,$3:$3,0))+INDEX(131:131,0,MATCH("Q3-"&amp;RIGHT(AA$3,4)-1,$3:$3,0))+INDEX(131:131,0,MATCH("Q2-"&amp;RIGHT(AA$3,4)-1,$3:$3,0)),
IF(LEFT(AA$3,2)="Q2",AA131+INDEX(131:131,0,MATCH("Q4-"&amp;RIGHT(AA$3,4)-1,$3:$3,0))+INDEX(131:131,0,MATCH("Q3-"&amp;RIGHT(AA$3,4)-1,$3:$3,0))+INDEX(131:131,0,MATCH("Q1-"&amp;RIGHT(AA$3,4),$3:$3,0)),
IF(LEFT(AA$3,2)="Q3",AA131+INDEX(131:131,0,MATCH("Q4-"&amp;RIGHT(AA$3,4)-1,$3:$3,0))+INDEX(131:131,0,MATCH("Q2-"&amp;RIGHT(AA$3,4),$3:$3,0))+INDEX(131:131,0,MATCH("Q1-"&amp;RIGHT(AA$3,4),$3:$3,0)),
IF(LEFT(AA$3,2)="Q4",INDEX(131:131,0,MATCH("FY"&amp;RIGHT(AA$3,4),$3:$3,0))))))), "")</f>
        <v>6645.5625988860811</v>
      </c>
      <c r="AB132" s="1225">
        <f>IFERROR(IF(LEFT(AB$3,1)="F",AB131,
IF(LEFT(AB$3,2)="Q1",AB131+INDEX(131:131,0,MATCH("Q4-"&amp;RIGHT(AB$3,4)-1,$3:$3,0))+INDEX(131:131,0,MATCH("Q3-"&amp;RIGHT(AB$3,4)-1,$3:$3,0))+INDEX(131:131,0,MATCH("Q2-"&amp;RIGHT(AB$3,4)-1,$3:$3,0)),
IF(LEFT(AB$3,2)="Q2",AB131+INDEX(131:131,0,MATCH("Q4-"&amp;RIGHT(AB$3,4)-1,$3:$3,0))+INDEX(131:131,0,MATCH("Q3-"&amp;RIGHT(AB$3,4)-1,$3:$3,0))+INDEX(131:131,0,MATCH("Q1-"&amp;RIGHT(AB$3,4),$3:$3,0)),
IF(LEFT(AB$3,2)="Q3",AB131+INDEX(131:131,0,MATCH("Q4-"&amp;RIGHT(AB$3,4)-1,$3:$3,0))+INDEX(131:131,0,MATCH("Q2-"&amp;RIGHT(AB$3,4),$3:$3,0))+INDEX(131:131,0,MATCH("Q1-"&amp;RIGHT(AB$3,4),$3:$3,0)),
IF(LEFT(AB$3,2)="Q4",INDEX(131:131,0,MATCH("FY"&amp;RIGHT(AB$3,4),$3:$3,0))))))), "")</f>
        <v>6708.1760164537609</v>
      </c>
      <c r="AC132" s="1225">
        <f ca="1">IFERROR(IF(LEFT(AC$3,1)="F",AC131,
IF(LEFT(AC$3,2)="Q1",AC131+INDEX(131:131,0,MATCH("Q4-"&amp;RIGHT(AC$3,4)-1,$3:$3,0))+INDEX(131:131,0,MATCH("Q3-"&amp;RIGHT(AC$3,4)-1,$3:$3,0))+INDEX(131:131,0,MATCH("Q2-"&amp;RIGHT(AC$3,4)-1,$3:$3,0)),
IF(LEFT(AC$3,2)="Q2",AC131+INDEX(131:131,0,MATCH("Q4-"&amp;RIGHT(AC$3,4)-1,$3:$3,0))+INDEX(131:131,0,MATCH("Q3-"&amp;RIGHT(AC$3,4)-1,$3:$3,0))+INDEX(131:131,0,MATCH("Q1-"&amp;RIGHT(AC$3,4),$3:$3,0)),
IF(LEFT(AC$3,2)="Q3",AC131+INDEX(131:131,0,MATCH("Q4-"&amp;RIGHT(AC$3,4)-1,$3:$3,0))+INDEX(131:131,0,MATCH("Q2-"&amp;RIGHT(AC$3,4),$3:$3,0))+INDEX(131:131,0,MATCH("Q1-"&amp;RIGHT(AC$3,4),$3:$3,0)),
IF(LEFT(AC$3,2)="Q4",INDEX(131:131,0,MATCH("FY"&amp;RIGHT(AC$3,4),$3:$3,0))))))), "")</f>
        <v>6866.4440170112412</v>
      </c>
      <c r="AD132" s="1219">
        <f ca="1">IFERROR(IF(LEFT(AD$3,1)="F",AD131,
IF(LEFT(AD$3,2)="Q1",AD131+INDEX(131:131,0,MATCH("Q4-"&amp;RIGHT(AD$3,4)-1,$3:$3,0))+INDEX(131:131,0,MATCH("Q3-"&amp;RIGHT(AD$3,4)-1,$3:$3,0))+INDEX(131:131,0,MATCH("Q2-"&amp;RIGHT(AD$3,4)-1,$3:$3,0)),
IF(LEFT(AD$3,2)="Q2",AD131+INDEX(131:131,0,MATCH("Q4-"&amp;RIGHT(AD$3,4)-1,$3:$3,0))+INDEX(131:131,0,MATCH("Q3-"&amp;RIGHT(AD$3,4)-1,$3:$3,0))+INDEX(131:131,0,MATCH("Q1-"&amp;RIGHT(AD$3,4),$3:$3,0)),
IF(LEFT(AD$3,2)="Q3",AD131+INDEX(131:131,0,MATCH("Q4-"&amp;RIGHT(AD$3,4)-1,$3:$3,0))+INDEX(131:131,0,MATCH("Q2-"&amp;RIGHT(AD$3,4),$3:$3,0))+INDEX(131:131,0,MATCH("Q1-"&amp;RIGHT(AD$3,4),$3:$3,0)),
IF(LEFT(AD$3,2)="Q4",INDEX(131:131,0,MATCH("FY"&amp;RIGHT(AD$3,4),$3:$3,0))))))), "")</f>
        <v>6866.4440170112412</v>
      </c>
      <c r="AE132" s="1219">
        <f>IFERROR(IF(LEFT(AE$3,1)="F",AE131,
IF(LEFT(AE$3,2)="Q1",AE131+INDEX(131:131,0,MATCH("Q4-"&amp;RIGHT(AE$3,4)-1,$3:$3,0))+INDEX(131:131,0,MATCH("Q3-"&amp;RIGHT(AE$3,4)-1,$3:$3,0))+INDEX(131:131,0,MATCH("Q2-"&amp;RIGHT(AE$3,4)-1,$3:$3,0)),
IF(LEFT(AE$3,2)="Q2",AE131+INDEX(131:131,0,MATCH("Q4-"&amp;RIGHT(AE$3,4)-1,$3:$3,0))+INDEX(131:131,0,MATCH("Q3-"&amp;RIGHT(AE$3,4)-1,$3:$3,0))+INDEX(131:131,0,MATCH("Q1-"&amp;RIGHT(AE$3,4),$3:$3,0)),
IF(LEFT(AE$3,2)="Q3",AE131+INDEX(131:131,0,MATCH("Q4-"&amp;RIGHT(AE$3,4)-1,$3:$3,0))+INDEX(131:131,0,MATCH("Q2-"&amp;RIGHT(AE$3,4),$3:$3,0))+INDEX(131:131,0,MATCH("Q1-"&amp;RIGHT(AE$3,4),$3:$3,0)),
IF(LEFT(AE$3,2)="Q4",INDEX(131:131,0,MATCH("FY"&amp;RIGHT(AE$3,4),$3:$3,0))))))), "")</f>
        <v>7501.5154310384114</v>
      </c>
      <c r="AF132" s="1219">
        <f>IFERROR(IF(LEFT(AF$3,1)="F",AF131,
IF(LEFT(AF$3,2)="Q1",AF131+INDEX(131:131,0,MATCH("Q4-"&amp;RIGHT(AF$3,4)-1,$3:$3,0))+INDEX(131:131,0,MATCH("Q3-"&amp;RIGHT(AF$3,4)-1,$3:$3,0))+INDEX(131:131,0,MATCH("Q2-"&amp;RIGHT(AF$3,4)-1,$3:$3,0)),
IF(LEFT(AF$3,2)="Q2",AF131+INDEX(131:131,0,MATCH("Q4-"&amp;RIGHT(AF$3,4)-1,$3:$3,0))+INDEX(131:131,0,MATCH("Q3-"&amp;RIGHT(AF$3,4)-1,$3:$3,0))+INDEX(131:131,0,MATCH("Q1-"&amp;RIGHT(AF$3,4),$3:$3,0)),
IF(LEFT(AF$3,2)="Q3",AF131+INDEX(131:131,0,MATCH("Q4-"&amp;RIGHT(AF$3,4)-1,$3:$3,0))+INDEX(131:131,0,MATCH("Q2-"&amp;RIGHT(AF$3,4),$3:$3,0))+INDEX(131:131,0,MATCH("Q1-"&amp;RIGHT(AF$3,4),$3:$3,0)),
IF(LEFT(AF$3,2)="Q4",INDEX(131:131,0,MATCH("FY"&amp;RIGHT(AF$3,4),$3:$3,0))))))), "")</f>
        <v>8190.5293026432137</v>
      </c>
      <c r="AG132" s="1221">
        <f>IFERROR(IF(LEFT(AG$3,1)="F",AG131,
IF(LEFT(AG$3,2)="Q1",AG131+INDEX(131:131,0,MATCH("Q4-"&amp;RIGHT(AG$3,4)-1,$3:$3,0))+INDEX(131:131,0,MATCH("Q3-"&amp;RIGHT(AG$3,4)-1,$3:$3,0))+INDEX(131:131,0,MATCH("Q2-"&amp;RIGHT(AG$3,4)-1,$3:$3,0)),
IF(LEFT(AG$3,2)="Q2",AG131+INDEX(131:131,0,MATCH("Q4-"&amp;RIGHT(AG$3,4)-1,$3:$3,0))+INDEX(131:131,0,MATCH("Q3-"&amp;RIGHT(AG$3,4)-1,$3:$3,0))+INDEX(131:131,0,MATCH("Q1-"&amp;RIGHT(AG$3,4),$3:$3,0)),
IF(LEFT(AG$3,2)="Q3",AG131+INDEX(131:131,0,MATCH("Q4-"&amp;RIGHT(AG$3,4)-1,$3:$3,0))+INDEX(131:131,0,MATCH("Q2-"&amp;RIGHT(AG$3,4),$3:$3,0))+INDEX(131:131,0,MATCH("Q1-"&amp;RIGHT(AG$3,4),$3:$3,0)),
IF(LEFT(AG$3,2)="Q4",INDEX(131:131,0,MATCH("FY"&amp;RIGHT(AG$3,4),$3:$3,0))))))), "")</f>
        <v>8937.9323911831689</v>
      </c>
      <c r="AH132" s="1222"/>
    </row>
    <row r="133" spans="1:34" s="1315" customFormat="1" ht="14.25" customHeight="1" outlineLevel="1" x14ac:dyDescent="0.35">
      <c r="A133" s="1291"/>
      <c r="B133" s="1292"/>
      <c r="C133" s="1310"/>
      <c r="D133" s="1335"/>
      <c r="E133" s="1335"/>
      <c r="F133" s="1237"/>
      <c r="G133" s="1336"/>
      <c r="H133" s="1336"/>
      <c r="I133" s="1336"/>
      <c r="J133" s="1335"/>
      <c r="K133" s="1336"/>
      <c r="L133" s="1336"/>
      <c r="M133" s="1336"/>
      <c r="N133" s="1336"/>
      <c r="O133" s="1335"/>
      <c r="P133" s="1336"/>
      <c r="Q133" s="1336"/>
      <c r="R133" s="1336"/>
      <c r="S133" s="1336"/>
      <c r="T133" s="1335"/>
      <c r="U133" s="1336"/>
      <c r="V133" s="1336"/>
      <c r="W133" s="1336"/>
      <c r="X133" s="1336"/>
      <c r="Y133" s="1335"/>
      <c r="Z133" s="1336"/>
      <c r="AA133" s="1336"/>
      <c r="AB133" s="1336"/>
      <c r="AC133" s="1336"/>
      <c r="AD133" s="1335"/>
      <c r="AE133" s="1335"/>
      <c r="AF133" s="1335"/>
      <c r="AG133" s="1337"/>
      <c r="AH133" s="1264"/>
    </row>
    <row r="134" spans="1:34" s="1315" customFormat="1" ht="14.25" customHeight="1" x14ac:dyDescent="0.35">
      <c r="A134" s="1291" t="str">
        <f>IFERROR(INDEX(SP_PR_ROA,0,COLUMN(SP_Common_Column_A)),"ROA")</f>
        <v>After-tax ROA</v>
      </c>
      <c r="B134" s="1292"/>
      <c r="C134" s="1310"/>
      <c r="D134" s="1335">
        <f>IFERROR(INDEX(SP_PR_ROA,0,MATCH(D$3,SP_Common_ColumnHeader,0)),"")</f>
        <v>0.1578664537094743</v>
      </c>
      <c r="E134" s="1335">
        <f>IFERROR(INDEX(SP_PR_ROA,0,MATCH(E$3,SP_Common_ColumnHeader,0)),0)</f>
        <v>0.14231191963831294</v>
      </c>
      <c r="F134" s="1237">
        <f>IFERROR(INDEX(SP_PR_ROA,0,MATCH(F$3,SP_Common_ColumnHeader,0)),0)</f>
        <v>0.11791607382873415</v>
      </c>
      <c r="G134" s="1336">
        <f>IFERROR(INDEX(SP_PR_ROA,0,MATCH(G$3,SP_Common_ColumnHeader,0)),0)</f>
        <v>0.12383380721137167</v>
      </c>
      <c r="H134" s="1336">
        <f>IFERROR(INDEX(SP_PR_ROA,0,MATCH(H$3,SP_Common_ColumnHeader,0)),0)</f>
        <v>0.12578333698023525</v>
      </c>
      <c r="I134" s="1336">
        <f>IFERROR(INDEX(SP_PR_ROA,0,MATCH(I$3,SP_Common_ColumnHeader,0)),0)</f>
        <v>0.14950432693546378</v>
      </c>
      <c r="J134" s="1335">
        <f>IFERROR(INDEX(SP_PR_ROA,0,MATCH(J$3,SP_Common_ColumnHeader,0)),0)</f>
        <v>0.14975821284250945</v>
      </c>
      <c r="K134" s="1336">
        <f>IFERROR(INDEX(SP_PR_ROA,0,MATCH(K$3,SP_Common_ColumnHeader,0)),0)</f>
        <v>0.15742776038953971</v>
      </c>
      <c r="L134" s="1336">
        <f>IFERROR(INDEX(SP_PR_ROA,0,MATCH(L$3,SP_Common_ColumnHeader,0)),0)</f>
        <v>0.13631852169444994</v>
      </c>
      <c r="M134" s="1336">
        <f>IFERROR(INDEX(SP_PR_ROA,0,MATCH(M$3,SP_Common_ColumnHeader,0)),0)</f>
        <v>0.13311661451053458</v>
      </c>
      <c r="N134" s="1336">
        <f>IFERROR(INDEX(SP_PR_ROA,0,MATCH(N$3,SP_Common_ColumnHeader,0)),0)</f>
        <v>0.11800682005492118</v>
      </c>
      <c r="O134" s="1335">
        <f>IFERROR(INDEX(SP_PR_ROA,0,MATCH(O$3,SP_Common_ColumnHeader,0)),0)</f>
        <v>0.12018873765206128</v>
      </c>
      <c r="P134" s="1336">
        <f>IFERROR(INDEX(SP_PR_ROA,0,MATCH(P$3,SP_Common_ColumnHeader,0)),0)</f>
        <v>0.12303570634274459</v>
      </c>
      <c r="Q134" s="1336">
        <f>IFERROR(INDEX(SP_PR_ROA,0,MATCH(Q$3,SP_Common_ColumnHeader,0)),0)</f>
        <v>0.12295614032558487</v>
      </c>
      <c r="R134" s="1336">
        <f>IFERROR(INDEX(SP_PR_ROA,0,MATCH(R$3,SP_Common_ColumnHeader,0)),0)</f>
        <v>0.11791120123134341</v>
      </c>
      <c r="S134" s="1336">
        <f>IFERROR(INDEX(SP_PR_ROA,0,MATCH(S$3,SP_Common_ColumnHeader,0)),0)</f>
        <v>0.12585108546156026</v>
      </c>
      <c r="T134" s="1335">
        <f>IFERROR(INDEX(SP_PR_ROA,0,MATCH(T$3,SP_Common_ColumnHeader,0)),0)</f>
        <v>0.12586117865686139</v>
      </c>
      <c r="U134" s="1336">
        <f>IFERROR(INDEX(SP_PR_ROA,0,MATCH(U$3,SP_Common_ColumnHeader,0)),0)</f>
        <v>0.13268890923943688</v>
      </c>
      <c r="V134" s="1336">
        <f>IFERROR(INDEX(SP_PR_ROA,0,MATCH(V$3,SP_Common_ColumnHeader,0)),0)</f>
        <v>0.13058109076145016</v>
      </c>
      <c r="W134" s="1336">
        <f>IFERROR(INDEX(SP_PR_ROA,0,MATCH(W$3,SP_Common_ColumnHeader,0)),0)</f>
        <v>0.1314509052588016</v>
      </c>
      <c r="X134" s="1336">
        <f>IFERROR(INDEX(SP_PR_ROA,0,MATCH(X$3,SP_Common_ColumnHeader,0)),0)</f>
        <v>0.13516848117507796</v>
      </c>
      <c r="Y134" s="1335">
        <f>IFERROR(INDEX(SP_PR_ROA,0,MATCH(Y$3,SP_Common_ColumnHeader,0)),0)</f>
        <v>0.13401717283780715</v>
      </c>
      <c r="Z134" s="1336">
        <f ca="1">IFERROR(INDEX(SP_PR_ROA,0,MATCH(Z$3,SP_Common_ColumnHeader,0)),0)</f>
        <v>0.1353574268043595</v>
      </c>
      <c r="AA134" s="1336">
        <f ca="1">IFERROR(INDEX(SP_PR_ROA,0,MATCH(AA$3,SP_Common_ColumnHeader,0)),0)</f>
        <v>0.13896265580718975</v>
      </c>
      <c r="AB134" s="1336">
        <f ca="1">IFERROR(INDEX(SP_PR_ROA,0,MATCH(AB$3,SP_Common_ColumnHeader,0)),0)</f>
        <v>0.13915410663884226</v>
      </c>
      <c r="AC134" s="1336">
        <f ca="1">IFERROR(INDEX(SP_PR_ROA,0,MATCH(AC$3,SP_Common_ColumnHeader,0)),0)</f>
        <v>0.14115714947031022</v>
      </c>
      <c r="AD134" s="1335">
        <f ca="1">IFERROR(INDEX(SP_PR_ROA,0,MATCH(AD$3,SP_Common_ColumnHeader,0)),0)</f>
        <v>0.14111451122439153</v>
      </c>
      <c r="AE134" s="1335">
        <f ca="1">IFERROR(INDEX(SP_PR_ROA,0,MATCH(AE$3,SP_Common_ColumnHeader,0)),0)</f>
        <v>0.14774403761364652</v>
      </c>
      <c r="AF134" s="1335">
        <f ca="1">IFERROR(INDEX(SP_PR_ROA,0,MATCH(AF$3,SP_Common_ColumnHeader,0)),0)</f>
        <v>0.15268991872989113</v>
      </c>
      <c r="AG134" s="1337">
        <f ca="1">IFERROR(INDEX(SP_PR_ROA,0,MATCH(AG$3,SP_Common_ColumnHeader,0)),0)</f>
        <v>0.15595174707949525</v>
      </c>
      <c r="AH134" s="1264"/>
    </row>
    <row r="135" spans="1:34" s="1315" customFormat="1" ht="14.25" customHeight="1" x14ac:dyDescent="0.35">
      <c r="A135" s="1291" t="s">
        <v>325</v>
      </c>
      <c r="B135" s="1292"/>
      <c r="C135" s="1338" t="s">
        <v>1227</v>
      </c>
      <c r="D135" s="1335"/>
      <c r="E135" s="1335">
        <f>IFERROR(E132/
(IF(LEFT(E$3,1)="F",AVERAGE((E81+E82+E86+E87),(INDEX(81:81,0,MATCH("FY"&amp;RIGHT(E$3,4)-1,$3:$3,0))+INDEX(82:82,0,MATCH("FY"&amp;RIGHT(E$3,4)-1,$3:$3,0))+INDEX(86:86,0,MATCH("FY"&amp;RIGHT(E$3,4)-1,$3:$3,0))+INDEX(87:87,0,MATCH("FY"&amp;RIGHT(E$3,4)-1,$3:$3,0)))),
IF(LEFT(E$3,2)="Q1",AVERAGE((E81+E82+E86+E87),(INDEX(81:81,0,MATCH("Q4-"&amp;RIGHT(E$3,4)-1,$3:$3,0))+INDEX(82:82,0,MATCH("Q4-"&amp;RIGHT(E$3,4)-1,$3:$3,0))+INDEX(86:86,0,MATCH("Q4-"&amp;RIGHT(E$3,4)-1,$3:$3,0))+INDEX(87:87,0,MATCH("Q4-"&amp;RIGHT(E$3,4)-1,$3:$3,0)))),
IF(LEFT(E$3,2)="Q2",AVERAGE((E81+E82+E86+E87),(INDEX(81:81,0,MATCH("Q1-"&amp;RIGHT(E$3,4),$3:$3,0))+INDEX(82:82,0,MATCH("Q1-"&amp;RIGHT(E$3,4),$3:$3,0))+INDEX(86:86,0,MATCH("Q1-"&amp;RIGHT(E$3,4),$3:$3,0))+INDEX(87:87,0,MATCH("Q1-"&amp;RIGHT(E$3,4),$3:$3,0)))),
IF(LEFT(E$3,2)="Q3",AVERAGE((E81+E82+E86+E87),(INDEX(81:81,0,MATCH("Q2-"&amp;RIGHT(E$3,4),$3:$3,0))+INDEX(82:82,0,MATCH("Q2-"&amp;RIGHT(E$3,4),$3:$3,0))+INDEX(86:86,0,MATCH("Q2-"&amp;RIGHT(E$3,4),$3:$3,0))+INDEX(87:87,0,MATCH("Q2-"&amp;RIGHT(E$3,4),$3:$3,0)))),
IF(LEFT(E$3,2)="Q4",AVERAGE((E81+E82+E86+E87),(INDEX(81:81,0,MATCH("Q3-"&amp;RIGHT(E$3,4),$3:$3,0))+INDEX(82:82,0,MATCH("Q3-"&amp;RIGHT(E$3,4),$3:$3,0))+INDEX(86:86,0,MATCH("Q3-"&amp;RIGHT(E$3,4),$3:$3,0))+INDEX(87:87,0,MATCH("Q3-"&amp;RIGHT(E$3,4),$3:$3,0)))))))))), "")</f>
        <v>0.20864058119867013</v>
      </c>
      <c r="F135" s="1237" t="str">
        <f>IFERROR(F132/
(IF(LEFT(F$3,1)="F",AVERAGE((F81+F82+F86+F87),(INDEX(81:81,0,MATCH("FY"&amp;RIGHT(F$3,4)-1,$3:$3,0))+INDEX(82:82,0,MATCH("FY"&amp;RIGHT(F$3,4)-1,$3:$3,0))+INDEX(86:86,0,MATCH("FY"&amp;RIGHT(F$3,4)-1,$3:$3,0))+INDEX(87:87,0,MATCH("FY"&amp;RIGHT(F$3,4)-1,$3:$3,0)))),
IF(LEFT(F$3,2)="Q1",AVERAGE((F81+F82+F86+F87),(INDEX(81:81,0,MATCH("Q4-"&amp;RIGHT(F$3,4)-1,$3:$3,0))+INDEX(82:82,0,MATCH("Q4-"&amp;RIGHT(F$3,4)-1,$3:$3,0))+INDEX(86:86,0,MATCH("Q4-"&amp;RIGHT(F$3,4)-1,$3:$3,0))+INDEX(87:87,0,MATCH("Q4-"&amp;RIGHT(F$3,4)-1,$3:$3,0)))),
IF(LEFT(F$3,2)="Q2",AVERAGE((F81+F82+F86+F87),(INDEX(81:81,0,MATCH("Q1-"&amp;RIGHT(F$3,4),$3:$3,0))+INDEX(82:82,0,MATCH("Q1-"&amp;RIGHT(F$3,4),$3:$3,0))+INDEX(86:86,0,MATCH("Q1-"&amp;RIGHT(F$3,4),$3:$3,0))+INDEX(87:87,0,MATCH("Q1-"&amp;RIGHT(F$3,4),$3:$3,0)))),
IF(LEFT(F$3,2)="Q3",AVERAGE((F81+F82+F86+F87),(INDEX(81:81,0,MATCH("Q2-"&amp;RIGHT(F$3,4),$3:$3,0))+INDEX(82:82,0,MATCH("Q2-"&amp;RIGHT(F$3,4),$3:$3,0))+INDEX(86:86,0,MATCH("Q2-"&amp;RIGHT(F$3,4),$3:$3,0))+INDEX(87:87,0,MATCH("Q2-"&amp;RIGHT(F$3,4),$3:$3,0)))),
IF(LEFT(F$3,2)="Q4",AVERAGE((F81+F82+F86+F87),(INDEX(81:81,0,MATCH("Q3-"&amp;RIGHT(F$3,4),$3:$3,0))+INDEX(82:82,0,MATCH("Q3-"&amp;RIGHT(F$3,4),$3:$3,0))+INDEX(86:86,0,MATCH("Q3-"&amp;RIGHT(F$3,4),$3:$3,0))+INDEX(87:87,0,MATCH("Q3-"&amp;RIGHT(F$3,4),$3:$3,0)))))))))), "")</f>
        <v/>
      </c>
      <c r="G135" s="1336" t="str">
        <f>IFERROR(G132/
(IF(LEFT(G$3,1)="F",AVERAGE((G81+G82+G86+G87),(INDEX(81:81,0,MATCH("FY"&amp;RIGHT(G$3,4)-1,$3:$3,0))+INDEX(82:82,0,MATCH("FY"&amp;RIGHT(G$3,4)-1,$3:$3,0))+INDEX(86:86,0,MATCH("FY"&amp;RIGHT(G$3,4)-1,$3:$3,0))+INDEX(87:87,0,MATCH("FY"&amp;RIGHT(G$3,4)-1,$3:$3,0)))),
IF(LEFT(G$3,2)="Q1",AVERAGE((G81+G82+G86+G87),(INDEX(81:81,0,MATCH("Q4-"&amp;RIGHT(G$3,4)-1,$3:$3,0))+INDEX(82:82,0,MATCH("Q4-"&amp;RIGHT(G$3,4)-1,$3:$3,0))+INDEX(86:86,0,MATCH("Q4-"&amp;RIGHT(G$3,4)-1,$3:$3,0))+INDEX(87:87,0,MATCH("Q4-"&amp;RIGHT(G$3,4)-1,$3:$3,0)))),
IF(LEFT(G$3,2)="Q2",AVERAGE((G81+G82+G86+G87),(INDEX(81:81,0,MATCH("Q1-"&amp;RIGHT(G$3,4),$3:$3,0))+INDEX(82:82,0,MATCH("Q1-"&amp;RIGHT(G$3,4),$3:$3,0))+INDEX(86:86,0,MATCH("Q1-"&amp;RIGHT(G$3,4),$3:$3,0))+INDEX(87:87,0,MATCH("Q1-"&amp;RIGHT(G$3,4),$3:$3,0)))),
IF(LEFT(G$3,2)="Q3",AVERAGE((G81+G82+G86+G87),(INDEX(81:81,0,MATCH("Q2-"&amp;RIGHT(G$3,4),$3:$3,0))+INDEX(82:82,0,MATCH("Q2-"&amp;RIGHT(G$3,4),$3:$3,0))+INDEX(86:86,0,MATCH("Q2-"&amp;RIGHT(G$3,4),$3:$3,0))+INDEX(87:87,0,MATCH("Q2-"&amp;RIGHT(G$3,4),$3:$3,0)))),
IF(LEFT(G$3,2)="Q4",AVERAGE((G81+G82+G86+G87),(INDEX(81:81,0,MATCH("Q3-"&amp;RIGHT(G$3,4),$3:$3,0))+INDEX(82:82,0,MATCH("Q3-"&amp;RIGHT(G$3,4),$3:$3,0))+INDEX(86:86,0,MATCH("Q3-"&amp;RIGHT(G$3,4),$3:$3,0))+INDEX(87:87,0,MATCH("Q3-"&amp;RIGHT(G$3,4),$3:$3,0)))))))))), "")</f>
        <v/>
      </c>
      <c r="H135" s="1336" t="str">
        <f>IFERROR(H132/
(IF(LEFT(H$3,1)="F",AVERAGE((H81+H82+H86+H87),(INDEX(81:81,0,MATCH("FY"&amp;RIGHT(H$3,4)-1,$3:$3,0))+INDEX(82:82,0,MATCH("FY"&amp;RIGHT(H$3,4)-1,$3:$3,0))+INDEX(86:86,0,MATCH("FY"&amp;RIGHT(H$3,4)-1,$3:$3,0))+INDEX(87:87,0,MATCH("FY"&amp;RIGHT(H$3,4)-1,$3:$3,0)))),
IF(LEFT(H$3,2)="Q1",AVERAGE((H81+H82+H86+H87),(INDEX(81:81,0,MATCH("Q4-"&amp;RIGHT(H$3,4)-1,$3:$3,0))+INDEX(82:82,0,MATCH("Q4-"&amp;RIGHT(H$3,4)-1,$3:$3,0))+INDEX(86:86,0,MATCH("Q4-"&amp;RIGHT(H$3,4)-1,$3:$3,0))+INDEX(87:87,0,MATCH("Q4-"&amp;RIGHT(H$3,4)-1,$3:$3,0)))),
IF(LEFT(H$3,2)="Q2",AVERAGE((H81+H82+H86+H87),(INDEX(81:81,0,MATCH("Q1-"&amp;RIGHT(H$3,4),$3:$3,0))+INDEX(82:82,0,MATCH("Q1-"&amp;RIGHT(H$3,4),$3:$3,0))+INDEX(86:86,0,MATCH("Q1-"&amp;RIGHT(H$3,4),$3:$3,0))+INDEX(87:87,0,MATCH("Q1-"&amp;RIGHT(H$3,4),$3:$3,0)))),
IF(LEFT(H$3,2)="Q3",AVERAGE((H81+H82+H86+H87),(INDEX(81:81,0,MATCH("Q2-"&amp;RIGHT(H$3,4),$3:$3,0))+INDEX(82:82,0,MATCH("Q2-"&amp;RIGHT(H$3,4),$3:$3,0))+INDEX(86:86,0,MATCH("Q2-"&amp;RIGHT(H$3,4),$3:$3,0))+INDEX(87:87,0,MATCH("Q2-"&amp;RIGHT(H$3,4),$3:$3,0)))),
IF(LEFT(H$3,2)="Q4",AVERAGE((H81+H82+H86+H87),(INDEX(81:81,0,MATCH("Q3-"&amp;RIGHT(H$3,4),$3:$3,0))+INDEX(82:82,0,MATCH("Q3-"&amp;RIGHT(H$3,4),$3:$3,0))+INDEX(86:86,0,MATCH("Q3-"&amp;RIGHT(H$3,4),$3:$3,0))+INDEX(87:87,0,MATCH("Q3-"&amp;RIGHT(H$3,4),$3:$3,0)))))))))), "")</f>
        <v/>
      </c>
      <c r="I135" s="1336">
        <f>IFERROR(I132/
(IF(LEFT(I$3,1)="F",AVERAGE((I81+I82+I86+I87),(INDEX(81:81,0,MATCH("FY"&amp;RIGHT(I$3,4)-1,$3:$3,0))+INDEX(82:82,0,MATCH("FY"&amp;RIGHT(I$3,4)-1,$3:$3,0))+INDEX(86:86,0,MATCH("FY"&amp;RIGHT(I$3,4)-1,$3:$3,0))+INDEX(87:87,0,MATCH("FY"&amp;RIGHT(I$3,4)-1,$3:$3,0)))),
IF(LEFT(I$3,2)="Q1",AVERAGE((I81+I82+I86+I87),(INDEX(81:81,0,MATCH("Q4-"&amp;RIGHT(I$3,4)-1,$3:$3,0))+INDEX(82:82,0,MATCH("Q4-"&amp;RIGHT(I$3,4)-1,$3:$3,0))+INDEX(86:86,0,MATCH("Q4-"&amp;RIGHT(I$3,4)-1,$3:$3,0))+INDEX(87:87,0,MATCH("Q4-"&amp;RIGHT(I$3,4)-1,$3:$3,0)))),
IF(LEFT(I$3,2)="Q2",AVERAGE((I81+I82+I86+I87),(INDEX(81:81,0,MATCH("Q1-"&amp;RIGHT(I$3,4),$3:$3,0))+INDEX(82:82,0,MATCH("Q1-"&amp;RIGHT(I$3,4),$3:$3,0))+INDEX(86:86,0,MATCH("Q1-"&amp;RIGHT(I$3,4),$3:$3,0))+INDEX(87:87,0,MATCH("Q1-"&amp;RIGHT(I$3,4),$3:$3,0)))),
IF(LEFT(I$3,2)="Q3",AVERAGE((I81+I82+I86+I87),(INDEX(81:81,0,MATCH("Q2-"&amp;RIGHT(I$3,4),$3:$3,0))+INDEX(82:82,0,MATCH("Q2-"&amp;RIGHT(I$3,4),$3:$3,0))+INDEX(86:86,0,MATCH("Q2-"&amp;RIGHT(I$3,4),$3:$3,0))+INDEX(87:87,0,MATCH("Q2-"&amp;RIGHT(I$3,4),$3:$3,0)))),
IF(LEFT(I$3,2)="Q4",AVERAGE((I81+I82+I86+I87),(INDEX(81:81,0,MATCH("Q3-"&amp;RIGHT(I$3,4),$3:$3,0))+INDEX(82:82,0,MATCH("Q3-"&amp;RIGHT(I$3,4),$3:$3,0))+INDEX(86:86,0,MATCH("Q3-"&amp;RIGHT(I$3,4),$3:$3,0))+INDEX(87:87,0,MATCH("Q3-"&amp;RIGHT(I$3,4),$3:$3,0)))))))))), "")</f>
        <v>0.25021950608683635</v>
      </c>
      <c r="J135" s="1335">
        <f>IFERROR(J132/
(IF(LEFT(J$3,1)="F",AVERAGE((J81+J82+J86+J87),(INDEX(81:81,0,MATCH("FY"&amp;RIGHT(J$3,4)-1,$3:$3,0))+INDEX(82:82,0,MATCH("FY"&amp;RIGHT(J$3,4)-1,$3:$3,0))+INDEX(86:86,0,MATCH("FY"&amp;RIGHT(J$3,4)-1,$3:$3,0))+INDEX(87:87,0,MATCH("FY"&amp;RIGHT(J$3,4)-1,$3:$3,0)))),
IF(LEFT(J$3,2)="Q1",AVERAGE((J81+J82+J86+J87),(INDEX(81:81,0,MATCH("Q4-"&amp;RIGHT(J$3,4)-1,$3:$3,0))+INDEX(82:82,0,MATCH("Q4-"&amp;RIGHT(J$3,4)-1,$3:$3,0))+INDEX(86:86,0,MATCH("Q4-"&amp;RIGHT(J$3,4)-1,$3:$3,0))+INDEX(87:87,0,MATCH("Q4-"&amp;RIGHT(J$3,4)-1,$3:$3,0)))),
IF(LEFT(J$3,2)="Q2",AVERAGE((J81+J82+J86+J87),(INDEX(81:81,0,MATCH("Q1-"&amp;RIGHT(J$3,4),$3:$3,0))+INDEX(82:82,0,MATCH("Q1-"&amp;RIGHT(J$3,4),$3:$3,0))+INDEX(86:86,0,MATCH("Q1-"&amp;RIGHT(J$3,4),$3:$3,0))+INDEX(87:87,0,MATCH("Q1-"&amp;RIGHT(J$3,4),$3:$3,0)))),
IF(LEFT(J$3,2)="Q3",AVERAGE((J81+J82+J86+J87),(INDEX(81:81,0,MATCH("Q2-"&amp;RIGHT(J$3,4),$3:$3,0))+INDEX(82:82,0,MATCH("Q2-"&amp;RIGHT(J$3,4),$3:$3,0))+INDEX(86:86,0,MATCH("Q2-"&amp;RIGHT(J$3,4),$3:$3,0))+INDEX(87:87,0,MATCH("Q2-"&amp;RIGHT(J$3,4),$3:$3,0)))),
IF(LEFT(J$3,2)="Q4",AVERAGE((J81+J82+J86+J87),(INDEX(81:81,0,MATCH("Q3-"&amp;RIGHT(J$3,4),$3:$3,0))+INDEX(82:82,0,MATCH("Q3-"&amp;RIGHT(J$3,4),$3:$3,0))+INDEX(86:86,0,MATCH("Q3-"&amp;RIGHT(J$3,4),$3:$3,0))+INDEX(87:87,0,MATCH("Q3-"&amp;RIGHT(J$3,4),$3:$3,0)))))))))), "")</f>
        <v>0.24814938607484718</v>
      </c>
      <c r="K135" s="1336">
        <f>IFERROR(K132/
(IF(LEFT(K$3,1)="F",AVERAGE((K81+K82+K86+K87),(INDEX(81:81,0,MATCH("FY"&amp;RIGHT(K$3,4)-1,$3:$3,0))+INDEX(82:82,0,MATCH("FY"&amp;RIGHT(K$3,4)-1,$3:$3,0))+INDEX(86:86,0,MATCH("FY"&amp;RIGHT(K$3,4)-1,$3:$3,0))+INDEX(87:87,0,MATCH("FY"&amp;RIGHT(K$3,4)-1,$3:$3,0)))),
IF(LEFT(K$3,2)="Q1",AVERAGE((K81+K82+K86+K87),(INDEX(81:81,0,MATCH("Q4-"&amp;RIGHT(K$3,4)-1,$3:$3,0))+INDEX(82:82,0,MATCH("Q4-"&amp;RIGHT(K$3,4)-1,$3:$3,0))+INDEX(86:86,0,MATCH("Q4-"&amp;RIGHT(K$3,4)-1,$3:$3,0))+INDEX(87:87,0,MATCH("Q4-"&amp;RIGHT(K$3,4)-1,$3:$3,0)))),
IF(LEFT(K$3,2)="Q2",AVERAGE((K81+K82+K86+K87),(INDEX(81:81,0,MATCH("Q1-"&amp;RIGHT(K$3,4),$3:$3,0))+INDEX(82:82,0,MATCH("Q1-"&amp;RIGHT(K$3,4),$3:$3,0))+INDEX(86:86,0,MATCH("Q1-"&amp;RIGHT(K$3,4),$3:$3,0))+INDEX(87:87,0,MATCH("Q1-"&amp;RIGHT(K$3,4),$3:$3,0)))),
IF(LEFT(K$3,2)="Q3",AVERAGE((K81+K82+K86+K87),(INDEX(81:81,0,MATCH("Q2-"&amp;RIGHT(K$3,4),$3:$3,0))+INDEX(82:82,0,MATCH("Q2-"&amp;RIGHT(K$3,4),$3:$3,0))+INDEX(86:86,0,MATCH("Q2-"&amp;RIGHT(K$3,4),$3:$3,0))+INDEX(87:87,0,MATCH("Q2-"&amp;RIGHT(K$3,4),$3:$3,0)))),
IF(LEFT(K$3,2)="Q4",AVERAGE((K81+K82+K86+K87),(INDEX(81:81,0,MATCH("Q3-"&amp;RIGHT(K$3,4),$3:$3,0))+INDEX(82:82,0,MATCH("Q3-"&amp;RIGHT(K$3,4),$3:$3,0))+INDEX(86:86,0,MATCH("Q3-"&amp;RIGHT(K$3,4),$3:$3,0))+INDEX(87:87,0,MATCH("Q3-"&amp;RIGHT(K$3,4),$3:$3,0)))))))))), "")</f>
        <v>0.24375998169206492</v>
      </c>
      <c r="L135" s="1336">
        <f>IFERROR(L132/
(IF(LEFT(L$3,1)="F",AVERAGE((L81+L82+L86+L87),(INDEX(81:81,0,MATCH("FY"&amp;RIGHT(L$3,4)-1,$3:$3,0))+INDEX(82:82,0,MATCH("FY"&amp;RIGHT(L$3,4)-1,$3:$3,0))+INDEX(86:86,0,MATCH("FY"&amp;RIGHT(L$3,4)-1,$3:$3,0))+INDEX(87:87,0,MATCH("FY"&amp;RIGHT(L$3,4)-1,$3:$3,0)))),
IF(LEFT(L$3,2)="Q1",AVERAGE((L81+L82+L86+L87),(INDEX(81:81,0,MATCH("Q4-"&amp;RIGHT(L$3,4)-1,$3:$3,0))+INDEX(82:82,0,MATCH("Q4-"&amp;RIGHT(L$3,4)-1,$3:$3,0))+INDEX(86:86,0,MATCH("Q4-"&amp;RIGHT(L$3,4)-1,$3:$3,0))+INDEX(87:87,0,MATCH("Q4-"&amp;RIGHT(L$3,4)-1,$3:$3,0)))),
IF(LEFT(L$3,2)="Q2",AVERAGE((L81+L82+L86+L87),(INDEX(81:81,0,MATCH("Q1-"&amp;RIGHT(L$3,4),$3:$3,0))+INDEX(82:82,0,MATCH("Q1-"&amp;RIGHT(L$3,4),$3:$3,0))+INDEX(86:86,0,MATCH("Q1-"&amp;RIGHT(L$3,4),$3:$3,0))+INDEX(87:87,0,MATCH("Q1-"&amp;RIGHT(L$3,4),$3:$3,0)))),
IF(LEFT(L$3,2)="Q3",AVERAGE((L81+L82+L86+L87),(INDEX(81:81,0,MATCH("Q2-"&amp;RIGHT(L$3,4),$3:$3,0))+INDEX(82:82,0,MATCH("Q2-"&amp;RIGHT(L$3,4),$3:$3,0))+INDEX(86:86,0,MATCH("Q2-"&amp;RIGHT(L$3,4),$3:$3,0))+INDEX(87:87,0,MATCH("Q2-"&amp;RIGHT(L$3,4),$3:$3,0)))),
IF(LEFT(L$3,2)="Q4",AVERAGE((L81+L82+L86+L87),(INDEX(81:81,0,MATCH("Q3-"&amp;RIGHT(L$3,4),$3:$3,0))+INDEX(82:82,0,MATCH("Q3-"&amp;RIGHT(L$3,4),$3:$3,0))+INDEX(86:86,0,MATCH("Q3-"&amp;RIGHT(L$3,4),$3:$3,0))+INDEX(87:87,0,MATCH("Q3-"&amp;RIGHT(L$3,4),$3:$3,0)))))))))), "")</f>
        <v>0.21186303248217048</v>
      </c>
      <c r="M135" s="1336">
        <f>IFERROR(M132/
(IF(LEFT(M$3,1)="F",AVERAGE((M81+M82+M86+M87),(INDEX(81:81,0,MATCH("FY"&amp;RIGHT(M$3,4)-1,$3:$3,0))+INDEX(82:82,0,MATCH("FY"&amp;RIGHT(M$3,4)-1,$3:$3,0))+INDEX(86:86,0,MATCH("FY"&amp;RIGHT(M$3,4)-1,$3:$3,0))+INDEX(87:87,0,MATCH("FY"&amp;RIGHT(M$3,4)-1,$3:$3,0)))),
IF(LEFT(M$3,2)="Q1",AVERAGE((M81+M82+M86+M87),(INDEX(81:81,0,MATCH("Q4-"&amp;RIGHT(M$3,4)-1,$3:$3,0))+INDEX(82:82,0,MATCH("Q4-"&amp;RIGHT(M$3,4)-1,$3:$3,0))+INDEX(86:86,0,MATCH("Q4-"&amp;RIGHT(M$3,4)-1,$3:$3,0))+INDEX(87:87,0,MATCH("Q4-"&amp;RIGHT(M$3,4)-1,$3:$3,0)))),
IF(LEFT(M$3,2)="Q2",AVERAGE((M81+M82+M86+M87),(INDEX(81:81,0,MATCH("Q1-"&amp;RIGHT(M$3,4),$3:$3,0))+INDEX(82:82,0,MATCH("Q1-"&amp;RIGHT(M$3,4),$3:$3,0))+INDEX(86:86,0,MATCH("Q1-"&amp;RIGHT(M$3,4),$3:$3,0))+INDEX(87:87,0,MATCH("Q1-"&amp;RIGHT(M$3,4),$3:$3,0)))),
IF(LEFT(M$3,2)="Q3",AVERAGE((M81+M82+M86+M87),(INDEX(81:81,0,MATCH("Q2-"&amp;RIGHT(M$3,4),$3:$3,0))+INDEX(82:82,0,MATCH("Q2-"&amp;RIGHT(M$3,4),$3:$3,0))+INDEX(86:86,0,MATCH("Q2-"&amp;RIGHT(M$3,4),$3:$3,0))+INDEX(87:87,0,MATCH("Q2-"&amp;RIGHT(M$3,4),$3:$3,0)))),
IF(LEFT(M$3,2)="Q4",AVERAGE((M81+M82+M86+M87),(INDEX(81:81,0,MATCH("Q3-"&amp;RIGHT(M$3,4),$3:$3,0))+INDEX(82:82,0,MATCH("Q3-"&amp;RIGHT(M$3,4),$3:$3,0))+INDEX(86:86,0,MATCH("Q3-"&amp;RIGHT(M$3,4),$3:$3,0))+INDEX(87:87,0,MATCH("Q3-"&amp;RIGHT(M$3,4),$3:$3,0)))))))))), "")</f>
        <v>0.19515181925755107</v>
      </c>
      <c r="N135" s="1336">
        <f>IFERROR(N132/
(IF(LEFT(N$3,1)="F",AVERAGE((N81+N82+N86+N87),(INDEX(81:81,0,MATCH("FY"&amp;RIGHT(N$3,4)-1,$3:$3,0))+INDEX(82:82,0,MATCH("FY"&amp;RIGHT(N$3,4)-1,$3:$3,0))+INDEX(86:86,0,MATCH("FY"&amp;RIGHT(N$3,4)-1,$3:$3,0))+INDEX(87:87,0,MATCH("FY"&amp;RIGHT(N$3,4)-1,$3:$3,0)))),
IF(LEFT(N$3,2)="Q1",AVERAGE((N81+N82+N86+N87),(INDEX(81:81,0,MATCH("Q4-"&amp;RIGHT(N$3,4)-1,$3:$3,0))+INDEX(82:82,0,MATCH("Q4-"&amp;RIGHT(N$3,4)-1,$3:$3,0))+INDEX(86:86,0,MATCH("Q4-"&amp;RIGHT(N$3,4)-1,$3:$3,0))+INDEX(87:87,0,MATCH("Q4-"&amp;RIGHT(N$3,4)-1,$3:$3,0)))),
IF(LEFT(N$3,2)="Q2",AVERAGE((N81+N82+N86+N87),(INDEX(81:81,0,MATCH("Q1-"&amp;RIGHT(N$3,4),$3:$3,0))+INDEX(82:82,0,MATCH("Q1-"&amp;RIGHT(N$3,4),$3:$3,0))+INDEX(86:86,0,MATCH("Q1-"&amp;RIGHT(N$3,4),$3:$3,0))+INDEX(87:87,0,MATCH("Q1-"&amp;RIGHT(N$3,4),$3:$3,0)))),
IF(LEFT(N$3,2)="Q3",AVERAGE((N81+N82+N86+N87),(INDEX(81:81,0,MATCH("Q2-"&amp;RIGHT(N$3,4),$3:$3,0))+INDEX(82:82,0,MATCH("Q2-"&amp;RIGHT(N$3,4),$3:$3,0))+INDEX(86:86,0,MATCH("Q2-"&amp;RIGHT(N$3,4),$3:$3,0))+INDEX(87:87,0,MATCH("Q2-"&amp;RIGHT(N$3,4),$3:$3,0)))),
IF(LEFT(N$3,2)="Q4",AVERAGE((N81+N82+N86+N87),(INDEX(81:81,0,MATCH("Q3-"&amp;RIGHT(N$3,4),$3:$3,0))+INDEX(82:82,0,MATCH("Q3-"&amp;RIGHT(N$3,4),$3:$3,0))+INDEX(86:86,0,MATCH("Q3-"&amp;RIGHT(N$3,4),$3:$3,0))+INDEX(87:87,0,MATCH("Q3-"&amp;RIGHT(N$3,4),$3:$3,0)))))))))), "")</f>
        <v>0.17562008516761754</v>
      </c>
      <c r="O135" s="1335">
        <f>IFERROR(O132/
(IF(LEFT(O$3,1)="F",AVERAGE((O81+O82+O86+O87),(INDEX(81:81,0,MATCH("FY"&amp;RIGHT(O$3,4)-1,$3:$3,0))+INDEX(82:82,0,MATCH("FY"&amp;RIGHT(O$3,4)-1,$3:$3,0))+INDEX(86:86,0,MATCH("FY"&amp;RIGHT(O$3,4)-1,$3:$3,0))+INDEX(87:87,0,MATCH("FY"&amp;RIGHT(O$3,4)-1,$3:$3,0)))),
IF(LEFT(O$3,2)="Q1",AVERAGE((O81+O82+O86+O87),(INDEX(81:81,0,MATCH("Q4-"&amp;RIGHT(O$3,4)-1,$3:$3,0))+INDEX(82:82,0,MATCH("Q4-"&amp;RIGHT(O$3,4)-1,$3:$3,0))+INDEX(86:86,0,MATCH("Q4-"&amp;RIGHT(O$3,4)-1,$3:$3,0))+INDEX(87:87,0,MATCH("Q4-"&amp;RIGHT(O$3,4)-1,$3:$3,0)))),
IF(LEFT(O$3,2)="Q2",AVERAGE((O81+O82+O86+O87),(INDEX(81:81,0,MATCH("Q1-"&amp;RIGHT(O$3,4),$3:$3,0))+INDEX(82:82,0,MATCH("Q1-"&amp;RIGHT(O$3,4),$3:$3,0))+INDEX(86:86,0,MATCH("Q1-"&amp;RIGHT(O$3,4),$3:$3,0))+INDEX(87:87,0,MATCH("Q1-"&amp;RIGHT(O$3,4),$3:$3,0)))),
IF(LEFT(O$3,2)="Q3",AVERAGE((O81+O82+O86+O87),(INDEX(81:81,0,MATCH("Q2-"&amp;RIGHT(O$3,4),$3:$3,0))+INDEX(82:82,0,MATCH("Q2-"&amp;RIGHT(O$3,4),$3:$3,0))+INDEX(86:86,0,MATCH("Q2-"&amp;RIGHT(O$3,4),$3:$3,0))+INDEX(87:87,0,MATCH("Q2-"&amp;RIGHT(O$3,4),$3:$3,0)))),
IF(LEFT(O$3,2)="Q4",AVERAGE((O81+O82+O86+O87),(INDEX(81:81,0,MATCH("Q3-"&amp;RIGHT(O$3,4),$3:$3,0))+INDEX(82:82,0,MATCH("Q3-"&amp;RIGHT(O$3,4),$3:$3,0))+INDEX(86:86,0,MATCH("Q3-"&amp;RIGHT(O$3,4),$3:$3,0))+INDEX(87:87,0,MATCH("Q3-"&amp;RIGHT(O$3,4),$3:$3,0)))))))))), "")</f>
        <v>0.1962738613010615</v>
      </c>
      <c r="P135" s="1336">
        <f>IFERROR(P132/
(IF(LEFT(P$3,1)="F",AVERAGE((P81+P82+P86+P87),(INDEX(81:81,0,MATCH("FY"&amp;RIGHT(P$3,4)-1,$3:$3,0))+INDEX(82:82,0,MATCH("FY"&amp;RIGHT(P$3,4)-1,$3:$3,0))+INDEX(86:86,0,MATCH("FY"&amp;RIGHT(P$3,4)-1,$3:$3,0))+INDEX(87:87,0,MATCH("FY"&amp;RIGHT(P$3,4)-1,$3:$3,0)))),
IF(LEFT(P$3,2)="Q1",AVERAGE((P81+P82+P86+P87),(INDEX(81:81,0,MATCH("Q4-"&amp;RIGHT(P$3,4)-1,$3:$3,0))+INDEX(82:82,0,MATCH("Q4-"&amp;RIGHT(P$3,4)-1,$3:$3,0))+INDEX(86:86,0,MATCH("Q4-"&amp;RIGHT(P$3,4)-1,$3:$3,0))+INDEX(87:87,0,MATCH("Q4-"&amp;RIGHT(P$3,4)-1,$3:$3,0)))),
IF(LEFT(P$3,2)="Q2",AVERAGE((P81+P82+P86+P87),(INDEX(81:81,0,MATCH("Q1-"&amp;RIGHT(P$3,4),$3:$3,0))+INDEX(82:82,0,MATCH("Q1-"&amp;RIGHT(P$3,4),$3:$3,0))+INDEX(86:86,0,MATCH("Q1-"&amp;RIGHT(P$3,4),$3:$3,0))+INDEX(87:87,0,MATCH("Q1-"&amp;RIGHT(P$3,4),$3:$3,0)))),
IF(LEFT(P$3,2)="Q3",AVERAGE((P81+P82+P86+P87),(INDEX(81:81,0,MATCH("Q2-"&amp;RIGHT(P$3,4),$3:$3,0))+INDEX(82:82,0,MATCH("Q2-"&amp;RIGHT(P$3,4),$3:$3,0))+INDEX(86:86,0,MATCH("Q2-"&amp;RIGHT(P$3,4),$3:$3,0))+INDEX(87:87,0,MATCH("Q2-"&amp;RIGHT(P$3,4),$3:$3,0)))),
IF(LEFT(P$3,2)="Q4",AVERAGE((P81+P82+P86+P87),(INDEX(81:81,0,MATCH("Q3-"&amp;RIGHT(P$3,4),$3:$3,0))+INDEX(82:82,0,MATCH("Q3-"&amp;RIGHT(P$3,4),$3:$3,0))+INDEX(86:86,0,MATCH("Q3-"&amp;RIGHT(P$3,4),$3:$3,0))+INDEX(87:87,0,MATCH("Q3-"&amp;RIGHT(P$3,4),$3:$3,0)))))))))), "")</f>
        <v>0.16924712980477669</v>
      </c>
      <c r="Q135" s="1336">
        <f>IFERROR(Q132/
(IF(LEFT(Q$3,1)="F",AVERAGE((Q81+Q82+Q86+Q87),(INDEX(81:81,0,MATCH("FY"&amp;RIGHT(Q$3,4)-1,$3:$3,0))+INDEX(82:82,0,MATCH("FY"&amp;RIGHT(Q$3,4)-1,$3:$3,0))+INDEX(86:86,0,MATCH("FY"&amp;RIGHT(Q$3,4)-1,$3:$3,0))+INDEX(87:87,0,MATCH("FY"&amp;RIGHT(Q$3,4)-1,$3:$3,0)))),
IF(LEFT(Q$3,2)="Q1",AVERAGE((Q81+Q82+Q86+Q87),(INDEX(81:81,0,MATCH("Q4-"&amp;RIGHT(Q$3,4)-1,$3:$3,0))+INDEX(82:82,0,MATCH("Q4-"&amp;RIGHT(Q$3,4)-1,$3:$3,0))+INDEX(86:86,0,MATCH("Q4-"&amp;RIGHT(Q$3,4)-1,$3:$3,0))+INDEX(87:87,0,MATCH("Q4-"&amp;RIGHT(Q$3,4)-1,$3:$3,0)))),
IF(LEFT(Q$3,2)="Q2",AVERAGE((Q81+Q82+Q86+Q87),(INDEX(81:81,0,MATCH("Q1-"&amp;RIGHT(Q$3,4),$3:$3,0))+INDEX(82:82,0,MATCH("Q1-"&amp;RIGHT(Q$3,4),$3:$3,0))+INDEX(86:86,0,MATCH("Q1-"&amp;RIGHT(Q$3,4),$3:$3,0))+INDEX(87:87,0,MATCH("Q1-"&amp;RIGHT(Q$3,4),$3:$3,0)))),
IF(LEFT(Q$3,2)="Q3",AVERAGE((Q81+Q82+Q86+Q87),(INDEX(81:81,0,MATCH("Q2-"&amp;RIGHT(Q$3,4),$3:$3,0))+INDEX(82:82,0,MATCH("Q2-"&amp;RIGHT(Q$3,4),$3:$3,0))+INDEX(86:86,0,MATCH("Q2-"&amp;RIGHT(Q$3,4),$3:$3,0))+INDEX(87:87,0,MATCH("Q2-"&amp;RIGHT(Q$3,4),$3:$3,0)))),
IF(LEFT(Q$3,2)="Q4",AVERAGE((Q81+Q82+Q86+Q87),(INDEX(81:81,0,MATCH("Q3-"&amp;RIGHT(Q$3,4),$3:$3,0))+INDEX(82:82,0,MATCH("Q3-"&amp;RIGHT(Q$3,4),$3:$3,0))+INDEX(86:86,0,MATCH("Q3-"&amp;RIGHT(Q$3,4),$3:$3,0))+INDEX(87:87,0,MATCH("Q3-"&amp;RIGHT(Q$3,4),$3:$3,0)))))))))), "")</f>
        <v>0.15945086837584521</v>
      </c>
      <c r="R135" s="1336">
        <f>IFERROR(R132/
(IF(LEFT(R$3,1)="F",AVERAGE((R81+R82+R86+R87),(INDEX(81:81,0,MATCH("FY"&amp;RIGHT(R$3,4)-1,$3:$3,0))+INDEX(82:82,0,MATCH("FY"&amp;RIGHT(R$3,4)-1,$3:$3,0))+INDEX(86:86,0,MATCH("FY"&amp;RIGHT(R$3,4)-1,$3:$3,0))+INDEX(87:87,0,MATCH("FY"&amp;RIGHT(R$3,4)-1,$3:$3,0)))),
IF(LEFT(R$3,2)="Q1",AVERAGE((R81+R82+R86+R87),(INDEX(81:81,0,MATCH("Q4-"&amp;RIGHT(R$3,4)-1,$3:$3,0))+INDEX(82:82,0,MATCH("Q4-"&amp;RIGHT(R$3,4)-1,$3:$3,0))+INDEX(86:86,0,MATCH("Q4-"&amp;RIGHT(R$3,4)-1,$3:$3,0))+INDEX(87:87,0,MATCH("Q4-"&amp;RIGHT(R$3,4)-1,$3:$3,0)))),
IF(LEFT(R$3,2)="Q2",AVERAGE((R81+R82+R86+R87),(INDEX(81:81,0,MATCH("Q1-"&amp;RIGHT(R$3,4),$3:$3,0))+INDEX(82:82,0,MATCH("Q1-"&amp;RIGHT(R$3,4),$3:$3,0))+INDEX(86:86,0,MATCH("Q1-"&amp;RIGHT(R$3,4),$3:$3,0))+INDEX(87:87,0,MATCH("Q1-"&amp;RIGHT(R$3,4),$3:$3,0)))),
IF(LEFT(R$3,2)="Q3",AVERAGE((R81+R82+R86+R87),(INDEX(81:81,0,MATCH("Q2-"&amp;RIGHT(R$3,4),$3:$3,0))+INDEX(82:82,0,MATCH("Q2-"&amp;RIGHT(R$3,4),$3:$3,0))+INDEX(86:86,0,MATCH("Q2-"&amp;RIGHT(R$3,4),$3:$3,0))+INDEX(87:87,0,MATCH("Q2-"&amp;RIGHT(R$3,4),$3:$3,0)))),
IF(LEFT(R$3,2)="Q4",AVERAGE((R81+R82+R86+R87),(INDEX(81:81,0,MATCH("Q3-"&amp;RIGHT(R$3,4),$3:$3,0))+INDEX(82:82,0,MATCH("Q3-"&amp;RIGHT(R$3,4),$3:$3,0))+INDEX(86:86,0,MATCH("Q3-"&amp;RIGHT(R$3,4),$3:$3,0))+INDEX(87:87,0,MATCH("Q3-"&amp;RIGHT(R$3,4),$3:$3,0)))))))))), "")</f>
        <v>0.16108022251643675</v>
      </c>
      <c r="S135" s="1336">
        <f>IFERROR(S132/
(IF(LEFT(S$3,1)="F",AVERAGE((S81+S82+S86+S87),(INDEX(81:81,0,MATCH("FY"&amp;RIGHT(S$3,4)-1,$3:$3,0))+INDEX(82:82,0,MATCH("FY"&amp;RIGHT(S$3,4)-1,$3:$3,0))+INDEX(86:86,0,MATCH("FY"&amp;RIGHT(S$3,4)-1,$3:$3,0))+INDEX(87:87,0,MATCH("FY"&amp;RIGHT(S$3,4)-1,$3:$3,0)))),
IF(LEFT(S$3,2)="Q1",AVERAGE((S81+S82+S86+S87),(INDEX(81:81,0,MATCH("Q4-"&amp;RIGHT(S$3,4)-1,$3:$3,0))+INDEX(82:82,0,MATCH("Q4-"&amp;RIGHT(S$3,4)-1,$3:$3,0))+INDEX(86:86,0,MATCH("Q4-"&amp;RIGHT(S$3,4)-1,$3:$3,0))+INDEX(87:87,0,MATCH("Q4-"&amp;RIGHT(S$3,4)-1,$3:$3,0)))),
IF(LEFT(S$3,2)="Q2",AVERAGE((S81+S82+S86+S87),(INDEX(81:81,0,MATCH("Q1-"&amp;RIGHT(S$3,4),$3:$3,0))+INDEX(82:82,0,MATCH("Q1-"&amp;RIGHT(S$3,4),$3:$3,0))+INDEX(86:86,0,MATCH("Q1-"&amp;RIGHT(S$3,4),$3:$3,0))+INDEX(87:87,0,MATCH("Q1-"&amp;RIGHT(S$3,4),$3:$3,0)))),
IF(LEFT(S$3,2)="Q3",AVERAGE((S81+S82+S86+S87),(INDEX(81:81,0,MATCH("Q2-"&amp;RIGHT(S$3,4),$3:$3,0))+INDEX(82:82,0,MATCH("Q2-"&amp;RIGHT(S$3,4),$3:$3,0))+INDEX(86:86,0,MATCH("Q2-"&amp;RIGHT(S$3,4),$3:$3,0))+INDEX(87:87,0,MATCH("Q2-"&amp;RIGHT(S$3,4),$3:$3,0)))),
IF(LEFT(S$3,2)="Q4",AVERAGE((S81+S82+S86+S87),(INDEX(81:81,0,MATCH("Q3-"&amp;RIGHT(S$3,4),$3:$3,0))+INDEX(82:82,0,MATCH("Q3-"&amp;RIGHT(S$3,4),$3:$3,0))+INDEX(86:86,0,MATCH("Q3-"&amp;RIGHT(S$3,4),$3:$3,0))+INDEX(87:87,0,MATCH("Q3-"&amp;RIGHT(S$3,4),$3:$3,0)))))))))), "")</f>
        <v>0.16925570790920433</v>
      </c>
      <c r="T135" s="1335">
        <f>IFERROR(T132/
(IF(LEFT(T$3,1)="F",AVERAGE((T81+T82+T86+T87),(INDEX(81:81,0,MATCH("FY"&amp;RIGHT(T$3,4)-1,$3:$3,0))+INDEX(82:82,0,MATCH("FY"&amp;RIGHT(T$3,4)-1,$3:$3,0))+INDEX(86:86,0,MATCH("FY"&amp;RIGHT(T$3,4)-1,$3:$3,0))+INDEX(87:87,0,MATCH("FY"&amp;RIGHT(T$3,4)-1,$3:$3,0)))),
IF(LEFT(T$3,2)="Q1",AVERAGE((T81+T82+T86+T87),(INDEX(81:81,0,MATCH("Q4-"&amp;RIGHT(T$3,4)-1,$3:$3,0))+INDEX(82:82,0,MATCH("Q4-"&amp;RIGHT(T$3,4)-1,$3:$3,0))+INDEX(86:86,0,MATCH("Q4-"&amp;RIGHT(T$3,4)-1,$3:$3,0))+INDEX(87:87,0,MATCH("Q4-"&amp;RIGHT(T$3,4)-1,$3:$3,0)))),
IF(LEFT(T$3,2)="Q2",AVERAGE((T81+T82+T86+T87),(INDEX(81:81,0,MATCH("Q1-"&amp;RIGHT(T$3,4),$3:$3,0))+INDEX(82:82,0,MATCH("Q1-"&amp;RIGHT(T$3,4),$3:$3,0))+INDEX(86:86,0,MATCH("Q1-"&amp;RIGHT(T$3,4),$3:$3,0))+INDEX(87:87,0,MATCH("Q1-"&amp;RIGHT(T$3,4),$3:$3,0)))),
IF(LEFT(T$3,2)="Q3",AVERAGE((T81+T82+T86+T87),(INDEX(81:81,0,MATCH("Q2-"&amp;RIGHT(T$3,4),$3:$3,0))+INDEX(82:82,0,MATCH("Q2-"&amp;RIGHT(T$3,4),$3:$3,0))+INDEX(86:86,0,MATCH("Q2-"&amp;RIGHT(T$3,4),$3:$3,0))+INDEX(87:87,0,MATCH("Q2-"&amp;RIGHT(T$3,4),$3:$3,0)))),
IF(LEFT(T$3,2)="Q4",AVERAGE((T81+T82+T86+T87),(INDEX(81:81,0,MATCH("Q3-"&amp;RIGHT(T$3,4),$3:$3,0))+INDEX(82:82,0,MATCH("Q3-"&amp;RIGHT(T$3,4),$3:$3,0))+INDEX(86:86,0,MATCH("Q3-"&amp;RIGHT(T$3,4),$3:$3,0))+INDEX(87:87,0,MATCH("Q3-"&amp;RIGHT(T$3,4),$3:$3,0)))))))))), "")</f>
        <v>0.17218331978760379</v>
      </c>
      <c r="U135" s="1336">
        <f>IFERROR(U132/
(IF(LEFT(U$3,1)="F",AVERAGE((U81+U82+U86+U87),(INDEX(81:81,0,MATCH("FY"&amp;RIGHT(U$3,4)-1,$3:$3,0))+INDEX(82:82,0,MATCH("FY"&amp;RIGHT(U$3,4)-1,$3:$3,0))+INDEX(86:86,0,MATCH("FY"&amp;RIGHT(U$3,4)-1,$3:$3,0))+INDEX(87:87,0,MATCH("FY"&amp;RIGHT(U$3,4)-1,$3:$3,0)))),
IF(LEFT(U$3,2)="Q1",AVERAGE((U81+U82+U86+U87),(INDEX(81:81,0,MATCH("Q4-"&amp;RIGHT(U$3,4)-1,$3:$3,0))+INDEX(82:82,0,MATCH("Q4-"&amp;RIGHT(U$3,4)-1,$3:$3,0))+INDEX(86:86,0,MATCH("Q4-"&amp;RIGHT(U$3,4)-1,$3:$3,0))+INDEX(87:87,0,MATCH("Q4-"&amp;RIGHT(U$3,4)-1,$3:$3,0)))),
IF(LEFT(U$3,2)="Q2",AVERAGE((U81+U82+U86+U87),(INDEX(81:81,0,MATCH("Q1-"&amp;RIGHT(U$3,4),$3:$3,0))+INDEX(82:82,0,MATCH("Q1-"&amp;RIGHT(U$3,4),$3:$3,0))+INDEX(86:86,0,MATCH("Q1-"&amp;RIGHT(U$3,4),$3:$3,0))+INDEX(87:87,0,MATCH("Q1-"&amp;RIGHT(U$3,4),$3:$3,0)))),
IF(LEFT(U$3,2)="Q3",AVERAGE((U81+U82+U86+U87),(INDEX(81:81,0,MATCH("Q2-"&amp;RIGHT(U$3,4),$3:$3,0))+INDEX(82:82,0,MATCH("Q2-"&amp;RIGHT(U$3,4),$3:$3,0))+INDEX(86:86,0,MATCH("Q2-"&amp;RIGHT(U$3,4),$3:$3,0))+INDEX(87:87,0,MATCH("Q2-"&amp;RIGHT(U$3,4),$3:$3,0)))),
IF(LEFT(U$3,2)="Q4",AVERAGE((U81+U82+U86+U87),(INDEX(81:81,0,MATCH("Q3-"&amp;RIGHT(U$3,4),$3:$3,0))+INDEX(82:82,0,MATCH("Q3-"&amp;RIGHT(U$3,4),$3:$3,0))+INDEX(86:86,0,MATCH("Q3-"&amp;RIGHT(U$3,4),$3:$3,0))+INDEX(87:87,0,MATCH("Q3-"&amp;RIGHT(U$3,4),$3:$3,0)))))))))), "")</f>
        <v>0.17673182479306607</v>
      </c>
      <c r="V135" s="1336">
        <f ca="1">IFERROR(V132/
(IF(LEFT(V$3,1)="F",AVERAGE((V81+V82+V86+V87),(INDEX(81:81,0,MATCH("FY"&amp;RIGHT(V$3,4)-1,$3:$3,0))+INDEX(82:82,0,MATCH("FY"&amp;RIGHT(V$3,4)-1,$3:$3,0))+INDEX(86:86,0,MATCH("FY"&amp;RIGHT(V$3,4)-1,$3:$3,0))+INDEX(87:87,0,MATCH("FY"&amp;RIGHT(V$3,4)-1,$3:$3,0)))),
IF(LEFT(V$3,2)="Q1",AVERAGE((V81+V82+V86+V87),(INDEX(81:81,0,MATCH("Q4-"&amp;RIGHT(V$3,4)-1,$3:$3,0))+INDEX(82:82,0,MATCH("Q4-"&amp;RIGHT(V$3,4)-1,$3:$3,0))+INDEX(86:86,0,MATCH("Q4-"&amp;RIGHT(V$3,4)-1,$3:$3,0))+INDEX(87:87,0,MATCH("Q4-"&amp;RIGHT(V$3,4)-1,$3:$3,0)))),
IF(LEFT(V$3,2)="Q2",AVERAGE((V81+V82+V86+V87),(INDEX(81:81,0,MATCH("Q1-"&amp;RIGHT(V$3,4),$3:$3,0))+INDEX(82:82,0,MATCH("Q1-"&amp;RIGHT(V$3,4),$3:$3,0))+INDEX(86:86,0,MATCH("Q1-"&amp;RIGHT(V$3,4),$3:$3,0))+INDEX(87:87,0,MATCH("Q1-"&amp;RIGHT(V$3,4),$3:$3,0)))),
IF(LEFT(V$3,2)="Q3",AVERAGE((V81+V82+V86+V87),(INDEX(81:81,0,MATCH("Q2-"&amp;RIGHT(V$3,4),$3:$3,0))+INDEX(82:82,0,MATCH("Q2-"&amp;RIGHT(V$3,4),$3:$3,0))+INDEX(86:86,0,MATCH("Q2-"&amp;RIGHT(V$3,4),$3:$3,0))+INDEX(87:87,0,MATCH("Q2-"&amp;RIGHT(V$3,4),$3:$3,0)))),
IF(LEFT(V$3,2)="Q4",AVERAGE((V81+V82+V86+V87),(INDEX(81:81,0,MATCH("Q3-"&amp;RIGHT(V$3,4),$3:$3,0))+INDEX(82:82,0,MATCH("Q3-"&amp;RIGHT(V$3,4),$3:$3,0))+INDEX(86:86,0,MATCH("Q3-"&amp;RIGHT(V$3,4),$3:$3,0))+INDEX(87:87,0,MATCH("Q3-"&amp;RIGHT(V$3,4),$3:$3,0)))))))))), "")</f>
        <v>0.18301640460209706</v>
      </c>
      <c r="W135" s="1336">
        <f ca="1">IFERROR(W132/
(IF(LEFT(W$3,1)="F",AVERAGE((W81+W82+W86+W87),(INDEX(81:81,0,MATCH("FY"&amp;RIGHT(W$3,4)-1,$3:$3,0))+INDEX(82:82,0,MATCH("FY"&amp;RIGHT(W$3,4)-1,$3:$3,0))+INDEX(86:86,0,MATCH("FY"&amp;RIGHT(W$3,4)-1,$3:$3,0))+INDEX(87:87,0,MATCH("FY"&amp;RIGHT(W$3,4)-1,$3:$3,0)))),
IF(LEFT(W$3,2)="Q1",AVERAGE((W81+W82+W86+W87),(INDEX(81:81,0,MATCH("Q4-"&amp;RIGHT(W$3,4)-1,$3:$3,0))+INDEX(82:82,0,MATCH("Q4-"&amp;RIGHT(W$3,4)-1,$3:$3,0))+INDEX(86:86,0,MATCH("Q4-"&amp;RIGHT(W$3,4)-1,$3:$3,0))+INDEX(87:87,0,MATCH("Q4-"&amp;RIGHT(W$3,4)-1,$3:$3,0)))),
IF(LEFT(W$3,2)="Q2",AVERAGE((W81+W82+W86+W87),(INDEX(81:81,0,MATCH("Q1-"&amp;RIGHT(W$3,4),$3:$3,0))+INDEX(82:82,0,MATCH("Q1-"&amp;RIGHT(W$3,4),$3:$3,0))+INDEX(86:86,0,MATCH("Q1-"&amp;RIGHT(W$3,4),$3:$3,0))+INDEX(87:87,0,MATCH("Q1-"&amp;RIGHT(W$3,4),$3:$3,0)))),
IF(LEFT(W$3,2)="Q3",AVERAGE((W81+W82+W86+W87),(INDEX(81:81,0,MATCH("Q2-"&amp;RIGHT(W$3,4),$3:$3,0))+INDEX(82:82,0,MATCH("Q2-"&amp;RIGHT(W$3,4),$3:$3,0))+INDEX(86:86,0,MATCH("Q2-"&amp;RIGHT(W$3,4),$3:$3,0))+INDEX(87:87,0,MATCH("Q2-"&amp;RIGHT(W$3,4),$3:$3,0)))),
IF(LEFT(W$3,2)="Q4",AVERAGE((W81+W82+W86+W87),(INDEX(81:81,0,MATCH("Q3-"&amp;RIGHT(W$3,4),$3:$3,0))+INDEX(82:82,0,MATCH("Q3-"&amp;RIGHT(W$3,4),$3:$3,0))+INDEX(86:86,0,MATCH("Q3-"&amp;RIGHT(W$3,4),$3:$3,0))+INDEX(87:87,0,MATCH("Q3-"&amp;RIGHT(W$3,4),$3:$3,0)))))))))), "")</f>
        <v>0.18595514969801991</v>
      </c>
      <c r="X135" s="1336">
        <f ca="1">IFERROR(X132/
(IF(LEFT(X$3,1)="F",AVERAGE((X81+X82+X86+X87),(INDEX(81:81,0,MATCH("FY"&amp;RIGHT(X$3,4)-1,$3:$3,0))+INDEX(82:82,0,MATCH("FY"&amp;RIGHT(X$3,4)-1,$3:$3,0))+INDEX(86:86,0,MATCH("FY"&amp;RIGHT(X$3,4)-1,$3:$3,0))+INDEX(87:87,0,MATCH("FY"&amp;RIGHT(X$3,4)-1,$3:$3,0)))),
IF(LEFT(X$3,2)="Q1",AVERAGE((X81+X82+X86+X87),(INDEX(81:81,0,MATCH("Q4-"&amp;RIGHT(X$3,4)-1,$3:$3,0))+INDEX(82:82,0,MATCH("Q4-"&amp;RIGHT(X$3,4)-1,$3:$3,0))+INDEX(86:86,0,MATCH("Q4-"&amp;RIGHT(X$3,4)-1,$3:$3,0))+INDEX(87:87,0,MATCH("Q4-"&amp;RIGHT(X$3,4)-1,$3:$3,0)))),
IF(LEFT(X$3,2)="Q2",AVERAGE((X81+X82+X86+X87),(INDEX(81:81,0,MATCH("Q1-"&amp;RIGHT(X$3,4),$3:$3,0))+INDEX(82:82,0,MATCH("Q1-"&amp;RIGHT(X$3,4),$3:$3,0))+INDEX(86:86,0,MATCH("Q1-"&amp;RIGHT(X$3,4),$3:$3,0))+INDEX(87:87,0,MATCH("Q1-"&amp;RIGHT(X$3,4),$3:$3,0)))),
IF(LEFT(X$3,2)="Q3",AVERAGE((X81+X82+X86+X87),(INDEX(81:81,0,MATCH("Q2-"&amp;RIGHT(X$3,4),$3:$3,0))+INDEX(82:82,0,MATCH("Q2-"&amp;RIGHT(X$3,4),$3:$3,0))+INDEX(86:86,0,MATCH("Q2-"&amp;RIGHT(X$3,4),$3:$3,0))+INDEX(87:87,0,MATCH("Q2-"&amp;RIGHT(X$3,4),$3:$3,0)))),
IF(LEFT(X$3,2)="Q4",AVERAGE((X81+X82+X86+X87),(INDEX(81:81,0,MATCH("Q3-"&amp;RIGHT(X$3,4),$3:$3,0))+INDEX(82:82,0,MATCH("Q3-"&amp;RIGHT(X$3,4),$3:$3,0))+INDEX(86:86,0,MATCH("Q3-"&amp;RIGHT(X$3,4),$3:$3,0))+INDEX(87:87,0,MATCH("Q3-"&amp;RIGHT(X$3,4),$3:$3,0)))))))))), "")</f>
        <v>0.19015787422359634</v>
      </c>
      <c r="Y135" s="1335">
        <f ca="1">IFERROR(Y132/
(IF(LEFT(Y$3,1)="F",AVERAGE((Y81+Y82+Y86+Y87),(INDEX(81:81,0,MATCH("FY"&amp;RIGHT(Y$3,4)-1,$3:$3,0))+INDEX(82:82,0,MATCH("FY"&amp;RIGHT(Y$3,4)-1,$3:$3,0))+INDEX(86:86,0,MATCH("FY"&amp;RIGHT(Y$3,4)-1,$3:$3,0))+INDEX(87:87,0,MATCH("FY"&amp;RIGHT(Y$3,4)-1,$3:$3,0)))),
IF(LEFT(Y$3,2)="Q1",AVERAGE((Y81+Y82+Y86+Y87),(INDEX(81:81,0,MATCH("Q4-"&amp;RIGHT(Y$3,4)-1,$3:$3,0))+INDEX(82:82,0,MATCH("Q4-"&amp;RIGHT(Y$3,4)-1,$3:$3,0))+INDEX(86:86,0,MATCH("Q4-"&amp;RIGHT(Y$3,4)-1,$3:$3,0))+INDEX(87:87,0,MATCH("Q4-"&amp;RIGHT(Y$3,4)-1,$3:$3,0)))),
IF(LEFT(Y$3,2)="Q2",AVERAGE((Y81+Y82+Y86+Y87),(INDEX(81:81,0,MATCH("Q1-"&amp;RIGHT(Y$3,4),$3:$3,0))+INDEX(82:82,0,MATCH("Q1-"&amp;RIGHT(Y$3,4),$3:$3,0))+INDEX(86:86,0,MATCH("Q1-"&amp;RIGHT(Y$3,4),$3:$3,0))+INDEX(87:87,0,MATCH("Q1-"&amp;RIGHT(Y$3,4),$3:$3,0)))),
IF(LEFT(Y$3,2)="Q3",AVERAGE((Y81+Y82+Y86+Y87),(INDEX(81:81,0,MATCH("Q2-"&amp;RIGHT(Y$3,4),$3:$3,0))+INDEX(82:82,0,MATCH("Q2-"&amp;RIGHT(Y$3,4),$3:$3,0))+INDEX(86:86,0,MATCH("Q2-"&amp;RIGHT(Y$3,4),$3:$3,0))+INDEX(87:87,0,MATCH("Q2-"&amp;RIGHT(Y$3,4),$3:$3,0)))),
IF(LEFT(Y$3,2)="Q4",AVERAGE((Y81+Y82+Y86+Y87),(INDEX(81:81,0,MATCH("Q3-"&amp;RIGHT(Y$3,4),$3:$3,0))+INDEX(82:82,0,MATCH("Q3-"&amp;RIGHT(Y$3,4),$3:$3,0))+INDEX(86:86,0,MATCH("Q3-"&amp;RIGHT(Y$3,4),$3:$3,0))+INDEX(87:87,0,MATCH("Q3-"&amp;RIGHT(Y$3,4),$3:$3,0)))))))))), "")</f>
        <v>0.19144238232925739</v>
      </c>
      <c r="Z135" s="1336">
        <f ca="1">IFERROR(Z132/
(IF(LEFT(Z$3,1)="F",AVERAGE((Z81+Z82+Z86+Z87),(INDEX(81:81,0,MATCH("FY"&amp;RIGHT(Z$3,4)-1,$3:$3,0))+INDEX(82:82,0,MATCH("FY"&amp;RIGHT(Z$3,4)-1,$3:$3,0))+INDEX(86:86,0,MATCH("FY"&amp;RIGHT(Z$3,4)-1,$3:$3,0))+INDEX(87:87,0,MATCH("FY"&amp;RIGHT(Z$3,4)-1,$3:$3,0)))),
IF(LEFT(Z$3,2)="Q1",AVERAGE((Z81+Z82+Z86+Z87),(INDEX(81:81,0,MATCH("Q4-"&amp;RIGHT(Z$3,4)-1,$3:$3,0))+INDEX(82:82,0,MATCH("Q4-"&amp;RIGHT(Z$3,4)-1,$3:$3,0))+INDEX(86:86,0,MATCH("Q4-"&amp;RIGHT(Z$3,4)-1,$3:$3,0))+INDEX(87:87,0,MATCH("Q4-"&amp;RIGHT(Z$3,4)-1,$3:$3,0)))),
IF(LEFT(Z$3,2)="Q2",AVERAGE((Z81+Z82+Z86+Z87),(INDEX(81:81,0,MATCH("Q1-"&amp;RIGHT(Z$3,4),$3:$3,0))+INDEX(82:82,0,MATCH("Q1-"&amp;RIGHT(Z$3,4),$3:$3,0))+INDEX(86:86,0,MATCH("Q1-"&amp;RIGHT(Z$3,4),$3:$3,0))+INDEX(87:87,0,MATCH("Q1-"&amp;RIGHT(Z$3,4),$3:$3,0)))),
IF(LEFT(Z$3,2)="Q3",AVERAGE((Z81+Z82+Z86+Z87),(INDEX(81:81,0,MATCH("Q2-"&amp;RIGHT(Z$3,4),$3:$3,0))+INDEX(82:82,0,MATCH("Q2-"&amp;RIGHT(Z$3,4),$3:$3,0))+INDEX(86:86,0,MATCH("Q2-"&amp;RIGHT(Z$3,4),$3:$3,0))+INDEX(87:87,0,MATCH("Q2-"&amp;RIGHT(Z$3,4),$3:$3,0)))),
IF(LEFT(Z$3,2)="Q4",AVERAGE((Z81+Z82+Z86+Z87),(INDEX(81:81,0,MATCH("Q3-"&amp;RIGHT(Z$3,4),$3:$3,0))+INDEX(82:82,0,MATCH("Q3-"&amp;RIGHT(Z$3,4),$3:$3,0))+INDEX(86:86,0,MATCH("Q3-"&amp;RIGHT(Z$3,4),$3:$3,0))+INDEX(87:87,0,MATCH("Q3-"&amp;RIGHT(Z$3,4),$3:$3,0)))))))))), "")</f>
        <v>0.19138344210675357</v>
      </c>
      <c r="AA135" s="1336">
        <f ca="1">IFERROR(AA132/
(IF(LEFT(AA$3,1)="F",AVERAGE((AA81+AA82+AA86+AA87),(INDEX(81:81,0,MATCH("FY"&amp;RIGHT(AA$3,4)-1,$3:$3,0))+INDEX(82:82,0,MATCH("FY"&amp;RIGHT(AA$3,4)-1,$3:$3,0))+INDEX(86:86,0,MATCH("FY"&amp;RIGHT(AA$3,4)-1,$3:$3,0))+INDEX(87:87,0,MATCH("FY"&amp;RIGHT(AA$3,4)-1,$3:$3,0)))),
IF(LEFT(AA$3,2)="Q1",AVERAGE((AA81+AA82+AA86+AA87),(INDEX(81:81,0,MATCH("Q4-"&amp;RIGHT(AA$3,4)-1,$3:$3,0))+INDEX(82:82,0,MATCH("Q4-"&amp;RIGHT(AA$3,4)-1,$3:$3,0))+INDEX(86:86,0,MATCH("Q4-"&amp;RIGHT(AA$3,4)-1,$3:$3,0))+INDEX(87:87,0,MATCH("Q4-"&amp;RIGHT(AA$3,4)-1,$3:$3,0)))),
IF(LEFT(AA$3,2)="Q2",AVERAGE((AA81+AA82+AA86+AA87),(INDEX(81:81,0,MATCH("Q1-"&amp;RIGHT(AA$3,4),$3:$3,0))+INDEX(82:82,0,MATCH("Q1-"&amp;RIGHT(AA$3,4),$3:$3,0))+INDEX(86:86,0,MATCH("Q1-"&amp;RIGHT(AA$3,4),$3:$3,0))+INDEX(87:87,0,MATCH("Q1-"&amp;RIGHT(AA$3,4),$3:$3,0)))),
IF(LEFT(AA$3,2)="Q3",AVERAGE((AA81+AA82+AA86+AA87),(INDEX(81:81,0,MATCH("Q2-"&amp;RIGHT(AA$3,4),$3:$3,0))+INDEX(82:82,0,MATCH("Q2-"&amp;RIGHT(AA$3,4),$3:$3,0))+INDEX(86:86,0,MATCH("Q2-"&amp;RIGHT(AA$3,4),$3:$3,0))+INDEX(87:87,0,MATCH("Q2-"&amp;RIGHT(AA$3,4),$3:$3,0)))),
IF(LEFT(AA$3,2)="Q4",AVERAGE((AA81+AA82+AA86+AA87),(INDEX(81:81,0,MATCH("Q3-"&amp;RIGHT(AA$3,4),$3:$3,0))+INDEX(82:82,0,MATCH("Q3-"&amp;RIGHT(AA$3,4),$3:$3,0))+INDEX(86:86,0,MATCH("Q3-"&amp;RIGHT(AA$3,4),$3:$3,0))+INDEX(87:87,0,MATCH("Q3-"&amp;RIGHT(AA$3,4),$3:$3,0)))))))))), "")</f>
        <v>0.19606175232075149</v>
      </c>
      <c r="AB135" s="1336">
        <f ca="1">IFERROR(AB132/
(IF(LEFT(AB$3,1)="F",AVERAGE((AB81+AB82+AB86+AB87),(INDEX(81:81,0,MATCH("FY"&amp;RIGHT(AB$3,4)-1,$3:$3,0))+INDEX(82:82,0,MATCH("FY"&amp;RIGHT(AB$3,4)-1,$3:$3,0))+INDEX(86:86,0,MATCH("FY"&amp;RIGHT(AB$3,4)-1,$3:$3,0))+INDEX(87:87,0,MATCH("FY"&amp;RIGHT(AB$3,4)-1,$3:$3,0)))),
IF(LEFT(AB$3,2)="Q1",AVERAGE((AB81+AB82+AB86+AB87),(INDEX(81:81,0,MATCH("Q4-"&amp;RIGHT(AB$3,4)-1,$3:$3,0))+INDEX(82:82,0,MATCH("Q4-"&amp;RIGHT(AB$3,4)-1,$3:$3,0))+INDEX(86:86,0,MATCH("Q4-"&amp;RIGHT(AB$3,4)-1,$3:$3,0))+INDEX(87:87,0,MATCH("Q4-"&amp;RIGHT(AB$3,4)-1,$3:$3,0)))),
IF(LEFT(AB$3,2)="Q2",AVERAGE((AB81+AB82+AB86+AB87),(INDEX(81:81,0,MATCH("Q1-"&amp;RIGHT(AB$3,4),$3:$3,0))+INDEX(82:82,0,MATCH("Q1-"&amp;RIGHT(AB$3,4),$3:$3,0))+INDEX(86:86,0,MATCH("Q1-"&amp;RIGHT(AB$3,4),$3:$3,0))+INDEX(87:87,0,MATCH("Q1-"&amp;RIGHT(AB$3,4),$3:$3,0)))),
IF(LEFT(AB$3,2)="Q3",AVERAGE((AB81+AB82+AB86+AB87),(INDEX(81:81,0,MATCH("Q2-"&amp;RIGHT(AB$3,4),$3:$3,0))+INDEX(82:82,0,MATCH("Q2-"&amp;RIGHT(AB$3,4),$3:$3,0))+INDEX(86:86,0,MATCH("Q2-"&amp;RIGHT(AB$3,4),$3:$3,0))+INDEX(87:87,0,MATCH("Q2-"&amp;RIGHT(AB$3,4),$3:$3,0)))),
IF(LEFT(AB$3,2)="Q4",AVERAGE((AB81+AB82+AB86+AB87),(INDEX(81:81,0,MATCH("Q3-"&amp;RIGHT(AB$3,4),$3:$3,0))+INDEX(82:82,0,MATCH("Q3-"&amp;RIGHT(AB$3,4),$3:$3,0))+INDEX(86:86,0,MATCH("Q3-"&amp;RIGHT(AB$3,4),$3:$3,0))+INDEX(87:87,0,MATCH("Q3-"&amp;RIGHT(AB$3,4),$3:$3,0)))))))))), "")</f>
        <v>0.19657811023178165</v>
      </c>
      <c r="AC135" s="1336">
        <f ca="1">IFERROR(AC132/
(IF(LEFT(AC$3,1)="F",AVERAGE((AC81+AC82+AC86+AC87),(INDEX(81:81,0,MATCH("FY"&amp;RIGHT(AC$3,4)-1,$3:$3,0))+INDEX(82:82,0,MATCH("FY"&amp;RIGHT(AC$3,4)-1,$3:$3,0))+INDEX(86:86,0,MATCH("FY"&amp;RIGHT(AC$3,4)-1,$3:$3,0))+INDEX(87:87,0,MATCH("FY"&amp;RIGHT(AC$3,4)-1,$3:$3,0)))),
IF(LEFT(AC$3,2)="Q1",AVERAGE((AC81+AC82+AC86+AC87),(INDEX(81:81,0,MATCH("Q4-"&amp;RIGHT(AC$3,4)-1,$3:$3,0))+INDEX(82:82,0,MATCH("Q4-"&amp;RIGHT(AC$3,4)-1,$3:$3,0))+INDEX(86:86,0,MATCH("Q4-"&amp;RIGHT(AC$3,4)-1,$3:$3,0))+INDEX(87:87,0,MATCH("Q4-"&amp;RIGHT(AC$3,4)-1,$3:$3,0)))),
IF(LEFT(AC$3,2)="Q2",AVERAGE((AC81+AC82+AC86+AC87),(INDEX(81:81,0,MATCH("Q1-"&amp;RIGHT(AC$3,4),$3:$3,0))+INDEX(82:82,0,MATCH("Q1-"&amp;RIGHT(AC$3,4),$3:$3,0))+INDEX(86:86,0,MATCH("Q1-"&amp;RIGHT(AC$3,4),$3:$3,0))+INDEX(87:87,0,MATCH("Q1-"&amp;RIGHT(AC$3,4),$3:$3,0)))),
IF(LEFT(AC$3,2)="Q3",AVERAGE((AC81+AC82+AC86+AC87),(INDEX(81:81,0,MATCH("Q2-"&amp;RIGHT(AC$3,4),$3:$3,0))+INDEX(82:82,0,MATCH("Q2-"&amp;RIGHT(AC$3,4),$3:$3,0))+INDEX(86:86,0,MATCH("Q2-"&amp;RIGHT(AC$3,4),$3:$3,0))+INDEX(87:87,0,MATCH("Q2-"&amp;RIGHT(AC$3,4),$3:$3,0)))),
IF(LEFT(AC$3,2)="Q4",AVERAGE((AC81+AC82+AC86+AC87),(INDEX(81:81,0,MATCH("Q3-"&amp;RIGHT(AC$3,4),$3:$3,0))+INDEX(82:82,0,MATCH("Q3-"&amp;RIGHT(AC$3,4),$3:$3,0))+INDEX(86:86,0,MATCH("Q3-"&amp;RIGHT(AC$3,4),$3:$3,0))+INDEX(87:87,0,MATCH("Q3-"&amp;RIGHT(AC$3,4),$3:$3,0)))))))))), "")</f>
        <v>0.19901957921215577</v>
      </c>
      <c r="AD135" s="1335">
        <f ca="1">IFERROR(AD132/
(IF(LEFT(AD$3,1)="F",AVERAGE((AD81+AD82+AD86+AD87),(INDEX(81:81,0,MATCH("FY"&amp;RIGHT(AD$3,4)-1,$3:$3,0))+INDEX(82:82,0,MATCH("FY"&amp;RIGHT(AD$3,4)-1,$3:$3,0))+INDEX(86:86,0,MATCH("FY"&amp;RIGHT(AD$3,4)-1,$3:$3,0))+INDEX(87:87,0,MATCH("FY"&amp;RIGHT(AD$3,4)-1,$3:$3,0)))),
IF(LEFT(AD$3,2)="Q1",AVERAGE((AD81+AD82+AD86+AD87),(INDEX(81:81,0,MATCH("Q4-"&amp;RIGHT(AD$3,4)-1,$3:$3,0))+INDEX(82:82,0,MATCH("Q4-"&amp;RIGHT(AD$3,4)-1,$3:$3,0))+INDEX(86:86,0,MATCH("Q4-"&amp;RIGHT(AD$3,4)-1,$3:$3,0))+INDEX(87:87,0,MATCH("Q4-"&amp;RIGHT(AD$3,4)-1,$3:$3,0)))),
IF(LEFT(AD$3,2)="Q2",AVERAGE((AD81+AD82+AD86+AD87),(INDEX(81:81,0,MATCH("Q1-"&amp;RIGHT(AD$3,4),$3:$3,0))+INDEX(82:82,0,MATCH("Q1-"&amp;RIGHT(AD$3,4),$3:$3,0))+INDEX(86:86,0,MATCH("Q1-"&amp;RIGHT(AD$3,4),$3:$3,0))+INDEX(87:87,0,MATCH("Q1-"&amp;RIGHT(AD$3,4),$3:$3,0)))),
IF(LEFT(AD$3,2)="Q3",AVERAGE((AD81+AD82+AD86+AD87),(INDEX(81:81,0,MATCH("Q2-"&amp;RIGHT(AD$3,4),$3:$3,0))+INDEX(82:82,0,MATCH("Q2-"&amp;RIGHT(AD$3,4),$3:$3,0))+INDEX(86:86,0,MATCH("Q2-"&amp;RIGHT(AD$3,4),$3:$3,0))+INDEX(87:87,0,MATCH("Q2-"&amp;RIGHT(AD$3,4),$3:$3,0)))),
IF(LEFT(AD$3,2)="Q4",AVERAGE((AD81+AD82+AD86+AD87),(INDEX(81:81,0,MATCH("Q3-"&amp;RIGHT(AD$3,4),$3:$3,0))+INDEX(82:82,0,MATCH("Q3-"&amp;RIGHT(AD$3,4),$3:$3,0))+INDEX(86:86,0,MATCH("Q3-"&amp;RIGHT(AD$3,4),$3:$3,0))+INDEX(87:87,0,MATCH("Q3-"&amp;RIGHT(AD$3,4),$3:$3,0)))))))))), "")</f>
        <v>0.20176123613142968</v>
      </c>
      <c r="AE135" s="1335">
        <f ca="1">IFERROR(AE132/
(IF(LEFT(AE$3,1)="F",AVERAGE((AE81+AE82+AE86+AE87),(INDEX(81:81,0,MATCH("FY"&amp;RIGHT(AE$3,4)-1,$3:$3,0))+INDEX(82:82,0,MATCH("FY"&amp;RIGHT(AE$3,4)-1,$3:$3,0))+INDEX(86:86,0,MATCH("FY"&amp;RIGHT(AE$3,4)-1,$3:$3,0))+INDEX(87:87,0,MATCH("FY"&amp;RIGHT(AE$3,4)-1,$3:$3,0)))),
IF(LEFT(AE$3,2)="Q1",AVERAGE((AE81+AE82+AE86+AE87),(INDEX(81:81,0,MATCH("Q4-"&amp;RIGHT(AE$3,4)-1,$3:$3,0))+INDEX(82:82,0,MATCH("Q4-"&amp;RIGHT(AE$3,4)-1,$3:$3,0))+INDEX(86:86,0,MATCH("Q4-"&amp;RIGHT(AE$3,4)-1,$3:$3,0))+INDEX(87:87,0,MATCH("Q4-"&amp;RIGHT(AE$3,4)-1,$3:$3,0)))),
IF(LEFT(AE$3,2)="Q2",AVERAGE((AE81+AE82+AE86+AE87),(INDEX(81:81,0,MATCH("Q1-"&amp;RIGHT(AE$3,4),$3:$3,0))+INDEX(82:82,0,MATCH("Q1-"&amp;RIGHT(AE$3,4),$3:$3,0))+INDEX(86:86,0,MATCH("Q1-"&amp;RIGHT(AE$3,4),$3:$3,0))+INDEX(87:87,0,MATCH("Q1-"&amp;RIGHT(AE$3,4),$3:$3,0)))),
IF(LEFT(AE$3,2)="Q3",AVERAGE((AE81+AE82+AE86+AE87),(INDEX(81:81,0,MATCH("Q2-"&amp;RIGHT(AE$3,4),$3:$3,0))+INDEX(82:82,0,MATCH("Q2-"&amp;RIGHT(AE$3,4),$3:$3,0))+INDEX(86:86,0,MATCH("Q2-"&amp;RIGHT(AE$3,4),$3:$3,0))+INDEX(87:87,0,MATCH("Q2-"&amp;RIGHT(AE$3,4),$3:$3,0)))),
IF(LEFT(AE$3,2)="Q4",AVERAGE((AE81+AE82+AE86+AE87),(INDEX(81:81,0,MATCH("Q3-"&amp;RIGHT(AE$3,4),$3:$3,0))+INDEX(82:82,0,MATCH("Q3-"&amp;RIGHT(AE$3,4),$3:$3,0))+INDEX(86:86,0,MATCH("Q3-"&amp;RIGHT(AE$3,4),$3:$3,0))+INDEX(87:87,0,MATCH("Q3-"&amp;RIGHT(AE$3,4),$3:$3,0)))))))))), "")</f>
        <v>0.20958625986230833</v>
      </c>
      <c r="AF135" s="1335">
        <f ca="1">IFERROR(AF132/
(IF(LEFT(AF$3,1)="F",AVERAGE((AF81+AF82+AF86+AF87),(INDEX(81:81,0,MATCH("FY"&amp;RIGHT(AF$3,4)-1,$3:$3,0))+INDEX(82:82,0,MATCH("FY"&amp;RIGHT(AF$3,4)-1,$3:$3,0))+INDEX(86:86,0,MATCH("FY"&amp;RIGHT(AF$3,4)-1,$3:$3,0))+INDEX(87:87,0,MATCH("FY"&amp;RIGHT(AF$3,4)-1,$3:$3,0)))),
IF(LEFT(AF$3,2)="Q1",AVERAGE((AF81+AF82+AF86+AF87),(INDEX(81:81,0,MATCH("Q4-"&amp;RIGHT(AF$3,4)-1,$3:$3,0))+INDEX(82:82,0,MATCH("Q4-"&amp;RIGHT(AF$3,4)-1,$3:$3,0))+INDEX(86:86,0,MATCH("Q4-"&amp;RIGHT(AF$3,4)-1,$3:$3,0))+INDEX(87:87,0,MATCH("Q4-"&amp;RIGHT(AF$3,4)-1,$3:$3,0)))),
IF(LEFT(AF$3,2)="Q2",AVERAGE((AF81+AF82+AF86+AF87),(INDEX(81:81,0,MATCH("Q1-"&amp;RIGHT(AF$3,4),$3:$3,0))+INDEX(82:82,0,MATCH("Q1-"&amp;RIGHT(AF$3,4),$3:$3,0))+INDEX(86:86,0,MATCH("Q1-"&amp;RIGHT(AF$3,4),$3:$3,0))+INDEX(87:87,0,MATCH("Q1-"&amp;RIGHT(AF$3,4),$3:$3,0)))),
IF(LEFT(AF$3,2)="Q3",AVERAGE((AF81+AF82+AF86+AF87),(INDEX(81:81,0,MATCH("Q2-"&amp;RIGHT(AF$3,4),$3:$3,0))+INDEX(82:82,0,MATCH("Q2-"&amp;RIGHT(AF$3,4),$3:$3,0))+INDEX(86:86,0,MATCH("Q2-"&amp;RIGHT(AF$3,4),$3:$3,0))+INDEX(87:87,0,MATCH("Q2-"&amp;RIGHT(AF$3,4),$3:$3,0)))),
IF(LEFT(AF$3,2)="Q4",AVERAGE((AF81+AF82+AF86+AF87),(INDEX(81:81,0,MATCH("Q3-"&amp;RIGHT(AF$3,4),$3:$3,0))+INDEX(82:82,0,MATCH("Q3-"&amp;RIGHT(AF$3,4),$3:$3,0))+INDEX(86:86,0,MATCH("Q3-"&amp;RIGHT(AF$3,4),$3:$3,0))+INDEX(87:87,0,MATCH("Q3-"&amp;RIGHT(AF$3,4),$3:$3,0)))))))))), "")</f>
        <v>0.21397675216271722</v>
      </c>
      <c r="AG135" s="1337">
        <f ca="1">IFERROR(AG132/
(IF(LEFT(AG$3,1)="F",AVERAGE((AG81+AG82+AG86+AG87),(INDEX(81:81,0,MATCH("FY"&amp;RIGHT(AG$3,4)-1,$3:$3,0))+INDEX(82:82,0,MATCH("FY"&amp;RIGHT(AG$3,4)-1,$3:$3,0))+INDEX(86:86,0,MATCH("FY"&amp;RIGHT(AG$3,4)-1,$3:$3,0))+INDEX(87:87,0,MATCH("FY"&amp;RIGHT(AG$3,4)-1,$3:$3,0)))),
IF(LEFT(AG$3,2)="Q1",AVERAGE((AG81+AG82+AG86+AG87),(INDEX(81:81,0,MATCH("Q4-"&amp;RIGHT(AG$3,4)-1,$3:$3,0))+INDEX(82:82,0,MATCH("Q4-"&amp;RIGHT(AG$3,4)-1,$3:$3,0))+INDEX(86:86,0,MATCH("Q4-"&amp;RIGHT(AG$3,4)-1,$3:$3,0))+INDEX(87:87,0,MATCH("Q4-"&amp;RIGHT(AG$3,4)-1,$3:$3,0)))),
IF(LEFT(AG$3,2)="Q2",AVERAGE((AG81+AG82+AG86+AG87),(INDEX(81:81,0,MATCH("Q1-"&amp;RIGHT(AG$3,4),$3:$3,0))+INDEX(82:82,0,MATCH("Q1-"&amp;RIGHT(AG$3,4),$3:$3,0))+INDEX(86:86,0,MATCH("Q1-"&amp;RIGHT(AG$3,4),$3:$3,0))+INDEX(87:87,0,MATCH("Q1-"&amp;RIGHT(AG$3,4),$3:$3,0)))),
IF(LEFT(AG$3,2)="Q3",AVERAGE((AG81+AG82+AG86+AG87),(INDEX(81:81,0,MATCH("Q2-"&amp;RIGHT(AG$3,4),$3:$3,0))+INDEX(82:82,0,MATCH("Q2-"&amp;RIGHT(AG$3,4),$3:$3,0))+INDEX(86:86,0,MATCH("Q2-"&amp;RIGHT(AG$3,4),$3:$3,0))+INDEX(87:87,0,MATCH("Q2-"&amp;RIGHT(AG$3,4),$3:$3,0)))),
IF(LEFT(AG$3,2)="Q4",AVERAGE((AG81+AG82+AG86+AG87),(INDEX(81:81,0,MATCH("Q3-"&amp;RIGHT(AG$3,4),$3:$3,0))+INDEX(82:82,0,MATCH("Q3-"&amp;RIGHT(AG$3,4),$3:$3,0))+INDEX(86:86,0,MATCH("Q3-"&amp;RIGHT(AG$3,4),$3:$3,0))+INDEX(87:87,0,MATCH("Q3-"&amp;RIGHT(AG$3,4),$3:$3,0)))))))))), "")</f>
        <v>0.21519239445104274</v>
      </c>
      <c r="AH135" s="1264"/>
    </row>
    <row r="136" spans="1:34" s="1315" customFormat="1" ht="14.25" customHeight="1" x14ac:dyDescent="0.35">
      <c r="A136" s="1291" t="s">
        <v>319</v>
      </c>
      <c r="B136" s="1292"/>
      <c r="C136" s="1310"/>
      <c r="D136" s="1335">
        <f>IFERROR(INDEX(SP_PR_ROE,0,MATCH(D$3,SP_Common_ColumnHeader,0)),"")</f>
        <v>0.45896573661728618</v>
      </c>
      <c r="E136" s="1335">
        <f>IFERROR(INDEX(SP_PR_ROE,0,MATCH(E$3,SP_Common_ColumnHeader,0)),0)</f>
        <v>0.51415763231325196</v>
      </c>
      <c r="F136" s="1237">
        <f>IFERROR(INDEX(SP_PR_ROE,0,MATCH(F$3,SP_Common_ColumnHeader,0)),0)</f>
        <v>0.50357629059792119</v>
      </c>
      <c r="G136" s="1336">
        <f>IFERROR(INDEX(SP_PR_ROE,0,MATCH(G$3,SP_Common_ColumnHeader,0)),0)</f>
        <v>0.54160839936960337</v>
      </c>
      <c r="H136" s="1336">
        <f>IFERROR(INDEX(SP_PR_ROE,0,MATCH(H$3,SP_Common_ColumnHeader,0)),0)</f>
        <v>0.57599703380993206</v>
      </c>
      <c r="I136" s="1336">
        <f>IFERROR(INDEX(SP_PR_ROE,0,MATCH(I$3,SP_Common_ColumnHeader,0)),0)</f>
        <v>0.60841830570724398</v>
      </c>
      <c r="J136" s="1335">
        <f>IFERROR(INDEX(SP_PR_ROE,0,MATCH(J$3,SP_Common_ColumnHeader,0)),0)</f>
        <v>0.58944707149211106</v>
      </c>
      <c r="K136" s="1336">
        <f>IFERROR(INDEX(SP_PR_ROE,0,MATCH(K$3,SP_Common_ColumnHeader,0)),0)</f>
        <v>0.60570402871958517</v>
      </c>
      <c r="L136" s="1336">
        <f>IFERROR(INDEX(SP_PR_ROE,0,MATCH(L$3,SP_Common_ColumnHeader,0)),0)</f>
        <v>0.54863168465980416</v>
      </c>
      <c r="M136" s="1336">
        <f>IFERROR(INDEX(SP_PR_ROE,0,MATCH(M$3,SP_Common_ColumnHeader,0)),0)</f>
        <v>0.53857610962168601</v>
      </c>
      <c r="N136" s="1336">
        <f>IFERROR(INDEX(SP_PR_ROE,0,MATCH(N$3,SP_Common_ColumnHeader,0)),0)</f>
        <v>0.51224384108899901</v>
      </c>
      <c r="O136" s="1335">
        <f>IFERROR(INDEX(SP_PR_ROE,0,MATCH(O$3,SP_Common_ColumnHeader,0)),0)</f>
        <v>0.52298705876428819</v>
      </c>
      <c r="P136" s="1336">
        <f>IFERROR(INDEX(SP_PR_ROE,0,MATCH(P$3,SP_Common_ColumnHeader,0)),0)</f>
        <v>0.50142700329308454</v>
      </c>
      <c r="Q136" s="1336">
        <f>IFERROR(INDEX(SP_PR_ROE,0,MATCH(Q$3,SP_Common_ColumnHeader,0)),0)</f>
        <v>0.47164164811223636</v>
      </c>
      <c r="R136" s="1336">
        <f>IFERROR(INDEX(SP_PR_ROE,0,MATCH(R$3,SP_Common_ColumnHeader,0)),0)</f>
        <v>0.45022935245768042</v>
      </c>
      <c r="S136" s="1336">
        <f>IFERROR(INDEX(SP_PR_ROE,0,MATCH(S$3,SP_Common_ColumnHeader,0)),0)</f>
        <v>0.44483301276446929</v>
      </c>
      <c r="T136" s="1335">
        <f>IFERROR(INDEX(SP_PR_ROE,0,MATCH(T$3,SP_Common_ColumnHeader,0)),0)</f>
        <v>0.44378543392935021</v>
      </c>
      <c r="U136" s="1336">
        <f>IFERROR(INDEX(SP_PR_ROE,0,MATCH(U$3,SP_Common_ColumnHeader,0)),0)</f>
        <v>0.44225665957662313</v>
      </c>
      <c r="V136" s="1336">
        <f ca="1">IFERROR(INDEX(SP_PR_ROE,0,MATCH(V$3,SP_Common_ColumnHeader,0)),0)</f>
        <v>0.43429127950609625</v>
      </c>
      <c r="W136" s="1336">
        <f ca="1">IFERROR(INDEX(SP_PR_ROE,0,MATCH(W$3,SP_Common_ColumnHeader,0)),0)</f>
        <v>0.42523576167515215</v>
      </c>
      <c r="X136" s="1336">
        <f ca="1">IFERROR(INDEX(SP_PR_ROE,0,MATCH(X$3,SP_Common_ColumnHeader,0)),0)</f>
        <v>0.42963428852157592</v>
      </c>
      <c r="Y136" s="1335">
        <f ca="1">IFERROR(INDEX(SP_PR_ROE,0,MATCH(Y$3,SP_Common_ColumnHeader,0)),0)</f>
        <v>0.44097399737805243</v>
      </c>
      <c r="Z136" s="1336">
        <f ca="1">IFERROR(INDEX(SP_PR_ROE,0,MATCH(Z$3,SP_Common_ColumnHeader,0)),0)</f>
        <v>0.42717798957883774</v>
      </c>
      <c r="AA136" s="1336">
        <f ca="1">IFERROR(INDEX(SP_PR_ROE,0,MATCH(AA$3,SP_Common_ColumnHeader,0)),0)</f>
        <v>0.43399421977860442</v>
      </c>
      <c r="AB136" s="1336">
        <f ca="1">IFERROR(INDEX(SP_PR_ROE,0,MATCH(AB$3,SP_Common_ColumnHeader,0)),0)</f>
        <v>0.42922332786983919</v>
      </c>
      <c r="AC136" s="1336">
        <f ca="1">IFERROR(INDEX(SP_PR_ROE,0,MATCH(AC$3,SP_Common_ColumnHeader,0)),0)</f>
        <v>0.42978247113463047</v>
      </c>
      <c r="AD136" s="1335">
        <f ca="1">IFERROR(INDEX(SP_PR_ROE,0,MATCH(AD$3,SP_Common_ColumnHeader,0)),0)</f>
        <v>0.43456374069169751</v>
      </c>
      <c r="AE136" s="1335">
        <f ca="1">IFERROR(INDEX(SP_PR_ROE,0,MATCH(AE$3,SP_Common_ColumnHeader,0)),0)</f>
        <v>0.42698325176088159</v>
      </c>
      <c r="AF136" s="1335">
        <f ca="1">IFERROR(INDEX(SP_PR_ROE,0,MATCH(AF$3,SP_Common_ColumnHeader,0)),0)</f>
        <v>0.40792693414404224</v>
      </c>
      <c r="AG136" s="1337">
        <f ca="1">IFERROR(INDEX(SP_PR_ROE,0,MATCH(AG$3,SP_Common_ColumnHeader,0)),0)</f>
        <v>0.38246915549186894</v>
      </c>
    </row>
    <row r="137" spans="1:34" s="1315" customFormat="1" ht="14.25" customHeight="1" x14ac:dyDescent="0.35">
      <c r="A137" s="1291" t="s">
        <v>329</v>
      </c>
      <c r="B137" s="1292"/>
      <c r="C137" s="1310"/>
      <c r="D137" s="1335">
        <f>IFERROR(INDEX(SP_PR_ROCE,0,MATCH(D$3,SP_Common_ColumnHeader,0)),"")</f>
        <v>0.27628282364641304</v>
      </c>
      <c r="E137" s="1335">
        <f>IFERROR(INDEX(SP_PR_ROCE,0,MATCH(E$3,SP_Common_ColumnHeader,0)),0)</f>
        <v>0.26995630582413532</v>
      </c>
      <c r="F137" s="1237">
        <f>IFERROR(INDEX(SP_PR_ROCE,0,MATCH(F$3,SP_Common_ColumnHeader,0)),0)</f>
        <v>0.23822283097204983</v>
      </c>
      <c r="G137" s="1336">
        <f>IFERROR(INDEX(SP_PR_ROCE,0,MATCH(G$3,SP_Common_ColumnHeader,0)),0)</f>
        <v>0.24752857915847154</v>
      </c>
      <c r="H137" s="1336">
        <f>IFERROR(INDEX(SP_PR_ROCE,0,MATCH(H$3,SP_Common_ColumnHeader,0)),0)</f>
        <v>0.24506714459233336</v>
      </c>
      <c r="I137" s="1336">
        <f>IFERROR(INDEX(SP_PR_ROCE,0,MATCH(I$3,SP_Common_ColumnHeader,0)),0)</f>
        <v>0.24705408485949593</v>
      </c>
      <c r="J137" s="1335">
        <f>IFERROR(INDEX(SP_PR_ROCE,0,MATCH(J$3,SP_Common_ColumnHeader,0)),0)</f>
        <v>0.24202431325139365</v>
      </c>
      <c r="K137" s="1336">
        <f>IFERROR(INDEX(SP_PR_ROCE,0,MATCH(K$3,SP_Common_ColumnHeader,0)),0)</f>
        <v>0.24641015736526545</v>
      </c>
      <c r="L137" s="1336">
        <f>IFERROR(INDEX(SP_PR_ROCE,0,MATCH(L$3,SP_Common_ColumnHeader,0)),0)</f>
        <v>0.21598841466391136</v>
      </c>
      <c r="M137" s="1336">
        <f>IFERROR(INDEX(SP_PR_ROCE,0,MATCH(M$3,SP_Common_ColumnHeader,0)),0)</f>
        <v>0.20773037649564619</v>
      </c>
      <c r="N137" s="1336">
        <f>IFERROR(INDEX(SP_PR_ROCE,0,MATCH(N$3,SP_Common_ColumnHeader,0)),0)</f>
        <v>0.18445680994883668</v>
      </c>
      <c r="O137" s="1335">
        <f>IFERROR(INDEX(SP_PR_ROCE,0,MATCH(O$3,SP_Common_ColumnHeader,0)),0)</f>
        <v>0.19087072789946363</v>
      </c>
      <c r="P137" s="1336">
        <f>IFERROR(INDEX(SP_PR_ROCE,0,MATCH(P$3,SP_Common_ColumnHeader,0)),0)</f>
        <v>0.19290669890894435</v>
      </c>
      <c r="Q137" s="1336">
        <f>IFERROR(INDEX(SP_PR_ROCE,0,MATCH(Q$3,SP_Common_ColumnHeader,0)),0)</f>
        <v>0.18585089733247839</v>
      </c>
      <c r="R137" s="1336">
        <f>IFERROR(INDEX(SP_PR_ROCE,0,MATCH(R$3,SP_Common_ColumnHeader,0)),0)</f>
        <v>0.17902516656326706</v>
      </c>
      <c r="S137" s="1336">
        <f>IFERROR(INDEX(SP_PR_ROCE,0,MATCH(S$3,SP_Common_ColumnHeader,0)),0)</f>
        <v>0.18813669532548227</v>
      </c>
      <c r="T137" s="1335">
        <f>IFERROR(INDEX(SP_PR_ROCE,0,MATCH(T$3,SP_Common_ColumnHeader,0)),0)</f>
        <v>0.19138615316772012</v>
      </c>
      <c r="U137" s="1336">
        <f>IFERROR(INDEX(SP_PR_ROCE,0,MATCH(U$3,SP_Common_ColumnHeader,0)),0)</f>
        <v>0.19461003961296189</v>
      </c>
      <c r="V137" s="1336">
        <f>IFERROR(INDEX(SP_PR_ROCE,0,MATCH(V$3,SP_Common_ColumnHeader,0)),0)</f>
        <v>0.192271926898164</v>
      </c>
      <c r="W137" s="1336">
        <f>IFERROR(INDEX(SP_PR_ROCE,0,MATCH(W$3,SP_Common_ColumnHeader,0)),0)</f>
        <v>0.194361971590198</v>
      </c>
      <c r="X137" s="1336">
        <f>IFERROR(INDEX(SP_PR_ROCE,0,MATCH(X$3,SP_Common_ColumnHeader,0)),0)</f>
        <v>0.20200969131931895</v>
      </c>
      <c r="Y137" s="1335">
        <f>IFERROR(INDEX(SP_PR_ROCE,0,MATCH(Y$3,SP_Common_ColumnHeader,0)),0)</f>
        <v>0.20006383157020843</v>
      </c>
      <c r="Z137" s="1336">
        <f ca="1">IFERROR(INDEX(SP_PR_ROCE,0,MATCH(Z$3,SP_Common_ColumnHeader,0)),0)</f>
        <v>0.20758416589733128</v>
      </c>
      <c r="AA137" s="1336">
        <f ca="1">IFERROR(INDEX(SP_PR_ROCE,0,MATCH(AA$3,SP_Common_ColumnHeader,0)),0)</f>
        <v>0.21315217194797723</v>
      </c>
      <c r="AB137" s="1336">
        <f ca="1">IFERROR(INDEX(SP_PR_ROCE,0,MATCH(AB$3,SP_Common_ColumnHeader,0)),0)</f>
        <v>0.21349485149017672</v>
      </c>
      <c r="AC137" s="1336">
        <f ca="1">IFERROR(INDEX(SP_PR_ROCE,0,MATCH(AC$3,SP_Common_ColumnHeader,0)),0)</f>
        <v>0.21661938264057176</v>
      </c>
      <c r="AD137" s="1335">
        <f ca="1">IFERROR(INDEX(SP_PR_ROCE,0,MATCH(AD$3,SP_Common_ColumnHeader,0)),0)</f>
        <v>0.21751807921110067</v>
      </c>
      <c r="AE137" s="1335">
        <f ca="1">IFERROR(INDEX(SP_PR_ROCE,0,MATCH(AE$3,SP_Common_ColumnHeader,0)),0)</f>
        <v>0.22761361497574642</v>
      </c>
      <c r="AF137" s="1335">
        <f ca="1">IFERROR(INDEX(SP_PR_ROCE,0,MATCH(AF$3,SP_Common_ColumnHeader,0)),0)</f>
        <v>0.23454525443573565</v>
      </c>
      <c r="AG137" s="1337">
        <f ca="1">IFERROR(INDEX(SP_PR_ROCE,0,MATCH(AG$3,SP_Common_ColumnHeader,0)),0)</f>
        <v>0.23838375095130845</v>
      </c>
    </row>
    <row r="138" spans="1:34" s="1315" customFormat="1" ht="14.25" customHeight="1" x14ac:dyDescent="0.35">
      <c r="A138" s="1339"/>
      <c r="B138" s="1340"/>
      <c r="C138" s="1310"/>
      <c r="D138" s="1335"/>
      <c r="E138" s="1335"/>
      <c r="F138" s="1237"/>
      <c r="G138" s="1336"/>
      <c r="H138" s="1336"/>
      <c r="I138" s="1336"/>
      <c r="J138" s="1335"/>
      <c r="K138" s="1336"/>
      <c r="L138" s="1336"/>
      <c r="M138" s="1336"/>
      <c r="N138" s="1336"/>
      <c r="O138" s="1335"/>
      <c r="P138" s="1336"/>
      <c r="Q138" s="1336"/>
      <c r="R138" s="1336"/>
      <c r="S138" s="1336"/>
      <c r="T138" s="1335"/>
      <c r="U138" s="1336"/>
      <c r="V138" s="1336"/>
      <c r="W138" s="1336"/>
      <c r="X138" s="1336"/>
      <c r="Y138" s="1335"/>
      <c r="Z138" s="1336"/>
      <c r="AA138" s="1336"/>
      <c r="AB138" s="1336"/>
      <c r="AC138" s="1336"/>
      <c r="AD138" s="1335"/>
      <c r="AE138" s="1335"/>
      <c r="AF138" s="1335"/>
      <c r="AG138" s="1337"/>
    </row>
    <row r="139" spans="1:34" ht="14.25" customHeight="1" x14ac:dyDescent="0.35">
      <c r="A139" s="1210" t="s">
        <v>1228</v>
      </c>
      <c r="B139" s="1211"/>
      <c r="C139" s="1212"/>
      <c r="D139" s="1213"/>
      <c r="E139" s="1213"/>
      <c r="F139" s="1214"/>
      <c r="G139" s="1213"/>
      <c r="H139" s="1213"/>
      <c r="I139" s="1213"/>
      <c r="J139" s="1213"/>
      <c r="K139" s="1213"/>
      <c r="L139" s="1213"/>
      <c r="M139" s="1213"/>
      <c r="N139" s="1213"/>
      <c r="O139" s="1213"/>
      <c r="P139" s="1213"/>
      <c r="Q139" s="1213"/>
      <c r="R139" s="1213"/>
      <c r="S139" s="1213"/>
      <c r="T139" s="1213"/>
      <c r="U139" s="1213"/>
      <c r="V139" s="1213"/>
      <c r="W139" s="1213"/>
      <c r="X139" s="1213"/>
      <c r="Y139" s="1213"/>
      <c r="Z139" s="1213"/>
      <c r="AA139" s="1213"/>
      <c r="AB139" s="1213"/>
      <c r="AC139" s="1213"/>
      <c r="AD139" s="1213"/>
      <c r="AE139" s="1213"/>
      <c r="AF139" s="1213"/>
      <c r="AG139" s="1215"/>
      <c r="AH139" s="1315"/>
    </row>
    <row r="140" spans="1:34" s="1222" customFormat="1" ht="14.25" customHeight="1" x14ac:dyDescent="0.35">
      <c r="A140" s="1341" t="s">
        <v>1229</v>
      </c>
      <c r="B140" s="1342"/>
      <c r="C140" s="1218"/>
      <c r="D140" s="1219"/>
      <c r="E140" s="1294">
        <f>IFERROR(E13/E12, "")</f>
        <v>0.744568097509274</v>
      </c>
      <c r="F140" s="1343">
        <f>IFERROR(F13/F12, "")</f>
        <v>1.5844559585492228</v>
      </c>
      <c r="G140" s="1343">
        <f>IFERROR(G13/G12, "")</f>
        <v>0.79021276595744683</v>
      </c>
      <c r="H140" s="1343">
        <f>IFERROR(H13/H12, "")</f>
        <v>0.78524173027989819</v>
      </c>
      <c r="I140" s="1343">
        <f>IFERROR(I13/I12, "")</f>
        <v>0.79418604651162794</v>
      </c>
      <c r="J140" s="1294">
        <f>IFERROR(J13/J12, "")</f>
        <v>0.89928571428571424</v>
      </c>
      <c r="K140" s="1343">
        <f>IFERROR(K13/K12, "")</f>
        <v>1.2022058823529411</v>
      </c>
      <c r="L140" s="1343">
        <f>IFERROR(L13/L12, "")</f>
        <v>0.86168741355463352</v>
      </c>
      <c r="M140" s="1343">
        <f>IFERROR(M13/M12, "")</f>
        <v>0.76500508646998988</v>
      </c>
      <c r="N140" s="1343">
        <f>IFERROR(N13/N12, "")</f>
        <v>0.93646864686468645</v>
      </c>
      <c r="O140" s="1294">
        <f>IFERROR(O13/O12, "")</f>
        <v>0.90913865546218486</v>
      </c>
      <c r="P140" s="1343">
        <f>IFERROR(P13/P12, "")</f>
        <v>0.80025526483726872</v>
      </c>
      <c r="Q140" s="1343">
        <f>IFERROR(Q13/Q12, "")</f>
        <v>0.63351749539594848</v>
      </c>
      <c r="R140" s="1343">
        <f>IFERROR(R13/R12, "")</f>
        <v>0.78282548476454294</v>
      </c>
      <c r="S140" s="1343">
        <f>IFERROR(S13/S12, "")</f>
        <v>0.81228070175438594</v>
      </c>
      <c r="T140" s="1294">
        <f>IFERROR(T13/T12, "")</f>
        <v>0.7581582476531068</v>
      </c>
      <c r="U140" s="1343">
        <f>IFERROR(U13/U12, "")</f>
        <v>0.83496143958868896</v>
      </c>
      <c r="V140" s="1343">
        <f>IFERROR(V13/V12, "")</f>
        <v>0.79000000000000015</v>
      </c>
      <c r="W140" s="1343">
        <f>IFERROR(W13/W12, "")</f>
        <v>0.78999999999999992</v>
      </c>
      <c r="X140" s="1343">
        <f>IFERROR(X13/X12, "")</f>
        <v>0.78999999999999992</v>
      </c>
      <c r="Y140" s="1294">
        <f>IFERROR(Y13/Y12, "")</f>
        <v>0.80174863818654862</v>
      </c>
      <c r="Z140" s="1343">
        <f>IFERROR(Z13/Z12, "")</f>
        <v>0.79</v>
      </c>
      <c r="AA140" s="1343">
        <f ca="1">IFERROR(AA13/AA12, "")</f>
        <v>0.78999999999999992</v>
      </c>
      <c r="AB140" s="1343">
        <f ca="1">IFERROR(AB13/AB12, "")</f>
        <v>0.79</v>
      </c>
      <c r="AC140" s="1343">
        <f ca="1">IFERROR(AC13/AC12, "")</f>
        <v>0.79</v>
      </c>
      <c r="AD140" s="1294">
        <f ca="1">IFERROR(AD13/AD12, "")</f>
        <v>0.79</v>
      </c>
      <c r="AE140" s="1294">
        <f ca="1">IFERROR(AE13/AE12, "")</f>
        <v>0.79</v>
      </c>
      <c r="AF140" s="1294">
        <f ca="1">IFERROR(AF13/AF12, "")</f>
        <v>0.79</v>
      </c>
      <c r="AG140" s="1296">
        <f ca="1">IFERROR(AG13/AG12, "")</f>
        <v>0.79</v>
      </c>
      <c r="AH140" s="1315"/>
    </row>
    <row r="141" spans="1:34" s="1222" customFormat="1" ht="14.25" customHeight="1" x14ac:dyDescent="0.35">
      <c r="A141" s="1344" t="s">
        <v>1230</v>
      </c>
      <c r="B141" s="1345"/>
      <c r="C141" s="1218"/>
      <c r="D141" s="1219"/>
      <c r="E141" s="1294">
        <f>IFERROR(E12/E9, "")</f>
        <v>0.98127925117004677</v>
      </c>
      <c r="F141" s="1295">
        <f>IFERROR(F12/F9, "")</f>
        <v>0.50682773109243695</v>
      </c>
      <c r="G141" s="1295">
        <f>IFERROR(G12/G9, "")</f>
        <v>0.97875885047896705</v>
      </c>
      <c r="H141" s="1295">
        <f>IFERROR(H12/H9, "")</f>
        <v>0.97470238095238093</v>
      </c>
      <c r="I141" s="1295">
        <f>IFERROR(I12/I9, "")</f>
        <v>0.96466629276500282</v>
      </c>
      <c r="J141" s="1294">
        <f>IFERROR(J12/J9, "")</f>
        <v>0.86377097729516283</v>
      </c>
      <c r="K141" s="1295">
        <f>IFERROR(K12/K9, "")</f>
        <v>0.64916467780429599</v>
      </c>
      <c r="L141" s="1295">
        <f>IFERROR(L12/L9, "")</f>
        <v>0.84958871915393652</v>
      </c>
      <c r="M141" s="1295">
        <f>IFERROR(M12/M9, "")</f>
        <v>1.032020997375328</v>
      </c>
      <c r="N141" s="1295">
        <f>IFERROR(N12/N9, "")</f>
        <v>0.78752436647173485</v>
      </c>
      <c r="O141" s="1294">
        <f>IFERROR(O12/O9, "")</f>
        <v>0.83729111697449432</v>
      </c>
      <c r="P141" s="1295">
        <f>IFERROR(P12/P9, "")</f>
        <v>0.93384982121573301</v>
      </c>
      <c r="Q141" s="1295">
        <f>IFERROR(Q12/Q9, "")</f>
        <v>1.1569602272727273</v>
      </c>
      <c r="R141" s="1295">
        <f>IFERROR(R12/R9, "")</f>
        <v>0.94552121529596644</v>
      </c>
      <c r="S141" s="1295">
        <f>IFERROR(S12/S9, "")</f>
        <v>0.92482422931314223</v>
      </c>
      <c r="T141" s="1294">
        <f>IFERROR(T12/T9, "")</f>
        <v>0.98056691992986555</v>
      </c>
      <c r="U141" s="1295">
        <f>IFERROR(U12/U9, "")</f>
        <v>0.97542627883650956</v>
      </c>
      <c r="V141" s="1295">
        <f>IFERROR(V12/V9, "")</f>
        <v>0.92699765194663142</v>
      </c>
      <c r="W141" s="1295">
        <f>IFERROR(W12/W9, "")</f>
        <v>0.93809419878102651</v>
      </c>
      <c r="X141" s="1295">
        <f>IFERROR(X12/X9, "")</f>
        <v>0.94142196788926014</v>
      </c>
      <c r="Y141" s="1294">
        <f>IFERROR(Y12/Y9, "")</f>
        <v>0.94606884194768381</v>
      </c>
      <c r="Z141" s="1295">
        <f>IFERROR(Z12/Z9, "")</f>
        <v>0.94591967883491679</v>
      </c>
      <c r="AA141" s="1295">
        <f ca="1">IFERROR(AA12/AA9, "")</f>
        <v>0.9376746293445305</v>
      </c>
      <c r="AB141" s="1295">
        <f ca="1">IFERROR(AB12/AB9, "")</f>
        <v>0.94089098895784073</v>
      </c>
      <c r="AC141" s="1295">
        <f ca="1">IFERROR(AC12/AC9, "")</f>
        <v>0.9469124058109023</v>
      </c>
      <c r="AD141" s="1294">
        <f ca="1">IFERROR(AD12/AD9, "")</f>
        <v>0.94308812438498557</v>
      </c>
      <c r="AE141" s="1294">
        <f ca="1">IFERROR(AE12/AE9, "")</f>
        <v>0.94833853356997266</v>
      </c>
      <c r="AF141" s="1294">
        <f ca="1">IFERROR(AF12/AF9, "")</f>
        <v>0.95359382785282221</v>
      </c>
      <c r="AG141" s="1296">
        <f ca="1">IFERROR(AG12/AG9, "")</f>
        <v>0.95868818421009461</v>
      </c>
      <c r="AH141" s="1315"/>
    </row>
    <row r="142" spans="1:34" s="1222" customFormat="1" ht="14.25" customHeight="1" x14ac:dyDescent="0.35">
      <c r="A142" s="1344" t="s">
        <v>1231</v>
      </c>
      <c r="B142" s="1345"/>
      <c r="C142" s="1218"/>
      <c r="D142" s="1219"/>
      <c r="E142" s="1294">
        <f>IFERROR(E26, "")</f>
        <v>0.24297943582777901</v>
      </c>
      <c r="F142" s="1295">
        <f>IFERROR(F26, "")</f>
        <v>0.23000724812756704</v>
      </c>
      <c r="G142" s="1295">
        <f>IFERROR(G26, "")</f>
        <v>0.28617401668653158</v>
      </c>
      <c r="H142" s="1295">
        <f>IFERROR(H26, "")</f>
        <v>0.24730127576054955</v>
      </c>
      <c r="I142" s="1295">
        <f>IFERROR(I26, "")</f>
        <v>0.22441787287602266</v>
      </c>
      <c r="J142" s="1294">
        <f>IFERROR(J26, "")</f>
        <v>0.24733709751258964</v>
      </c>
      <c r="K142" s="1295">
        <f>IFERROR(K26, "")</f>
        <v>0.21315019712577896</v>
      </c>
      <c r="L142" s="1295">
        <f>IFERROR(L26, "")</f>
        <v>0.20829763798800635</v>
      </c>
      <c r="M142" s="1295">
        <f>IFERROR(M26, "")</f>
        <v>0.23839319234138406</v>
      </c>
      <c r="N142" s="1295">
        <f>IFERROR(N26, "")</f>
        <v>0.189742325237332</v>
      </c>
      <c r="O142" s="1294">
        <f>IFERROR(O26, "")</f>
        <v>0.21228528752800596</v>
      </c>
      <c r="P142" s="1295">
        <f>IFERROR(P26, "")</f>
        <v>0.20780185758513933</v>
      </c>
      <c r="Q142" s="1295">
        <f>IFERROR(Q26, "")</f>
        <v>0.19620958751393533</v>
      </c>
      <c r="R142" s="1295">
        <f>IFERROR(R26, "")</f>
        <v>0.22862275449101796</v>
      </c>
      <c r="S142" s="1295">
        <f>IFERROR(S26, "")</f>
        <v>0.21542584178026331</v>
      </c>
      <c r="T142" s="1294">
        <f>IFERROR(T26, "")</f>
        <v>0.21265224956500126</v>
      </c>
      <c r="U142" s="1295">
        <f>IFERROR(U26, "")</f>
        <v>0.22528527849960456</v>
      </c>
      <c r="V142" s="1295">
        <f>IFERROR(V26, "")</f>
        <v>0.22116926245405194</v>
      </c>
      <c r="W142" s="1295">
        <f>IFERROR(W26, "")</f>
        <v>0.23299694611170085</v>
      </c>
      <c r="X142" s="1295">
        <f>IFERROR(X26, "")</f>
        <v>0.23825236624639573</v>
      </c>
      <c r="Y142" s="1294">
        <f>IFERROR(Y26, "")</f>
        <v>0.22973398091480912</v>
      </c>
      <c r="Z142" s="1295">
        <f>IFERROR(Z26, "")</f>
        <v>0.23815930633214255</v>
      </c>
      <c r="AA142" s="1295">
        <f>IFERROR(AA26, "")</f>
        <v>0.24216241365399624</v>
      </c>
      <c r="AB142" s="1295">
        <f>IFERROR(AB26, "")</f>
        <v>0.22743330004761345</v>
      </c>
      <c r="AC142" s="1295">
        <f>IFERROR(AC26, "")</f>
        <v>0.24482045392669138</v>
      </c>
      <c r="AD142" s="1294">
        <f>IFERROR(AD26, "")</f>
        <v>0.23806340899030184</v>
      </c>
      <c r="AE142" s="1294">
        <f>IFERROR(AE26, "")</f>
        <v>0.24435185278655866</v>
      </c>
      <c r="AF142" s="1294">
        <f>IFERROR(AF26, "")</f>
        <v>0.25061997821256116</v>
      </c>
      <c r="AG142" s="1296">
        <f>IFERROR(AG26, "")</f>
        <v>0.25686762898812343</v>
      </c>
      <c r="AH142" s="1315"/>
    </row>
    <row r="143" spans="1:34" s="1222" customFormat="1" ht="14.25" customHeight="1" x14ac:dyDescent="0.35">
      <c r="A143" s="1344" t="s">
        <v>1232</v>
      </c>
      <c r="B143" s="1345"/>
      <c r="C143" s="1218"/>
      <c r="D143" s="1346"/>
      <c r="E143" s="1346">
        <f>IFERROR(E59, "")</f>
        <v>0.89309240686668645</v>
      </c>
      <c r="F143" s="1347" t="str">
        <f>IFERROR(F59, "")</f>
        <v/>
      </c>
      <c r="G143" s="1347" t="str">
        <f>IFERROR(G59, "")</f>
        <v/>
      </c>
      <c r="H143" s="1347" t="str">
        <f>IFERROR(H59, "")</f>
        <v/>
      </c>
      <c r="I143" s="1347">
        <f>IFERROR(I59, "")</f>
        <v>0.88824127414435783</v>
      </c>
      <c r="J143" s="1346">
        <f>IFERROR(J59, "")</f>
        <v>0.87975082900371882</v>
      </c>
      <c r="K143" s="1347">
        <f>IFERROR(K59, "")</f>
        <v>0.85536753040719193</v>
      </c>
      <c r="L143" s="1347">
        <f>IFERROR(L59, "")</f>
        <v>0.82272209348474568</v>
      </c>
      <c r="M143" s="1347">
        <f>IFERROR(M59, "")</f>
        <v>0.78435702106257432</v>
      </c>
      <c r="N143" s="1347">
        <f>IFERROR(N59, "")</f>
        <v>0.73698815489227032</v>
      </c>
      <c r="O143" s="1346">
        <f>IFERROR(O59, "")</f>
        <v>0.79192695819317638</v>
      </c>
      <c r="P143" s="1347">
        <f>IFERROR(P59, "")</f>
        <v>0.71195430885541044</v>
      </c>
      <c r="Q143" s="1347">
        <f>IFERROR(Q59, "")</f>
        <v>0.68688041537500955</v>
      </c>
      <c r="R143" s="1347">
        <f>IFERROR(R59, "")</f>
        <v>0.7010578209110303</v>
      </c>
      <c r="S143" s="1347">
        <f>IFERROR(S59, "")</f>
        <v>0.69411434856686871</v>
      </c>
      <c r="T143" s="1346">
        <f>IFERROR(T59, "")</f>
        <v>0.69962935991217678</v>
      </c>
      <c r="U143" s="1347">
        <f>IFERROR(U59, "")</f>
        <v>0.69738902289365667</v>
      </c>
      <c r="V143" s="1347">
        <f>IFERROR(V59, "")</f>
        <v>0.7135304205947659</v>
      </c>
      <c r="W143" s="1347">
        <f>IFERROR(W59, "")</f>
        <v>0.72272576171506964</v>
      </c>
      <c r="X143" s="1347">
        <f>IFERROR(X59, "")</f>
        <v>0.72201058682967134</v>
      </c>
      <c r="Y143" s="1346">
        <f>IFERROR(Y59, "")</f>
        <v>0.72001959361269674</v>
      </c>
      <c r="Z143" s="1347">
        <f ca="1">IFERROR(Z59, "")</f>
        <v>0.72523410768775587</v>
      </c>
      <c r="AA143" s="1347">
        <f ca="1">IFERROR(AA59, "")</f>
        <v>0.73363598192875612</v>
      </c>
      <c r="AB143" s="1347">
        <f ca="1">IFERROR(AB59, "")</f>
        <v>0.74366533079267283</v>
      </c>
      <c r="AC143" s="1347">
        <f ca="1">IFERROR(AC59, "")</f>
        <v>0.74395396730143282</v>
      </c>
      <c r="AD143" s="1346">
        <f ca="1">IFERROR(AD59, "")</f>
        <v>0.75032935272491208</v>
      </c>
      <c r="AE143" s="1346">
        <f ca="1">IFERROR(AE59, "")</f>
        <v>0.76536259904915938</v>
      </c>
      <c r="AF143" s="1346">
        <f ca="1">IFERROR(AF59, "")</f>
        <v>0.77120100128320712</v>
      </c>
      <c r="AG143" s="1348">
        <f ca="1">IFERROR(AG59, "")</f>
        <v>0.76851752617414737</v>
      </c>
      <c r="AH143" s="1349"/>
    </row>
    <row r="144" spans="1:34" s="1222" customFormat="1" ht="14.25" customHeight="1" x14ac:dyDescent="0.35">
      <c r="A144" s="1350" t="s">
        <v>1208</v>
      </c>
      <c r="B144" s="1351"/>
      <c r="C144" s="1352"/>
      <c r="D144" s="1353"/>
      <c r="E144" s="1353">
        <f>IFERROR(E103, "")</f>
        <v>3.2275438197131803</v>
      </c>
      <c r="F144" s="1354" t="str">
        <f>IFERROR(F103, "")</f>
        <v/>
      </c>
      <c r="G144" s="1354">
        <f>IFERROR(G103, "")</f>
        <v>3.5101784133786742</v>
      </c>
      <c r="H144" s="1354">
        <f>IFERROR(H103, "")</f>
        <v>3.5707121847726504</v>
      </c>
      <c r="I144" s="1354">
        <f>IFERROR(I103, "")</f>
        <v>3.6596557368917111</v>
      </c>
      <c r="J144" s="1353">
        <f>IFERROR(J103, "")</f>
        <v>3.469352585002329</v>
      </c>
      <c r="K144" s="1354">
        <f>IFERROR(K103, "")</f>
        <v>3.8581994389186431</v>
      </c>
      <c r="L144" s="1354">
        <f>IFERROR(L103, "")</f>
        <v>3.9252726267651639</v>
      </c>
      <c r="M144" s="1354">
        <f>IFERROR(M103, "")</f>
        <v>3.8993112025255909</v>
      </c>
      <c r="N144" s="1354">
        <f>IFERROR(N103, "")</f>
        <v>4.1746768788894206</v>
      </c>
      <c r="O144" s="1353">
        <f>IFERROR(O103, "")</f>
        <v>4.0632322018624212</v>
      </c>
      <c r="P144" s="1354">
        <f>IFERROR(P103, "")</f>
        <v>4.4686992869436928</v>
      </c>
      <c r="Q144" s="1354">
        <f>IFERROR(Q103, "")</f>
        <v>4.3216720318121569</v>
      </c>
      <c r="R144" s="1354">
        <f>IFERROR(R103, "")</f>
        <v>3.9578703298626303</v>
      </c>
      <c r="S144" s="1354">
        <f>IFERROR(S103, "")</f>
        <v>3.7281498753718743</v>
      </c>
      <c r="T144" s="1353">
        <f>IFERROR(T103, "")</f>
        <v>3.9902415752266123</v>
      </c>
      <c r="U144" s="1354">
        <f>IFERROR(U103, "")</f>
        <v>3.5324189992152175</v>
      </c>
      <c r="V144" s="1354">
        <f ca="1">IFERROR(V103, "")</f>
        <v>3.3981964782243992</v>
      </c>
      <c r="W144" s="1354">
        <f ca="1">IFERROR(W103, "")</f>
        <v>3.376851607445889</v>
      </c>
      <c r="X144" s="1354">
        <f ca="1">IFERROR(X103, "")</f>
        <v>3.3592180888793619</v>
      </c>
      <c r="Y144" s="1353">
        <f ca="1">IFERROR(Y103, "")</f>
        <v>3.4975955090355701</v>
      </c>
      <c r="Z144" s="1354">
        <f ca="1">IFERROR(Z103, "")</f>
        <v>3.3154148873589135</v>
      </c>
      <c r="AA144" s="1354">
        <f ca="1">IFERROR(AA103, "")</f>
        <v>3.2505033224080959</v>
      </c>
      <c r="AB144" s="1354">
        <f ca="1">IFERROR(AB103, "")</f>
        <v>3.2080213009084071</v>
      </c>
      <c r="AC144" s="1354">
        <f ca="1">IFERROR(AC103, "")</f>
        <v>3.1788147352372951</v>
      </c>
      <c r="AD144" s="1353">
        <f ca="1">IFERROR(AD103, "")</f>
        <v>3.2505154177719042</v>
      </c>
      <c r="AE144" s="1353">
        <f ca="1">IFERROR(AE103, "")</f>
        <v>3.0350689706142453</v>
      </c>
      <c r="AF144" s="1353">
        <f ca="1">IFERROR(AF103, "")</f>
        <v>2.7917010324108569</v>
      </c>
      <c r="AG144" s="1355">
        <f ca="1">IFERROR(AG103, "")</f>
        <v>2.5504253284991374</v>
      </c>
      <c r="AH144" s="1349"/>
    </row>
    <row r="145" spans="1:34" s="1289" customFormat="1" ht="14.25" customHeight="1" x14ac:dyDescent="0.35">
      <c r="A145" s="1356" t="s">
        <v>319</v>
      </c>
      <c r="B145" s="1357"/>
      <c r="C145" s="1358"/>
      <c r="D145" s="1359"/>
      <c r="E145" s="1360">
        <f>E140*E141*E142*E143*E144</f>
        <v>0.51172319599362626</v>
      </c>
      <c r="F145" s="1361" t="e">
        <f>F140*F141*F142*F143*F144</f>
        <v>#VALUE!</v>
      </c>
      <c r="G145" s="1361" t="e">
        <f>G140*G141*G142*G143*G144</f>
        <v>#VALUE!</v>
      </c>
      <c r="H145" s="1361" t="e">
        <f>H140*H141*H142*H143*H144</f>
        <v>#VALUE!</v>
      </c>
      <c r="I145" s="1361">
        <f>I140*I141*I142*I143*I144</f>
        <v>0.558892112925652</v>
      </c>
      <c r="J145" s="1360">
        <f>J140*J141*J142*J143*J144</f>
        <v>0.58639962738705176</v>
      </c>
      <c r="K145" s="1361">
        <f>K140*K141*K142*K143*K144</f>
        <v>0.54898047969721719</v>
      </c>
      <c r="L145" s="1361">
        <f>L140*L141*L142*L143*L144</f>
        <v>0.49245416805608738</v>
      </c>
      <c r="M145" s="1361">
        <f>M140*M141*M142*M143*M144</f>
        <v>0.57563658953690167</v>
      </c>
      <c r="N145" s="1361">
        <f>N140*N141*N142*N143*N144</f>
        <v>0.43053140311023219</v>
      </c>
      <c r="O145" s="1360">
        <f>O140*O141*O142*O143*O144</f>
        <v>0.51997596875938712</v>
      </c>
      <c r="P145" s="1361">
        <f>P140*P141*P142*P143*P144</f>
        <v>0.49406974356007471</v>
      </c>
      <c r="Q145" s="1361">
        <f>Q140*Q141*Q142*Q143*Q144</f>
        <v>0.42690398278931413</v>
      </c>
      <c r="R145" s="1361">
        <f>R140*R141*R142*R143*R144</f>
        <v>0.46953836835909069</v>
      </c>
      <c r="S145" s="1361">
        <f>S140*S141*S142*S143*S144</f>
        <v>0.41878152923239237</v>
      </c>
      <c r="T145" s="1360">
        <f>T140*T141*T142*T143*T144</f>
        <v>0.44134102441774731</v>
      </c>
      <c r="U145" s="1361">
        <f>U140*U141*U142*U143*U144</f>
        <v>0.45200267320364151</v>
      </c>
      <c r="V145" s="1361">
        <f ca="1">V140*V141*V142*V143*V144</f>
        <v>0.3927276456417686</v>
      </c>
      <c r="W145" s="1361">
        <f ca="1">W140*W141*W142*W143*W144</f>
        <v>0.42141431324744011</v>
      </c>
      <c r="X145" s="1361">
        <f ca="1">X140*X141*X142*X143*X144</f>
        <v>0.4297643709881806</v>
      </c>
      <c r="Y145" s="1360">
        <f ca="1">Y140*Y141*Y142*Y143*Y144</f>
        <v>0.43883383607135629</v>
      </c>
      <c r="Z145" s="1361">
        <f ca="1">Z140*Z141*Z142*Z143*Z144</f>
        <v>0.42792239207368654</v>
      </c>
      <c r="AA145" s="1361">
        <f ca="1">AA140*AA141*AA142*AA143*AA144</f>
        <v>0.42777680380289201</v>
      </c>
      <c r="AB145" s="1361">
        <f ca="1">AB140*AB141*AB142*AB143*AB144</f>
        <v>0.40330651000049794</v>
      </c>
      <c r="AC145" s="1361">
        <f ca="1">AC140*AC141*AC142*AC143*AC144</f>
        <v>0.43310767331159833</v>
      </c>
      <c r="AD145" s="1360">
        <f ca="1">AD140*AD141*AD142*AD143*AD144</f>
        <v>0.43258970763054172</v>
      </c>
      <c r="AE145" s="1360">
        <f ca="1">AE140*AE141*AE142*AE143*AE144</f>
        <v>0.42524765322863139</v>
      </c>
      <c r="AF145" s="1360">
        <f ca="1">AF140*AF141*AF142*AF143*AF144</f>
        <v>0.40648329517477266</v>
      </c>
      <c r="AG145" s="1362">
        <f ca="1">AG140*AG141*AG142*AG143*AG144</f>
        <v>0.38131178842161811</v>
      </c>
      <c r="AH145" s="1349"/>
    </row>
    <row r="146" spans="1:34" s="1240" customFormat="1" ht="14.25" customHeight="1" x14ac:dyDescent="0.35">
      <c r="A146" s="1248"/>
      <c r="B146" s="1234"/>
      <c r="C146" s="1235"/>
      <c r="D146" s="1236"/>
      <c r="E146" s="1236"/>
      <c r="F146" s="1237"/>
      <c r="G146" s="1238"/>
      <c r="H146" s="1238"/>
      <c r="I146" s="1238"/>
      <c r="J146" s="1236"/>
      <c r="K146" s="1238"/>
      <c r="L146" s="1238"/>
      <c r="M146" s="1238"/>
      <c r="N146" s="1238"/>
      <c r="O146" s="1236"/>
      <c r="P146" s="1238"/>
      <c r="Q146" s="1238"/>
      <c r="R146" s="1238"/>
      <c r="S146" s="1238"/>
      <c r="T146" s="1236"/>
      <c r="U146" s="1238"/>
      <c r="V146" s="1238"/>
      <c r="W146" s="1238"/>
      <c r="X146" s="1238"/>
      <c r="Y146" s="1236"/>
      <c r="Z146" s="1238"/>
      <c r="AA146" s="1238"/>
      <c r="AB146" s="1238"/>
      <c r="AC146" s="1238"/>
      <c r="AD146" s="1236"/>
      <c r="AE146" s="1236"/>
      <c r="AF146" s="1236"/>
      <c r="AG146" s="1239"/>
      <c r="AH146" s="1349"/>
    </row>
    <row r="147" spans="1:34" ht="14.25" customHeight="1" x14ac:dyDescent="0.35">
      <c r="A147" s="1210" t="s">
        <v>1233</v>
      </c>
      <c r="B147" s="1211"/>
      <c r="C147" s="1212"/>
      <c r="D147" s="1213"/>
      <c r="E147" s="1213"/>
      <c r="F147" s="1214"/>
      <c r="G147" s="1213"/>
      <c r="H147" s="1213"/>
      <c r="I147" s="1213"/>
      <c r="J147" s="1213"/>
      <c r="K147" s="1213"/>
      <c r="L147" s="1213"/>
      <c r="M147" s="1213"/>
      <c r="N147" s="1213"/>
      <c r="O147" s="1213"/>
      <c r="P147" s="1213"/>
      <c r="Q147" s="1213"/>
      <c r="R147" s="1213"/>
      <c r="S147" s="1213"/>
      <c r="T147" s="1213"/>
      <c r="U147" s="1213"/>
      <c r="V147" s="1213"/>
      <c r="W147" s="1213"/>
      <c r="X147" s="1213"/>
      <c r="Y147" s="1213"/>
      <c r="Z147" s="1213"/>
      <c r="AA147" s="1213"/>
      <c r="AB147" s="1213"/>
      <c r="AC147" s="1213"/>
      <c r="AD147" s="1213"/>
      <c r="AE147" s="1213"/>
      <c r="AF147" s="1213"/>
      <c r="AG147" s="1215"/>
      <c r="AH147" s="1349"/>
    </row>
    <row r="148" spans="1:34" s="1222" customFormat="1" ht="14.25" customHeight="1" outlineLevel="1" x14ac:dyDescent="0.35">
      <c r="A148" s="1363" t="s">
        <v>1124</v>
      </c>
      <c r="B148" s="1364"/>
      <c r="C148" s="1218"/>
      <c r="D148" s="1365">
        <f ca="1">IFERROR(INDEX(MO_VA_MarketCap,0,MATCH(D$3,MO_Common_ColumnHeader,0)),"")</f>
        <v>103643.07725000002</v>
      </c>
      <c r="E148" s="1365">
        <f ca="1">IFERROR(INDEX(MO_VA_MarketCap,0,MATCH(E$3,MO_Common_ColumnHeader,0)),"")</f>
        <v>125321.65800000001</v>
      </c>
      <c r="F148" s="1366">
        <f ca="1">IFERROR(INDEX(MO_VA_MarketCap,0,MATCH(F$3,MO_Common_ColumnHeader,0)),"")</f>
        <v>141850.75718360653</v>
      </c>
      <c r="G148" s="1366">
        <f ca="1">IFERROR(INDEX(MO_VA_MarketCap,0,MATCH(G$3,MO_Common_ColumnHeader,0)),"")</f>
        <v>121234.63134187501</v>
      </c>
      <c r="H148" s="1366">
        <f ca="1">IFERROR(INDEX(MO_VA_MarketCap,0,MATCH(H$3,MO_Common_ColumnHeader,0)),"")</f>
        <v>121967.93775746008</v>
      </c>
      <c r="I148" s="1366">
        <f ca="1">IFERROR(INDEX(MO_VA_MarketCap,0,MATCH(I$3,MO_Common_ColumnHeader,0)),"")</f>
        <v>117175.58343015851</v>
      </c>
      <c r="J148" s="1365">
        <f ca="1">IFERROR(INDEX(MO_VA_MarketCap,0,MATCH(J$3,MO_Common_ColumnHeader,0)),"")</f>
        <v>125346.27351952183</v>
      </c>
      <c r="K148" s="1366">
        <f ca="1">IFERROR(INDEX(MO_VA_MarketCap,0,MATCH(K$3,MO_Common_ColumnHeader,0)),"")</f>
        <v>118495.53622950848</v>
      </c>
      <c r="L148" s="1366">
        <f ca="1">IFERROR(INDEX(MO_VA_MarketCap,0,MATCH(L$3,MO_Common_ColumnHeader,0)),"")</f>
        <v>107905.5685555557</v>
      </c>
      <c r="M148" s="1366">
        <f ca="1">IFERROR(INDEX(MO_VA_MarketCap,0,MATCH(M$3,MO_Common_ColumnHeader,0)),"")</f>
        <v>97480.606093749986</v>
      </c>
      <c r="N148" s="1366">
        <f ca="1">IFERROR(INDEX(MO_VA_MarketCap,0,MATCH(N$3,MO_Common_ColumnHeader,0)),"")</f>
        <v>97609.533750000002</v>
      </c>
      <c r="O148" s="1365">
        <f ca="1">IFERROR(INDEX(MO_VA_MarketCap,0,MATCH(O$3,MO_Common_ColumnHeader,0)),"")</f>
        <v>105186.07388095249</v>
      </c>
      <c r="P148" s="1366">
        <f ca="1">IFERROR(INDEX(MO_VA_MarketCap,0,MATCH(P$3,MO_Common_ColumnHeader,0)),"")</f>
        <v>91491.427983870992</v>
      </c>
      <c r="Q148" s="1366">
        <f ca="1">IFERROR(INDEX(MO_VA_MarketCap,0,MATCH(Q$3,MO_Common_ColumnHeader,0)),"")</f>
        <v>87527.85066666652</v>
      </c>
      <c r="R148" s="1366">
        <f ca="1">IFERROR(INDEX(MO_VA_MarketCap,0,MATCH(R$3,MO_Common_ColumnHeader,0)),"")</f>
        <v>93699.606</v>
      </c>
      <c r="S148" s="1366">
        <f ca="1">IFERROR(INDEX(MO_VA_MarketCap,0,MATCH(S$3,MO_Common_ColumnHeader,0)),"")</f>
        <v>99145.22374999999</v>
      </c>
      <c r="T148" s="1365">
        <f ca="1">IFERROR(INDEX(MO_VA_MarketCap,0,MATCH(T$3,MO_Common_ColumnHeader,0)),"")</f>
        <v>92993.264205533516</v>
      </c>
      <c r="U148" s="1366">
        <f ca="1">IFERROR(INDEX(MO_VA_MarketCap,0,MATCH(U$3,MO_Common_ColumnHeader,0)),"")</f>
        <v>104965.09677049206</v>
      </c>
      <c r="V148" s="1366">
        <f ca="1">IFERROR(INDEX(MO_VA_MarketCap,0,MATCH(V$3,MO_Common_ColumnHeader,0)),"")</f>
        <v>114368.78477319588</v>
      </c>
      <c r="W148" s="1366">
        <f ca="1">IFERROR(INDEX(MO_VA_MarketCap,0,MATCH(W$3,MO_Common_ColumnHeader,0)),"")</f>
        <v>113863.81054639176</v>
      </c>
      <c r="X148" s="1366">
        <f ca="1">IFERROR(INDEX(MO_VA_MarketCap,0,MATCH(X$3,MO_Common_ColumnHeader,0)),"")</f>
        <v>113358.83631958764</v>
      </c>
      <c r="Y148" s="1365">
        <f ca="1">IFERROR(INDEX(MO_VA_MarketCap,0,MATCH(Y$3,MO_Common_ColumnHeader,0)),"")</f>
        <v>114116.29765979383</v>
      </c>
      <c r="Z148" s="1366">
        <f ca="1">IFERROR(INDEX(MO_VA_MarketCap,0,MATCH(Z$3,MO_Common_ColumnHeader,0)),"")</f>
        <v>112898.90674212285</v>
      </c>
      <c r="AA148" s="1366">
        <f ca="1">IFERROR(INDEX(MO_VA_MarketCap,0,MATCH(AA$3,MO_Common_ColumnHeader,0)),"")</f>
        <v>112438.97716465808</v>
      </c>
      <c r="AB148" s="1366">
        <f ca="1">IFERROR(INDEX(MO_VA_MarketCap,0,MATCH(AB$3,MO_Common_ColumnHeader,0)),"")</f>
        <v>111979.04758719329</v>
      </c>
      <c r="AC148" s="1366">
        <f ca="1">IFERROR(INDEX(MO_VA_MarketCap,0,MATCH(AC$3,MO_Common_ColumnHeader,0)),"")</f>
        <v>111519.11800972851</v>
      </c>
      <c r="AD148" s="1365">
        <f ca="1">IFERROR(INDEX(MO_VA_MarketCap,0,MATCH(AD$3,MO_Common_ColumnHeader,0)),"")</f>
        <v>112209.01237592568</v>
      </c>
      <c r="AE148" s="1365">
        <f ca="1">IFERROR(INDEX(MO_VA_MarketCap,0,MATCH(AE$3,MO_Common_ColumnHeader,0)),"")</f>
        <v>109844.50262511312</v>
      </c>
      <c r="AF148" s="1365">
        <f ca="1">IFERROR(INDEX(MO_VA_MarketCap,0,MATCH(AF$3,MO_Common_ColumnHeader,0)),"")</f>
        <v>108319.75554340106</v>
      </c>
      <c r="AG148" s="1367">
        <f ca="1">IFERROR(INDEX(MO_VA_MarketCap,0,MATCH(AG$3,MO_Common_ColumnHeader,0)),"")</f>
        <v>106935.09123244698</v>
      </c>
      <c r="AH148" s="1349"/>
    </row>
    <row r="149" spans="1:34" s="1222" customFormat="1" ht="14.25" customHeight="1" outlineLevel="1" x14ac:dyDescent="0.35">
      <c r="A149" s="1363" t="s">
        <v>105</v>
      </c>
      <c r="B149" s="1364"/>
      <c r="C149" s="1218"/>
      <c r="D149" s="1365">
        <f>D81-D67</f>
        <v>8972</v>
      </c>
      <c r="E149" s="1365">
        <f>E81-E67</f>
        <v>9820</v>
      </c>
      <c r="F149" s="1366">
        <f>F81-F67</f>
        <v>11565</v>
      </c>
      <c r="G149" s="1366">
        <f>G81-G67</f>
        <v>11333</v>
      </c>
      <c r="H149" s="1366">
        <f>H81-H67</f>
        <v>11323</v>
      </c>
      <c r="I149" s="1366">
        <f>I81-I67</f>
        <v>11389</v>
      </c>
      <c r="J149" s="1365">
        <f>J81-J67</f>
        <v>11389</v>
      </c>
      <c r="K149" s="1366">
        <f>K81-K67</f>
        <v>12893</v>
      </c>
      <c r="L149" s="1366">
        <f>L81-L67</f>
        <v>12818</v>
      </c>
      <c r="M149" s="1366">
        <f>M81-M67</f>
        <v>11678</v>
      </c>
      <c r="N149" s="1366">
        <f>N81-N67</f>
        <v>17862</v>
      </c>
      <c r="O149" s="1365">
        <f>O81-O67</f>
        <v>17862</v>
      </c>
      <c r="P149" s="1366">
        <f>P81-P67</f>
        <v>18018</v>
      </c>
      <c r="Q149" s="1366">
        <f>Q81-Q67</f>
        <v>16296</v>
      </c>
      <c r="R149" s="1366">
        <f>R81-R67</f>
        <v>15037</v>
      </c>
      <c r="S149" s="1366">
        <f>S81-S67</f>
        <v>13757</v>
      </c>
      <c r="T149" s="1365">
        <f>T81-T67</f>
        <v>13757</v>
      </c>
      <c r="U149" s="1366">
        <f>U81-U67</f>
        <v>13050</v>
      </c>
      <c r="V149" s="1366">
        <f>V81-V67</f>
        <v>13694.215835648705</v>
      </c>
      <c r="W149" s="1366">
        <f>W81-W67</f>
        <v>13175.753496189045</v>
      </c>
      <c r="X149" s="1366">
        <f>X81-X67</f>
        <v>12850.030529882792</v>
      </c>
      <c r="Y149" s="1365">
        <f>Y81-Y67</f>
        <v>12850.030529882792</v>
      </c>
      <c r="Z149" s="1366">
        <f ca="1">Z81-Z67</f>
        <v>12595.391181590558</v>
      </c>
      <c r="AA149" s="1366">
        <f ca="1">AA81-AA67</f>
        <v>13023.618346379058</v>
      </c>
      <c r="AB149" s="1366">
        <f ca="1">AB81-AB67</f>
        <v>12438.896434510272</v>
      </c>
      <c r="AC149" s="1366">
        <f ca="1">AC81-AC67</f>
        <v>11966.412911238305</v>
      </c>
      <c r="AD149" s="1365">
        <f ca="1">AD81-AD67</f>
        <v>11966.412911238305</v>
      </c>
      <c r="AE149" s="1365">
        <f ca="1">AE81-AE67</f>
        <v>10375.607513046669</v>
      </c>
      <c r="AF149" s="1365">
        <f ca="1">AF81-AF67</f>
        <v>8058.4649609431981</v>
      </c>
      <c r="AG149" s="1367">
        <f ca="1">AG81-AG67</f>
        <v>4958.2165870297686</v>
      </c>
      <c r="AH149" s="1349"/>
    </row>
    <row r="150" spans="1:34" s="1222" customFormat="1" ht="14.25" customHeight="1" outlineLevel="1" x14ac:dyDescent="0.35">
      <c r="A150" s="1368" t="s">
        <v>1234</v>
      </c>
      <c r="B150" s="1369"/>
      <c r="C150" s="1352"/>
      <c r="D150" s="1370">
        <f>D82</f>
        <v>0</v>
      </c>
      <c r="E150" s="1370">
        <f>E82</f>
        <v>0</v>
      </c>
      <c r="F150" s="1371">
        <f>F82</f>
        <v>0</v>
      </c>
      <c r="G150" s="1371">
        <f>G82</f>
        <v>0</v>
      </c>
      <c r="H150" s="1371">
        <f>H82</f>
        <v>0</v>
      </c>
      <c r="I150" s="1371">
        <f>I82</f>
        <v>0</v>
      </c>
      <c r="J150" s="1370">
        <f>J82</f>
        <v>0</v>
      </c>
      <c r="K150" s="1371">
        <f>K82</f>
        <v>786</v>
      </c>
      <c r="L150" s="1371">
        <f>L82</f>
        <v>866</v>
      </c>
      <c r="M150" s="1371">
        <f>M82</f>
        <v>825</v>
      </c>
      <c r="N150" s="1371">
        <f>N82</f>
        <v>854</v>
      </c>
      <c r="O150" s="1370">
        <f>O82</f>
        <v>854</v>
      </c>
      <c r="P150" s="1371">
        <f>P82</f>
        <v>847</v>
      </c>
      <c r="Q150" s="1371">
        <f>Q82</f>
        <v>855</v>
      </c>
      <c r="R150" s="1371">
        <f>R82</f>
        <v>857</v>
      </c>
      <c r="S150" s="1371">
        <f>S82</f>
        <v>865</v>
      </c>
      <c r="T150" s="1370">
        <f>T82</f>
        <v>865</v>
      </c>
      <c r="U150" s="1371">
        <f>U82</f>
        <v>876</v>
      </c>
      <c r="V150" s="1371">
        <f>V82</f>
        <v>876</v>
      </c>
      <c r="W150" s="1371">
        <f>W82</f>
        <v>876</v>
      </c>
      <c r="X150" s="1371">
        <f>X82</f>
        <v>876</v>
      </c>
      <c r="Y150" s="1370">
        <f>Y82</f>
        <v>876</v>
      </c>
      <c r="Z150" s="1371">
        <f>Z82</f>
        <v>876</v>
      </c>
      <c r="AA150" s="1371">
        <f>AA82</f>
        <v>876</v>
      </c>
      <c r="AB150" s="1371">
        <f>AB82</f>
        <v>876</v>
      </c>
      <c r="AC150" s="1371">
        <f>AC82</f>
        <v>876</v>
      </c>
      <c r="AD150" s="1370">
        <f>AD82</f>
        <v>876</v>
      </c>
      <c r="AE150" s="1370">
        <f>AE82</f>
        <v>876</v>
      </c>
      <c r="AF150" s="1370">
        <f>AF82</f>
        <v>876</v>
      </c>
      <c r="AG150" s="1372">
        <f>AG82</f>
        <v>876</v>
      </c>
      <c r="AH150" s="1349"/>
    </row>
    <row r="151" spans="1:34" s="1289" customFormat="1" ht="14.25" customHeight="1" outlineLevel="1" x14ac:dyDescent="0.35">
      <c r="A151" s="1373" t="s">
        <v>1235</v>
      </c>
      <c r="B151" s="1374"/>
      <c r="C151" s="1358"/>
      <c r="D151" s="1375">
        <f ca="1">IF(D148=0,"",D148+D149+D150)</f>
        <v>112615.07725000002</v>
      </c>
      <c r="E151" s="1375">
        <f ca="1">IF(E148=0,"",E148+E149+E150)</f>
        <v>135141.658</v>
      </c>
      <c r="F151" s="1376">
        <f ca="1">IF(F148=0,"",F148+F149+F150)</f>
        <v>153415.75718360653</v>
      </c>
      <c r="G151" s="1376">
        <f ca="1">IF(G148=0,"",G148+G149+G150)</f>
        <v>132567.63134187501</v>
      </c>
      <c r="H151" s="1376">
        <f ca="1">IF(H148=0,"",H148+H149+H150)</f>
        <v>133290.93775746008</v>
      </c>
      <c r="I151" s="1376">
        <f ca="1">IF(I148=0,"",I148+I149+I150)</f>
        <v>128564.58343015851</v>
      </c>
      <c r="J151" s="1375">
        <f ca="1">IF(J148=0,"",J148+J149+J150)</f>
        <v>136735.27351952181</v>
      </c>
      <c r="K151" s="1376">
        <f ca="1">IF(K148=0,"",K148+K149+K150)</f>
        <v>132174.53622950846</v>
      </c>
      <c r="L151" s="1376">
        <f ca="1">IF(L148=0,"",L148+L149+L150)</f>
        <v>121589.5685555557</v>
      </c>
      <c r="M151" s="1376">
        <f ca="1">IF(M148=0,"",M148+M149+M150)</f>
        <v>109983.60609374999</v>
      </c>
      <c r="N151" s="1376">
        <f ca="1">IF(N148=0,"",N148+N149+N150)</f>
        <v>116325.53375</v>
      </c>
      <c r="O151" s="1375">
        <f ca="1">IF(O148=0,"",O148+O149+O150)</f>
        <v>123902.07388095249</v>
      </c>
      <c r="P151" s="1376">
        <f ca="1">IF(P148=0,"",P148+P149+P150)</f>
        <v>110356.42798387099</v>
      </c>
      <c r="Q151" s="1376">
        <f ca="1">IF(Q148=0,"",Q148+Q149+Q150)</f>
        <v>104678.85066666652</v>
      </c>
      <c r="R151" s="1376">
        <f ca="1">IF(R148=0,"",R148+R149+R150)</f>
        <v>109593.606</v>
      </c>
      <c r="S151" s="1376">
        <f ca="1">IF(S148=0,"",S148+S149+S150)</f>
        <v>113767.22374999999</v>
      </c>
      <c r="T151" s="1375">
        <f ca="1">IF(T148=0,"",T148+T149+T150)</f>
        <v>107615.26420553352</v>
      </c>
      <c r="U151" s="1376">
        <f ca="1">IF(U148=0,"",U148+U149+U150)</f>
        <v>118891.09677049206</v>
      </c>
      <c r="V151" s="1376">
        <f ca="1">IF(V148=0,"",V148+V149+V150)</f>
        <v>128939.00060884458</v>
      </c>
      <c r="W151" s="1376">
        <f ca="1">IF(W148=0,"",W148+W149+W150)</f>
        <v>127915.56404258081</v>
      </c>
      <c r="X151" s="1376">
        <f ca="1">IF(X148=0,"",X148+X149+X150)</f>
        <v>127084.86684947043</v>
      </c>
      <c r="Y151" s="1375">
        <f ca="1">IF(Y148=0,"",Y148+Y149+Y150)</f>
        <v>127842.32818967661</v>
      </c>
      <c r="Z151" s="1376">
        <f ca="1">IF(Z148=0,"",Z148+Z149+Z150)</f>
        <v>126370.29792371341</v>
      </c>
      <c r="AA151" s="1376">
        <f ca="1">IF(AA148=0,"",AA148+AA149+AA150)</f>
        <v>126338.59551103713</v>
      </c>
      <c r="AB151" s="1376">
        <f ca="1">IF(AB148=0,"",AB148+AB149+AB150)</f>
        <v>125293.94402170356</v>
      </c>
      <c r="AC151" s="1376">
        <f ca="1">IF(AC148=0,"",AC148+AC149+AC150)</f>
        <v>124361.53092096682</v>
      </c>
      <c r="AD151" s="1375">
        <f ca="1">IF(AD148=0,"",AD148+AD149+AD150)</f>
        <v>125051.42528716399</v>
      </c>
      <c r="AE151" s="1375">
        <f ca="1">IF(AE148=0,"",AE148+AE149+AE150)</f>
        <v>121096.11013815978</v>
      </c>
      <c r="AF151" s="1375">
        <f ca="1">IF(AF148=0,"",AF148+AF149+AF150)</f>
        <v>117254.22050434425</v>
      </c>
      <c r="AG151" s="1377">
        <f ca="1">IF(AG148=0,"",AG148+AG149+AG150)</f>
        <v>112769.30781947676</v>
      </c>
      <c r="AH151" s="1349"/>
    </row>
    <row r="152" spans="1:34" s="1222" customFormat="1" ht="14.25" customHeight="1" outlineLevel="1" x14ac:dyDescent="0.35">
      <c r="A152" s="1363" t="s">
        <v>208</v>
      </c>
      <c r="B152" s="1364"/>
      <c r="C152" s="1218"/>
      <c r="D152" s="1365">
        <f>IFERROR(INDEX(MO_VA_EVCalc_NCI,0,MATCH(D$3,MO_Common_ColumnHeader,0)),"")</f>
        <v>45</v>
      </c>
      <c r="E152" s="1365">
        <f>IFERROR(INDEX(MO_VA_EVCalc_NCI,0,MATCH(E$3,MO_Common_ColumnHeader,0)),"")</f>
        <v>59</v>
      </c>
      <c r="F152" s="1366">
        <f>IFERROR(INDEX(MO_VA_EVCalc_NCI,0,MATCH(F$3,MO_Common_ColumnHeader,0)),"")</f>
        <v>62</v>
      </c>
      <c r="G152" s="1366">
        <f>IFERROR(INDEX(MO_VA_EVCalc_NCI,0,MATCH(G$3,MO_Common_ColumnHeader,0)),"")</f>
        <v>63</v>
      </c>
      <c r="H152" s="1366">
        <f>IFERROR(INDEX(MO_VA_EVCalc_NCI,0,MATCH(H$3,MO_Common_ColumnHeader,0)),"")</f>
        <v>63</v>
      </c>
      <c r="I152" s="1366">
        <f>IFERROR(INDEX(MO_VA_EVCalc_NCI,0,MATCH(I$3,MO_Common_ColumnHeader,0)),"")</f>
        <v>52</v>
      </c>
      <c r="J152" s="1365">
        <f>IFERROR(INDEX(MO_VA_EVCalc_NCI,0,MATCH(J$3,MO_Common_ColumnHeader,0)),"")</f>
        <v>52</v>
      </c>
      <c r="K152" s="1366">
        <f>IFERROR(INDEX(MO_VA_EVCalc_NCI,0,MATCH(K$3,MO_Common_ColumnHeader,0)),"")</f>
        <v>54</v>
      </c>
      <c r="L152" s="1366">
        <f>IFERROR(INDEX(MO_VA_EVCalc_NCI,0,MATCH(L$3,MO_Common_ColumnHeader,0)),"")</f>
        <v>59</v>
      </c>
      <c r="M152" s="1366">
        <f>IFERROR(INDEX(MO_VA_EVCalc_NCI,0,MATCH(M$3,MO_Common_ColumnHeader,0)),"")</f>
        <v>62</v>
      </c>
      <c r="N152" s="1366">
        <f>IFERROR(INDEX(MO_VA_EVCalc_NCI,0,MATCH(N$3,MO_Common_ColumnHeader,0)),"")</f>
        <v>63</v>
      </c>
      <c r="O152" s="1365">
        <f>IFERROR(INDEX(MO_VA_EVCalc_NCI,0,MATCH(O$3,MO_Common_ColumnHeader,0)),"")</f>
        <v>63</v>
      </c>
      <c r="P152" s="1366">
        <f>IFERROR(INDEX(MO_VA_EVCalc_NCI,0,MATCH(P$3,MO_Common_ColumnHeader,0)),"")</f>
        <v>62</v>
      </c>
      <c r="Q152" s="1366">
        <f>IFERROR(INDEX(MO_VA_EVCalc_NCI,0,MATCH(Q$3,MO_Common_ColumnHeader,0)),"")</f>
        <v>58</v>
      </c>
      <c r="R152" s="1366">
        <f>IFERROR(INDEX(MO_VA_EVCalc_NCI,0,MATCH(R$3,MO_Common_ColumnHeader,0)),"")</f>
        <v>63</v>
      </c>
      <c r="S152" s="1366">
        <f>IFERROR(INDEX(MO_VA_EVCalc_NCI,0,MATCH(S$3,MO_Common_ColumnHeader,0)),"")</f>
        <v>63</v>
      </c>
      <c r="T152" s="1365">
        <f>IFERROR(INDEX(MO_VA_EVCalc_NCI,0,MATCH(T$3,MO_Common_ColumnHeader,0)),"")</f>
        <v>64</v>
      </c>
      <c r="U152" s="1366">
        <f>IFERROR(INDEX(MO_VA_EVCalc_NCI,0,MATCH(U$3,MO_Common_ColumnHeader,0)),"")</f>
        <v>68</v>
      </c>
      <c r="V152" s="1366">
        <f>IFERROR(INDEX(MO_VA_EVCalc_NCI,0,MATCH(V$3,MO_Common_ColumnHeader,0)),"")</f>
        <v>68</v>
      </c>
      <c r="W152" s="1366">
        <f>IFERROR(INDEX(MO_VA_EVCalc_NCI,0,MATCH(W$3,MO_Common_ColumnHeader,0)),"")</f>
        <v>68</v>
      </c>
      <c r="X152" s="1366">
        <f>IFERROR(INDEX(MO_VA_EVCalc_NCI,0,MATCH(X$3,MO_Common_ColumnHeader,0)),"")</f>
        <v>68</v>
      </c>
      <c r="Y152" s="1365">
        <f>IFERROR(INDEX(MO_VA_EVCalc_NCI,0,MATCH(Y$3,MO_Common_ColumnHeader,0)),"")</f>
        <v>68</v>
      </c>
      <c r="Z152" s="1366">
        <f>IFERROR(INDEX(MO_VA_EVCalc_NCI,0,MATCH(Z$3,MO_Common_ColumnHeader,0)),"")</f>
        <v>68</v>
      </c>
      <c r="AA152" s="1366">
        <f>IFERROR(INDEX(MO_VA_EVCalc_NCI,0,MATCH(AA$3,MO_Common_ColumnHeader,0)),"")</f>
        <v>68</v>
      </c>
      <c r="AB152" s="1366">
        <f>IFERROR(INDEX(MO_VA_EVCalc_NCI,0,MATCH(AB$3,MO_Common_ColumnHeader,0)),"")</f>
        <v>68</v>
      </c>
      <c r="AC152" s="1366">
        <f>IFERROR(INDEX(MO_VA_EVCalc_NCI,0,MATCH(AC$3,MO_Common_ColumnHeader,0)),"")</f>
        <v>68</v>
      </c>
      <c r="AD152" s="1365">
        <f>IFERROR(INDEX(MO_VA_EVCalc_NCI,0,MATCH(AD$3,MO_Common_ColumnHeader,0)),"")</f>
        <v>68</v>
      </c>
      <c r="AE152" s="1365">
        <f>IFERROR(INDEX(MO_VA_EVCalc_NCI,0,MATCH(AE$3,MO_Common_ColumnHeader,0)),"")</f>
        <v>68</v>
      </c>
      <c r="AF152" s="1365">
        <f>IFERROR(INDEX(MO_VA_EVCalc_NCI,0,MATCH(AF$3,MO_Common_ColumnHeader,0)),"")</f>
        <v>68</v>
      </c>
      <c r="AG152" s="1367">
        <f>IFERROR(INDEX(MO_VA_EVCalc_NCI,0,MATCH(AG$3,MO_Common_ColumnHeader,0)),"")</f>
        <v>68</v>
      </c>
      <c r="AH152" s="1349"/>
    </row>
    <row r="153" spans="1:34" s="1222" customFormat="1" ht="14.25" customHeight="1" outlineLevel="1" x14ac:dyDescent="0.35">
      <c r="A153" s="1368" t="s">
        <v>1236</v>
      </c>
      <c r="B153" s="1369"/>
      <c r="C153" s="1352"/>
      <c r="D153" s="1370">
        <f>IFERROR(INDEX(MO_VA_EVCalc_Prefs,0,MATCH(D$3,MO_Common_ColumnHeader,0))+INDEX(MO_VA_EVCalc_Other,0,MATCH(D$3,MO_Common_ColumnHeader,0)),"")</f>
        <v>4018</v>
      </c>
      <c r="E153" s="1370">
        <f>IFERROR(INDEX(MO_VA_EVCalc_Prefs,0,MATCH(E$3,MO_Common_ColumnHeader,0))+INDEX(MO_VA_EVCalc_Other,0,MATCH(E$3,MO_Common_ColumnHeader,0)),"")</f>
        <v>3620</v>
      </c>
      <c r="F153" s="1371">
        <f>IFERROR(INDEX(MO_VA_EVCalc_Prefs,0,MATCH(F$3,MO_Common_ColumnHeader,0))+INDEX(MO_VA_EVCalc_Other,0,MATCH(F$3,MO_Common_ColumnHeader,0)),"")</f>
        <v>3381</v>
      </c>
      <c r="G153" s="1371">
        <f>IFERROR(INDEX(MO_VA_EVCalc_Prefs,0,MATCH(G$3,MO_Common_ColumnHeader,0))+INDEX(MO_VA_EVCalc_Other,0,MATCH(G$3,MO_Common_ColumnHeader,0)),"")</f>
        <v>3254</v>
      </c>
      <c r="H153" s="1371">
        <f>IFERROR(INDEX(MO_VA_EVCalc_Prefs,0,MATCH(H$3,MO_Common_ColumnHeader,0))+INDEX(MO_VA_EVCalc_Other,0,MATCH(H$3,MO_Common_ColumnHeader,0)),"")</f>
        <v>3183</v>
      </c>
      <c r="I153" s="1371">
        <f>IFERROR(INDEX(MO_VA_EVCalc_Prefs,0,MATCH(I$3,MO_Common_ColumnHeader,0))+INDEX(MO_VA_EVCalc_Other,0,MATCH(I$3,MO_Common_ColumnHeader,0)),"")</f>
        <v>2987</v>
      </c>
      <c r="J153" s="1370">
        <f>IFERROR(INDEX(MO_VA_EVCalc_Prefs,0,MATCH(J$3,MO_Common_ColumnHeader,0))+INDEX(MO_VA_EVCalc_Other,0,MATCH(J$3,MO_Common_ColumnHeader,0)),"")</f>
        <v>2987</v>
      </c>
      <c r="K153" s="1371">
        <f>IFERROR(INDEX(MO_VA_EVCalc_Prefs,0,MATCH(K$3,MO_Common_ColumnHeader,0))+INDEX(MO_VA_EVCalc_Other,0,MATCH(K$3,MO_Common_ColumnHeader,0)),"")</f>
        <v>2919</v>
      </c>
      <c r="L153" s="1371">
        <f>IFERROR(INDEX(MO_VA_EVCalc_Prefs,0,MATCH(L$3,MO_Common_ColumnHeader,0))+INDEX(MO_VA_EVCalc_Other,0,MATCH(L$3,MO_Common_ColumnHeader,0)),"")</f>
        <v>2761</v>
      </c>
      <c r="M153" s="1371">
        <f>IFERROR(INDEX(MO_VA_EVCalc_Prefs,0,MATCH(M$3,MO_Common_ColumnHeader,0))+INDEX(MO_VA_EVCalc_Other,0,MATCH(M$3,MO_Common_ColumnHeader,0)),"")</f>
        <v>2667</v>
      </c>
      <c r="N153" s="1371">
        <f>IFERROR(INDEX(MO_VA_EVCalc_Prefs,0,MATCH(N$3,MO_Common_ColumnHeader,0))+INDEX(MO_VA_EVCalc_Other,0,MATCH(N$3,MO_Common_ColumnHeader,0)),"")</f>
        <v>3911</v>
      </c>
      <c r="O153" s="1370">
        <f>IFERROR(INDEX(MO_VA_EVCalc_Prefs,0,MATCH(O$3,MO_Common_ColumnHeader,0))+INDEX(MO_VA_EVCalc_Other,0,MATCH(O$3,MO_Common_ColumnHeader,0)),"")</f>
        <v>3911</v>
      </c>
      <c r="P153" s="1371">
        <f>IFERROR(INDEX(MO_VA_EVCalc_Prefs,0,MATCH(P$3,MO_Common_ColumnHeader,0))+INDEX(MO_VA_EVCalc_Other,0,MATCH(P$3,MO_Common_ColumnHeader,0)),"")</f>
        <v>3794</v>
      </c>
      <c r="Q153" s="1371">
        <f>IFERROR(INDEX(MO_VA_EVCalc_Prefs,0,MATCH(Q$3,MO_Common_ColumnHeader,0))+INDEX(MO_VA_EVCalc_Other,0,MATCH(Q$3,MO_Common_ColumnHeader,0)),"")</f>
        <v>3724</v>
      </c>
      <c r="R153" s="1371">
        <f>IFERROR(INDEX(MO_VA_EVCalc_Prefs,0,MATCH(R$3,MO_Common_ColumnHeader,0))+INDEX(MO_VA_EVCalc_Other,0,MATCH(R$3,MO_Common_ColumnHeader,0)),"")</f>
        <v>3679</v>
      </c>
      <c r="S153" s="1371">
        <f>IFERROR(INDEX(MO_VA_EVCalc_Prefs,0,MATCH(S$3,MO_Common_ColumnHeader,0))+INDEX(MO_VA_EVCalc_Other,0,MATCH(S$3,MO_Common_ColumnHeader,0)),"")</f>
        <v>4405</v>
      </c>
      <c r="T153" s="1370">
        <f>IFERROR(INDEX(MO_VA_EVCalc_Prefs,0,MATCH(T$3,MO_Common_ColumnHeader,0))+INDEX(MO_VA_EVCalc_Other,0,MATCH(T$3,MO_Common_ColumnHeader,0)),"")</f>
        <v>4405</v>
      </c>
      <c r="U153" s="1371">
        <f>IFERROR(INDEX(MO_VA_EVCalc_Prefs,0,MATCH(U$3,MO_Common_ColumnHeader,0))+INDEX(MO_VA_EVCalc_Other,0,MATCH(U$3,MO_Common_ColumnHeader,0)),"")</f>
        <v>4231</v>
      </c>
      <c r="V153" s="1371">
        <f>IFERROR(INDEX(MO_VA_EVCalc_Prefs,0,MATCH(V$3,MO_Common_ColumnHeader,0))+INDEX(MO_VA_EVCalc_Other,0,MATCH(V$3,MO_Common_ColumnHeader,0)),"")</f>
        <v>4231</v>
      </c>
      <c r="W153" s="1371">
        <f>IFERROR(INDEX(MO_VA_EVCalc_Prefs,0,MATCH(W$3,MO_Common_ColumnHeader,0))+INDEX(MO_VA_EVCalc_Other,0,MATCH(W$3,MO_Common_ColumnHeader,0)),"")</f>
        <v>4231</v>
      </c>
      <c r="X153" s="1371">
        <f>IFERROR(INDEX(MO_VA_EVCalc_Prefs,0,MATCH(X$3,MO_Common_ColumnHeader,0))+INDEX(MO_VA_EVCalc_Other,0,MATCH(X$3,MO_Common_ColumnHeader,0)),"")</f>
        <v>4231</v>
      </c>
      <c r="Y153" s="1370">
        <f>IFERROR(INDEX(MO_VA_EVCalc_Prefs,0,MATCH(Y$3,MO_Common_ColumnHeader,0))+INDEX(MO_VA_EVCalc_Other,0,MATCH(Y$3,MO_Common_ColumnHeader,0)),"")</f>
        <v>4231</v>
      </c>
      <c r="Z153" s="1371">
        <f>IFERROR(INDEX(MO_VA_EVCalc_Prefs,0,MATCH(Z$3,MO_Common_ColumnHeader,0))+INDEX(MO_VA_EVCalc_Other,0,MATCH(Z$3,MO_Common_ColumnHeader,0)),"")</f>
        <v>4231</v>
      </c>
      <c r="AA153" s="1371">
        <f>IFERROR(INDEX(MO_VA_EVCalc_Prefs,0,MATCH(AA$3,MO_Common_ColumnHeader,0))+INDEX(MO_VA_EVCalc_Other,0,MATCH(AA$3,MO_Common_ColumnHeader,0)),"")</f>
        <v>4231</v>
      </c>
      <c r="AB153" s="1371">
        <f>IFERROR(INDEX(MO_VA_EVCalc_Prefs,0,MATCH(AB$3,MO_Common_ColumnHeader,0))+INDEX(MO_VA_EVCalc_Other,0,MATCH(AB$3,MO_Common_ColumnHeader,0)),"")</f>
        <v>4231</v>
      </c>
      <c r="AC153" s="1371">
        <f>IFERROR(INDEX(MO_VA_EVCalc_Prefs,0,MATCH(AC$3,MO_Common_ColumnHeader,0))+INDEX(MO_VA_EVCalc_Other,0,MATCH(AC$3,MO_Common_ColumnHeader,0)),"")</f>
        <v>4231</v>
      </c>
      <c r="AD153" s="1370">
        <f>IFERROR(INDEX(MO_VA_EVCalc_Prefs,0,MATCH(AD$3,MO_Common_ColumnHeader,0))+INDEX(MO_VA_EVCalc_Other,0,MATCH(AD$3,MO_Common_ColumnHeader,0)),"")</f>
        <v>4231</v>
      </c>
      <c r="AE153" s="1370">
        <f>IFERROR(INDEX(MO_VA_EVCalc_Prefs,0,MATCH(AE$3,MO_Common_ColumnHeader,0))+INDEX(MO_VA_EVCalc_Other,0,MATCH(AE$3,MO_Common_ColumnHeader,0)),"")</f>
        <v>4231</v>
      </c>
      <c r="AF153" s="1370">
        <f>IFERROR(INDEX(MO_VA_EVCalc_Prefs,0,MATCH(AF$3,MO_Common_ColumnHeader,0))+INDEX(MO_VA_EVCalc_Other,0,MATCH(AF$3,MO_Common_ColumnHeader,0)),"")</f>
        <v>4231</v>
      </c>
      <c r="AG153" s="1372">
        <f>IFERROR(INDEX(MO_VA_EVCalc_Prefs,0,MATCH(AG$3,MO_Common_ColumnHeader,0))+INDEX(MO_VA_EVCalc_Other,0,MATCH(AG$3,MO_Common_ColumnHeader,0)),"")</f>
        <v>4231</v>
      </c>
      <c r="AH153" s="1349"/>
    </row>
    <row r="154" spans="1:34" s="1289" customFormat="1" ht="14.25" customHeight="1" x14ac:dyDescent="0.35">
      <c r="A154" s="1373" t="s">
        <v>1237</v>
      </c>
      <c r="B154" s="1374"/>
      <c r="C154" s="1358"/>
      <c r="D154" s="1375">
        <f ca="1">IF(D151="","",D151+D152+D153)</f>
        <v>116678.07725000002</v>
      </c>
      <c r="E154" s="1375">
        <f ca="1">IF(E151="","",E151+E152+E153)</f>
        <v>138820.658</v>
      </c>
      <c r="F154" s="1376">
        <f ca="1">IF(F151="","",F151+F152+F153)</f>
        <v>156858.75718360653</v>
      </c>
      <c r="G154" s="1376">
        <f ca="1">IF(G151="","",G151+G152+G153)</f>
        <v>135884.63134187501</v>
      </c>
      <c r="H154" s="1376">
        <f ca="1">IF(H151="","",H151+H152+H153)</f>
        <v>136536.93775746008</v>
      </c>
      <c r="I154" s="1376">
        <f ca="1">IF(I151="","",I151+I152+I153)</f>
        <v>131603.5834301585</v>
      </c>
      <c r="J154" s="1375">
        <f ca="1">IF(J151="","",J151+J152+J153)</f>
        <v>139774.27351952181</v>
      </c>
      <c r="K154" s="1376">
        <f ca="1">IF(K151="","",K151+K152+K153)</f>
        <v>135147.53622950846</v>
      </c>
      <c r="L154" s="1376">
        <f ca="1">IF(L151="","",L151+L152+L153)</f>
        <v>124409.5685555557</v>
      </c>
      <c r="M154" s="1376">
        <f ca="1">IF(M151="","",M151+M152+M153)</f>
        <v>112712.60609374999</v>
      </c>
      <c r="N154" s="1376">
        <f ca="1">IF(N151="","",N151+N152+N153)</f>
        <v>120299.53375</v>
      </c>
      <c r="O154" s="1375">
        <f ca="1">IF(O151="","",O151+O152+O153)</f>
        <v>127876.07388095249</v>
      </c>
      <c r="P154" s="1376">
        <f ca="1">IF(P151="","",P151+P152+P153)</f>
        <v>114212.42798387099</v>
      </c>
      <c r="Q154" s="1376">
        <f ca="1">IF(Q151="","",Q151+Q152+Q153)</f>
        <v>108460.85066666652</v>
      </c>
      <c r="R154" s="1376">
        <f ca="1">IF(R151="","",R151+R152+R153)</f>
        <v>113335.606</v>
      </c>
      <c r="S154" s="1376">
        <f ca="1">IF(S151="","",S151+S152+S153)</f>
        <v>118235.22374999999</v>
      </c>
      <c r="T154" s="1375">
        <f ca="1">IF(T151="","",T151+T152+T153)</f>
        <v>112084.26420553352</v>
      </c>
      <c r="U154" s="1376">
        <f ca="1">IF(U151="","",U151+U152+U153)</f>
        <v>123190.09677049206</v>
      </c>
      <c r="V154" s="1376">
        <f ca="1">IF(V151="","",V151+V152+V153)</f>
        <v>133238.00060884457</v>
      </c>
      <c r="W154" s="1376">
        <f ca="1">IF(W151="","",W151+W152+W153)</f>
        <v>132214.56404258081</v>
      </c>
      <c r="X154" s="1376">
        <f ca="1">IF(X151="","",X151+X152+X153)</f>
        <v>131383.86684947042</v>
      </c>
      <c r="Y154" s="1375">
        <f ca="1">IF(Y151="","",Y151+Y152+Y153)</f>
        <v>132141.32818967663</v>
      </c>
      <c r="Z154" s="1376">
        <f ca="1">IF(Z151="","",Z151+Z152+Z153)</f>
        <v>130669.29792371341</v>
      </c>
      <c r="AA154" s="1376">
        <f ca="1">IF(AA151="","",AA151+AA152+AA153)</f>
        <v>130637.59551103713</v>
      </c>
      <c r="AB154" s="1376">
        <f ca="1">IF(AB151="","",AB151+AB152+AB153)</f>
        <v>129592.94402170356</v>
      </c>
      <c r="AC154" s="1376">
        <f ca="1">IF(AC151="","",AC151+AC152+AC153)</f>
        <v>128660.53092096682</v>
      </c>
      <c r="AD154" s="1375">
        <f ca="1">IF(AD151="","",AD151+AD152+AD153)</f>
        <v>129350.42528716399</v>
      </c>
      <c r="AE154" s="1375">
        <f ca="1">IF(AE151="","",AE151+AE152+AE153)</f>
        <v>125395.11013815978</v>
      </c>
      <c r="AF154" s="1375">
        <f ca="1">IF(AF151="","",AF151+AF152+AF153)</f>
        <v>121553.22050434425</v>
      </c>
      <c r="AG154" s="1377">
        <f ca="1">IF(AG151="","",AG151+AG152+AG153)</f>
        <v>117068.30781947676</v>
      </c>
      <c r="AH154" s="1349"/>
    </row>
    <row r="155" spans="1:34" s="1289" customFormat="1" ht="14.25" customHeight="1" x14ac:dyDescent="0.35">
      <c r="A155" s="1373"/>
      <c r="B155" s="1374"/>
      <c r="C155" s="1358"/>
      <c r="D155" s="1375"/>
      <c r="E155" s="1375"/>
      <c r="F155" s="1376"/>
      <c r="G155" s="1376"/>
      <c r="H155" s="1376"/>
      <c r="I155" s="1376"/>
      <c r="J155" s="1375"/>
      <c r="K155" s="1376"/>
      <c r="L155" s="1376"/>
      <c r="M155" s="1376"/>
      <c r="N155" s="1376"/>
      <c r="O155" s="1375"/>
      <c r="P155" s="1376"/>
      <c r="Q155" s="1376"/>
      <c r="R155" s="1376"/>
      <c r="S155" s="1376"/>
      <c r="T155" s="1375"/>
      <c r="U155" s="1376"/>
      <c r="V155" s="1376"/>
      <c r="W155" s="1376"/>
      <c r="X155" s="1376"/>
      <c r="Y155" s="1375"/>
      <c r="Z155" s="1376"/>
      <c r="AA155" s="1376"/>
      <c r="AB155" s="1376"/>
      <c r="AC155" s="1376"/>
      <c r="AD155" s="1375"/>
      <c r="AE155" s="1375"/>
      <c r="AF155" s="1375"/>
      <c r="AG155" s="1377"/>
      <c r="AH155" s="1349"/>
    </row>
    <row r="156" spans="1:34" s="1264" customFormat="1" ht="14.25" customHeight="1" x14ac:dyDescent="0.35">
      <c r="A156" s="1378" t="s">
        <v>1238</v>
      </c>
      <c r="B156" s="1379"/>
      <c r="C156" s="1358"/>
      <c r="D156" s="1261">
        <f ca="1">IFERROR(D$154/D$17, "")</f>
        <v>13.415899419340004</v>
      </c>
      <c r="E156" s="1261">
        <f ca="1">IFERROR(E$154/E$17, "")</f>
        <v>15.030387397141618</v>
      </c>
      <c r="F156" s="1293" t="str">
        <f ca="1">IFERROR(F$154/F$17, "")</f>
        <v/>
      </c>
      <c r="G156" s="1293" t="str">
        <f ca="1">IFERROR(G$154/G$17, "")</f>
        <v/>
      </c>
      <c r="H156" s="1293" t="str">
        <f ca="1">IFERROR(H$154/H$17, "")</f>
        <v/>
      </c>
      <c r="I156" s="1293">
        <f ca="1">IFERROR(I$154/I$17, "")</f>
        <v>13.720140057355973</v>
      </c>
      <c r="J156" s="1261">
        <f ca="1">IFERROR(J$154/J$17, "")</f>
        <v>14.571963461167829</v>
      </c>
      <c r="K156" s="1293">
        <f ca="1">IFERROR(K$154/K$17, "")</f>
        <v>14.443468657636899</v>
      </c>
      <c r="L156" s="1293">
        <f ca="1">IFERROR(L$154/L$17, "")</f>
        <v>14.375961238219979</v>
      </c>
      <c r="M156" s="1293">
        <f ca="1">IFERROR(M$154/M$17, "")</f>
        <v>13.156601621775415</v>
      </c>
      <c r="N156" s="1293">
        <f ca="1">IFERROR(N$154/N$17, "")</f>
        <v>14.29584477124183</v>
      </c>
      <c r="O156" s="1261">
        <f ca="1">IFERROR(O$154/O$17, "")</f>
        <v>15.196206046459</v>
      </c>
      <c r="P156" s="1293">
        <f ca="1">IFERROR(P$154/P$17, "")</f>
        <v>13.465270924766681</v>
      </c>
      <c r="Q156" s="1293">
        <f ca="1">IFERROR(Q$154/Q$17, "")</f>
        <v>13.061277777777761</v>
      </c>
      <c r="R156" s="1293">
        <f ca="1">IFERROR(R$154/R$17, "")</f>
        <v>13.476290844233056</v>
      </c>
      <c r="S156" s="1293">
        <f ca="1">IFERROR(S$154/S$17, "")</f>
        <v>13.504879925756709</v>
      </c>
      <c r="T156" s="1261">
        <f ca="1">IFERROR(T$154/T$17, "")</f>
        <v>12.802314586582925</v>
      </c>
      <c r="U156" s="1293">
        <f ca="1">IFERROR(U$154/U$17, "")</f>
        <v>13.550775137002757</v>
      </c>
      <c r="V156" s="1293">
        <f ca="1">IFERROR(V$154/V$17, "")</f>
        <v>14.308243891470521</v>
      </c>
      <c r="W156" s="1293">
        <f ca="1">IFERROR(W$154/W$17, "")</f>
        <v>14.088361238167822</v>
      </c>
      <c r="X156" s="1293">
        <f ca="1">IFERROR(X$154/X$17, "")</f>
        <v>13.681926155672612</v>
      </c>
      <c r="Y156" s="1261">
        <f ca="1">IFERROR(Y$154/Y$17, "")</f>
        <v>13.760805932703013</v>
      </c>
      <c r="Z156" s="1293">
        <f ca="1">IFERROR(Z$154/Z$17, "")</f>
        <v>13.289559285647787</v>
      </c>
      <c r="AA156" s="1293">
        <f ca="1">IFERROR(AA$154/AA$17, "")</f>
        <v>12.918932433240242</v>
      </c>
      <c r="AB156" s="1293">
        <f ca="1">IFERROR(AB$154/AB$17, "")</f>
        <v>12.715959204955954</v>
      </c>
      <c r="AC156" s="1293">
        <f ca="1">IFERROR(AC$154/AC$17, "")</f>
        <v>12.381084421423202</v>
      </c>
      <c r="AD156" s="1261">
        <f ca="1">IFERROR(AD$154/AD$17, "")</f>
        <v>12.447473393461552</v>
      </c>
      <c r="AE156" s="1261">
        <f ca="1">IFERROR(AE$154/AE$17, "")</f>
        <v>11.200402982112905</v>
      </c>
      <c r="AF156" s="1261">
        <f ca="1">IFERROR(AF$154/AF$17, "")</f>
        <v>10.072559820192511</v>
      </c>
      <c r="AG156" s="1263">
        <f ca="1">IFERROR(AG$154/AG$17, "")</f>
        <v>8.9956785686772935</v>
      </c>
      <c r="AH156" s="1349"/>
    </row>
    <row r="157" spans="1:34" s="1264" customFormat="1" ht="14.25" customHeight="1" x14ac:dyDescent="0.35">
      <c r="A157" s="1378" t="s">
        <v>1129</v>
      </c>
      <c r="B157" s="1379"/>
      <c r="C157" s="1358"/>
      <c r="D157" s="1261">
        <f ca="1">IFERROR(D$154/D$15, "")</f>
        <v>3.8751893868942848</v>
      </c>
      <c r="E157" s="1261">
        <f ca="1">IFERROR(E$154/E$15, "")</f>
        <v>4.3851488770256184</v>
      </c>
      <c r="F157" s="1293" t="str">
        <f ca="1">IFERROR(F$154/F$15, "")</f>
        <v/>
      </c>
      <c r="G157" s="1293" t="str">
        <f ca="1">IFERROR(G$154/G$15, "")</f>
        <v/>
      </c>
      <c r="H157" s="1293" t="str">
        <f ca="1">IFERROR(H$154/H$15, "")</f>
        <v/>
      </c>
      <c r="I157" s="1293">
        <f ca="1">IFERROR(I$154/I$15, "")</f>
        <v>4.0165903686909354</v>
      </c>
      <c r="J157" s="1261">
        <f ca="1">IFERROR(J$154/J$15, "")</f>
        <v>4.2659628725628513</v>
      </c>
      <c r="K157" s="1293">
        <f ca="1">IFERROR(K$154/K$15, "")</f>
        <v>4.1776672713912975</v>
      </c>
      <c r="L157" s="1293">
        <f ca="1">IFERROR(L$154/L$15, "")</f>
        <v>3.8719482292974292</v>
      </c>
      <c r="M157" s="1293">
        <f ca="1">IFERROR(M$154/M$15, "")</f>
        <v>3.5255741662105096</v>
      </c>
      <c r="N157" s="1293">
        <f ca="1">IFERROR(N$154/N$15, "")</f>
        <v>3.7434507639407517</v>
      </c>
      <c r="O157" s="1261">
        <f ca="1">IFERROR(O$154/O$15, "")</f>
        <v>3.9792156422999905</v>
      </c>
      <c r="P157" s="1293">
        <f ca="1">IFERROR(P$154/P$15, "")</f>
        <v>3.5307415600306356</v>
      </c>
      <c r="Q157" s="1293">
        <f ca="1">IFERROR(Q$154/Q$15, "")</f>
        <v>3.4593452194898902</v>
      </c>
      <c r="R157" s="1293">
        <f ca="1">IFERROR(R$154/R$15, "")</f>
        <v>3.5739028128153381</v>
      </c>
      <c r="S157" s="1293">
        <f ca="1">IFERROR(S$154/S$15, "")</f>
        <v>3.673726813012677</v>
      </c>
      <c r="T157" s="1261">
        <f ca="1">IFERROR(T$154/T$15, "")</f>
        <v>3.4826082589340515</v>
      </c>
      <c r="U157" s="1293">
        <f ca="1">IFERROR(U$154/U$15, "")</f>
        <v>3.7375636156095893</v>
      </c>
      <c r="V157" s="1293">
        <f ca="1">IFERROR(V$154/V$15, "")</f>
        <v>3.9829345793849327</v>
      </c>
      <c r="W157" s="1293">
        <f ca="1">IFERROR(W$154/W$15, "")</f>
        <v>3.9061504268136944</v>
      </c>
      <c r="X157" s="1293">
        <f ca="1">IFERROR(X$154/X$15, "")</f>
        <v>3.8363456807412106</v>
      </c>
      <c r="Y157" s="1261">
        <f ca="1">IFERROR(Y$154/Y$15, "")</f>
        <v>3.8584631873309494</v>
      </c>
      <c r="Z157" s="1293">
        <f ca="1">IFERROR(Z$154/Z$15, "")</f>
        <v>3.7462182773663195</v>
      </c>
      <c r="AA157" s="1293">
        <f ca="1">IFERROR(AA$154/AA$15, "")</f>
        <v>3.6934296430129212</v>
      </c>
      <c r="AB157" s="1293">
        <f ca="1">IFERROR(AB$154/AB$15, "")</f>
        <v>3.6065467050496953</v>
      </c>
      <c r="AC157" s="1293">
        <f ca="1">IFERROR(AC$154/AC$15, "")</f>
        <v>3.5239780545731221</v>
      </c>
      <c r="AD157" s="1261">
        <f ca="1">IFERROR(AD$154/AD$15, "")</f>
        <v>3.5428740795549079</v>
      </c>
      <c r="AE157" s="1261">
        <f ca="1">IFERROR(AE$154/AE$15, "")</f>
        <v>3.2268168934273644</v>
      </c>
      <c r="AF157" s="1261">
        <f ca="1">IFERROR(AF$154/AF$15, "")</f>
        <v>2.9383077497886605</v>
      </c>
      <c r="AG157" s="1263">
        <f ca="1">IFERROR(AG$154/AG$15, "")</f>
        <v>2.657900653201906</v>
      </c>
      <c r="AH157" s="1349"/>
    </row>
    <row r="158" spans="1:34" s="1247" customFormat="1" ht="14.25" customHeight="1" x14ac:dyDescent="0.35">
      <c r="A158" s="1380" t="s">
        <v>1239</v>
      </c>
      <c r="B158" s="1381"/>
      <c r="C158" s="1358"/>
      <c r="D158" s="1382">
        <f ca="1">IFERROR((D$81+D$82)/D$154, "")</f>
        <v>9.984737728440754E-2</v>
      </c>
      <c r="E158" s="1382">
        <f ca="1">IFERROR((E$81+E$82)/E$154, "")</f>
        <v>0.10048216310860593</v>
      </c>
      <c r="F158" s="1383">
        <f ca="1">IFERROR((F$81+F$82)/F$154, "")</f>
        <v>9.9835038101631995E-2</v>
      </c>
      <c r="G158" s="1383">
        <f ca="1">IFERROR((G$81+G$82)/G$154, "")</f>
        <v>0.10684799198131054</v>
      </c>
      <c r="H158" s="1383">
        <f ca="1">IFERROR((H$81+H$82)/H$154, "")</f>
        <v>0.10873248106949614</v>
      </c>
      <c r="I158" s="1383">
        <f ca="1">IFERROR((I$81+I$82)/I$154, "")</f>
        <v>0.11110639709715683</v>
      </c>
      <c r="J158" s="1382">
        <f ca="1">IFERROR((J$81+J$82)/J$154, "")</f>
        <v>0.10461152565359456</v>
      </c>
      <c r="K158" s="1383">
        <f ca="1">IFERROR((K$81+K$82)/K$154, "")</f>
        <v>0.12694275070516686</v>
      </c>
      <c r="L158" s="1383">
        <f ca="1">IFERROR((L$81+L$82)/L$154, "")</f>
        <v>0.13400898494841285</v>
      </c>
      <c r="M158" s="1383">
        <f ca="1">IFERROR((M$81+M$82)/M$154, "")</f>
        <v>0.17978468161001609</v>
      </c>
      <c r="N158" s="1383">
        <f ca="1">IFERROR((N$81+N$82)/N$154, "")</f>
        <v>0.17595246914246665</v>
      </c>
      <c r="O158" s="1382">
        <f ca="1">IFERROR((O$81+O$82)/O$154, "")</f>
        <v>0.16552744667235897</v>
      </c>
      <c r="P158" s="1383">
        <f ca="1">IFERROR((P$81+P$82)/P$154, "")</f>
        <v>0.20437355559323495</v>
      </c>
      <c r="Q158" s="1383">
        <f ca="1">IFERROR((Q$81+Q$82)/Q$154, "")</f>
        <v>0.19930693763813154</v>
      </c>
      <c r="R158" s="1383">
        <f ca="1">IFERROR((R$81+R$82)/R$154, "")</f>
        <v>0.18048167492923628</v>
      </c>
      <c r="S158" s="1383">
        <f ca="1">IFERROR((S$81+S$82)/S$154, "")</f>
        <v>0.16627870592582189</v>
      </c>
      <c r="T158" s="1382">
        <f ca="1">IFERROR((T$81+T$82)/T$154, "")</f>
        <v>0.17540374770136022</v>
      </c>
      <c r="U158" s="1383">
        <f ca="1">IFERROR((U$81+U$82)/U$154, "")</f>
        <v>0.15474458174600764</v>
      </c>
      <c r="V158" s="1383">
        <f ca="1">IFERROR((V$81+V$82)/V$154, "")</f>
        <v>0.14307479782711904</v>
      </c>
      <c r="W158" s="1383">
        <f ca="1">IFERROR((W$81+W$82)/W$154, "")</f>
        <v>0.14418230047531375</v>
      </c>
      <c r="X158" s="1383">
        <f ca="1">IFERROR((X$81+X$82)/X$154, "")</f>
        <v>0.14509391797579627</v>
      </c>
      <c r="Y158" s="1382">
        <f ca="1">IFERROR((Y$81+Y$82)/Y$154, "")</f>
        <v>0.14426220972016288</v>
      </c>
      <c r="Z158" s="1383">
        <f ca="1">IFERROR((Z$81+Z$82)/Z$154, "")</f>
        <v>0.14588736836352523</v>
      </c>
      <c r="AA158" s="1383">
        <f ca="1">IFERROR((AA$81+AA$82)/AA$154, "")</f>
        <v>0.14592277150714575</v>
      </c>
      <c r="AB158" s="1383">
        <f ca="1">IFERROR((AB$81+AB$82)/AB$154, "")</f>
        <v>0.14709905808457771</v>
      </c>
      <c r="AC158" s="1383">
        <f ca="1">IFERROR((AC$81+AC$82)/AC$154, "")</f>
        <v>0.14816509665819705</v>
      </c>
      <c r="AD158" s="1382">
        <f ca="1">IFERROR((AD$81+AD$82)/AD$154, "")</f>
        <v>0.14737485367890557</v>
      </c>
      <c r="AE158" s="1382">
        <f ca="1">IFERROR((AE$81+AE$82)/AE$154, "")</f>
        <v>0.15202347188017515</v>
      </c>
      <c r="AF158" s="1382">
        <f ca="1">IFERROR((AF$81+AF$82)/AF$154, "")</f>
        <v>0.15682842396856692</v>
      </c>
      <c r="AG158" s="1384">
        <f ca="1">IFERROR((AG$81+AG$82)/AG$154, "")</f>
        <v>0.16283655546978421</v>
      </c>
      <c r="AH158" s="1349"/>
    </row>
    <row r="159" spans="1:34" s="1247" customFormat="1" ht="14.25" customHeight="1" x14ac:dyDescent="0.35">
      <c r="A159" s="1380" t="s">
        <v>1240</v>
      </c>
      <c r="B159" s="1381"/>
      <c r="C159" s="1358"/>
      <c r="D159" s="1382">
        <f ca="1">IFERROR((D$81+D$82-D$67)/D$154, "")</f>
        <v>7.6895336394481067E-2</v>
      </c>
      <c r="E159" s="1382">
        <f ca="1">IFERROR((E$81+E$82-E$67)/E$154, "")</f>
        <v>7.0738751288731111E-2</v>
      </c>
      <c r="F159" s="1383">
        <f ca="1">IFERROR((F$81+F$82-F$67)/F$154, "")</f>
        <v>7.3728749402642027E-2</v>
      </c>
      <c r="G159" s="1383">
        <f ca="1">IFERROR((G$81+G$82-G$67)/G$154, "")</f>
        <v>8.3401631870252249E-2</v>
      </c>
      <c r="H159" s="1383">
        <f ca="1">IFERROR((H$81+H$82-H$67)/H$154, "")</f>
        <v>8.2929939589782078E-2</v>
      </c>
      <c r="I159" s="1383">
        <f ca="1">IFERROR((I$81+I$82-I$67)/I$154, "")</f>
        <v>8.6540196726817079E-2</v>
      </c>
      <c r="J159" s="1382">
        <f ca="1">IFERROR((J$81+J$82-J$67)/J$154, "")</f>
        <v>8.1481375028640987E-2</v>
      </c>
      <c r="K159" s="1383">
        <f ca="1">IFERROR((K$81+K$82-K$67)/K$154, "")</f>
        <v>0.10121531166332348</v>
      </c>
      <c r="L159" s="1383">
        <f ca="1">IFERROR((L$81+L$82-L$67)/L$154, "")</f>
        <v>0.10999153970933789</v>
      </c>
      <c r="M159" s="1383">
        <f ca="1">IFERROR((M$81+M$82-M$67)/M$154, "")</f>
        <v>0.11092814223105167</v>
      </c>
      <c r="N159" s="1383">
        <f ca="1">IFERROR((N$81+N$82-N$67)/N$154, "")</f>
        <v>0.15557832533993507</v>
      </c>
      <c r="O159" s="1382">
        <f ca="1">IFERROR((O$81+O$82-O$67)/O$154, "")</f>
        <v>0.14636045220956539</v>
      </c>
      <c r="P159" s="1383">
        <f ca="1">IFERROR((P$81+P$82-P$67)/P$154, "")</f>
        <v>0.16517466910574832</v>
      </c>
      <c r="Q159" s="1383">
        <f ca="1">IFERROR((Q$81+Q$82-Q$67)/Q$154, "")</f>
        <v>0.15813079000007374</v>
      </c>
      <c r="R159" s="1383">
        <f ca="1">IFERROR((R$81+R$82-R$67)/R$154, "")</f>
        <v>0.14023836427891867</v>
      </c>
      <c r="S159" s="1383">
        <f ca="1">IFERROR((S$81+S$82-S$67)/S$154, "")</f>
        <v>0.12366873031777048</v>
      </c>
      <c r="T159" s="1382">
        <f ca="1">IFERROR((T$81+T$82-T$67)/T$154, "")</f>
        <v>0.13045542212051317</v>
      </c>
      <c r="U159" s="1383">
        <f ca="1">IFERROR((U$81+U$82-U$67)/U$154, "")</f>
        <v>0.11304480120625832</v>
      </c>
      <c r="V159" s="1383">
        <f ca="1">IFERROR((V$81+V$82-V$67)/V$154, "")</f>
        <v>0.1093548069549875</v>
      </c>
      <c r="W159" s="1383">
        <f ca="1">IFERROR((W$81+W$82-W$67)/W$154, "")</f>
        <v>0.1062799215649462</v>
      </c>
      <c r="X159" s="1383">
        <f ca="1">IFERROR((X$81+X$82-X$67)/X$154, "")</f>
        <v>0.10447272453633159</v>
      </c>
      <c r="Y159" s="1382">
        <f ca="1">IFERROR((Y$81+Y$82-Y$67)/Y$154, "")</f>
        <v>0.10387386533742378</v>
      </c>
      <c r="Z159" s="1383">
        <f ca="1">IFERROR((Z$81+Z$82-Z$67)/Z$154, "")</f>
        <v>0.10309530544394098</v>
      </c>
      <c r="AA159" s="1383">
        <f ca="1">IFERROR((AA$81+AA$82-AA$67)/AA$154, "")</f>
        <v>0.10639830205084207</v>
      </c>
      <c r="AB159" s="1383">
        <f ca="1">IFERROR((AB$81+AB$82-AB$67)/AB$154, "")</f>
        <v>0.10274399223680235</v>
      </c>
      <c r="AC159" s="1383">
        <f ca="1">IFERROR((AC$81+AC$82-AC$67)/AC$154, "")</f>
        <v>9.9816259262345983E-2</v>
      </c>
      <c r="AD159" s="1382">
        <f ca="1">IFERROR((AD$81+AD$82-AD$67)/AD$154, "")</f>
        <v>9.9283886254935366E-2</v>
      </c>
      <c r="AE159" s="1382">
        <f ca="1">IFERROR((AE$81+AE$82-AE$67)/AE$154, "")</f>
        <v>8.9729236655637507E-2</v>
      </c>
      <c r="AF159" s="1382">
        <f ca="1">IFERROR((AF$81+AF$82-AF$67)/AF$154, "")</f>
        <v>7.3502494823852779E-2</v>
      </c>
      <c r="AG159" s="1384">
        <f ca="1">IFERROR((AG$81+AG$82-AG$67)/AG$154, "")</f>
        <v>4.9836003404322933E-2</v>
      </c>
      <c r="AH159" s="1349"/>
    </row>
    <row r="160" spans="1:34" s="1289" customFormat="1" ht="14.25" customHeight="1" x14ac:dyDescent="0.35">
      <c r="A160" s="1373"/>
      <c r="B160" s="1374"/>
      <c r="C160" s="1358"/>
      <c r="D160" s="1375"/>
      <c r="E160" s="1375"/>
      <c r="F160" s="1376"/>
      <c r="G160" s="1376"/>
      <c r="H160" s="1376"/>
      <c r="I160" s="1376"/>
      <c r="J160" s="1375"/>
      <c r="K160" s="1376"/>
      <c r="L160" s="1376"/>
      <c r="M160" s="1376"/>
      <c r="N160" s="1376"/>
      <c r="O160" s="1375"/>
      <c r="P160" s="1376"/>
      <c r="Q160" s="1376"/>
      <c r="R160" s="1376"/>
      <c r="S160" s="1376"/>
      <c r="T160" s="1375"/>
      <c r="U160" s="1376"/>
      <c r="V160" s="1376"/>
      <c r="W160" s="1376"/>
      <c r="X160" s="1376"/>
      <c r="Y160" s="1375"/>
      <c r="Z160" s="1376"/>
      <c r="AA160" s="1376"/>
      <c r="AB160" s="1376"/>
      <c r="AC160" s="1376"/>
      <c r="AD160" s="1375"/>
      <c r="AE160" s="1375"/>
      <c r="AF160" s="1375"/>
      <c r="AG160" s="1377"/>
      <c r="AH160" s="1349"/>
    </row>
    <row r="161" spans="1:34" s="1264" customFormat="1" ht="14.25" customHeight="1" x14ac:dyDescent="0.35">
      <c r="A161" s="1378" t="s">
        <v>1241</v>
      </c>
      <c r="B161" s="1379"/>
      <c r="C161" s="1358"/>
      <c r="D161" s="1261">
        <f ca="1">IFERROR((D$154-D$150)/D$17, "")</f>
        <v>13.415899419340004</v>
      </c>
      <c r="E161" s="1261">
        <f ca="1">IFERROR((E$154-E$150)/E$17, "")</f>
        <v>15.030387397141618</v>
      </c>
      <c r="F161" s="1293" t="str">
        <f ca="1">IFERROR((F$154-F$150)/F$17, "")</f>
        <v/>
      </c>
      <c r="G161" s="1293" t="str">
        <f ca="1">IFERROR((G$154-G$150)/G$17, "")</f>
        <v/>
      </c>
      <c r="H161" s="1293" t="str">
        <f ca="1">IFERROR((H$154-H$150)/H$17, "")</f>
        <v/>
      </c>
      <c r="I161" s="1293">
        <f ca="1">IFERROR((I$154-I$150)/I$17, "")</f>
        <v>13.720140057355973</v>
      </c>
      <c r="J161" s="1261">
        <f ca="1">IFERROR((J$154-J$150)/J$17, "")</f>
        <v>14.571963461167829</v>
      </c>
      <c r="K161" s="1293">
        <f ca="1">IFERROR((K$154-K$150)/K$17, "")</f>
        <v>14.359467375174571</v>
      </c>
      <c r="L161" s="1293">
        <f ca="1">IFERROR((L$154-L$150)/L$17, "")</f>
        <v>14.275891906119217</v>
      </c>
      <c r="M161" s="1293">
        <f ca="1">IFERROR((M$154-M$150)/M$17, "")</f>
        <v>13.060301866902064</v>
      </c>
      <c r="N161" s="1293">
        <f ca="1">IFERROR((N$154-N$150)/N$17, "")</f>
        <v>14.194359328579917</v>
      </c>
      <c r="O161" s="1261">
        <f ca="1">IFERROR((O$154-O$150)/O$17, "")</f>
        <v>15.094720603797088</v>
      </c>
      <c r="P161" s="1293">
        <f ca="1">IFERROR((P$154-P$150)/P$17, "")</f>
        <v>13.365412400833646</v>
      </c>
      <c r="Q161" s="1293">
        <f ca="1">IFERROR((Q$154-Q$150)/Q$17, "")</f>
        <v>12.958315350032095</v>
      </c>
      <c r="R161" s="1293">
        <f ca="1">IFERROR((R$154-R$150)/R$17, "")</f>
        <v>13.374388347205707</v>
      </c>
      <c r="S161" s="1293">
        <f ca="1">IFERROR((S$154-S$150)/S$17, "")</f>
        <v>13.406079240434037</v>
      </c>
      <c r="T161" s="1261">
        <f ca="1">IFERROR((T$154-T$150)/T$17, "")</f>
        <v>12.703513901260253</v>
      </c>
      <c r="U161" s="1293">
        <f ca="1">IFERROR((U$154-U$150)/U$17, "")</f>
        <v>13.454416100593122</v>
      </c>
      <c r="V161" s="1293">
        <f ca="1">IFERROR((V$154-V$150)/V$17, "")</f>
        <v>14.214171467750166</v>
      </c>
      <c r="W161" s="1293">
        <f ca="1">IFERROR((W$154-W$150)/W$17, "")</f>
        <v>13.995017478847476</v>
      </c>
      <c r="X161" s="1293">
        <f ca="1">IFERROR((X$154-X$150)/X$17, "")</f>
        <v>13.590702114245204</v>
      </c>
      <c r="Y161" s="1261">
        <f ca="1">IFERROR((Y$154-Y$150)/Y$17, "")</f>
        <v>13.669581891275605</v>
      </c>
      <c r="Z161" s="1293">
        <f ca="1">IFERROR((Z$154-Z$150)/Z$17, "")</f>
        <v>13.200466789405677</v>
      </c>
      <c r="AA161" s="1293">
        <f ca="1">IFERROR((AA$154-AA$150)/AA$17, "")</f>
        <v>12.832303582125462</v>
      </c>
      <c r="AB161" s="1293">
        <f ca="1">IFERROR((AB$154-AB$150)/AB$17, "")</f>
        <v>12.630004060193784</v>
      </c>
      <c r="AC161" s="1293">
        <f ca="1">IFERROR((AC$154-AC$150)/AC$17, "")</f>
        <v>12.296786386310716</v>
      </c>
      <c r="AD161" s="1261">
        <f ca="1">IFERROR((AD$154-AD$150)/AD$17, "")</f>
        <v>12.363175358349066</v>
      </c>
      <c r="AE161" s="1261">
        <f ca="1">IFERROR((AE$154-AE$150)/AE$17, "")</f>
        <v>11.122157881474447</v>
      </c>
      <c r="AF161" s="1261">
        <f ca="1">IFERROR((AF$154-AF$150)/AF$17, "")</f>
        <v>9.9999697039793958</v>
      </c>
      <c r="AG161" s="1263">
        <f ca="1">IFERROR((AG$154-AG$150)/AG$17, "")</f>
        <v>8.9283656077834461</v>
      </c>
      <c r="AH161" s="1349"/>
    </row>
    <row r="162" spans="1:34" s="1264" customFormat="1" ht="14.25" customHeight="1" x14ac:dyDescent="0.35">
      <c r="A162" s="1378" t="s">
        <v>1242</v>
      </c>
      <c r="B162" s="1379"/>
      <c r="C162" s="1358"/>
      <c r="D162" s="1261">
        <f ca="1">IFERROR((D$154-D$150)/D$15, "")</f>
        <v>3.8751893868942848</v>
      </c>
      <c r="E162" s="1261">
        <f ca="1">IFERROR((E$154-E$150)/E$15, "")</f>
        <v>4.3851488770256184</v>
      </c>
      <c r="F162" s="1293" t="str">
        <f ca="1">IFERROR((F$154-F$150)/F$15, "")</f>
        <v/>
      </c>
      <c r="G162" s="1293" t="str">
        <f ca="1">IFERROR((G$154-G$150)/G$15, "")</f>
        <v/>
      </c>
      <c r="H162" s="1293" t="str">
        <f ca="1">IFERROR((H$154-H$150)/H$15, "")</f>
        <v/>
      </c>
      <c r="I162" s="1293">
        <f ca="1">IFERROR((I$154-I$150)/I$15, "")</f>
        <v>4.0165903686909354</v>
      </c>
      <c r="J162" s="1261">
        <f ca="1">IFERROR((J$154-J$150)/J$15, "")</f>
        <v>4.2659628725628513</v>
      </c>
      <c r="K162" s="1293">
        <f ca="1">IFERROR((K$154-K$150)/K$15, "")</f>
        <v>4.1533705171409103</v>
      </c>
      <c r="L162" s="1293">
        <f ca="1">IFERROR((L$154-L$150)/L$15, "")</f>
        <v>3.8449960647211632</v>
      </c>
      <c r="M162" s="1293">
        <f ca="1">IFERROR((M$154-M$150)/M$15, "")</f>
        <v>3.4997687236080695</v>
      </c>
      <c r="N162" s="1293">
        <f ca="1">IFERROR((N$154-N$150)/N$15, "")</f>
        <v>3.7168762058127958</v>
      </c>
      <c r="O162" s="1261">
        <f ca="1">IFERROR((O$154-O$150)/O$15, "")</f>
        <v>3.9526410841720341</v>
      </c>
      <c r="P162" s="1293">
        <f ca="1">IFERROR((P$154-P$150)/P$15, "")</f>
        <v>3.5045575610198774</v>
      </c>
      <c r="Q162" s="1293">
        <f ca="1">IFERROR((Q$154-Q$150)/Q$15, "")</f>
        <v>3.4320751017978033</v>
      </c>
      <c r="R162" s="1293">
        <f ca="1">IFERROR((R$154-R$150)/R$15, "")</f>
        <v>3.5468783425832493</v>
      </c>
      <c r="S162" s="1293">
        <f ca="1">IFERROR((S$154-S$150)/S$15, "")</f>
        <v>3.6468501040889878</v>
      </c>
      <c r="T162" s="1261">
        <f ca="1">IFERROR((T$154-T$150)/T$15, "")</f>
        <v>3.4557315500103627</v>
      </c>
      <c r="U162" s="1293">
        <f ca="1">IFERROR((U$154-U$150)/U$15, "")</f>
        <v>3.7109859457066765</v>
      </c>
      <c r="V162" s="1293">
        <f ca="1">IFERROR((V$154-V$150)/V$15, "")</f>
        <v>3.9567479758964561</v>
      </c>
      <c r="W162" s="1293">
        <f ca="1">IFERROR((W$154-W$150)/W$15, "")</f>
        <v>3.8802698606395567</v>
      </c>
      <c r="X162" s="1293">
        <f ca="1">IFERROR((X$154-X$150)/X$15, "")</f>
        <v>3.8107669023347288</v>
      </c>
      <c r="Y162" s="1261">
        <f ca="1">IFERROR((Y$154-Y$150)/Y$15, "")</f>
        <v>3.8328844089244676</v>
      </c>
      <c r="Z162" s="1293">
        <f ca="1">IFERROR((Z$154-Z$150)/Z$15, "")</f>
        <v>3.7211038299550476</v>
      </c>
      <c r="AA162" s="1293">
        <f ca="1">IFERROR((AA$154-AA$150)/AA$15, "")</f>
        <v>3.6686630790339785</v>
      </c>
      <c r="AB162" s="1293">
        <f ca="1">IFERROR((AB$154-AB$150)/AB$15, "")</f>
        <v>3.582167793547427</v>
      </c>
      <c r="AC162" s="1293">
        <f ca="1">IFERROR((AC$154-AC$150)/AC$15, "")</f>
        <v>3.4999846452990506</v>
      </c>
      <c r="AD162" s="1261">
        <f ca="1">IFERROR((AD$154-AD$150)/AD$15, "")</f>
        <v>3.5188806702808368</v>
      </c>
      <c r="AE162" s="1261">
        <f ca="1">IFERROR((AE$154-AE$150)/AE$15, "")</f>
        <v>3.2042746141030118</v>
      </c>
      <c r="AF162" s="1261">
        <f ca="1">IFERROR((AF$154-AF$150)/AF$15, "")</f>
        <v>2.9171321891730297</v>
      </c>
      <c r="AG162" s="1263">
        <f ca="1">IFERROR((AG$154-AG$150)/AG$15, "")</f>
        <v>2.6380120854454194</v>
      </c>
      <c r="AH162" s="1349"/>
    </row>
    <row r="163" spans="1:34" s="1247" customFormat="1" ht="14.25" customHeight="1" x14ac:dyDescent="0.35">
      <c r="A163" s="1380" t="s">
        <v>1243</v>
      </c>
      <c r="B163" s="1381"/>
      <c r="C163" s="1358"/>
      <c r="D163" s="1382">
        <f ca="1">IFERROR(D$81/(D$154-D$150), "")</f>
        <v>9.984737728440754E-2</v>
      </c>
      <c r="E163" s="1382">
        <f ca="1">IFERROR(E$81/(E$154-E$150), "")</f>
        <v>0.10048216310860593</v>
      </c>
      <c r="F163" s="1383">
        <f ca="1">IFERROR(F$81/(F$154-F$150), "")</f>
        <v>9.9835038101631995E-2</v>
      </c>
      <c r="G163" s="1383">
        <f ca="1">IFERROR(G$81/(G$154-G$150), "")</f>
        <v>0.10684799198131054</v>
      </c>
      <c r="H163" s="1383">
        <f ca="1">IFERROR(H$81/(H$154-H$150), "")</f>
        <v>0.10873248106949614</v>
      </c>
      <c r="I163" s="1383">
        <f ca="1">IFERROR(I$81/(I$154-I$150), "")</f>
        <v>0.11110639709715683</v>
      </c>
      <c r="J163" s="1382">
        <f ca="1">IFERROR(J$81/(J$154-J$150), "")</f>
        <v>0.10461152565359456</v>
      </c>
      <c r="K163" s="1383">
        <f ca="1">IFERROR(K$81/(K$154-K$150), "")</f>
        <v>0.1218354631792668</v>
      </c>
      <c r="L163" s="1383">
        <f ca="1">IFERROR(L$81/(L$154-L$150), "")</f>
        <v>0.12793867122991739</v>
      </c>
      <c r="M163" s="1383">
        <f ca="1">IFERROR(M$81/(M$154-M$150), "")</f>
        <v>0.17373684788386815</v>
      </c>
      <c r="N163" s="1383">
        <f ca="1">IFERROR(N$81/(N$154-N$150), "")</f>
        <v>0.1700607746666794</v>
      </c>
      <c r="O163" s="1382">
        <f ca="1">IFERROR(O$81/(O$154-O$150), "")</f>
        <v>0.15991708668713542</v>
      </c>
      <c r="P163" s="1383">
        <f ca="1">IFERROR(P$81/(P$154-P$150), "")</f>
        <v>0.19842910135884165</v>
      </c>
      <c r="Q163" s="1383">
        <f ca="1">IFERROR(Q$81/(Q$154-Q$150), "")</f>
        <v>0.19294489910511459</v>
      </c>
      <c r="R163" s="1383">
        <f ca="1">IFERROR(R$81/(R$154-R$150), "")</f>
        <v>0.1742375790112477</v>
      </c>
      <c r="S163" s="1383">
        <f ca="1">IFERROR(S$81/(S$154-S$150), "")</f>
        <v>0.16013431174872411</v>
      </c>
      <c r="T163" s="1382">
        <f ca="1">IFERROR(T$81/(T$154-T$150), "")</f>
        <v>0.16899050838231394</v>
      </c>
      <c r="U163" s="1383">
        <f ca="1">IFERROR(U$81/(U$154-U$150), "")</f>
        <v>0.14869095615467573</v>
      </c>
      <c r="V163" s="1383">
        <f ca="1">IFERROR(V$81/(V$154-V$150), "")</f>
        <v>0.13740348375170092</v>
      </c>
      <c r="W163" s="1383">
        <f ca="1">IFERROR(W$81/(W$154-W$150), "")</f>
        <v>0.13847418031846045</v>
      </c>
      <c r="X163" s="1383">
        <f ca="1">IFERROR(X$81/(X$154-X$150), "")</f>
        <v>0.1393555839892559</v>
      </c>
      <c r="Y163" s="1382">
        <f ca="1">IFERROR(Y$81/(Y$154-Y$150), "")</f>
        <v>0.13855143815067472</v>
      </c>
      <c r="Z163" s="1383">
        <f ca="1">IFERROR(Z$81/(Z$154-Z$150), "")</f>
        <v>0.14012279748596487</v>
      </c>
      <c r="AA163" s="1383">
        <f ca="1">IFERROR(AA$81/(AA$154-AA$150), "")</f>
        <v>0.14015703127242352</v>
      </c>
      <c r="AB163" s="1383">
        <f ca="1">IFERROR(AB$81/(AB$154-AB$150), "")</f>
        <v>0.14129452915642096</v>
      </c>
      <c r="AC163" s="1383">
        <f ca="1">IFERROR(AC$81/(AC$154-AC$150), "")</f>
        <v>0.14232552147684011</v>
      </c>
      <c r="AD163" s="1382">
        <f ca="1">IFERROR(AD$81/(AD$154-AD$150), "")</f>
        <v>0.14156124815774584</v>
      </c>
      <c r="AE163" s="1382">
        <f ca="1">IFERROR(AE$81/(AE$154-AE$150), "")</f>
        <v>0.14605790211494984</v>
      </c>
      <c r="AF163" s="1382">
        <f ca="1">IFERROR(AF$81/(AF$154-AF$150), "")</f>
        <v>0.15070781315638015</v>
      </c>
      <c r="AG163" s="1384">
        <f ca="1">IFERROR(AG$81/(AG$154-AG$150), "")</f>
        <v>0.15652499155328251</v>
      </c>
      <c r="AH163" s="1349"/>
    </row>
    <row r="164" spans="1:34" s="1247" customFormat="1" ht="14.25" customHeight="1" x14ac:dyDescent="0.35">
      <c r="A164" s="1380" t="s">
        <v>1244</v>
      </c>
      <c r="B164" s="1381"/>
      <c r="C164" s="1358"/>
      <c r="D164" s="1382">
        <f ca="1">IFERROR((D$81-D$67)/(D$154-D$150), "")</f>
        <v>7.6895336394481067E-2</v>
      </c>
      <c r="E164" s="1382">
        <f ca="1">IFERROR((E$81-E$67)/(E$154-E$150), "")</f>
        <v>7.0738751288731111E-2</v>
      </c>
      <c r="F164" s="1383">
        <f ca="1">IFERROR((F$81-F$67)/(F$154-F$150), "")</f>
        <v>7.3728749402642027E-2</v>
      </c>
      <c r="G164" s="1383">
        <f ca="1">IFERROR((G$81-G$67)/(G$154-G$150), "")</f>
        <v>8.3401631870252249E-2</v>
      </c>
      <c r="H164" s="1383">
        <f ca="1">IFERROR((H$81-H$67)/(H$154-H$150), "")</f>
        <v>8.2929939589782078E-2</v>
      </c>
      <c r="I164" s="1383">
        <f ca="1">IFERROR((I$81-I$67)/(I$154-I$150), "")</f>
        <v>8.6540196726817079E-2</v>
      </c>
      <c r="J164" s="1382">
        <f ca="1">IFERROR((J$81-J$67)/(J$154-J$150), "")</f>
        <v>8.1481375028640987E-2</v>
      </c>
      <c r="K164" s="1383">
        <f ca="1">IFERROR((K$81-K$67)/(K$154-K$150), "")</f>
        <v>9.5957521488716363E-2</v>
      </c>
      <c r="L164" s="1383">
        <f ca="1">IFERROR((L$81-L$67)/(L$154-L$150), "")</f>
        <v>0.10375287155669247</v>
      </c>
      <c r="M164" s="1383">
        <f ca="1">IFERROR((M$81-M$67)/(M$154-M$150), "")</f>
        <v>0.10437259682019714</v>
      </c>
      <c r="N164" s="1383">
        <f ca="1">IFERROR((N$81-N$67)/(N$154-N$150), "")</f>
        <v>0.14954096180260068</v>
      </c>
      <c r="O164" s="1382">
        <f ca="1">IFERROR((O$81-O$67)/(O$154-O$150), "")</f>
        <v>0.14062122790358947</v>
      </c>
      <c r="P164" s="1383">
        <f ca="1">IFERROR((P$81-P$67)/(P$154-P$150), "")</f>
        <v>0.15893734377788882</v>
      </c>
      <c r="Q164" s="1383">
        <f ca="1">IFERROR((Q$81-Q$67)/(Q$154-Q$150), "")</f>
        <v>0.15144157960779056</v>
      </c>
      <c r="R164" s="1383">
        <f ca="1">IFERROR((R$81-R$67)/(R$154-R$150), "")</f>
        <v>0.13368764545321624</v>
      </c>
      <c r="S164" s="1383">
        <f ca="1">IFERROR((S$81-S$67)/(S$154-S$150), "")</f>
        <v>0.11721030735446648</v>
      </c>
      <c r="T164" s="1382">
        <f ca="1">IFERROR((T$81-T$67)/(T$154-T$150), "")</f>
        <v>0.12369260036262265</v>
      </c>
      <c r="U164" s="1383">
        <f ca="1">IFERROR((U$81-U$67)/(U$154-U$150), "")</f>
        <v>0.10669252640999166</v>
      </c>
      <c r="V164" s="1383">
        <f ca="1">IFERROR((V$81-V$67)/(V$154-V$150), "")</f>
        <v>0.1034603267754903</v>
      </c>
      <c r="W164" s="1383">
        <f ca="1">IFERROR((W$81-W$67)/(W$154-W$150), "")</f>
        <v>0.10031900068526241</v>
      </c>
      <c r="X164" s="1383">
        <f ca="1">IFERROR((X$81-X$67)/(X$154-X$150), "")</f>
        <v>9.8461731388991253E-2</v>
      </c>
      <c r="Y164" s="1382">
        <f ca="1">IFERROR((Y$81-Y$67)/(Y$154-Y$150), "")</f>
        <v>9.7893561895603318E-2</v>
      </c>
      <c r="Z164" s="1383">
        <f ca="1">IFERROR((Z$81-Z$67)/(Z$154-Z$150), "")</f>
        <v>9.704192268073468E-2</v>
      </c>
      <c r="AA164" s="1383">
        <f ca="1">IFERROR((AA$81-AA$67)/(AA$154-AA$150), "")</f>
        <v>0.10036573837650839</v>
      </c>
      <c r="AB164" s="1383">
        <f ca="1">IFERROR((AB$81-AB$67)/(AB$154-AB$150), "")</f>
        <v>9.6637599105933503E-2</v>
      </c>
      <c r="AC164" s="1383">
        <f ca="1">IFERROR((AC$81-AC$67)/(AC$154-AC$150), "")</f>
        <v>9.3645238785901141E-2</v>
      </c>
      <c r="AD164" s="1382">
        <f ca="1">IFERROR((AD$81-AD$67)/(AD$154-AD$150), "")</f>
        <v>9.3142373546261592E-2</v>
      </c>
      <c r="AE164" s="1382">
        <f ca="1">IFERROR((AE$81-AE$67)/(AE$154-AE$150), "")</f>
        <v>8.3325422913273689E-2</v>
      </c>
      <c r="AF164" s="1382">
        <f ca="1">IFERROR((AF$81-AF$67)/(AF$154-AF$150), "")</f>
        <v>6.6777018291145532E-2</v>
      </c>
      <c r="AG164" s="1384">
        <f ca="1">IFERROR((AG$81-AG$67)/(AG$154-AG$150), "")</f>
        <v>4.2672502853916515E-2</v>
      </c>
      <c r="AH164" s="1349"/>
    </row>
    <row r="165" spans="1:34" s="1289" customFormat="1" ht="14.25" customHeight="1" x14ac:dyDescent="0.35">
      <c r="A165" s="1373"/>
      <c r="B165" s="1374"/>
      <c r="C165" s="1358"/>
      <c r="D165" s="1375"/>
      <c r="E165" s="1375"/>
      <c r="F165" s="1376"/>
      <c r="G165" s="1376"/>
      <c r="H165" s="1376"/>
      <c r="I165" s="1376"/>
      <c r="J165" s="1375"/>
      <c r="K165" s="1376"/>
      <c r="L165" s="1376"/>
      <c r="M165" s="1376"/>
      <c r="N165" s="1376"/>
      <c r="O165" s="1375"/>
      <c r="P165" s="1376"/>
      <c r="Q165" s="1376"/>
      <c r="R165" s="1376"/>
      <c r="S165" s="1376"/>
      <c r="T165" s="1375"/>
      <c r="U165" s="1376"/>
      <c r="V165" s="1376"/>
      <c r="W165" s="1376"/>
      <c r="X165" s="1376"/>
      <c r="Y165" s="1375"/>
      <c r="Z165" s="1376"/>
      <c r="AA165" s="1376"/>
      <c r="AB165" s="1376"/>
      <c r="AC165" s="1376"/>
      <c r="AD165" s="1375"/>
      <c r="AE165" s="1375"/>
      <c r="AF165" s="1375"/>
      <c r="AG165" s="1377"/>
      <c r="AH165" s="1349"/>
    </row>
    <row r="166" spans="1:34" s="1264" customFormat="1" ht="14.25" customHeight="1" x14ac:dyDescent="0.35">
      <c r="A166" s="1378" t="s">
        <v>1130</v>
      </c>
      <c r="B166" s="1379"/>
      <c r="C166" s="1385"/>
      <c r="D166" s="1261">
        <f ca="1">IFERROR(D$148/D$22, "")</f>
        <v>20.523381633663369</v>
      </c>
      <c r="E166" s="1261">
        <f ca="1">IFERROR(E$148/E$22, "")</f>
        <v>22.299227402135234</v>
      </c>
      <c r="F166" s="1293" t="str">
        <f ca="1">IFERROR(F$148/F$22, "")</f>
        <v/>
      </c>
      <c r="G166" s="1293" t="str">
        <f ca="1">IFERROR(G$148/G$22, "")</f>
        <v/>
      </c>
      <c r="H166" s="1293" t="str">
        <f ca="1">IFERROR(H$148/H$22, "")</f>
        <v/>
      </c>
      <c r="I166" s="1293">
        <f ca="1">IFERROR(I$148/I$22, "")</f>
        <v>18.614072030207865</v>
      </c>
      <c r="J166" s="1261">
        <f ca="1">IFERROR(J$148/J$22, "")</f>
        <v>19.912037096032062</v>
      </c>
      <c r="K166" s="1293">
        <f ca="1">IFERROR(K$148/K$22, "")</f>
        <v>19.50864936277716</v>
      </c>
      <c r="L166" s="1293">
        <f ca="1">IFERROR(L$148/L$22, "")</f>
        <v>19.752071857139978</v>
      </c>
      <c r="M166" s="1293">
        <f ca="1">IFERROR(M$148/M$22, "")</f>
        <v>17.972088144127948</v>
      </c>
      <c r="N166" s="1293">
        <f ca="1">IFERROR(N$148/N$22, "")</f>
        <v>18.796366984402081</v>
      </c>
      <c r="O166" s="1261">
        <f ca="1">IFERROR(O$148/O$22, "")</f>
        <v>20.255357958974098</v>
      </c>
      <c r="P166" s="1293">
        <f ca="1">IFERROR(P$148/P$22, "")</f>
        <v>17.803352400052731</v>
      </c>
      <c r="Q166" s="1293">
        <f ca="1">IFERROR(Q$148/Q$22, "")</f>
        <v>17.772152419627719</v>
      </c>
      <c r="R166" s="1293">
        <f ca="1">IFERROR(R$148/R$22, "")</f>
        <v>19.383451799751757</v>
      </c>
      <c r="S166" s="1293">
        <f ca="1">IFERROR(S$148/S$22, "")</f>
        <v>19.486089573506288</v>
      </c>
      <c r="T166" s="1261">
        <f ca="1">IFERROR(T$148/T$22, "")</f>
        <v>18.276978027817123</v>
      </c>
      <c r="U166" s="1293">
        <f ca="1">IFERROR(U$148/U$22, "")</f>
        <v>19.23142117451302</v>
      </c>
      <c r="V166" s="1293">
        <f ca="1">IFERROR(V$148/V$22, "")</f>
        <v>20.177944165261341</v>
      </c>
      <c r="W166" s="1293">
        <f ca="1">IFERROR(W$148/W$22, "")</f>
        <v>19.750426885755573</v>
      </c>
      <c r="X166" s="1293">
        <f ca="1">IFERROR(X$148/X$22, "")</f>
        <v>18.995243435597985</v>
      </c>
      <c r="Y166" s="1261">
        <f ca="1">IFERROR(Y$148/Y$22, "")</f>
        <v>19.122169249389042</v>
      </c>
      <c r="Z166" s="1293">
        <f ca="1">IFERROR(Z$148/Z$22, "")</f>
        <v>18.717728000083948</v>
      </c>
      <c r="AA166" s="1293">
        <f ca="1">IFERROR(AA$148/AA$22, "")</f>
        <v>17.981320922009964</v>
      </c>
      <c r="AB166" s="1293">
        <f ca="1">IFERROR(AB$148/AB$22, "")</f>
        <v>17.727983699083019</v>
      </c>
      <c r="AC166" s="1293">
        <f ca="1">IFERROR(AC$148/AC$22, "")</f>
        <v>17.221269623953109</v>
      </c>
      <c r="AD166" s="1261">
        <f ca="1">IFERROR(AD$148/AD$22, "")</f>
        <v>17.327806127329069</v>
      </c>
      <c r="AE166" s="1261">
        <f ca="1">IFERROR(AE$148/AE$22, "")</f>
        <v>15.440662213445684</v>
      </c>
      <c r="AF166" s="1261">
        <f ca="1">IFERROR(AF$148/AF$22, "")</f>
        <v>13.868588792392151</v>
      </c>
      <c r="AG166" s="1263">
        <f ca="1">IFERROR(AG$148/AG$22, "")</f>
        <v>12.479747668813461</v>
      </c>
      <c r="AH166" s="1349"/>
    </row>
    <row r="167" spans="1:34" s="1264" customFormat="1" ht="14.25" customHeight="1" x14ac:dyDescent="0.35">
      <c r="A167" s="1378" t="s">
        <v>1245</v>
      </c>
      <c r="B167" s="1379"/>
      <c r="C167" s="1385"/>
      <c r="D167" s="1261">
        <f ca="1">IFERROR(D$148/D$86, "")</f>
        <v>10.064388934744612</v>
      </c>
      <c r="E167" s="1261">
        <f ca="1">IFERROR(E$148/E$86, "")</f>
        <v>10.838161203839835</v>
      </c>
      <c r="F167" s="1293">
        <f ca="1">IFERROR(F$148/F$86, "")</f>
        <v>12.92254324347331</v>
      </c>
      <c r="G167" s="1293">
        <f ca="1">IFERROR(G$148/G$86, "")</f>
        <v>11.696539444464545</v>
      </c>
      <c r="H167" s="1293">
        <f ca="1">IFERROR(H$148/H$86, "")</f>
        <v>11.901633270634278</v>
      </c>
      <c r="I167" s="1293">
        <f ca="1">IFERROR(I$148/I$86, "")</f>
        <v>11.961574462041497</v>
      </c>
      <c r="J167" s="1261">
        <f ca="1">IFERROR(J$148/J$86, "")</f>
        <v>12.795658791294592</v>
      </c>
      <c r="K167" s="1293">
        <f ca="1">IFERROR(K$148/K$86, "")</f>
        <v>12.212257675925846</v>
      </c>
      <c r="L167" s="1293">
        <f ca="1">IFERROR(L$148/L$86, "")</f>
        <v>10.701732476004731</v>
      </c>
      <c r="M167" s="1293">
        <f ca="1">IFERROR(M$148/M$86, "")</f>
        <v>9.1086344696084822</v>
      </c>
      <c r="N167" s="1293">
        <f ca="1">IFERROR(N$148/N$86, "")</f>
        <v>9.6998443555599732</v>
      </c>
      <c r="O167" s="1261">
        <f ca="1">IFERROR(O$148/O$86, "")</f>
        <v>10.452755031397444</v>
      </c>
      <c r="P167" s="1293">
        <f ca="1">IFERROR(P$148/P$86, "")</f>
        <v>9.0165987960846543</v>
      </c>
      <c r="Q167" s="1293">
        <f ca="1">IFERROR(Q$148/Q$86, "")</f>
        <v>8.0618817966902938</v>
      </c>
      <c r="R167" s="1293">
        <f ca="1">IFERROR(R$148/R$86, "")</f>
        <v>7.8871722222222225</v>
      </c>
      <c r="S167" s="1293">
        <f ca="1">IFERROR(S$148/S$86, "")</f>
        <v>7.7047889143612052</v>
      </c>
      <c r="T167" s="1261">
        <f ca="1">IFERROR(T$148/T$86, "")</f>
        <v>7.2272685323333734</v>
      </c>
      <c r="U167" s="1293">
        <f ca="1">IFERROR(U$148/U$86, "")</f>
        <v>7.6282773815764582</v>
      </c>
      <c r="V167" s="1293">
        <f ca="1">IFERROR(V$148/V$86, "")</f>
        <v>8.3501074445722132</v>
      </c>
      <c r="W167" s="1293">
        <f ca="1">IFERROR(W$148/W$86, "")</f>
        <v>8.1885217976607354</v>
      </c>
      <c r="X167" s="1293">
        <f ca="1">IFERROR(X$148/X$86, "")</f>
        <v>7.9834579025400076</v>
      </c>
      <c r="Y167" s="1261">
        <f ca="1">IFERROR(Y$148/Y$86, "")</f>
        <v>8.0368031989339208</v>
      </c>
      <c r="Z167" s="1293">
        <f ca="1">IFERROR(Z$148/Z$86, "")</f>
        <v>7.6917612132608859</v>
      </c>
      <c r="AA167" s="1293">
        <f ca="1">IFERROR(AA$148/AA$86, "")</f>
        <v>7.5713401604867716</v>
      </c>
      <c r="AB167" s="1293">
        <f ca="1">IFERROR(AB$148/AB$86, "")</f>
        <v>7.3977693164446796</v>
      </c>
      <c r="AC167" s="1293">
        <f ca="1">IFERROR(AC$148/AC$86, "")</f>
        <v>7.1469058700518806</v>
      </c>
      <c r="AD167" s="1261">
        <f ca="1">IFERROR(AD$148/AD$86, "")</f>
        <v>7.1911190075254048</v>
      </c>
      <c r="AE167" s="1261">
        <f ca="1">IFERROR(AE$148/AE$86, "")</f>
        <v>6.1995272016575731</v>
      </c>
      <c r="AF167" s="1261">
        <f ca="1">IFERROR(AF$148/AF$86, "")</f>
        <v>5.2646007646154951</v>
      </c>
      <c r="AG167" s="1263">
        <f ca="1">IFERROR(AG$148/AG$86, "")</f>
        <v>4.4129502413850421</v>
      </c>
      <c r="AH167" s="1349"/>
    </row>
    <row r="168" spans="1:34" s="1264" customFormat="1" ht="14.25" customHeight="1" x14ac:dyDescent="0.35">
      <c r="A168" s="1378" t="s">
        <v>1132</v>
      </c>
      <c r="B168" s="1379"/>
      <c r="C168" s="1385"/>
      <c r="D168" s="1261">
        <f ca="1">IFERROR(D$148/D$15, "")</f>
        <v>3.4422623551097682</v>
      </c>
      <c r="E168" s="1261">
        <f ca="1">IFERROR(E$148/E$15, "")</f>
        <v>3.9587344978993593</v>
      </c>
      <c r="F168" s="1293" t="str">
        <f ca="1">IFERROR(F$148/F$15, "")</f>
        <v/>
      </c>
      <c r="G168" s="1293" t="str">
        <f ca="1">IFERROR(G$148/G$15, "")</f>
        <v/>
      </c>
      <c r="H168" s="1293" t="str">
        <f ca="1">IFERROR(H$148/H$15, "")</f>
        <v/>
      </c>
      <c r="I168" s="1293">
        <f ca="1">IFERROR(I$148/I$15, "")</f>
        <v>3.5762424364461625</v>
      </c>
      <c r="J168" s="1261">
        <f ca="1">IFERROR(J$148/J$15, "")</f>
        <v>3.8256149403180779</v>
      </c>
      <c r="K168" s="1293">
        <f ca="1">IFERROR(K$148/K$15, "")</f>
        <v>3.6629222945752233</v>
      </c>
      <c r="L168" s="1293">
        <f ca="1">IFERROR(L$148/L$15, "")</f>
        <v>3.3583009727539044</v>
      </c>
      <c r="M168" s="1293">
        <f ca="1">IFERROR(M$148/M$15, "")</f>
        <v>3.0491274974585543</v>
      </c>
      <c r="N168" s="1293">
        <f ca="1">IFERROR(N$148/N$15, "")</f>
        <v>3.037389026325616</v>
      </c>
      <c r="O168" s="1261">
        <f ca="1">IFERROR(O$148/O$15, "")</f>
        <v>3.2731539046848548</v>
      </c>
      <c r="P168" s="1293">
        <f ca="1">IFERROR(P$148/P$15, "")</f>
        <v>2.8283488309592864</v>
      </c>
      <c r="Q168" s="1293">
        <f ca="1">IFERROR(Q$148/Q$15, "")</f>
        <v>2.7916898117139195</v>
      </c>
      <c r="R168" s="1293">
        <f ca="1">IFERROR(R$148/R$15, "")</f>
        <v>2.9547050327951565</v>
      </c>
      <c r="S168" s="1293">
        <f ca="1">IFERROR(S$148/S$15, "")</f>
        <v>3.0805749363037531</v>
      </c>
      <c r="T168" s="1261">
        <f ca="1">IFERROR(T$148/T$15, "")</f>
        <v>2.8894253108853318</v>
      </c>
      <c r="U168" s="1293">
        <f ca="1">IFERROR(U$148/U$15, "")</f>
        <v>3.1846206544445406</v>
      </c>
      <c r="V168" s="1293">
        <f ca="1">IFERROR(V$148/V$15, "")</f>
        <v>3.4188698839207619</v>
      </c>
      <c r="W168" s="1293">
        <f ca="1">IFERROR(W$148/W$15, "")</f>
        <v>3.3639953010107129</v>
      </c>
      <c r="X168" s="1293">
        <f ca="1">IFERROR(X$148/X$15, "")</f>
        <v>3.3100234641956181</v>
      </c>
      <c r="Y168" s="1261">
        <f ca="1">IFERROR(Y$148/Y$15, "")</f>
        <v>3.3321409707853564</v>
      </c>
      <c r="Z168" s="1293">
        <f ca="1">IFERROR(Z$148/Z$15, "")</f>
        <v>3.2367507490469327</v>
      </c>
      <c r="AA168" s="1293">
        <f ca="1">IFERROR(AA$148/AA$15, "")</f>
        <v>3.178912239355439</v>
      </c>
      <c r="AB168" s="1293">
        <f ca="1">IFERROR(AB$148/AB$15, "")</f>
        <v>3.1163553552927925</v>
      </c>
      <c r="AC168" s="1293">
        <f ca="1">IFERROR(AC$148/AC$15, "")</f>
        <v>3.0544792697384304</v>
      </c>
      <c r="AD168" s="1261">
        <f ca="1">IFERROR(AD$148/AD$15, "")</f>
        <v>3.0733752947202166</v>
      </c>
      <c r="AE168" s="1261">
        <f ca="1">IFERROR(AE$148/AE$15, "")</f>
        <v>2.8266500689724836</v>
      </c>
      <c r="AF168" s="1261">
        <f ca="1">IFERROR(AF$148/AF$15, "")</f>
        <v>2.6184150107072934</v>
      </c>
      <c r="AG168" s="1263">
        <f ca="1">IFERROR(AG$148/AG$15, "")</f>
        <v>2.4278376798202923</v>
      </c>
      <c r="AH168" s="1349"/>
    </row>
    <row r="169" spans="1:34" ht="14.25" customHeight="1" x14ac:dyDescent="0.35">
      <c r="A169" s="1386"/>
      <c r="B169" s="1387"/>
      <c r="C169" s="1207"/>
      <c r="D169" s="1265"/>
      <c r="E169" s="1265"/>
      <c r="F169" s="1266"/>
      <c r="G169" s="1266"/>
      <c r="H169" s="1266"/>
      <c r="I169" s="1266"/>
      <c r="J169" s="1265"/>
      <c r="K169" s="1266"/>
      <c r="L169" s="1266"/>
      <c r="M169" s="1266"/>
      <c r="N169" s="1266"/>
      <c r="O169" s="1265"/>
      <c r="P169" s="1266"/>
      <c r="Q169" s="1266"/>
      <c r="R169" s="1266"/>
      <c r="S169" s="1266"/>
      <c r="T169" s="1265"/>
      <c r="U169" s="1266"/>
      <c r="V169" s="1266"/>
      <c r="W169" s="1266"/>
      <c r="X169" s="1266"/>
      <c r="Y169" s="1265"/>
      <c r="Z169" s="1266"/>
      <c r="AA169" s="1266"/>
      <c r="AB169" s="1266"/>
      <c r="AC169" s="1266"/>
      <c r="AD169" s="1265"/>
      <c r="AE169" s="1265"/>
      <c r="AF169" s="1265"/>
      <c r="AG169" s="1267"/>
      <c r="AH169" s="1349"/>
    </row>
    <row r="170" spans="1:34" s="1222" customFormat="1" ht="14.25" customHeight="1" outlineLevel="1" x14ac:dyDescent="0.35">
      <c r="A170" s="1363" t="s">
        <v>115</v>
      </c>
      <c r="B170" s="1364"/>
      <c r="C170" s="1218"/>
      <c r="D170" s="1365">
        <f>D107</f>
        <v>6662</v>
      </c>
      <c r="E170" s="1365">
        <f>E107</f>
        <v>6240</v>
      </c>
      <c r="F170" s="1366">
        <f>F107</f>
        <v>143</v>
      </c>
      <c r="G170" s="1366">
        <f>G107</f>
        <v>1899</v>
      </c>
      <c r="H170" s="1366">
        <f>H107</f>
        <v>2139</v>
      </c>
      <c r="I170" s="1366">
        <f>I107</f>
        <v>2258</v>
      </c>
      <c r="J170" s="1365">
        <f>J107</f>
        <v>6439</v>
      </c>
      <c r="K170" s="1366">
        <f>K107</f>
        <v>1048</v>
      </c>
      <c r="L170" s="1366">
        <f>L107</f>
        <v>1662</v>
      </c>
      <c r="M170" s="1366">
        <f>M107</f>
        <v>2022</v>
      </c>
      <c r="N170" s="1366">
        <f>N107</f>
        <v>2338</v>
      </c>
      <c r="O170" s="1365">
        <f>O107</f>
        <v>7070</v>
      </c>
      <c r="P170" s="1366">
        <f>P107</f>
        <v>1213</v>
      </c>
      <c r="Q170" s="1366">
        <f>Q107</f>
        <v>1905</v>
      </c>
      <c r="R170" s="1366">
        <f>R107</f>
        <v>2480</v>
      </c>
      <c r="S170" s="1366">
        <f>S107</f>
        <v>2515</v>
      </c>
      <c r="T170" s="1365">
        <f>T107</f>
        <v>8113</v>
      </c>
      <c r="U170" s="1366">
        <f>U107</f>
        <v>1688</v>
      </c>
      <c r="V170" s="1366">
        <f>V107</f>
        <v>1186.109731361604</v>
      </c>
      <c r="W170" s="1366">
        <f>W107</f>
        <v>2344.9734734802796</v>
      </c>
      <c r="X170" s="1366">
        <f>X107</f>
        <v>2148.4196673371798</v>
      </c>
      <c r="Y170" s="1365">
        <f>Y107</f>
        <v>7367.5028721790632</v>
      </c>
      <c r="Z170" s="1366">
        <f>Z107</f>
        <v>2073.8618709194066</v>
      </c>
      <c r="AA170" s="1366">
        <f ca="1">AA107</f>
        <v>1387.5211794349166</v>
      </c>
      <c r="AB170" s="1366">
        <f ca="1">AB107</f>
        <v>2396.9960776884459</v>
      </c>
      <c r="AC170" s="1366">
        <f ca="1">AC107</f>
        <v>2281.2835106878711</v>
      </c>
      <c r="AD170" s="1365">
        <f ca="1">AD107</f>
        <v>8139.6626387306387</v>
      </c>
      <c r="AE170" s="1365">
        <f ca="1">AE107</f>
        <v>8775.4070572569672</v>
      </c>
      <c r="AF170" s="1365">
        <f ca="1">AF107</f>
        <v>9455.6741722582938</v>
      </c>
      <c r="AG170" s="1367">
        <f ca="1">AG107</f>
        <v>10196.942538237863</v>
      </c>
      <c r="AH170" s="1349"/>
    </row>
    <row r="171" spans="1:34" s="1222" customFormat="1" ht="14.25" customHeight="1" outlineLevel="1" x14ac:dyDescent="0.35">
      <c r="A171" s="1368" t="s">
        <v>94</v>
      </c>
      <c r="B171" s="1369"/>
      <c r="C171" s="1352"/>
      <c r="D171" s="1370">
        <f>D49</f>
        <v>-1420</v>
      </c>
      <c r="E171" s="1370">
        <f>E49</f>
        <v>-1373</v>
      </c>
      <c r="F171" s="1371">
        <f>F49</f>
        <v>-304</v>
      </c>
      <c r="G171" s="1371">
        <f>G49</f>
        <v>-365</v>
      </c>
      <c r="H171" s="1371">
        <f>H49</f>
        <v>-377</v>
      </c>
      <c r="I171" s="1371">
        <f>I49</f>
        <v>-531</v>
      </c>
      <c r="J171" s="1370">
        <f>J49</f>
        <v>-1577</v>
      </c>
      <c r="K171" s="1371">
        <f>K49</f>
        <v>-391</v>
      </c>
      <c r="L171" s="1371">
        <f>L49</f>
        <v>-421</v>
      </c>
      <c r="M171" s="1371">
        <f>M49</f>
        <v>-349</v>
      </c>
      <c r="N171" s="1371">
        <f>N49</f>
        <v>-538</v>
      </c>
      <c r="O171" s="1370">
        <f>O49</f>
        <v>-1699</v>
      </c>
      <c r="P171" s="1371">
        <f>P49</f>
        <v>-332</v>
      </c>
      <c r="Q171" s="1371">
        <f>Q49</f>
        <v>-379</v>
      </c>
      <c r="R171" s="1371">
        <f>R49</f>
        <v>-368</v>
      </c>
      <c r="S171" s="1371">
        <f>S49</f>
        <v>-422</v>
      </c>
      <c r="T171" s="1370">
        <f>T49</f>
        <v>-1501</v>
      </c>
      <c r="U171" s="1371">
        <f>U49</f>
        <v>-310</v>
      </c>
      <c r="V171" s="1371">
        <f>V49</f>
        <v>-475</v>
      </c>
      <c r="W171" s="1371">
        <f>W49</f>
        <v>-475</v>
      </c>
      <c r="X171" s="1371">
        <f>X49</f>
        <v>-475</v>
      </c>
      <c r="Y171" s="1370">
        <f>Y49</f>
        <v>-1735</v>
      </c>
      <c r="Z171" s="1371">
        <f>Z49</f>
        <v>-475</v>
      </c>
      <c r="AA171" s="1371">
        <f>AA49</f>
        <v>-475</v>
      </c>
      <c r="AB171" s="1371">
        <f>AB49</f>
        <v>-475</v>
      </c>
      <c r="AC171" s="1371">
        <f>AC49</f>
        <v>-475</v>
      </c>
      <c r="AD171" s="1370">
        <f>AD49</f>
        <v>-1900</v>
      </c>
      <c r="AE171" s="1370">
        <f>AE49</f>
        <v>-1900</v>
      </c>
      <c r="AF171" s="1370">
        <f>AF49</f>
        <v>-1900</v>
      </c>
      <c r="AG171" s="1372">
        <f>AG49</f>
        <v>-1900</v>
      </c>
      <c r="AH171" s="1349"/>
    </row>
    <row r="172" spans="1:34" s="1289" customFormat="1" ht="14.25" customHeight="1" x14ac:dyDescent="0.35">
      <c r="A172" s="1373" t="s">
        <v>1113</v>
      </c>
      <c r="B172" s="1374"/>
      <c r="C172" s="1358"/>
      <c r="D172" s="1375">
        <f>D170+D171</f>
        <v>5242</v>
      </c>
      <c r="E172" s="1375">
        <f>E170+E171</f>
        <v>4867</v>
      </c>
      <c r="F172" s="1376">
        <f>F170+F171</f>
        <v>-161</v>
      </c>
      <c r="G172" s="1376">
        <f>G170+G171</f>
        <v>1534</v>
      </c>
      <c r="H172" s="1376">
        <f>H170+H171</f>
        <v>1762</v>
      </c>
      <c r="I172" s="1376">
        <f>I170+I171</f>
        <v>1727</v>
      </c>
      <c r="J172" s="1375">
        <f>J170+J171</f>
        <v>4862</v>
      </c>
      <c r="K172" s="1376">
        <f>K170+K171</f>
        <v>657</v>
      </c>
      <c r="L172" s="1376">
        <f>L170+L171</f>
        <v>1241</v>
      </c>
      <c r="M172" s="1376">
        <f>M170+M171</f>
        <v>1673</v>
      </c>
      <c r="N172" s="1376">
        <f>N170+N171</f>
        <v>1800</v>
      </c>
      <c r="O172" s="1375">
        <f>O170+O171</f>
        <v>5371</v>
      </c>
      <c r="P172" s="1376">
        <f>P170+P171</f>
        <v>881</v>
      </c>
      <c r="Q172" s="1376">
        <f>Q170+Q171</f>
        <v>1526</v>
      </c>
      <c r="R172" s="1376">
        <f>R170+R171</f>
        <v>2112</v>
      </c>
      <c r="S172" s="1376">
        <f>S170+S171</f>
        <v>2093</v>
      </c>
      <c r="T172" s="1375">
        <f>T170+T171</f>
        <v>6612</v>
      </c>
      <c r="U172" s="1376">
        <f>U170+U171</f>
        <v>1378</v>
      </c>
      <c r="V172" s="1376">
        <f>V170+V171</f>
        <v>711.10973136160396</v>
      </c>
      <c r="W172" s="1376">
        <f>W170+W171</f>
        <v>1869.9734734802796</v>
      </c>
      <c r="X172" s="1376">
        <f>X170+X171</f>
        <v>1673.4196673371798</v>
      </c>
      <c r="Y172" s="1375">
        <f>Y170+Y171</f>
        <v>5632.5028721790632</v>
      </c>
      <c r="Z172" s="1376">
        <f>Z170+Z171</f>
        <v>1598.8618709194066</v>
      </c>
      <c r="AA172" s="1376">
        <f ca="1">AA170+AA171</f>
        <v>912.52117943491658</v>
      </c>
      <c r="AB172" s="1376">
        <f ca="1">AB170+AB171</f>
        <v>1921.9960776884459</v>
      </c>
      <c r="AC172" s="1376">
        <f ca="1">AC170+AC171</f>
        <v>1806.2835106878711</v>
      </c>
      <c r="AD172" s="1375">
        <f ca="1">AD170+AD171</f>
        <v>6239.6626387306387</v>
      </c>
      <c r="AE172" s="1375">
        <f ca="1">AE170+AE171</f>
        <v>6875.4070572569672</v>
      </c>
      <c r="AF172" s="1375">
        <f ca="1">AF170+AF171</f>
        <v>7555.6741722582938</v>
      </c>
      <c r="AG172" s="1377">
        <f ca="1">AG170+AG171</f>
        <v>8296.9425382378631</v>
      </c>
      <c r="AH172" s="1349"/>
    </row>
    <row r="173" spans="1:34" s="1289" customFormat="1" ht="14.25" customHeight="1" outlineLevel="1" x14ac:dyDescent="0.35">
      <c r="A173" s="1373" t="str">
        <f>"LTM "&amp;A172</f>
        <v>LTM FCF</v>
      </c>
      <c r="B173" s="1374"/>
      <c r="C173" s="1358"/>
      <c r="D173" s="1375">
        <f>IFERROR(IF(LEFT(D$3,1)="F",D172,
IF(LEFT(D$3,2)="Q1",D172+INDEX(172:172,0,MATCH("Q4-"&amp;RIGHT(D$3,4)-1,$3:$3,0))+INDEX(172:172,0,MATCH("Q3-"&amp;RIGHT(D$3,4)-1,$3:$3,0))+INDEX(172:172,0,MATCH("Q2-"&amp;RIGHT(D$3,4)-1,$3:$3,0)),
IF(LEFT(D$3,2)="Q2",D172+INDEX(172:172,0,MATCH("Q4-"&amp;RIGHT(D$3,4)-1,$3:$3,0))+INDEX(172:172,0,MATCH("Q3-"&amp;RIGHT(D$3,4)-1,$3:$3,0))+INDEX(172:172,0,MATCH("Q1-"&amp;RIGHT(D$3,4),$3:$3,0)),
IF(LEFT(D$3,2)="Q3",D172+INDEX(172:172,0,MATCH("Q4-"&amp;RIGHT(D$3,4)-1,$3:$3,0))+INDEX(172:172,0,MATCH("Q2-"&amp;RIGHT(D$3,4),$3:$3,0))+INDEX(172:172,0,MATCH("Q1-"&amp;RIGHT(D$3,4),$3:$3,0)),
IF(LEFT(D$3,2)="Q4",INDEX(172:172,0,MATCH("FY"&amp;RIGHT(D$3,4),$3:$3,0))))))), "")</f>
        <v>5242</v>
      </c>
      <c r="E173" s="1375">
        <f>IFERROR(IF(LEFT(E$3,1)="F",E172,
IF(LEFT(E$3,2)="Q1",E172+INDEX(172:172,0,MATCH("Q4-"&amp;RIGHT(E$3,4)-1,$3:$3,0))+INDEX(172:172,0,MATCH("Q3-"&amp;RIGHT(E$3,4)-1,$3:$3,0))+INDEX(172:172,0,MATCH("Q2-"&amp;RIGHT(E$3,4)-1,$3:$3,0)),
IF(LEFT(E$3,2)="Q2",E172+INDEX(172:172,0,MATCH("Q4-"&amp;RIGHT(E$3,4)-1,$3:$3,0))+INDEX(172:172,0,MATCH("Q3-"&amp;RIGHT(E$3,4)-1,$3:$3,0))+INDEX(172:172,0,MATCH("Q1-"&amp;RIGHT(E$3,4),$3:$3,0)),
IF(LEFT(E$3,2)="Q3",E172+INDEX(172:172,0,MATCH("Q4-"&amp;RIGHT(E$3,4)-1,$3:$3,0))+INDEX(172:172,0,MATCH("Q2-"&amp;RIGHT(E$3,4),$3:$3,0))+INDEX(172:172,0,MATCH("Q1-"&amp;RIGHT(E$3,4),$3:$3,0)),
IF(LEFT(E$3,2)="Q4",INDEX(172:172,0,MATCH("FY"&amp;RIGHT(E$3,4),$3:$3,0))))))), "")</f>
        <v>4867</v>
      </c>
      <c r="F173" s="1388" t="str">
        <f>IFERROR(IF(LEFT(F$3,1)="F",F172,
IF(LEFT(F$3,2)="Q1",F172+INDEX(172:172,0,MATCH("Q4-"&amp;RIGHT(F$3,4)-1,$3:$3,0))+INDEX(172:172,0,MATCH("Q3-"&amp;RIGHT(F$3,4)-1,$3:$3,0))+INDEX(172:172,0,MATCH("Q2-"&amp;RIGHT(F$3,4)-1,$3:$3,0)),
IF(LEFT(F$3,2)="Q2",F172+INDEX(172:172,0,MATCH("Q4-"&amp;RIGHT(F$3,4)-1,$3:$3,0))+INDEX(172:172,0,MATCH("Q3-"&amp;RIGHT(F$3,4)-1,$3:$3,0))+INDEX(172:172,0,MATCH("Q1-"&amp;RIGHT(F$3,4),$3:$3,0)),
IF(LEFT(F$3,2)="Q3",F172+INDEX(172:172,0,MATCH("Q4-"&amp;RIGHT(F$3,4)-1,$3:$3,0))+INDEX(172:172,0,MATCH("Q2-"&amp;RIGHT(F$3,4),$3:$3,0))+INDEX(172:172,0,MATCH("Q1-"&amp;RIGHT(F$3,4),$3:$3,0)),
IF(LEFT(F$3,2)="Q4",INDEX(172:172,0,MATCH("FY"&amp;RIGHT(F$3,4),$3:$3,0))))))), "")</f>
        <v/>
      </c>
      <c r="G173" s="1388" t="str">
        <f>IFERROR(IF(LEFT(G$3,1)="F",G172,
IF(LEFT(G$3,2)="Q1",G172+INDEX(172:172,0,MATCH("Q4-"&amp;RIGHT(G$3,4)-1,$3:$3,0))+INDEX(172:172,0,MATCH("Q3-"&amp;RIGHT(G$3,4)-1,$3:$3,0))+INDEX(172:172,0,MATCH("Q2-"&amp;RIGHT(G$3,4)-1,$3:$3,0)),
IF(LEFT(G$3,2)="Q2",G172+INDEX(172:172,0,MATCH("Q4-"&amp;RIGHT(G$3,4)-1,$3:$3,0))+INDEX(172:172,0,MATCH("Q3-"&amp;RIGHT(G$3,4)-1,$3:$3,0))+INDEX(172:172,0,MATCH("Q1-"&amp;RIGHT(G$3,4),$3:$3,0)),
IF(LEFT(G$3,2)="Q3",G172+INDEX(172:172,0,MATCH("Q4-"&amp;RIGHT(G$3,4)-1,$3:$3,0))+INDEX(172:172,0,MATCH("Q2-"&amp;RIGHT(G$3,4),$3:$3,0))+INDEX(172:172,0,MATCH("Q1-"&amp;RIGHT(G$3,4),$3:$3,0)),
IF(LEFT(G$3,2)="Q4",INDEX(172:172,0,MATCH("FY"&amp;RIGHT(G$3,4),$3:$3,0))))))), "")</f>
        <v/>
      </c>
      <c r="H173" s="1388" t="str">
        <f>IFERROR(IF(LEFT(H$3,1)="F",H172,
IF(LEFT(H$3,2)="Q1",H172+INDEX(172:172,0,MATCH("Q4-"&amp;RIGHT(H$3,4)-1,$3:$3,0))+INDEX(172:172,0,MATCH("Q3-"&amp;RIGHT(H$3,4)-1,$3:$3,0))+INDEX(172:172,0,MATCH("Q2-"&amp;RIGHT(H$3,4)-1,$3:$3,0)),
IF(LEFT(H$3,2)="Q2",H172+INDEX(172:172,0,MATCH("Q4-"&amp;RIGHT(H$3,4)-1,$3:$3,0))+INDEX(172:172,0,MATCH("Q3-"&amp;RIGHT(H$3,4)-1,$3:$3,0))+INDEX(172:172,0,MATCH("Q1-"&amp;RIGHT(H$3,4),$3:$3,0)),
IF(LEFT(H$3,2)="Q3",H172+INDEX(172:172,0,MATCH("Q4-"&amp;RIGHT(H$3,4)-1,$3:$3,0))+INDEX(172:172,0,MATCH("Q2-"&amp;RIGHT(H$3,4),$3:$3,0))+INDEX(172:172,0,MATCH("Q1-"&amp;RIGHT(H$3,4),$3:$3,0)),
IF(LEFT(H$3,2)="Q4",INDEX(172:172,0,MATCH("FY"&amp;RIGHT(H$3,4),$3:$3,0))))))), "")</f>
        <v/>
      </c>
      <c r="I173" s="1388">
        <f>IFERROR(IF(LEFT(I$3,1)="F",I172,
IF(LEFT(I$3,2)="Q1",I172+INDEX(172:172,0,MATCH("Q4-"&amp;RIGHT(I$3,4)-1,$3:$3,0))+INDEX(172:172,0,MATCH("Q3-"&amp;RIGHT(I$3,4)-1,$3:$3,0))+INDEX(172:172,0,MATCH("Q2-"&amp;RIGHT(I$3,4)-1,$3:$3,0)),
IF(LEFT(I$3,2)="Q2",I172+INDEX(172:172,0,MATCH("Q4-"&amp;RIGHT(I$3,4)-1,$3:$3,0))+INDEX(172:172,0,MATCH("Q3-"&amp;RIGHT(I$3,4)-1,$3:$3,0))+INDEX(172:172,0,MATCH("Q1-"&amp;RIGHT(I$3,4),$3:$3,0)),
IF(LEFT(I$3,2)="Q3",I172+INDEX(172:172,0,MATCH("Q4-"&amp;RIGHT(I$3,4)-1,$3:$3,0))+INDEX(172:172,0,MATCH("Q2-"&amp;RIGHT(I$3,4),$3:$3,0))+INDEX(172:172,0,MATCH("Q1-"&amp;RIGHT(I$3,4),$3:$3,0)),
IF(LEFT(I$3,2)="Q4",INDEX(172:172,0,MATCH("FY"&amp;RIGHT(I$3,4),$3:$3,0))))))), "")</f>
        <v>4862</v>
      </c>
      <c r="J173" s="1375">
        <f>IFERROR(IF(LEFT(J$3,1)="F",J172,
IF(LEFT(J$3,2)="Q1",J172+INDEX(172:172,0,MATCH("Q4-"&amp;RIGHT(J$3,4)-1,$3:$3,0))+INDEX(172:172,0,MATCH("Q3-"&amp;RIGHT(J$3,4)-1,$3:$3,0))+INDEX(172:172,0,MATCH("Q2-"&amp;RIGHT(J$3,4)-1,$3:$3,0)),
IF(LEFT(J$3,2)="Q2",J172+INDEX(172:172,0,MATCH("Q4-"&amp;RIGHT(J$3,4)-1,$3:$3,0))+INDEX(172:172,0,MATCH("Q3-"&amp;RIGHT(J$3,4)-1,$3:$3,0))+INDEX(172:172,0,MATCH("Q1-"&amp;RIGHT(J$3,4),$3:$3,0)),
IF(LEFT(J$3,2)="Q3",J172+INDEX(172:172,0,MATCH("Q4-"&amp;RIGHT(J$3,4)-1,$3:$3,0))+INDEX(172:172,0,MATCH("Q2-"&amp;RIGHT(J$3,4),$3:$3,0))+INDEX(172:172,0,MATCH("Q1-"&amp;RIGHT(J$3,4),$3:$3,0)),
IF(LEFT(J$3,2)="Q4",INDEX(172:172,0,MATCH("FY"&amp;RIGHT(J$3,4),$3:$3,0))))))), "")</f>
        <v>4862</v>
      </c>
      <c r="K173" s="1388">
        <f>IFERROR(IF(LEFT(K$3,1)="F",K172,
IF(LEFT(K$3,2)="Q1",K172+INDEX(172:172,0,MATCH("Q4-"&amp;RIGHT(K$3,4)-1,$3:$3,0))+INDEX(172:172,0,MATCH("Q3-"&amp;RIGHT(K$3,4)-1,$3:$3,0))+INDEX(172:172,0,MATCH("Q2-"&amp;RIGHT(K$3,4)-1,$3:$3,0)),
IF(LEFT(K$3,2)="Q2",K172+INDEX(172:172,0,MATCH("Q4-"&amp;RIGHT(K$3,4)-1,$3:$3,0))+INDEX(172:172,0,MATCH("Q3-"&amp;RIGHT(K$3,4)-1,$3:$3,0))+INDEX(172:172,0,MATCH("Q1-"&amp;RIGHT(K$3,4),$3:$3,0)),
IF(LEFT(K$3,2)="Q3",K172+INDEX(172:172,0,MATCH("Q4-"&amp;RIGHT(K$3,4)-1,$3:$3,0))+INDEX(172:172,0,MATCH("Q2-"&amp;RIGHT(K$3,4),$3:$3,0))+INDEX(172:172,0,MATCH("Q1-"&amp;RIGHT(K$3,4),$3:$3,0)),
IF(LEFT(K$3,2)="Q4",INDEX(172:172,0,MATCH("FY"&amp;RIGHT(K$3,4),$3:$3,0))))))), "")</f>
        <v>5680</v>
      </c>
      <c r="L173" s="1388">
        <f>IFERROR(IF(LEFT(L$3,1)="F",L172,
IF(LEFT(L$3,2)="Q1",L172+INDEX(172:172,0,MATCH("Q4-"&amp;RIGHT(L$3,4)-1,$3:$3,0))+INDEX(172:172,0,MATCH("Q3-"&amp;RIGHT(L$3,4)-1,$3:$3,0))+INDEX(172:172,0,MATCH("Q2-"&amp;RIGHT(L$3,4)-1,$3:$3,0)),
IF(LEFT(L$3,2)="Q2",L172+INDEX(172:172,0,MATCH("Q4-"&amp;RIGHT(L$3,4)-1,$3:$3,0))+INDEX(172:172,0,MATCH("Q3-"&amp;RIGHT(L$3,4)-1,$3:$3,0))+INDEX(172:172,0,MATCH("Q1-"&amp;RIGHT(L$3,4),$3:$3,0)),
IF(LEFT(L$3,2)="Q3",L172+INDEX(172:172,0,MATCH("Q4-"&amp;RIGHT(L$3,4)-1,$3:$3,0))+INDEX(172:172,0,MATCH("Q2-"&amp;RIGHT(L$3,4),$3:$3,0))+INDEX(172:172,0,MATCH("Q1-"&amp;RIGHT(L$3,4),$3:$3,0)),
IF(LEFT(L$3,2)="Q4",INDEX(172:172,0,MATCH("FY"&amp;RIGHT(L$3,4),$3:$3,0))))))), "")</f>
        <v>5387</v>
      </c>
      <c r="M173" s="1388">
        <f>IFERROR(IF(LEFT(M$3,1)="F",M172,
IF(LEFT(M$3,2)="Q1",M172+INDEX(172:172,0,MATCH("Q4-"&amp;RIGHT(M$3,4)-1,$3:$3,0))+INDEX(172:172,0,MATCH("Q3-"&amp;RIGHT(M$3,4)-1,$3:$3,0))+INDEX(172:172,0,MATCH("Q2-"&amp;RIGHT(M$3,4)-1,$3:$3,0)),
IF(LEFT(M$3,2)="Q2",M172+INDEX(172:172,0,MATCH("Q4-"&amp;RIGHT(M$3,4)-1,$3:$3,0))+INDEX(172:172,0,MATCH("Q3-"&amp;RIGHT(M$3,4)-1,$3:$3,0))+INDEX(172:172,0,MATCH("Q1-"&amp;RIGHT(M$3,4),$3:$3,0)),
IF(LEFT(M$3,2)="Q3",M172+INDEX(172:172,0,MATCH("Q4-"&amp;RIGHT(M$3,4)-1,$3:$3,0))+INDEX(172:172,0,MATCH("Q2-"&amp;RIGHT(M$3,4),$3:$3,0))+INDEX(172:172,0,MATCH("Q1-"&amp;RIGHT(M$3,4),$3:$3,0)),
IF(LEFT(M$3,2)="Q4",INDEX(172:172,0,MATCH("FY"&amp;RIGHT(M$3,4),$3:$3,0))))))), "")</f>
        <v>5298</v>
      </c>
      <c r="N173" s="1388">
        <f>IFERROR(IF(LEFT(N$3,1)="F",N172,
IF(LEFT(N$3,2)="Q1",N172+INDEX(172:172,0,MATCH("Q4-"&amp;RIGHT(N$3,4)-1,$3:$3,0))+INDEX(172:172,0,MATCH("Q3-"&amp;RIGHT(N$3,4)-1,$3:$3,0))+INDEX(172:172,0,MATCH("Q2-"&amp;RIGHT(N$3,4)-1,$3:$3,0)),
IF(LEFT(N$3,2)="Q2",N172+INDEX(172:172,0,MATCH("Q4-"&amp;RIGHT(N$3,4)-1,$3:$3,0))+INDEX(172:172,0,MATCH("Q3-"&amp;RIGHT(N$3,4)-1,$3:$3,0))+INDEX(172:172,0,MATCH("Q1-"&amp;RIGHT(N$3,4),$3:$3,0)),
IF(LEFT(N$3,2)="Q3",N172+INDEX(172:172,0,MATCH("Q4-"&amp;RIGHT(N$3,4)-1,$3:$3,0))+INDEX(172:172,0,MATCH("Q2-"&amp;RIGHT(N$3,4),$3:$3,0))+INDEX(172:172,0,MATCH("Q1-"&amp;RIGHT(N$3,4),$3:$3,0)),
IF(LEFT(N$3,2)="Q4",INDEX(172:172,0,MATCH("FY"&amp;RIGHT(N$3,4),$3:$3,0))))))), "")</f>
        <v>5371</v>
      </c>
      <c r="O173" s="1375">
        <f>IFERROR(IF(LEFT(O$3,1)="F",O172,
IF(LEFT(O$3,2)="Q1",O172+INDEX(172:172,0,MATCH("Q4-"&amp;RIGHT(O$3,4)-1,$3:$3,0))+INDEX(172:172,0,MATCH("Q3-"&amp;RIGHT(O$3,4)-1,$3:$3,0))+INDEX(172:172,0,MATCH("Q2-"&amp;RIGHT(O$3,4)-1,$3:$3,0)),
IF(LEFT(O$3,2)="Q2",O172+INDEX(172:172,0,MATCH("Q4-"&amp;RIGHT(O$3,4)-1,$3:$3,0))+INDEX(172:172,0,MATCH("Q3-"&amp;RIGHT(O$3,4)-1,$3:$3,0))+INDEX(172:172,0,MATCH("Q1-"&amp;RIGHT(O$3,4),$3:$3,0)),
IF(LEFT(O$3,2)="Q3",O172+INDEX(172:172,0,MATCH("Q4-"&amp;RIGHT(O$3,4)-1,$3:$3,0))+INDEX(172:172,0,MATCH("Q2-"&amp;RIGHT(O$3,4),$3:$3,0))+INDEX(172:172,0,MATCH("Q1-"&amp;RIGHT(O$3,4),$3:$3,0)),
IF(LEFT(O$3,2)="Q4",INDEX(172:172,0,MATCH("FY"&amp;RIGHT(O$3,4),$3:$3,0))))))), "")</f>
        <v>5371</v>
      </c>
      <c r="P173" s="1388">
        <f>IFERROR(IF(LEFT(P$3,1)="F",P172,
IF(LEFT(P$3,2)="Q1",P172+INDEX(172:172,0,MATCH("Q4-"&amp;RIGHT(P$3,4)-1,$3:$3,0))+INDEX(172:172,0,MATCH("Q3-"&amp;RIGHT(P$3,4)-1,$3:$3,0))+INDEX(172:172,0,MATCH("Q2-"&amp;RIGHT(P$3,4)-1,$3:$3,0)),
IF(LEFT(P$3,2)="Q2",P172+INDEX(172:172,0,MATCH("Q4-"&amp;RIGHT(P$3,4)-1,$3:$3,0))+INDEX(172:172,0,MATCH("Q3-"&amp;RIGHT(P$3,4)-1,$3:$3,0))+INDEX(172:172,0,MATCH("Q1-"&amp;RIGHT(P$3,4),$3:$3,0)),
IF(LEFT(P$3,2)="Q3",P172+INDEX(172:172,0,MATCH("Q4-"&amp;RIGHT(P$3,4)-1,$3:$3,0))+INDEX(172:172,0,MATCH("Q2-"&amp;RIGHT(P$3,4),$3:$3,0))+INDEX(172:172,0,MATCH("Q1-"&amp;RIGHT(P$3,4),$3:$3,0)),
IF(LEFT(P$3,2)="Q4",INDEX(172:172,0,MATCH("FY"&amp;RIGHT(P$3,4),$3:$3,0))))))), "")</f>
        <v>5595</v>
      </c>
      <c r="Q173" s="1388">
        <f>IFERROR(IF(LEFT(Q$3,1)="F",Q172,
IF(LEFT(Q$3,2)="Q1",Q172+INDEX(172:172,0,MATCH("Q4-"&amp;RIGHT(Q$3,4)-1,$3:$3,0))+INDEX(172:172,0,MATCH("Q3-"&amp;RIGHT(Q$3,4)-1,$3:$3,0))+INDEX(172:172,0,MATCH("Q2-"&amp;RIGHT(Q$3,4)-1,$3:$3,0)),
IF(LEFT(Q$3,2)="Q2",Q172+INDEX(172:172,0,MATCH("Q4-"&amp;RIGHT(Q$3,4)-1,$3:$3,0))+INDEX(172:172,0,MATCH("Q3-"&amp;RIGHT(Q$3,4)-1,$3:$3,0))+INDEX(172:172,0,MATCH("Q1-"&amp;RIGHT(Q$3,4),$3:$3,0)),
IF(LEFT(Q$3,2)="Q3",Q172+INDEX(172:172,0,MATCH("Q4-"&amp;RIGHT(Q$3,4)-1,$3:$3,0))+INDEX(172:172,0,MATCH("Q2-"&amp;RIGHT(Q$3,4),$3:$3,0))+INDEX(172:172,0,MATCH("Q1-"&amp;RIGHT(Q$3,4),$3:$3,0)),
IF(LEFT(Q$3,2)="Q4",INDEX(172:172,0,MATCH("FY"&amp;RIGHT(Q$3,4),$3:$3,0))))))), "")</f>
        <v>5880</v>
      </c>
      <c r="R173" s="1388">
        <f>IFERROR(IF(LEFT(R$3,1)="F",R172,
IF(LEFT(R$3,2)="Q1",R172+INDEX(172:172,0,MATCH("Q4-"&amp;RIGHT(R$3,4)-1,$3:$3,0))+INDEX(172:172,0,MATCH("Q3-"&amp;RIGHT(R$3,4)-1,$3:$3,0))+INDEX(172:172,0,MATCH("Q2-"&amp;RIGHT(R$3,4)-1,$3:$3,0)),
IF(LEFT(R$3,2)="Q2",R172+INDEX(172:172,0,MATCH("Q4-"&amp;RIGHT(R$3,4)-1,$3:$3,0))+INDEX(172:172,0,MATCH("Q3-"&amp;RIGHT(R$3,4)-1,$3:$3,0))+INDEX(172:172,0,MATCH("Q1-"&amp;RIGHT(R$3,4),$3:$3,0)),
IF(LEFT(R$3,2)="Q3",R172+INDEX(172:172,0,MATCH("Q4-"&amp;RIGHT(R$3,4)-1,$3:$3,0))+INDEX(172:172,0,MATCH("Q2-"&amp;RIGHT(R$3,4),$3:$3,0))+INDEX(172:172,0,MATCH("Q1-"&amp;RIGHT(R$3,4),$3:$3,0)),
IF(LEFT(R$3,2)="Q4",INDEX(172:172,0,MATCH("FY"&amp;RIGHT(R$3,4),$3:$3,0))))))), "")</f>
        <v>6319</v>
      </c>
      <c r="S173" s="1388">
        <f>IFERROR(IF(LEFT(S$3,1)="F",S172,
IF(LEFT(S$3,2)="Q1",S172+INDEX(172:172,0,MATCH("Q4-"&amp;RIGHT(S$3,4)-1,$3:$3,0))+INDEX(172:172,0,MATCH("Q3-"&amp;RIGHT(S$3,4)-1,$3:$3,0))+INDEX(172:172,0,MATCH("Q2-"&amp;RIGHT(S$3,4)-1,$3:$3,0)),
IF(LEFT(S$3,2)="Q2",S172+INDEX(172:172,0,MATCH("Q4-"&amp;RIGHT(S$3,4)-1,$3:$3,0))+INDEX(172:172,0,MATCH("Q3-"&amp;RIGHT(S$3,4)-1,$3:$3,0))+INDEX(172:172,0,MATCH("Q1-"&amp;RIGHT(S$3,4),$3:$3,0)),
IF(LEFT(S$3,2)="Q3",S172+INDEX(172:172,0,MATCH("Q4-"&amp;RIGHT(S$3,4)-1,$3:$3,0))+INDEX(172:172,0,MATCH("Q2-"&amp;RIGHT(S$3,4),$3:$3,0))+INDEX(172:172,0,MATCH("Q1-"&amp;RIGHT(S$3,4),$3:$3,0)),
IF(LEFT(S$3,2)="Q4",INDEX(172:172,0,MATCH("FY"&amp;RIGHT(S$3,4),$3:$3,0))))))), "")</f>
        <v>6612</v>
      </c>
      <c r="T173" s="1375">
        <f>IFERROR(IF(LEFT(T$3,1)="F",T172,
IF(LEFT(T$3,2)="Q1",T172+INDEX(172:172,0,MATCH("Q4-"&amp;RIGHT(T$3,4)-1,$3:$3,0))+INDEX(172:172,0,MATCH("Q3-"&amp;RIGHT(T$3,4)-1,$3:$3,0))+INDEX(172:172,0,MATCH("Q2-"&amp;RIGHT(T$3,4)-1,$3:$3,0)),
IF(LEFT(T$3,2)="Q2",T172+INDEX(172:172,0,MATCH("Q4-"&amp;RIGHT(T$3,4)-1,$3:$3,0))+INDEX(172:172,0,MATCH("Q3-"&amp;RIGHT(T$3,4)-1,$3:$3,0))+INDEX(172:172,0,MATCH("Q1-"&amp;RIGHT(T$3,4),$3:$3,0)),
IF(LEFT(T$3,2)="Q3",T172+INDEX(172:172,0,MATCH("Q4-"&amp;RIGHT(T$3,4)-1,$3:$3,0))+INDEX(172:172,0,MATCH("Q2-"&amp;RIGHT(T$3,4),$3:$3,0))+INDEX(172:172,0,MATCH("Q1-"&amp;RIGHT(T$3,4),$3:$3,0)),
IF(LEFT(T$3,2)="Q4",INDEX(172:172,0,MATCH("FY"&amp;RIGHT(T$3,4),$3:$3,0))))))), "")</f>
        <v>6612</v>
      </c>
      <c r="U173" s="1388">
        <f>IFERROR(IF(LEFT(U$3,1)="F",U172,
IF(LEFT(U$3,2)="Q1",U172+INDEX(172:172,0,MATCH("Q4-"&amp;RIGHT(U$3,4)-1,$3:$3,0))+INDEX(172:172,0,MATCH("Q3-"&amp;RIGHT(U$3,4)-1,$3:$3,0))+INDEX(172:172,0,MATCH("Q2-"&amp;RIGHT(U$3,4)-1,$3:$3,0)),
IF(LEFT(U$3,2)="Q2",U172+INDEX(172:172,0,MATCH("Q4-"&amp;RIGHT(U$3,4)-1,$3:$3,0))+INDEX(172:172,0,MATCH("Q3-"&amp;RIGHT(U$3,4)-1,$3:$3,0))+INDEX(172:172,0,MATCH("Q1-"&amp;RIGHT(U$3,4),$3:$3,0)),
IF(LEFT(U$3,2)="Q3",U172+INDEX(172:172,0,MATCH("Q4-"&amp;RIGHT(U$3,4)-1,$3:$3,0))+INDEX(172:172,0,MATCH("Q2-"&amp;RIGHT(U$3,4),$3:$3,0))+INDEX(172:172,0,MATCH("Q1-"&amp;RIGHT(U$3,4),$3:$3,0)),
IF(LEFT(U$3,2)="Q4",INDEX(172:172,0,MATCH("FY"&amp;RIGHT(U$3,4),$3:$3,0))))))), "")</f>
        <v>7109</v>
      </c>
      <c r="V173" s="1388">
        <f>IFERROR(IF(LEFT(V$3,1)="F",V172,
IF(LEFT(V$3,2)="Q1",V172+INDEX(172:172,0,MATCH("Q4-"&amp;RIGHT(V$3,4)-1,$3:$3,0))+INDEX(172:172,0,MATCH("Q3-"&amp;RIGHT(V$3,4)-1,$3:$3,0))+INDEX(172:172,0,MATCH("Q2-"&amp;RIGHT(V$3,4)-1,$3:$3,0)),
IF(LEFT(V$3,2)="Q2",V172+INDEX(172:172,0,MATCH("Q4-"&amp;RIGHT(V$3,4)-1,$3:$3,0))+INDEX(172:172,0,MATCH("Q3-"&amp;RIGHT(V$3,4)-1,$3:$3,0))+INDEX(172:172,0,MATCH("Q1-"&amp;RIGHT(V$3,4),$3:$3,0)),
IF(LEFT(V$3,2)="Q3",V172+INDEX(172:172,0,MATCH("Q4-"&amp;RIGHT(V$3,4)-1,$3:$3,0))+INDEX(172:172,0,MATCH("Q2-"&amp;RIGHT(V$3,4),$3:$3,0))+INDEX(172:172,0,MATCH("Q1-"&amp;RIGHT(V$3,4),$3:$3,0)),
IF(LEFT(V$3,2)="Q4",INDEX(172:172,0,MATCH("FY"&amp;RIGHT(V$3,4),$3:$3,0))))))), "")</f>
        <v>6294.1097313616037</v>
      </c>
      <c r="W173" s="1388">
        <f>IFERROR(IF(LEFT(W$3,1)="F",W172,
IF(LEFT(W$3,2)="Q1",W172+INDEX(172:172,0,MATCH("Q4-"&amp;RIGHT(W$3,4)-1,$3:$3,0))+INDEX(172:172,0,MATCH("Q3-"&amp;RIGHT(W$3,4)-1,$3:$3,0))+INDEX(172:172,0,MATCH("Q2-"&amp;RIGHT(W$3,4)-1,$3:$3,0)),
IF(LEFT(W$3,2)="Q2",W172+INDEX(172:172,0,MATCH("Q4-"&amp;RIGHT(W$3,4)-1,$3:$3,0))+INDEX(172:172,0,MATCH("Q3-"&amp;RIGHT(W$3,4)-1,$3:$3,0))+INDEX(172:172,0,MATCH("Q1-"&amp;RIGHT(W$3,4),$3:$3,0)),
IF(LEFT(W$3,2)="Q3",W172+INDEX(172:172,0,MATCH("Q4-"&amp;RIGHT(W$3,4)-1,$3:$3,0))+INDEX(172:172,0,MATCH("Q2-"&amp;RIGHT(W$3,4),$3:$3,0))+INDEX(172:172,0,MATCH("Q1-"&amp;RIGHT(W$3,4),$3:$3,0)),
IF(LEFT(W$3,2)="Q4",INDEX(172:172,0,MATCH("FY"&amp;RIGHT(W$3,4),$3:$3,0))))))), "")</f>
        <v>6052.0832048418833</v>
      </c>
      <c r="X173" s="1388">
        <f>IFERROR(IF(LEFT(X$3,1)="F",X172,
IF(LEFT(X$3,2)="Q1",X172+INDEX(172:172,0,MATCH("Q4-"&amp;RIGHT(X$3,4)-1,$3:$3,0))+INDEX(172:172,0,MATCH("Q3-"&amp;RIGHT(X$3,4)-1,$3:$3,0))+INDEX(172:172,0,MATCH("Q2-"&amp;RIGHT(X$3,4)-1,$3:$3,0)),
IF(LEFT(X$3,2)="Q2",X172+INDEX(172:172,0,MATCH("Q4-"&amp;RIGHT(X$3,4)-1,$3:$3,0))+INDEX(172:172,0,MATCH("Q3-"&amp;RIGHT(X$3,4)-1,$3:$3,0))+INDEX(172:172,0,MATCH("Q1-"&amp;RIGHT(X$3,4),$3:$3,0)),
IF(LEFT(X$3,2)="Q3",X172+INDEX(172:172,0,MATCH("Q4-"&amp;RIGHT(X$3,4)-1,$3:$3,0))+INDEX(172:172,0,MATCH("Q2-"&amp;RIGHT(X$3,4),$3:$3,0))+INDEX(172:172,0,MATCH("Q1-"&amp;RIGHT(X$3,4),$3:$3,0)),
IF(LEFT(X$3,2)="Q4",INDEX(172:172,0,MATCH("FY"&amp;RIGHT(X$3,4),$3:$3,0))))))), "")</f>
        <v>5632.5028721790632</v>
      </c>
      <c r="Y173" s="1375">
        <f>IFERROR(IF(LEFT(Y$3,1)="F",Y172,
IF(LEFT(Y$3,2)="Q1",Y172+INDEX(172:172,0,MATCH("Q4-"&amp;RIGHT(Y$3,4)-1,$3:$3,0))+INDEX(172:172,0,MATCH("Q3-"&amp;RIGHT(Y$3,4)-1,$3:$3,0))+INDEX(172:172,0,MATCH("Q2-"&amp;RIGHT(Y$3,4)-1,$3:$3,0)),
IF(LEFT(Y$3,2)="Q2",Y172+INDEX(172:172,0,MATCH("Q4-"&amp;RIGHT(Y$3,4)-1,$3:$3,0))+INDEX(172:172,0,MATCH("Q3-"&amp;RIGHT(Y$3,4)-1,$3:$3,0))+INDEX(172:172,0,MATCH("Q1-"&amp;RIGHT(Y$3,4),$3:$3,0)),
IF(LEFT(Y$3,2)="Q3",Y172+INDEX(172:172,0,MATCH("Q4-"&amp;RIGHT(Y$3,4)-1,$3:$3,0))+INDEX(172:172,0,MATCH("Q2-"&amp;RIGHT(Y$3,4),$3:$3,0))+INDEX(172:172,0,MATCH("Q1-"&amp;RIGHT(Y$3,4),$3:$3,0)),
IF(LEFT(Y$3,2)="Q4",INDEX(172:172,0,MATCH("FY"&amp;RIGHT(Y$3,4),$3:$3,0))))))), "")</f>
        <v>5632.5028721790632</v>
      </c>
      <c r="Z173" s="1388">
        <f>IFERROR(IF(LEFT(Z$3,1)="F",Z172,
IF(LEFT(Z$3,2)="Q1",Z172+INDEX(172:172,0,MATCH("Q4-"&amp;RIGHT(Z$3,4)-1,$3:$3,0))+INDEX(172:172,0,MATCH("Q3-"&amp;RIGHT(Z$3,4)-1,$3:$3,0))+INDEX(172:172,0,MATCH("Q2-"&amp;RIGHT(Z$3,4)-1,$3:$3,0)),
IF(LEFT(Z$3,2)="Q2",Z172+INDEX(172:172,0,MATCH("Q4-"&amp;RIGHT(Z$3,4)-1,$3:$3,0))+INDEX(172:172,0,MATCH("Q3-"&amp;RIGHT(Z$3,4)-1,$3:$3,0))+INDEX(172:172,0,MATCH("Q1-"&amp;RIGHT(Z$3,4),$3:$3,0)),
IF(LEFT(Z$3,2)="Q3",Z172+INDEX(172:172,0,MATCH("Q4-"&amp;RIGHT(Z$3,4)-1,$3:$3,0))+INDEX(172:172,0,MATCH("Q2-"&amp;RIGHT(Z$3,4),$3:$3,0))+INDEX(172:172,0,MATCH("Q1-"&amp;RIGHT(Z$3,4),$3:$3,0)),
IF(LEFT(Z$3,2)="Q4",INDEX(172:172,0,MATCH("FY"&amp;RIGHT(Z$3,4),$3:$3,0))))))), "")</f>
        <v>5853.3647430984702</v>
      </c>
      <c r="AA173" s="1388">
        <f ca="1">IFERROR(IF(LEFT(AA$3,1)="F",AA172,
IF(LEFT(AA$3,2)="Q1",AA172+INDEX(172:172,0,MATCH("Q4-"&amp;RIGHT(AA$3,4)-1,$3:$3,0))+INDEX(172:172,0,MATCH("Q3-"&amp;RIGHT(AA$3,4)-1,$3:$3,0))+INDEX(172:172,0,MATCH("Q2-"&amp;RIGHT(AA$3,4)-1,$3:$3,0)),
IF(LEFT(AA$3,2)="Q2",AA172+INDEX(172:172,0,MATCH("Q4-"&amp;RIGHT(AA$3,4)-1,$3:$3,0))+INDEX(172:172,0,MATCH("Q3-"&amp;RIGHT(AA$3,4)-1,$3:$3,0))+INDEX(172:172,0,MATCH("Q1-"&amp;RIGHT(AA$3,4),$3:$3,0)),
IF(LEFT(AA$3,2)="Q3",AA172+INDEX(172:172,0,MATCH("Q4-"&amp;RIGHT(AA$3,4)-1,$3:$3,0))+INDEX(172:172,0,MATCH("Q2-"&amp;RIGHT(AA$3,4),$3:$3,0))+INDEX(172:172,0,MATCH("Q1-"&amp;RIGHT(AA$3,4),$3:$3,0)),
IF(LEFT(AA$3,2)="Q4",INDEX(172:172,0,MATCH("FY"&amp;RIGHT(AA$3,4),$3:$3,0))))))), "")</f>
        <v>6054.7761911717826</v>
      </c>
      <c r="AB173" s="1388">
        <f ca="1">IFERROR(IF(LEFT(AB$3,1)="F",AB172,
IF(LEFT(AB$3,2)="Q1",AB172+INDEX(172:172,0,MATCH("Q4-"&amp;RIGHT(AB$3,4)-1,$3:$3,0))+INDEX(172:172,0,MATCH("Q3-"&amp;RIGHT(AB$3,4)-1,$3:$3,0))+INDEX(172:172,0,MATCH("Q2-"&amp;RIGHT(AB$3,4)-1,$3:$3,0)),
IF(LEFT(AB$3,2)="Q2",AB172+INDEX(172:172,0,MATCH("Q4-"&amp;RIGHT(AB$3,4)-1,$3:$3,0))+INDEX(172:172,0,MATCH("Q3-"&amp;RIGHT(AB$3,4)-1,$3:$3,0))+INDEX(172:172,0,MATCH("Q1-"&amp;RIGHT(AB$3,4),$3:$3,0)),
IF(LEFT(AB$3,2)="Q3",AB172+INDEX(172:172,0,MATCH("Q4-"&amp;RIGHT(AB$3,4)-1,$3:$3,0))+INDEX(172:172,0,MATCH("Q2-"&amp;RIGHT(AB$3,4),$3:$3,0))+INDEX(172:172,0,MATCH("Q1-"&amp;RIGHT(AB$3,4),$3:$3,0)),
IF(LEFT(AB$3,2)="Q4",INDEX(172:172,0,MATCH("FY"&amp;RIGHT(AB$3,4),$3:$3,0))))))), "")</f>
        <v>6106.7987953799493</v>
      </c>
      <c r="AC173" s="1388">
        <f ca="1">IFERROR(IF(LEFT(AC$3,1)="F",AC172,
IF(LEFT(AC$3,2)="Q1",AC172+INDEX(172:172,0,MATCH("Q4-"&amp;RIGHT(AC$3,4)-1,$3:$3,0))+INDEX(172:172,0,MATCH("Q3-"&amp;RIGHT(AC$3,4)-1,$3:$3,0))+INDEX(172:172,0,MATCH("Q2-"&amp;RIGHT(AC$3,4)-1,$3:$3,0)),
IF(LEFT(AC$3,2)="Q2",AC172+INDEX(172:172,0,MATCH("Q4-"&amp;RIGHT(AC$3,4)-1,$3:$3,0))+INDEX(172:172,0,MATCH("Q3-"&amp;RIGHT(AC$3,4)-1,$3:$3,0))+INDEX(172:172,0,MATCH("Q1-"&amp;RIGHT(AC$3,4),$3:$3,0)),
IF(LEFT(AC$3,2)="Q3",AC172+INDEX(172:172,0,MATCH("Q4-"&amp;RIGHT(AC$3,4)-1,$3:$3,0))+INDEX(172:172,0,MATCH("Q2-"&amp;RIGHT(AC$3,4),$3:$3,0))+INDEX(172:172,0,MATCH("Q1-"&amp;RIGHT(AC$3,4),$3:$3,0)),
IF(LEFT(AC$3,2)="Q4",INDEX(172:172,0,MATCH("FY"&amp;RIGHT(AC$3,4),$3:$3,0))))))), "")</f>
        <v>6239.6626387306387</v>
      </c>
      <c r="AD173" s="1375">
        <f ca="1">IFERROR(IF(LEFT(AD$3,1)="F",AD172,
IF(LEFT(AD$3,2)="Q1",AD172+INDEX(172:172,0,MATCH("Q4-"&amp;RIGHT(AD$3,4)-1,$3:$3,0))+INDEX(172:172,0,MATCH("Q3-"&amp;RIGHT(AD$3,4)-1,$3:$3,0))+INDEX(172:172,0,MATCH("Q2-"&amp;RIGHT(AD$3,4)-1,$3:$3,0)),
IF(LEFT(AD$3,2)="Q2",AD172+INDEX(172:172,0,MATCH("Q4-"&amp;RIGHT(AD$3,4)-1,$3:$3,0))+INDEX(172:172,0,MATCH("Q3-"&amp;RIGHT(AD$3,4)-1,$3:$3,0))+INDEX(172:172,0,MATCH("Q1-"&amp;RIGHT(AD$3,4),$3:$3,0)),
IF(LEFT(AD$3,2)="Q3",AD172+INDEX(172:172,0,MATCH("Q4-"&amp;RIGHT(AD$3,4)-1,$3:$3,0))+INDEX(172:172,0,MATCH("Q2-"&amp;RIGHT(AD$3,4),$3:$3,0))+INDEX(172:172,0,MATCH("Q1-"&amp;RIGHT(AD$3,4),$3:$3,0)),
IF(LEFT(AD$3,2)="Q4",INDEX(172:172,0,MATCH("FY"&amp;RIGHT(AD$3,4),$3:$3,0))))))), "")</f>
        <v>6239.6626387306387</v>
      </c>
      <c r="AE173" s="1375">
        <f ca="1">IFERROR(IF(LEFT(AE$3,1)="F",AE172,
IF(LEFT(AE$3,2)="Q1",AE172+INDEX(172:172,0,MATCH("Q4-"&amp;RIGHT(AE$3,4)-1,$3:$3,0))+INDEX(172:172,0,MATCH("Q3-"&amp;RIGHT(AE$3,4)-1,$3:$3,0))+INDEX(172:172,0,MATCH("Q2-"&amp;RIGHT(AE$3,4)-1,$3:$3,0)),
IF(LEFT(AE$3,2)="Q2",AE172+INDEX(172:172,0,MATCH("Q4-"&amp;RIGHT(AE$3,4)-1,$3:$3,0))+INDEX(172:172,0,MATCH("Q3-"&amp;RIGHT(AE$3,4)-1,$3:$3,0))+INDEX(172:172,0,MATCH("Q1-"&amp;RIGHT(AE$3,4),$3:$3,0)),
IF(LEFT(AE$3,2)="Q3",AE172+INDEX(172:172,0,MATCH("Q4-"&amp;RIGHT(AE$3,4)-1,$3:$3,0))+INDEX(172:172,0,MATCH("Q2-"&amp;RIGHT(AE$3,4),$3:$3,0))+INDEX(172:172,0,MATCH("Q1-"&amp;RIGHT(AE$3,4),$3:$3,0)),
IF(LEFT(AE$3,2)="Q4",INDEX(172:172,0,MATCH("FY"&amp;RIGHT(AE$3,4),$3:$3,0))))))), "")</f>
        <v>6875.4070572569672</v>
      </c>
      <c r="AF173" s="1375">
        <f ca="1">IFERROR(IF(LEFT(AF$3,1)="F",AF172,
IF(LEFT(AF$3,2)="Q1",AF172+INDEX(172:172,0,MATCH("Q4-"&amp;RIGHT(AF$3,4)-1,$3:$3,0))+INDEX(172:172,0,MATCH("Q3-"&amp;RIGHT(AF$3,4)-1,$3:$3,0))+INDEX(172:172,0,MATCH("Q2-"&amp;RIGHT(AF$3,4)-1,$3:$3,0)),
IF(LEFT(AF$3,2)="Q2",AF172+INDEX(172:172,0,MATCH("Q4-"&amp;RIGHT(AF$3,4)-1,$3:$3,0))+INDEX(172:172,0,MATCH("Q3-"&amp;RIGHT(AF$3,4)-1,$3:$3,0))+INDEX(172:172,0,MATCH("Q1-"&amp;RIGHT(AF$3,4),$3:$3,0)),
IF(LEFT(AF$3,2)="Q3",AF172+INDEX(172:172,0,MATCH("Q4-"&amp;RIGHT(AF$3,4)-1,$3:$3,0))+INDEX(172:172,0,MATCH("Q2-"&amp;RIGHT(AF$3,4),$3:$3,0))+INDEX(172:172,0,MATCH("Q1-"&amp;RIGHT(AF$3,4),$3:$3,0)),
IF(LEFT(AF$3,2)="Q4",INDEX(172:172,0,MATCH("FY"&amp;RIGHT(AF$3,4),$3:$3,0))))))), "")</f>
        <v>7555.6741722582938</v>
      </c>
      <c r="AG173" s="1377">
        <f ca="1">IFERROR(IF(LEFT(AG$3,1)="F",AG172,
IF(LEFT(AG$3,2)="Q1",AG172+INDEX(172:172,0,MATCH("Q4-"&amp;RIGHT(AG$3,4)-1,$3:$3,0))+INDEX(172:172,0,MATCH("Q3-"&amp;RIGHT(AG$3,4)-1,$3:$3,0))+INDEX(172:172,0,MATCH("Q2-"&amp;RIGHT(AG$3,4)-1,$3:$3,0)),
IF(LEFT(AG$3,2)="Q2",AG172+INDEX(172:172,0,MATCH("Q4-"&amp;RIGHT(AG$3,4)-1,$3:$3,0))+INDEX(172:172,0,MATCH("Q3-"&amp;RIGHT(AG$3,4)-1,$3:$3,0))+INDEX(172:172,0,MATCH("Q1-"&amp;RIGHT(AG$3,4),$3:$3,0)),
IF(LEFT(AG$3,2)="Q3",AG172+INDEX(172:172,0,MATCH("Q4-"&amp;RIGHT(AG$3,4)-1,$3:$3,0))+INDEX(172:172,0,MATCH("Q2-"&amp;RIGHT(AG$3,4),$3:$3,0))+INDEX(172:172,0,MATCH("Q1-"&amp;RIGHT(AG$3,4),$3:$3,0)),
IF(LEFT(AG$3,2)="Q4",INDEX(172:172,0,MATCH("FY"&amp;RIGHT(AG$3,4),$3:$3,0))))))), "")</f>
        <v>8296.9425382378631</v>
      </c>
      <c r="AH173" s="1349"/>
    </row>
    <row r="174" spans="1:34" s="1222" customFormat="1" ht="14.25" customHeight="1" x14ac:dyDescent="0.35">
      <c r="A174" s="1363" t="s">
        <v>1246</v>
      </c>
      <c r="B174" s="1364"/>
      <c r="C174" s="1218"/>
      <c r="D174" s="1365">
        <f>IFERROR(INDEX(MO_RIS_ShareCount_WAD_Adj,0,MATCH(D$3,MO_Common_ColumnHeader,0)),"")</f>
        <v>618.70000000000005</v>
      </c>
      <c r="E174" s="1365">
        <f>IFERROR(INDEX(MO_RIS_ShareCount_WAD_Adj,0,MATCH(E$3,MO_Common_ColumnHeader,0)),"")</f>
        <v>612.70000000000005</v>
      </c>
      <c r="F174" s="1366">
        <f>IFERROR(INDEX(MO_RIS_ShareCount_WAD_Adj,0,MATCH(F$3,MO_Common_ColumnHeader,0)),"")</f>
        <v>612.70000000000005</v>
      </c>
      <c r="G174" s="1366">
        <f>IFERROR(INDEX(MO_RIS_ShareCount_WAD_Adj,0,MATCH(G$3,MO_Common_ColumnHeader,0)),"")</f>
        <v>604.20000000000005</v>
      </c>
      <c r="H174" s="1366">
        <f>IFERROR(INDEX(MO_RIS_ShareCount_WAD_Adj,0,MATCH(H$3,MO_Common_ColumnHeader,0)),"")</f>
        <v>598.4</v>
      </c>
      <c r="I174" s="1366">
        <f>IFERROR(INDEX(MO_RIS_ShareCount_WAD_Adj,0,MATCH(I$3,MO_Common_ColumnHeader,0)),"")</f>
        <v>592.6</v>
      </c>
      <c r="J174" s="1365">
        <f>IFERROR(INDEX(MO_RIS_ShareCount_WAD_Adj,0,MATCH(J$3,MO_Common_ColumnHeader,0)),"")</f>
        <v>602</v>
      </c>
      <c r="K174" s="1366">
        <f>IFERROR(INDEX(MO_RIS_ShareCount_WAD_Adj,0,MATCH(K$3,MO_Common_ColumnHeader,0)),"")</f>
        <v>588.5</v>
      </c>
      <c r="L174" s="1366">
        <f>IFERROR(INDEX(MO_RIS_ShareCount_WAD_Adj,0,MATCH(L$3,MO_Common_ColumnHeader,0)),"")</f>
        <v>586.1</v>
      </c>
      <c r="M174" s="1366">
        <f>IFERROR(INDEX(MO_RIS_ShareCount_WAD_Adj,0,MATCH(M$3,MO_Common_ColumnHeader,0)),"")</f>
        <v>583</v>
      </c>
      <c r="N174" s="1366">
        <f>IFERROR(INDEX(MO_RIS_ShareCount_WAD_Adj,0,MATCH(N$3,MO_Common_ColumnHeader,0)),"")</f>
        <v>582.70000000000005</v>
      </c>
      <c r="O174" s="1365">
        <f>IFERROR(INDEX(MO_RIS_ShareCount_WAD_Adj,0,MATCH(O$3,MO_Common_ColumnHeader,0)),"")</f>
        <v>585.1</v>
      </c>
      <c r="P174" s="1366">
        <f>IFERROR(INDEX(MO_RIS_ShareCount_WAD_Adj,0,MATCH(P$3,MO_Common_ColumnHeader,0)),"")</f>
        <v>581.5</v>
      </c>
      <c r="Q174" s="1366">
        <f>IFERROR(INDEX(MO_RIS_ShareCount_WAD_Adj,0,MATCH(Q$3,MO_Common_ColumnHeader,0)),"")</f>
        <v>580.79999999999995</v>
      </c>
      <c r="R174" s="1366">
        <f>IFERROR(INDEX(MO_RIS_ShareCount_WAD_Adj,0,MATCH(R$3,MO_Common_ColumnHeader,0)),"")</f>
        <v>582.4</v>
      </c>
      <c r="S174" s="1366">
        <f>IFERROR(INDEX(MO_RIS_ShareCount_WAD_Adj,0,MATCH(S$3,MO_Common_ColumnHeader,0)),"")</f>
        <v>584</v>
      </c>
      <c r="T174" s="1365">
        <f>IFERROR(INDEX(MO_RIS_ShareCount_WAD_Adj,0,MATCH(T$3,MO_Common_ColumnHeader,0)),"")</f>
        <v>582.20000000000005</v>
      </c>
      <c r="U174" s="1366">
        <f>IFERROR(INDEX(MO_RIS_ShareCount_WAD_Adj,0,MATCH(U$3,MO_Common_ColumnHeader,0)),"")</f>
        <v>586.29999999999995</v>
      </c>
      <c r="V174" s="1366">
        <f ca="1">IFERROR(INDEX(MO_RIS_ShareCount_WAD_Adj,0,MATCH(V$3,MO_Common_ColumnHeader,0)),"")</f>
        <v>583.72268041237112</v>
      </c>
      <c r="W174" s="1366">
        <f ca="1">IFERROR(INDEX(MO_RIS_ShareCount_WAD_Adj,0,MATCH(W$3,MO_Common_ColumnHeader,0)),"")</f>
        <v>581.14536082474228</v>
      </c>
      <c r="X174" s="1366">
        <f ca="1">IFERROR(INDEX(MO_RIS_ShareCount_WAD_Adj,0,MATCH(X$3,MO_Common_ColumnHeader,0)),"")</f>
        <v>578.56804123711345</v>
      </c>
      <c r="Y174" s="1365">
        <f ca="1">IFERROR(INDEX(MO_RIS_ShareCount_WAD_Adj,0,MATCH(Y$3,MO_Common_ColumnHeader,0)),"")</f>
        <v>582.4340206185567</v>
      </c>
      <c r="Z174" s="1366">
        <f ca="1">IFERROR(INDEX(MO_RIS_ShareCount_WAD_Adj,0,MATCH(Z$3,MO_Common_ColumnHeader,0)),"")</f>
        <v>576.22062339673789</v>
      </c>
      <c r="AA174" s="1366">
        <f ca="1">IFERROR(INDEX(MO_RIS_ShareCount_WAD_Adj,0,MATCH(AA$3,MO_Common_ColumnHeader,0)),"")</f>
        <v>573.87320555636234</v>
      </c>
      <c r="AB174" s="1366">
        <f ca="1">IFERROR(INDEX(MO_RIS_ShareCount_WAD_Adj,0,MATCH(AB$3,MO_Common_ColumnHeader,0)),"")</f>
        <v>571.52578771598678</v>
      </c>
      <c r="AC174" s="1366">
        <f ca="1">IFERROR(INDEX(MO_RIS_ShareCount_WAD_Adj,0,MATCH(AC$3,MO_Common_ColumnHeader,0)),"")</f>
        <v>569.17836987561122</v>
      </c>
      <c r="AD174" s="1365">
        <f ca="1">IFERROR(INDEX(MO_RIS_ShareCount_WAD_Adj,0,MATCH(AD$3,MO_Common_ColumnHeader,0)),"")</f>
        <v>572.69949663617456</v>
      </c>
      <c r="AE174" s="1365">
        <f ca="1">IFERROR(INDEX(MO_RIS_ShareCount_WAD_Adj,0,MATCH(AE$3,MO_Common_ColumnHeader,0)),"")</f>
        <v>560.63136132860268</v>
      </c>
      <c r="AF174" s="1365">
        <f ca="1">IFERROR(INDEX(MO_RIS_ShareCount_WAD_Adj,0,MATCH(AF$3,MO_Common_ColumnHeader,0)),"")</f>
        <v>552.84926016128748</v>
      </c>
      <c r="AG174" s="1367">
        <f ca="1">IFERROR(INDEX(MO_RIS_ShareCount_WAD_Adj,0,MATCH(AG$3,MO_Common_ColumnHeader,0)),"")</f>
        <v>545.78212235210015</v>
      </c>
      <c r="AH174" s="1349"/>
    </row>
    <row r="175" spans="1:34" s="1222" customFormat="1" ht="14.25" customHeight="1" x14ac:dyDescent="0.35">
      <c r="A175" s="1363"/>
      <c r="B175" s="1364"/>
      <c r="C175" s="1218"/>
      <c r="D175" s="1365"/>
      <c r="E175" s="1365"/>
      <c r="F175" s="1366"/>
      <c r="G175" s="1366"/>
      <c r="H175" s="1366"/>
      <c r="I175" s="1366"/>
      <c r="J175" s="1365"/>
      <c r="K175" s="1366"/>
      <c r="L175" s="1366"/>
      <c r="M175" s="1366"/>
      <c r="N175" s="1366"/>
      <c r="O175" s="1365"/>
      <c r="P175" s="1366"/>
      <c r="Q175" s="1366"/>
      <c r="R175" s="1366"/>
      <c r="S175" s="1366"/>
      <c r="T175" s="1365"/>
      <c r="U175" s="1366"/>
      <c r="V175" s="1366"/>
      <c r="W175" s="1366"/>
      <c r="X175" s="1366"/>
      <c r="Y175" s="1365"/>
      <c r="Z175" s="1366"/>
      <c r="AA175" s="1366"/>
      <c r="AB175" s="1366"/>
      <c r="AC175" s="1366"/>
      <c r="AD175" s="1365"/>
      <c r="AE175" s="1365"/>
      <c r="AF175" s="1365"/>
      <c r="AG175" s="1367"/>
      <c r="AH175" s="1349"/>
    </row>
    <row r="176" spans="1:34" s="1247" customFormat="1" ht="14.25" customHeight="1" x14ac:dyDescent="0.35">
      <c r="A176" s="1380" t="s">
        <v>1133</v>
      </c>
      <c r="B176" s="1381"/>
      <c r="C176" s="1389"/>
      <c r="D176" s="1382">
        <f ca="1">IFERROR(D$173/D$148, "")</f>
        <v>5.0577425324372052E-2</v>
      </c>
      <c r="E176" s="1382">
        <f ca="1">IFERROR(E$173/E$148, "")</f>
        <v>3.8836064553183614E-2</v>
      </c>
      <c r="F176" s="1383" t="str">
        <f ca="1">IFERROR(F$173/F$148, "")</f>
        <v/>
      </c>
      <c r="G176" s="1383" t="str">
        <f ca="1">IFERROR(G$173/G$148, "")</f>
        <v/>
      </c>
      <c r="H176" s="1383" t="str">
        <f ca="1">IFERROR(H$173/H$148, "")</f>
        <v/>
      </c>
      <c r="I176" s="1383">
        <f ca="1">IFERROR(I$173/I$148, "")</f>
        <v>4.1493286038536796E-2</v>
      </c>
      <c r="J176" s="1382">
        <f ca="1">IFERROR(J$173/J$148, "")</f>
        <v>3.8788548422564607E-2</v>
      </c>
      <c r="K176" s="1383">
        <f ca="1">IFERROR(K$173/K$148, "")</f>
        <v>4.7934295086007904E-2</v>
      </c>
      <c r="L176" s="1383">
        <f ca="1">IFERROR(L$173/L$148, "")</f>
        <v>4.9923280810354818E-2</v>
      </c>
      <c r="M176" s="1383">
        <f ca="1">IFERROR(M$173/M$148, "")</f>
        <v>5.4349272253239343E-2</v>
      </c>
      <c r="N176" s="1383">
        <f ca="1">IFERROR(N$173/N$148, "")</f>
        <v>5.5025362724878298E-2</v>
      </c>
      <c r="O176" s="1382">
        <f ca="1">IFERROR(O$173/O$148, "")</f>
        <v>5.1061892528461432E-2</v>
      </c>
      <c r="P176" s="1383">
        <f ca="1">IFERROR(P$173/P$148, "")</f>
        <v>6.1153270019857396E-2</v>
      </c>
      <c r="Q176" s="1383">
        <f ca="1">IFERROR(Q$173/Q$148, "")</f>
        <v>6.7178617493909257E-2</v>
      </c>
      <c r="R176" s="1383">
        <f ca="1">IFERROR(R$173/R$148, "")</f>
        <v>6.7438917512630731E-2</v>
      </c>
      <c r="S176" s="1383">
        <f ca="1">IFERROR(S$173/S$148, "")</f>
        <v>6.6690050714621543E-2</v>
      </c>
      <c r="T176" s="1382">
        <f ca="1">IFERROR(T$173/T$148, "")</f>
        <v>7.1101923956407978E-2</v>
      </c>
      <c r="U176" s="1383">
        <f ca="1">IFERROR(U$173/U$148, "")</f>
        <v>6.7727275244112303E-2</v>
      </c>
      <c r="V176" s="1383">
        <f ca="1">IFERROR(V$173/V$148, "")</f>
        <v>5.503345815769066E-2</v>
      </c>
      <c r="W176" s="1383">
        <f ca="1">IFERROR(W$173/W$148, "")</f>
        <v>5.315194683719171E-2</v>
      </c>
      <c r="X176" s="1383">
        <f ca="1">IFERROR(X$173/X$148, "")</f>
        <v>4.9687373786191598E-2</v>
      </c>
      <c r="Y176" s="1382">
        <f ca="1">IFERROR(Y$173/Y$148, "")</f>
        <v>4.9357567566473394E-2</v>
      </c>
      <c r="Z176" s="1383">
        <f ca="1">IFERROR(Z$173/Z$148, "")</f>
        <v>5.1846071073729592E-2</v>
      </c>
      <c r="AA176" s="1383">
        <f ca="1">IFERROR(AA$173/AA$148, "")</f>
        <v>5.3849442104983193E-2</v>
      </c>
      <c r="AB176" s="1383">
        <f ca="1">IFERROR(AB$173/AB$148, "")</f>
        <v>5.4535191421634897E-2</v>
      </c>
      <c r="AC176" s="1383">
        <f ca="1">IFERROR(AC$173/AC$148, "")</f>
        <v>5.5951506343390502E-2</v>
      </c>
      <c r="AD176" s="1382">
        <f ca="1">IFERROR(AD$173/AD$148, "")</f>
        <v>5.5607499848820977E-2</v>
      </c>
      <c r="AE176" s="1382">
        <f ca="1">IFERROR(AE$173/AE$148, "")</f>
        <v>6.2592181610780784E-2</v>
      </c>
      <c r="AF176" s="1382">
        <f ca="1">IFERROR(AF$173/AF$148, "")</f>
        <v>6.9753427104356058E-2</v>
      </c>
      <c r="AG176" s="1384">
        <f ca="1">IFERROR(AG$173/AG$148, "")</f>
        <v>7.7588586147110783E-2</v>
      </c>
      <c r="AH176" s="1349"/>
    </row>
    <row r="177" spans="1:34" s="1396" customFormat="1" ht="14.25" customHeight="1" x14ac:dyDescent="0.35">
      <c r="A177" s="1390" t="s">
        <v>1247</v>
      </c>
      <c r="B177" s="1391"/>
      <c r="C177" s="1392"/>
      <c r="D177" s="1393">
        <f>IFERROR(D$172/D$174, "")</f>
        <v>8.4726038467754972</v>
      </c>
      <c r="E177" s="1393">
        <f>IFERROR(E$172/E$174, "")</f>
        <v>7.9435286437081762</v>
      </c>
      <c r="F177" s="1394">
        <f>IFERROR(F$172/F$174, "")</f>
        <v>-0.2627713399706218</v>
      </c>
      <c r="G177" s="1394">
        <f>IFERROR(G$172/G$174, "")</f>
        <v>2.5388944058258853</v>
      </c>
      <c r="H177" s="1394">
        <f>IFERROR(H$172/H$174, "")</f>
        <v>2.9445187165775404</v>
      </c>
      <c r="I177" s="1394">
        <f>IFERROR(I$172/I$174, "")</f>
        <v>2.9142760715491054</v>
      </c>
      <c r="J177" s="1393">
        <f>IFERROR(J$172/J$174, "")</f>
        <v>8.0764119601328908</v>
      </c>
      <c r="K177" s="1394">
        <f>IFERROR(K$172/K$174, "")</f>
        <v>1.1163976210705182</v>
      </c>
      <c r="L177" s="1394">
        <f>IFERROR(L$172/L$174, "")</f>
        <v>2.1173861115850539</v>
      </c>
      <c r="M177" s="1394">
        <f>IFERROR(M$172/M$174, "")</f>
        <v>2.869639794168096</v>
      </c>
      <c r="N177" s="1394">
        <f>IFERROR(N$172/N$174, "")</f>
        <v>3.0890681311137804</v>
      </c>
      <c r="O177" s="1393">
        <f>IFERROR(O$172/O$174, "")</f>
        <v>9.1796274141172454</v>
      </c>
      <c r="P177" s="1394">
        <f>IFERROR(P$172/P$174, "")</f>
        <v>1.5150472914875321</v>
      </c>
      <c r="Q177" s="1394">
        <f>IFERROR(Q$172/Q$174, "")</f>
        <v>2.6274104683195594</v>
      </c>
      <c r="R177" s="1394">
        <f>IFERROR(R$172/R$174, "")</f>
        <v>3.6263736263736264</v>
      </c>
      <c r="S177" s="1394">
        <f>IFERROR(S$172/S$174, "")</f>
        <v>3.5839041095890409</v>
      </c>
      <c r="T177" s="1393">
        <f>IFERROR(T$172/T$174, "")</f>
        <v>11.356922019924424</v>
      </c>
      <c r="U177" s="1394">
        <f>IFERROR(U$172/U$174, "")</f>
        <v>2.3503325942350335</v>
      </c>
      <c r="V177" s="1394">
        <f ca="1">IFERROR(V$172/V$174, "")</f>
        <v>1.2182321421179665</v>
      </c>
      <c r="W177" s="1394">
        <f ca="1">IFERROR(W$172/W$174, "")</f>
        <v>3.2177379353531705</v>
      </c>
      <c r="X177" s="1394">
        <f ca="1">IFERROR(X$172/X$174, "")</f>
        <v>2.8923472229109271</v>
      </c>
      <c r="Y177" s="1393">
        <f ca="1">IFERROR(Y$172/Y$174, "")</f>
        <v>9.6706282132991319</v>
      </c>
      <c r="Z177" s="1394">
        <f ca="1">IFERROR(Z$172/Z$174, "")</f>
        <v>2.7747390600050816</v>
      </c>
      <c r="AA177" s="1394">
        <f ca="1">IFERROR(AA$172/AA$174, "")</f>
        <v>1.5901094015188244</v>
      </c>
      <c r="AB177" s="1394">
        <f ca="1">IFERROR(AB$172/AB$174, "")</f>
        <v>3.3629210072381892</v>
      </c>
      <c r="AC177" s="1394">
        <f ca="1">IFERROR(AC$172/AC$174, "")</f>
        <v>3.1734928913103602</v>
      </c>
      <c r="AD177" s="1393">
        <f ca="1">IFERROR(AD$172/AD$174, "")</f>
        <v>10.895177445379494</v>
      </c>
      <c r="AE177" s="1393">
        <f ca="1">IFERROR(AE$172/AE$174, "")</f>
        <v>12.263686143000278</v>
      </c>
      <c r="AF177" s="1393">
        <f ca="1">IFERROR(AF$172/AF$174, "")</f>
        <v>13.666788972556484</v>
      </c>
      <c r="AG177" s="1395">
        <f ca="1">IFERROR(AG$172/AG$174, "")</f>
        <v>15.201931683803414</v>
      </c>
      <c r="AH177" s="1349"/>
    </row>
    <row r="178" spans="1:34" s="1264" customFormat="1" ht="14.25" customHeight="1" x14ac:dyDescent="0.35">
      <c r="A178" s="1291" t="s">
        <v>1248</v>
      </c>
      <c r="B178" s="1292"/>
      <c r="C178" s="1290"/>
      <c r="D178" s="1327">
        <f>IFERROR(D$173/(D$81+D$82), "")</f>
        <v>0.44995708154506436</v>
      </c>
      <c r="E178" s="1327">
        <f>IFERROR(E$173/(E$81+E$82), "")</f>
        <v>0.34891390063803857</v>
      </c>
      <c r="F178" s="1328" t="str">
        <f>IFERROR(F$173/(F$81+F$82), "")</f>
        <v/>
      </c>
      <c r="G178" s="1328" t="str">
        <f>IFERROR(G$173/(G$81+G$82), "")</f>
        <v/>
      </c>
      <c r="H178" s="1328" t="str">
        <f>IFERROR(H$173/(H$81+H$82), "")</f>
        <v/>
      </c>
      <c r="I178" s="1328">
        <f>IFERROR(I$173/(I$81+I$82), "")</f>
        <v>0.33251265216796611</v>
      </c>
      <c r="J178" s="1327">
        <f>IFERROR(J$173/(J$81+J$82), "")</f>
        <v>0.33251265216796611</v>
      </c>
      <c r="K178" s="1328">
        <f>IFERROR(K$173/(K$81+K$82), "")</f>
        <v>0.33107950571228723</v>
      </c>
      <c r="L178" s="1328">
        <f>IFERROR(L$173/(L$81+L$82), "")</f>
        <v>0.3231166026871401</v>
      </c>
      <c r="M178" s="1328">
        <f>IFERROR(M$173/(M$81+M$82), "")</f>
        <v>0.26144887485195423</v>
      </c>
      <c r="N178" s="1328">
        <f>IFERROR(N$173/(N$81+N$82), "")</f>
        <v>0.25374403552699959</v>
      </c>
      <c r="O178" s="1327">
        <f>IFERROR(O$173/(O$81+O$82), "")</f>
        <v>0.25374403552699959</v>
      </c>
      <c r="P178" s="1328">
        <f>IFERROR(P$173/(P$81+P$82), "")</f>
        <v>0.23969668408876704</v>
      </c>
      <c r="Q178" s="1328">
        <f>IFERROR(Q$173/(Q$81+Q$82), "")</f>
        <v>0.27200814174029697</v>
      </c>
      <c r="R178" s="1328">
        <f>IFERROR(R$173/(R$81+R$82), "")</f>
        <v>0.30892202395502322</v>
      </c>
      <c r="S178" s="1328">
        <f>IFERROR(S$173/(S$81+S$82), "")</f>
        <v>0.33631739572736519</v>
      </c>
      <c r="T178" s="1327">
        <f>IFERROR(T$173/(T$81+T$82), "")</f>
        <v>0.33631739572736519</v>
      </c>
      <c r="U178" s="1328">
        <f>IFERROR(U$173/(U$81+U$82), "")</f>
        <v>0.37292136599695747</v>
      </c>
      <c r="V178" s="1328">
        <f>IFERROR(V$173/(V$81+V$82), "")</f>
        <v>0.33017414527417532</v>
      </c>
      <c r="W178" s="1328">
        <f>IFERROR(W$173/(W$81+W$82), "")</f>
        <v>0.31747800476535087</v>
      </c>
      <c r="X178" s="1328">
        <f>IFERROR(X$173/(X$81+X$82), "")</f>
        <v>0.2954678105323959</v>
      </c>
      <c r="Y178" s="1327">
        <f>IFERROR(Y$173/(Y$81+Y$82), "")</f>
        <v>0.2954678105323959</v>
      </c>
      <c r="Z178" s="1328">
        <f>IFERROR(Z$173/(Z$81+Z$82), "")</f>
        <v>0.30705370314737818</v>
      </c>
      <c r="AA178" s="1328">
        <f ca="1">IFERROR(AA$173/(AA$81+AA$82), "")</f>
        <v>0.31761927247399585</v>
      </c>
      <c r="AB178" s="1328">
        <f ca="1">IFERROR(AB$173/(AB$81+AB$82), "")</f>
        <v>0.32034825554109791</v>
      </c>
      <c r="AC178" s="1328">
        <f ca="1">IFERROR(AC$173/(AC$81+AC$82), "")</f>
        <v>0.32731797926510198</v>
      </c>
      <c r="AD178" s="1327">
        <f ca="1">IFERROR(AD$173/(AD$81+AD$82), "")</f>
        <v>0.32731797926510198</v>
      </c>
      <c r="AE178" s="1327">
        <f ca="1">IFERROR(AE$173/(AE$81+AE$82), "")</f>
        <v>0.36066763139364039</v>
      </c>
      <c r="AF178" s="1327">
        <f ca="1">IFERROR(AF$173/(AF$81+AF$82), "")</f>
        <v>0.39635283912596619</v>
      </c>
      <c r="AG178" s="1329">
        <f ca="1">IFERROR(AG$173/(AG$81+AG$82), "")</f>
        <v>0.43523802854943416</v>
      </c>
      <c r="AH178" s="1349"/>
    </row>
    <row r="179" spans="1:34" s="1264" customFormat="1" ht="14.25" customHeight="1" x14ac:dyDescent="0.35">
      <c r="A179" s="1291" t="s">
        <v>1249</v>
      </c>
      <c r="B179" s="1292"/>
      <c r="C179" s="1290"/>
      <c r="D179" s="1327">
        <f>IFERROR(D$173/D$81, "")</f>
        <v>0.44995708154506436</v>
      </c>
      <c r="E179" s="1327">
        <f>IFERROR(E$173/E$81, "")</f>
        <v>0.34891390063803857</v>
      </c>
      <c r="F179" s="1328" t="str">
        <f>IFERROR(F$173/F$81, "")</f>
        <v/>
      </c>
      <c r="G179" s="1328" t="str">
        <f>IFERROR(G$173/G$81, "")</f>
        <v/>
      </c>
      <c r="H179" s="1328" t="str">
        <f>IFERROR(H$173/H$81, "")</f>
        <v/>
      </c>
      <c r="I179" s="1328">
        <f>IFERROR(I$173/I$81, "")</f>
        <v>0.33251265216796611</v>
      </c>
      <c r="J179" s="1327">
        <f>IFERROR(J$173/J$81, "")</f>
        <v>0.33251265216796611</v>
      </c>
      <c r="K179" s="1328">
        <f>IFERROR(K$173/K$81, "")</f>
        <v>0.34697617593158214</v>
      </c>
      <c r="L179" s="1328">
        <f>IFERROR(L$173/L$81, "")</f>
        <v>0.34081994179425534</v>
      </c>
      <c r="M179" s="1328">
        <f>IFERROR(M$173/M$81, "")</f>
        <v>0.27254488399609034</v>
      </c>
      <c r="N179" s="1328">
        <f>IFERROR(N$173/N$81, "")</f>
        <v>0.26441195293654313</v>
      </c>
      <c r="O179" s="1327">
        <f>IFERROR(O$173/O$81, "")</f>
        <v>0.26441195293654313</v>
      </c>
      <c r="P179" s="1328">
        <f>IFERROR(P$173/P$81, "")</f>
        <v>0.24872193820849078</v>
      </c>
      <c r="Q179" s="1328">
        <f>IFERROR(Q$173/Q$81, "")</f>
        <v>0.28320971004720163</v>
      </c>
      <c r="R179" s="1328">
        <f>IFERROR(R$173/R$81, "")</f>
        <v>0.32243086029186652</v>
      </c>
      <c r="S179" s="1328">
        <f>IFERROR(S$173/S$81, "")</f>
        <v>0.35179569034317637</v>
      </c>
      <c r="T179" s="1327">
        <f>IFERROR(T$173/T$81, "")</f>
        <v>0.35179569034317637</v>
      </c>
      <c r="U179" s="1328">
        <f>IFERROR(U$173/U$81, "")</f>
        <v>0.39088359817452029</v>
      </c>
      <c r="V179" s="1328">
        <f>IFERROR(V$173/V$81, "")</f>
        <v>0.3460774031649862</v>
      </c>
      <c r="W179" s="1328">
        <f>IFERROR(W$173/W$81, "")</f>
        <v>0.33276973689128958</v>
      </c>
      <c r="X179" s="1328">
        <f>IFERROR(X$173/X$81, "")</f>
        <v>0.3096993936426603</v>
      </c>
      <c r="Y179" s="1327">
        <f>IFERROR(Y$173/Y$81, "")</f>
        <v>0.3096993936426603</v>
      </c>
      <c r="Z179" s="1328">
        <f>IFERROR(Z$173/Z$81, "")</f>
        <v>0.32184333551979272</v>
      </c>
      <c r="AA179" s="1328">
        <f ca="1">IFERROR(AA$173/AA$81, "")</f>
        <v>0.33291780893890044</v>
      </c>
      <c r="AB179" s="1328">
        <f ca="1">IFERROR(AB$173/AB$81, "")</f>
        <v>0.33577823694836695</v>
      </c>
      <c r="AC179" s="1328">
        <f ca="1">IFERROR(AC$173/AC$81, "")</f>
        <v>0.3430836662852938</v>
      </c>
      <c r="AD179" s="1327">
        <f ca="1">IFERROR(AD$173/AD$81, "")</f>
        <v>0.3430836662852938</v>
      </c>
      <c r="AE179" s="1327">
        <f ca="1">IFERROR(AE$173/AE$81, "")</f>
        <v>0.37803964684978103</v>
      </c>
      <c r="AF179" s="1327">
        <f ca="1">IFERROR(AF$173/AF$81, "")</f>
        <v>0.41544367802596877</v>
      </c>
      <c r="AG179" s="1329">
        <f ca="1">IFERROR(AG$173/AG$81, "")</f>
        <v>0.45620182208378857</v>
      </c>
      <c r="AH179" s="1349"/>
    </row>
    <row r="180" spans="1:34" ht="14.25" customHeight="1" x14ac:dyDescent="0.35">
      <c r="A180" s="1386"/>
      <c r="B180" s="1387"/>
      <c r="C180" s="1207"/>
      <c r="D180" s="1252"/>
      <c r="E180" s="1252"/>
      <c r="F180" s="1397"/>
      <c r="J180" s="1252"/>
      <c r="O180" s="1252"/>
      <c r="T180" s="1252"/>
      <c r="Y180" s="1252"/>
      <c r="AD180" s="1252"/>
      <c r="AE180" s="1252"/>
      <c r="AF180" s="1252"/>
      <c r="AG180" s="1254"/>
      <c r="AH180" s="1349"/>
    </row>
    <row r="181" spans="1:34" s="1222" customFormat="1" ht="14.25" customHeight="1" outlineLevel="1" x14ac:dyDescent="0.35">
      <c r="A181" s="1378" t="s">
        <v>1250</v>
      </c>
      <c r="B181" s="1379"/>
      <c r="C181" s="1218"/>
      <c r="D181" s="1398">
        <f>IFERROR(IFERROR(INDEX(MO_CFSum_Dividend,0,MATCH(D$3,MO_Common_ColumnHeader,0)),INDEX(MO_DS_Dividend,0,MATCH(D$3,MO_Common_ColumnHeader,0))), "")</f>
        <v>-2678</v>
      </c>
      <c r="E181" s="1398">
        <f>IFERROR(IFERROR(INDEX(MO_CFSum_Dividend,0,MATCH(E$3,MO_Common_ColumnHeader,0)),INDEX(MO_DS_Dividend,0,MATCH(E$3,MO_Common_ColumnHeader,0))), "")</f>
        <v>-2803</v>
      </c>
      <c r="F181" s="1349">
        <f>IFERROR(IFERROR(INDEX(MO_CFSum_Dividend,0,MATCH(F$3,MO_Common_ColumnHeader,0)),INDEX(MO_DS_Dividend,0,MATCH(F$3,MO_Common_ColumnHeader,0))), "")</f>
        <v>-810</v>
      </c>
      <c r="G181" s="1349">
        <f>IFERROR(IFERROR(INDEX(MO_CFSum_Dividend,0,MATCH(G$3,MO_Common_ColumnHeader,0)),INDEX(MO_DS_Dividend,0,MATCH(G$3,MO_Common_ColumnHeader,0))), "")</f>
        <v>-802</v>
      </c>
      <c r="H181" s="1349">
        <f>IFERROR(IFERROR(INDEX(MO_CFSum_Dividend,0,MATCH(H$3,MO_Common_ColumnHeader,0)),INDEX(MO_DS_Dividend,0,MATCH(H$3,MO_Common_ColumnHeader,0))), "")</f>
        <v>-794</v>
      </c>
      <c r="I181" s="1349">
        <f>IFERROR(IFERROR(INDEX(MO_CFSum_Dividend,0,MATCH(I$3,MO_Common_ColumnHeader,0)),INDEX(MO_DS_Dividend,0,MATCH(I$3,MO_Common_ColumnHeader,0))), "")</f>
        <v>-787</v>
      </c>
      <c r="J181" s="1398">
        <f>IFERROR(IFERROR(INDEX(MO_CFSum_Dividend,0,MATCH(J$3,MO_Common_ColumnHeader,0)),INDEX(MO_DS_Dividend,0,MATCH(J$3,MO_Common_ColumnHeader,0))), "")</f>
        <v>-3193</v>
      </c>
      <c r="K181" s="1349">
        <f>IFERROR(IFERROR(INDEX(MO_CFSum_Dividend,0,MATCH(K$3,MO_Common_ColumnHeader,0)),INDEX(MO_DS_Dividend,0,MATCH(K$3,MO_Common_ColumnHeader,0))), "")</f>
        <v>-830</v>
      </c>
      <c r="L181" s="1349">
        <f>IFERROR(IFERROR(INDEX(MO_CFSum_Dividend,0,MATCH(L$3,MO_Common_ColumnHeader,0)),INDEX(MO_DS_Dividend,0,MATCH(L$3,MO_Common_ColumnHeader,0))), "")</f>
        <v>-830</v>
      </c>
      <c r="M181" s="1349">
        <f>IFERROR(IFERROR(INDEX(MO_CFSum_Dividend,0,MATCH(M$3,MO_Common_ColumnHeader,0)),INDEX(MO_DS_Dividend,0,MATCH(M$3,MO_Common_ColumnHeader,0))), "")</f>
        <v>-828</v>
      </c>
      <c r="N181" s="1349">
        <f>IFERROR(IFERROR(INDEX(MO_CFSum_Dividend,0,MATCH(N$3,MO_Common_ColumnHeader,0)),INDEX(MO_DS_Dividend,0,MATCH(N$3,MO_Common_ColumnHeader,0))), "")</f>
        <v>-828</v>
      </c>
      <c r="O181" s="1398">
        <f>IFERROR(IFERROR(INDEX(MO_CFSum_Dividend,0,MATCH(O$3,MO_Common_ColumnHeader,0)),INDEX(MO_DS_Dividend,0,MATCH(O$3,MO_Common_ColumnHeader,0))), "")</f>
        <v>-3316</v>
      </c>
      <c r="P181" s="1349">
        <f>IFERROR(IFERROR(INDEX(MO_CFSum_Dividend,0,MATCH(P$3,MO_Common_ColumnHeader,0)),INDEX(MO_DS_Dividend,0,MATCH(P$3,MO_Common_ColumnHeader,0))), "")</f>
        <v>-847</v>
      </c>
      <c r="Q181" s="1349">
        <f>IFERROR(IFERROR(INDEX(MO_CFSum_Dividend,0,MATCH(Q$3,MO_Common_ColumnHeader,0)),INDEX(MO_DS_Dividend,0,MATCH(Q$3,MO_Common_ColumnHeader,0))), "")</f>
        <v>-846</v>
      </c>
      <c r="R181" s="1349">
        <f>IFERROR(IFERROR(INDEX(MO_CFSum_Dividend,0,MATCH(R$3,MO_Common_ColumnHeader,0)),INDEX(MO_DS_Dividend,0,MATCH(R$3,MO_Common_ColumnHeader,0))), "")</f>
        <v>-847</v>
      </c>
      <c r="S181" s="1349">
        <f>IFERROR(IFERROR(INDEX(MO_CFSum_Dividend,0,MATCH(S$3,MO_Common_ColumnHeader,0)),INDEX(MO_DS_Dividend,0,MATCH(S$3,MO_Common_ColumnHeader,0))), "")</f>
        <v>-848</v>
      </c>
      <c r="T181" s="1398">
        <f>IFERROR(IFERROR(INDEX(MO_CFSum_Dividend,0,MATCH(T$3,MO_Common_ColumnHeader,0)),INDEX(MO_DS_Dividend,0,MATCH(T$3,MO_Common_ColumnHeader,0))), "")</f>
        <v>-3388</v>
      </c>
      <c r="U181" s="1349">
        <f>IFERROR(IFERROR(INDEX(MO_CFSum_Dividend,0,MATCH(U$3,MO_Common_ColumnHeader,0)),INDEX(MO_DS_Dividend,0,MATCH(U$3,MO_Common_ColumnHeader,0))), "")</f>
        <v>-858</v>
      </c>
      <c r="V181" s="1349">
        <f ca="1">IFERROR(IFERROR(INDEX(MO_CFSum_Dividend,0,MATCH(V$3,MO_Common_ColumnHeader,0)),INDEX(MO_DS_Dividend,0,MATCH(V$3,MO_Common_ColumnHeader,0))), "")</f>
        <v>-855.32556701030933</v>
      </c>
      <c r="W181" s="1349">
        <f ca="1">IFERROR(IFERROR(INDEX(MO_CFSum_Dividend,0,MATCH(W$3,MO_Common_ColumnHeader,0)),INDEX(MO_DS_Dividend,0,MATCH(W$3,MO_Common_ColumnHeader,0))), "")</f>
        <v>-851.51113402061867</v>
      </c>
      <c r="X181" s="1349">
        <f ca="1">IFERROR(IFERROR(INDEX(MO_CFSum_Dividend,0,MATCH(X$3,MO_Common_ColumnHeader,0)),INDEX(MO_DS_Dividend,0,MATCH(X$3,MO_Common_ColumnHeader,0))), "")</f>
        <v>-847.69670103092801</v>
      </c>
      <c r="Y181" s="1398">
        <f>IFERROR(IFERROR(INDEX(MO_CFSum_Dividend,0,MATCH(Y$3,MO_Common_ColumnHeader,0)),INDEX(MO_DS_Dividend,0,MATCH(Y$3,MO_Common_ColumnHeader,0))), "")</f>
        <v>-3412.5334020618561</v>
      </c>
      <c r="Z181" s="1349">
        <f ca="1">IFERROR(IFERROR(INDEX(MO_CFSum_Dividend,0,MATCH(Z$3,MO_Common_ColumnHeader,0)),INDEX(MO_DS_Dividend,0,MATCH(Z$3,MO_Common_ColumnHeader,0))), "")</f>
        <v>-844.22252262717211</v>
      </c>
      <c r="AA181" s="1349">
        <f ca="1">IFERROR(IFERROR(INDEX(MO_CFSum_Dividend,0,MATCH(AA$3,MO_Common_ColumnHeader,0)),INDEX(MO_DS_Dividend,0,MATCH(AA$3,MO_Common_ColumnHeader,0))), "")</f>
        <v>-840.74834422341632</v>
      </c>
      <c r="AB181" s="1349">
        <f ca="1">IFERROR(IFERROR(INDEX(MO_CFSum_Dividend,0,MATCH(AB$3,MO_Common_ColumnHeader,0)),INDEX(MO_DS_Dividend,0,MATCH(AB$3,MO_Common_ColumnHeader,0))), "")</f>
        <v>-837.27416581966054</v>
      </c>
      <c r="AC181" s="1349">
        <f ca="1">IFERROR(IFERROR(INDEX(MO_CFSum_Dividend,0,MATCH(AC$3,MO_Common_ColumnHeader,0)),INDEX(MO_DS_Dividend,0,MATCH(AC$3,MO_Common_ColumnHeader,0))), "")</f>
        <v>-833.79998741590464</v>
      </c>
      <c r="AD181" s="1398">
        <f>IFERROR(IFERROR(INDEX(MO_CFSum_Dividend,0,MATCH(AD$3,MO_Common_ColumnHeader,0)),INDEX(MO_DS_Dividend,0,MATCH(AD$3,MO_Common_ColumnHeader,0))), "")</f>
        <v>-3356.0450200861537</v>
      </c>
      <c r="AE181" s="1398">
        <f ca="1">IFERROR(IFERROR(INDEX(MO_CFSum_Dividend,0,MATCH(AE$3,MO_Common_ColumnHeader,0)),INDEX(MO_DS_Dividend,0,MATCH(AE$3,MO_Common_ColumnHeader,0))), "")</f>
        <v>-3284.601659065328</v>
      </c>
      <c r="AF181" s="1398">
        <f ca="1">IFERROR(IFERROR(INDEX(MO_CFSum_Dividend,0,MATCH(AF$3,MO_Common_ColumnHeader,0)),INDEX(MO_DS_Dividend,0,MATCH(AF$3,MO_Common_ColumnHeader,0))), "")</f>
        <v>-3238.5316201548221</v>
      </c>
      <c r="AG181" s="1399">
        <f ca="1">IFERROR(IFERROR(INDEX(MO_CFSum_Dividend,0,MATCH(AG$3,MO_Common_ColumnHeader,0)),INDEX(MO_DS_Dividend,0,MATCH(AG$3,MO_Common_ColumnHeader,0))), "")</f>
        <v>-3196.6941643244331</v>
      </c>
      <c r="AH181" s="1349"/>
    </row>
    <row r="182" spans="1:34" s="1222" customFormat="1" ht="14.25" customHeight="1" outlineLevel="1" x14ac:dyDescent="0.35">
      <c r="A182" s="1216" t="str">
        <f>"LTM "&amp;A181</f>
        <v>LTM Dividends Paid</v>
      </c>
      <c r="B182" s="1217"/>
      <c r="C182" s="1218"/>
      <c r="D182" s="1365">
        <f>IFERROR(IF(LEFT(D$3,1)="F",D181,
IF(LEFT(D$3,2)="Q1",D181+INDEX(181:181,0,MATCH("Q4-"&amp;RIGHT(D$3,4)-1,$3:$3,0))+INDEX(181:181,0,MATCH("Q3-"&amp;RIGHT(D$3,4)-1,$3:$3,0))+INDEX(181:181,0,MATCH("Q2-"&amp;RIGHT(D$3,4)-1,$3:$3,0)),
IF(LEFT(D$3,2)="Q2",D181+INDEX(181:181,0,MATCH("Q4-"&amp;RIGHT(D$3,4)-1,$3:$3,0))+INDEX(181:181,0,MATCH("Q3-"&amp;RIGHT(D$3,4)-1,$3:$3,0))+INDEX(181:181,0,MATCH("Q1-"&amp;RIGHT(D$3,4),$3:$3,0)),
IF(LEFT(D$3,2)="Q3",D181+INDEX(181:181,0,MATCH("Q4-"&amp;RIGHT(D$3,4)-1,$3:$3,0))+INDEX(181:181,0,MATCH("Q2-"&amp;RIGHT(D$3,4),$3:$3,0))+INDEX(181:181,0,MATCH("Q1-"&amp;RIGHT(D$3,4),$3:$3,0)),
IF(LEFT(D$3,2)="Q4",INDEX(181:181,0,MATCH("FY"&amp;RIGHT(D$3,4),$3:$3,0))))))), "")</f>
        <v>-2678</v>
      </c>
      <c r="E182" s="1365">
        <f>IFERROR(IF(LEFT(E$3,1)="F",E181,
IF(LEFT(E$3,2)="Q1",E181+INDEX(181:181,0,MATCH("Q4-"&amp;RIGHT(E$3,4)-1,$3:$3,0))+INDEX(181:181,0,MATCH("Q3-"&amp;RIGHT(E$3,4)-1,$3:$3,0))+INDEX(181:181,0,MATCH("Q2-"&amp;RIGHT(E$3,4)-1,$3:$3,0)),
IF(LEFT(E$3,2)="Q2",E181+INDEX(181:181,0,MATCH("Q4-"&amp;RIGHT(E$3,4)-1,$3:$3,0))+INDEX(181:181,0,MATCH("Q3-"&amp;RIGHT(E$3,4)-1,$3:$3,0))+INDEX(181:181,0,MATCH("Q1-"&amp;RIGHT(E$3,4),$3:$3,0)),
IF(LEFT(E$3,2)="Q3",E181+INDEX(181:181,0,MATCH("Q4-"&amp;RIGHT(E$3,4)-1,$3:$3,0))+INDEX(181:181,0,MATCH("Q2-"&amp;RIGHT(E$3,4),$3:$3,0))+INDEX(181:181,0,MATCH("Q1-"&amp;RIGHT(E$3,4),$3:$3,0)),
IF(LEFT(E$3,2)="Q4",INDEX(181:181,0,MATCH("FY"&amp;RIGHT(E$3,4),$3:$3,0))))))), "")</f>
        <v>-2803</v>
      </c>
      <c r="F182" s="1400" t="str">
        <f>IFERROR(IF(LEFT(F$3,1)="F",F181,
IF(LEFT(F$3,2)="Q1",F181+INDEX(181:181,0,MATCH("Q4-"&amp;RIGHT(F$3,4)-1,$3:$3,0))+INDEX(181:181,0,MATCH("Q3-"&amp;RIGHT(F$3,4)-1,$3:$3,0))+INDEX(181:181,0,MATCH("Q2-"&amp;RIGHT(F$3,4)-1,$3:$3,0)),
IF(LEFT(F$3,2)="Q2",F181+INDEX(181:181,0,MATCH("Q4-"&amp;RIGHT(F$3,4)-1,$3:$3,0))+INDEX(181:181,0,MATCH("Q3-"&amp;RIGHT(F$3,4)-1,$3:$3,0))+INDEX(181:181,0,MATCH("Q1-"&amp;RIGHT(F$3,4),$3:$3,0)),
IF(LEFT(F$3,2)="Q3",F181+INDEX(181:181,0,MATCH("Q4-"&amp;RIGHT(F$3,4)-1,$3:$3,0))+INDEX(181:181,0,MATCH("Q2-"&amp;RIGHT(F$3,4),$3:$3,0))+INDEX(181:181,0,MATCH("Q1-"&amp;RIGHT(F$3,4),$3:$3,0)),
IF(LEFT(F$3,2)="Q4",INDEX(181:181,0,MATCH("FY"&amp;RIGHT(F$3,4),$3:$3,0))))))), "")</f>
        <v/>
      </c>
      <c r="G182" s="1400" t="str">
        <f>IFERROR(IF(LEFT(G$3,1)="F",G181,
IF(LEFT(G$3,2)="Q1",G181+INDEX(181:181,0,MATCH("Q4-"&amp;RIGHT(G$3,4)-1,$3:$3,0))+INDEX(181:181,0,MATCH("Q3-"&amp;RIGHT(G$3,4)-1,$3:$3,0))+INDEX(181:181,0,MATCH("Q2-"&amp;RIGHT(G$3,4)-1,$3:$3,0)),
IF(LEFT(G$3,2)="Q2",G181+INDEX(181:181,0,MATCH("Q4-"&amp;RIGHT(G$3,4)-1,$3:$3,0))+INDEX(181:181,0,MATCH("Q3-"&amp;RIGHT(G$3,4)-1,$3:$3,0))+INDEX(181:181,0,MATCH("Q1-"&amp;RIGHT(G$3,4),$3:$3,0)),
IF(LEFT(G$3,2)="Q3",G181+INDEX(181:181,0,MATCH("Q4-"&amp;RIGHT(G$3,4)-1,$3:$3,0))+INDEX(181:181,0,MATCH("Q2-"&amp;RIGHT(G$3,4),$3:$3,0))+INDEX(181:181,0,MATCH("Q1-"&amp;RIGHT(G$3,4),$3:$3,0)),
IF(LEFT(G$3,2)="Q4",INDEX(181:181,0,MATCH("FY"&amp;RIGHT(G$3,4),$3:$3,0))))))), "")</f>
        <v/>
      </c>
      <c r="H182" s="1400" t="str">
        <f>IFERROR(IF(LEFT(H$3,1)="F",H181,
IF(LEFT(H$3,2)="Q1",H181+INDEX(181:181,0,MATCH("Q4-"&amp;RIGHT(H$3,4)-1,$3:$3,0))+INDEX(181:181,0,MATCH("Q3-"&amp;RIGHT(H$3,4)-1,$3:$3,0))+INDEX(181:181,0,MATCH("Q2-"&amp;RIGHT(H$3,4)-1,$3:$3,0)),
IF(LEFT(H$3,2)="Q2",H181+INDEX(181:181,0,MATCH("Q4-"&amp;RIGHT(H$3,4)-1,$3:$3,0))+INDEX(181:181,0,MATCH("Q3-"&amp;RIGHT(H$3,4)-1,$3:$3,0))+INDEX(181:181,0,MATCH("Q1-"&amp;RIGHT(H$3,4),$3:$3,0)),
IF(LEFT(H$3,2)="Q3",H181+INDEX(181:181,0,MATCH("Q4-"&amp;RIGHT(H$3,4)-1,$3:$3,0))+INDEX(181:181,0,MATCH("Q2-"&amp;RIGHT(H$3,4),$3:$3,0))+INDEX(181:181,0,MATCH("Q1-"&amp;RIGHT(H$3,4),$3:$3,0)),
IF(LEFT(H$3,2)="Q4",INDEX(181:181,0,MATCH("FY"&amp;RIGHT(H$3,4),$3:$3,0))))))), "")</f>
        <v/>
      </c>
      <c r="I182" s="1400">
        <f>IFERROR(IF(LEFT(I$3,1)="F",I181,
IF(LEFT(I$3,2)="Q1",I181+INDEX(181:181,0,MATCH("Q4-"&amp;RIGHT(I$3,4)-1,$3:$3,0))+INDEX(181:181,0,MATCH("Q3-"&amp;RIGHT(I$3,4)-1,$3:$3,0))+INDEX(181:181,0,MATCH("Q2-"&amp;RIGHT(I$3,4)-1,$3:$3,0)),
IF(LEFT(I$3,2)="Q2",I181+INDEX(181:181,0,MATCH("Q4-"&amp;RIGHT(I$3,4)-1,$3:$3,0))+INDEX(181:181,0,MATCH("Q3-"&amp;RIGHT(I$3,4)-1,$3:$3,0))+INDEX(181:181,0,MATCH("Q1-"&amp;RIGHT(I$3,4),$3:$3,0)),
IF(LEFT(I$3,2)="Q3",I181+INDEX(181:181,0,MATCH("Q4-"&amp;RIGHT(I$3,4)-1,$3:$3,0))+INDEX(181:181,0,MATCH("Q2-"&amp;RIGHT(I$3,4),$3:$3,0))+INDEX(181:181,0,MATCH("Q1-"&amp;RIGHT(I$3,4),$3:$3,0)),
IF(LEFT(I$3,2)="Q4",INDEX(181:181,0,MATCH("FY"&amp;RIGHT(I$3,4),$3:$3,0))))))), "")</f>
        <v>-3193</v>
      </c>
      <c r="J182" s="1365">
        <f>IFERROR(IF(LEFT(J$3,1)="F",J181,
IF(LEFT(J$3,2)="Q1",J181+INDEX(181:181,0,MATCH("Q4-"&amp;RIGHT(J$3,4)-1,$3:$3,0))+INDEX(181:181,0,MATCH("Q3-"&amp;RIGHT(J$3,4)-1,$3:$3,0))+INDEX(181:181,0,MATCH("Q2-"&amp;RIGHT(J$3,4)-1,$3:$3,0)),
IF(LEFT(J$3,2)="Q2",J181+INDEX(181:181,0,MATCH("Q4-"&amp;RIGHT(J$3,4)-1,$3:$3,0))+INDEX(181:181,0,MATCH("Q3-"&amp;RIGHT(J$3,4)-1,$3:$3,0))+INDEX(181:181,0,MATCH("Q1-"&amp;RIGHT(J$3,4),$3:$3,0)),
IF(LEFT(J$3,2)="Q3",J181+INDEX(181:181,0,MATCH("Q4-"&amp;RIGHT(J$3,4)-1,$3:$3,0))+INDEX(181:181,0,MATCH("Q2-"&amp;RIGHT(J$3,4),$3:$3,0))+INDEX(181:181,0,MATCH("Q1-"&amp;RIGHT(J$3,4),$3:$3,0)),
IF(LEFT(J$3,2)="Q4",INDEX(181:181,0,MATCH("FY"&amp;RIGHT(J$3,4),$3:$3,0))))))), "")</f>
        <v>-3193</v>
      </c>
      <c r="K182" s="1400">
        <f>IFERROR(IF(LEFT(K$3,1)="F",K181,
IF(LEFT(K$3,2)="Q1",K181+INDEX(181:181,0,MATCH("Q4-"&amp;RIGHT(K$3,4)-1,$3:$3,0))+INDEX(181:181,0,MATCH("Q3-"&amp;RIGHT(K$3,4)-1,$3:$3,0))+INDEX(181:181,0,MATCH("Q2-"&amp;RIGHT(K$3,4)-1,$3:$3,0)),
IF(LEFT(K$3,2)="Q2",K181+INDEX(181:181,0,MATCH("Q4-"&amp;RIGHT(K$3,4)-1,$3:$3,0))+INDEX(181:181,0,MATCH("Q3-"&amp;RIGHT(K$3,4)-1,$3:$3,0))+INDEX(181:181,0,MATCH("Q1-"&amp;RIGHT(K$3,4),$3:$3,0)),
IF(LEFT(K$3,2)="Q3",K181+INDEX(181:181,0,MATCH("Q4-"&amp;RIGHT(K$3,4)-1,$3:$3,0))+INDEX(181:181,0,MATCH("Q2-"&amp;RIGHT(K$3,4),$3:$3,0))+INDEX(181:181,0,MATCH("Q1-"&amp;RIGHT(K$3,4),$3:$3,0)),
IF(LEFT(K$3,2)="Q4",INDEX(181:181,0,MATCH("FY"&amp;RIGHT(K$3,4),$3:$3,0))))))), "")</f>
        <v>-3213</v>
      </c>
      <c r="L182" s="1400">
        <f>IFERROR(IF(LEFT(L$3,1)="F",L181,
IF(LEFT(L$3,2)="Q1",L181+INDEX(181:181,0,MATCH("Q4-"&amp;RIGHT(L$3,4)-1,$3:$3,0))+INDEX(181:181,0,MATCH("Q3-"&amp;RIGHT(L$3,4)-1,$3:$3,0))+INDEX(181:181,0,MATCH("Q2-"&amp;RIGHT(L$3,4)-1,$3:$3,0)),
IF(LEFT(L$3,2)="Q2",L181+INDEX(181:181,0,MATCH("Q4-"&amp;RIGHT(L$3,4)-1,$3:$3,0))+INDEX(181:181,0,MATCH("Q3-"&amp;RIGHT(L$3,4)-1,$3:$3,0))+INDEX(181:181,0,MATCH("Q1-"&amp;RIGHT(L$3,4),$3:$3,0)),
IF(LEFT(L$3,2)="Q3",L181+INDEX(181:181,0,MATCH("Q4-"&amp;RIGHT(L$3,4)-1,$3:$3,0))+INDEX(181:181,0,MATCH("Q2-"&amp;RIGHT(L$3,4),$3:$3,0))+INDEX(181:181,0,MATCH("Q1-"&amp;RIGHT(L$3,4),$3:$3,0)),
IF(LEFT(L$3,2)="Q4",INDEX(181:181,0,MATCH("FY"&amp;RIGHT(L$3,4),$3:$3,0))))))), "")</f>
        <v>-3241</v>
      </c>
      <c r="M182" s="1400">
        <f>IFERROR(IF(LEFT(M$3,1)="F",M181,
IF(LEFT(M$3,2)="Q1",M181+INDEX(181:181,0,MATCH("Q4-"&amp;RIGHT(M$3,4)-1,$3:$3,0))+INDEX(181:181,0,MATCH("Q3-"&amp;RIGHT(M$3,4)-1,$3:$3,0))+INDEX(181:181,0,MATCH("Q2-"&amp;RIGHT(M$3,4)-1,$3:$3,0)),
IF(LEFT(M$3,2)="Q2",M181+INDEX(181:181,0,MATCH("Q4-"&amp;RIGHT(M$3,4)-1,$3:$3,0))+INDEX(181:181,0,MATCH("Q3-"&amp;RIGHT(M$3,4)-1,$3:$3,0))+INDEX(181:181,0,MATCH("Q1-"&amp;RIGHT(M$3,4),$3:$3,0)),
IF(LEFT(M$3,2)="Q3",M181+INDEX(181:181,0,MATCH("Q4-"&amp;RIGHT(M$3,4)-1,$3:$3,0))+INDEX(181:181,0,MATCH("Q2-"&amp;RIGHT(M$3,4),$3:$3,0))+INDEX(181:181,0,MATCH("Q1-"&amp;RIGHT(M$3,4),$3:$3,0)),
IF(LEFT(M$3,2)="Q4",INDEX(181:181,0,MATCH("FY"&amp;RIGHT(M$3,4),$3:$3,0))))))), "")</f>
        <v>-3275</v>
      </c>
      <c r="N182" s="1400">
        <f>IFERROR(IF(LEFT(N$3,1)="F",N181,
IF(LEFT(N$3,2)="Q1",N181+INDEX(181:181,0,MATCH("Q4-"&amp;RIGHT(N$3,4)-1,$3:$3,0))+INDEX(181:181,0,MATCH("Q3-"&amp;RIGHT(N$3,4)-1,$3:$3,0))+INDEX(181:181,0,MATCH("Q2-"&amp;RIGHT(N$3,4)-1,$3:$3,0)),
IF(LEFT(N$3,2)="Q2",N181+INDEX(181:181,0,MATCH("Q4-"&amp;RIGHT(N$3,4)-1,$3:$3,0))+INDEX(181:181,0,MATCH("Q3-"&amp;RIGHT(N$3,4)-1,$3:$3,0))+INDEX(181:181,0,MATCH("Q1-"&amp;RIGHT(N$3,4),$3:$3,0)),
IF(LEFT(N$3,2)="Q3",N181+INDEX(181:181,0,MATCH("Q4-"&amp;RIGHT(N$3,4)-1,$3:$3,0))+INDEX(181:181,0,MATCH("Q2-"&amp;RIGHT(N$3,4),$3:$3,0))+INDEX(181:181,0,MATCH("Q1-"&amp;RIGHT(N$3,4),$3:$3,0)),
IF(LEFT(N$3,2)="Q4",INDEX(181:181,0,MATCH("FY"&amp;RIGHT(N$3,4),$3:$3,0))))))), "")</f>
        <v>-3316</v>
      </c>
      <c r="O182" s="1365">
        <f>IFERROR(IF(LEFT(O$3,1)="F",O181,
IF(LEFT(O$3,2)="Q1",O181+INDEX(181:181,0,MATCH("Q4-"&amp;RIGHT(O$3,4)-1,$3:$3,0))+INDEX(181:181,0,MATCH("Q3-"&amp;RIGHT(O$3,4)-1,$3:$3,0))+INDEX(181:181,0,MATCH("Q2-"&amp;RIGHT(O$3,4)-1,$3:$3,0)),
IF(LEFT(O$3,2)="Q2",O181+INDEX(181:181,0,MATCH("Q4-"&amp;RIGHT(O$3,4)-1,$3:$3,0))+INDEX(181:181,0,MATCH("Q3-"&amp;RIGHT(O$3,4)-1,$3:$3,0))+INDEX(181:181,0,MATCH("Q1-"&amp;RIGHT(O$3,4),$3:$3,0)),
IF(LEFT(O$3,2)="Q3",O181+INDEX(181:181,0,MATCH("Q4-"&amp;RIGHT(O$3,4)-1,$3:$3,0))+INDEX(181:181,0,MATCH("Q2-"&amp;RIGHT(O$3,4),$3:$3,0))+INDEX(181:181,0,MATCH("Q1-"&amp;RIGHT(O$3,4),$3:$3,0)),
IF(LEFT(O$3,2)="Q4",INDEX(181:181,0,MATCH("FY"&amp;RIGHT(O$3,4),$3:$3,0))))))), "")</f>
        <v>-3316</v>
      </c>
      <c r="P182" s="1400">
        <f>IFERROR(IF(LEFT(P$3,1)="F",P181,
IF(LEFT(P$3,2)="Q1",P181+INDEX(181:181,0,MATCH("Q4-"&amp;RIGHT(P$3,4)-1,$3:$3,0))+INDEX(181:181,0,MATCH("Q3-"&amp;RIGHT(P$3,4)-1,$3:$3,0))+INDEX(181:181,0,MATCH("Q2-"&amp;RIGHT(P$3,4)-1,$3:$3,0)),
IF(LEFT(P$3,2)="Q2",P181+INDEX(181:181,0,MATCH("Q4-"&amp;RIGHT(P$3,4)-1,$3:$3,0))+INDEX(181:181,0,MATCH("Q3-"&amp;RIGHT(P$3,4)-1,$3:$3,0))+INDEX(181:181,0,MATCH("Q1-"&amp;RIGHT(P$3,4),$3:$3,0)),
IF(LEFT(P$3,2)="Q3",P181+INDEX(181:181,0,MATCH("Q4-"&amp;RIGHT(P$3,4)-1,$3:$3,0))+INDEX(181:181,0,MATCH("Q2-"&amp;RIGHT(P$3,4),$3:$3,0))+INDEX(181:181,0,MATCH("Q1-"&amp;RIGHT(P$3,4),$3:$3,0)),
IF(LEFT(P$3,2)="Q4",INDEX(181:181,0,MATCH("FY"&amp;RIGHT(P$3,4),$3:$3,0))))))), "")</f>
        <v>-3333</v>
      </c>
      <c r="Q182" s="1400">
        <f>IFERROR(IF(LEFT(Q$3,1)="F",Q181,
IF(LEFT(Q$3,2)="Q1",Q181+INDEX(181:181,0,MATCH("Q4-"&amp;RIGHT(Q$3,4)-1,$3:$3,0))+INDEX(181:181,0,MATCH("Q3-"&amp;RIGHT(Q$3,4)-1,$3:$3,0))+INDEX(181:181,0,MATCH("Q2-"&amp;RIGHT(Q$3,4)-1,$3:$3,0)),
IF(LEFT(Q$3,2)="Q2",Q181+INDEX(181:181,0,MATCH("Q4-"&amp;RIGHT(Q$3,4)-1,$3:$3,0))+INDEX(181:181,0,MATCH("Q3-"&amp;RIGHT(Q$3,4)-1,$3:$3,0))+INDEX(181:181,0,MATCH("Q1-"&amp;RIGHT(Q$3,4),$3:$3,0)),
IF(LEFT(Q$3,2)="Q3",Q181+INDEX(181:181,0,MATCH("Q4-"&amp;RIGHT(Q$3,4)-1,$3:$3,0))+INDEX(181:181,0,MATCH("Q2-"&amp;RIGHT(Q$3,4),$3:$3,0))+INDEX(181:181,0,MATCH("Q1-"&amp;RIGHT(Q$3,4),$3:$3,0)),
IF(LEFT(Q$3,2)="Q4",INDEX(181:181,0,MATCH("FY"&amp;RIGHT(Q$3,4),$3:$3,0))))))), "")</f>
        <v>-3349</v>
      </c>
      <c r="R182" s="1400">
        <f>IFERROR(IF(LEFT(R$3,1)="F",R181,
IF(LEFT(R$3,2)="Q1",R181+INDEX(181:181,0,MATCH("Q4-"&amp;RIGHT(R$3,4)-1,$3:$3,0))+INDEX(181:181,0,MATCH("Q3-"&amp;RIGHT(R$3,4)-1,$3:$3,0))+INDEX(181:181,0,MATCH("Q2-"&amp;RIGHT(R$3,4)-1,$3:$3,0)),
IF(LEFT(R$3,2)="Q2",R181+INDEX(181:181,0,MATCH("Q4-"&amp;RIGHT(R$3,4)-1,$3:$3,0))+INDEX(181:181,0,MATCH("Q3-"&amp;RIGHT(R$3,4)-1,$3:$3,0))+INDEX(181:181,0,MATCH("Q1-"&amp;RIGHT(R$3,4),$3:$3,0)),
IF(LEFT(R$3,2)="Q3",R181+INDEX(181:181,0,MATCH("Q4-"&amp;RIGHT(R$3,4)-1,$3:$3,0))+INDEX(181:181,0,MATCH("Q2-"&amp;RIGHT(R$3,4),$3:$3,0))+INDEX(181:181,0,MATCH("Q1-"&amp;RIGHT(R$3,4),$3:$3,0)),
IF(LEFT(R$3,2)="Q4",INDEX(181:181,0,MATCH("FY"&amp;RIGHT(R$3,4),$3:$3,0))))))), "")</f>
        <v>-3368</v>
      </c>
      <c r="S182" s="1400">
        <f>IFERROR(IF(LEFT(S$3,1)="F",S181,
IF(LEFT(S$3,2)="Q1",S181+INDEX(181:181,0,MATCH("Q4-"&amp;RIGHT(S$3,4)-1,$3:$3,0))+INDEX(181:181,0,MATCH("Q3-"&amp;RIGHT(S$3,4)-1,$3:$3,0))+INDEX(181:181,0,MATCH("Q2-"&amp;RIGHT(S$3,4)-1,$3:$3,0)),
IF(LEFT(S$3,2)="Q2",S181+INDEX(181:181,0,MATCH("Q4-"&amp;RIGHT(S$3,4)-1,$3:$3,0))+INDEX(181:181,0,MATCH("Q3-"&amp;RIGHT(S$3,4)-1,$3:$3,0))+INDEX(181:181,0,MATCH("Q1-"&amp;RIGHT(S$3,4),$3:$3,0)),
IF(LEFT(S$3,2)="Q3",S181+INDEX(181:181,0,MATCH("Q4-"&amp;RIGHT(S$3,4)-1,$3:$3,0))+INDEX(181:181,0,MATCH("Q2-"&amp;RIGHT(S$3,4),$3:$3,0))+INDEX(181:181,0,MATCH("Q1-"&amp;RIGHT(S$3,4),$3:$3,0)),
IF(LEFT(S$3,2)="Q4",INDEX(181:181,0,MATCH("FY"&amp;RIGHT(S$3,4),$3:$3,0))))))), "")</f>
        <v>-3388</v>
      </c>
      <c r="T182" s="1365">
        <f>IFERROR(IF(LEFT(T$3,1)="F",T181,
IF(LEFT(T$3,2)="Q1",T181+INDEX(181:181,0,MATCH("Q4-"&amp;RIGHT(T$3,4)-1,$3:$3,0))+INDEX(181:181,0,MATCH("Q3-"&amp;RIGHT(T$3,4)-1,$3:$3,0))+INDEX(181:181,0,MATCH("Q2-"&amp;RIGHT(T$3,4)-1,$3:$3,0)),
IF(LEFT(T$3,2)="Q2",T181+INDEX(181:181,0,MATCH("Q4-"&amp;RIGHT(T$3,4)-1,$3:$3,0))+INDEX(181:181,0,MATCH("Q3-"&amp;RIGHT(T$3,4)-1,$3:$3,0))+INDEX(181:181,0,MATCH("Q1-"&amp;RIGHT(T$3,4),$3:$3,0)),
IF(LEFT(T$3,2)="Q3",T181+INDEX(181:181,0,MATCH("Q4-"&amp;RIGHT(T$3,4)-1,$3:$3,0))+INDEX(181:181,0,MATCH("Q2-"&amp;RIGHT(T$3,4),$3:$3,0))+INDEX(181:181,0,MATCH("Q1-"&amp;RIGHT(T$3,4),$3:$3,0)),
IF(LEFT(T$3,2)="Q4",INDEX(181:181,0,MATCH("FY"&amp;RIGHT(T$3,4),$3:$3,0))))))), "")</f>
        <v>-3388</v>
      </c>
      <c r="U182" s="1400">
        <f>IFERROR(IF(LEFT(U$3,1)="F",U181,
IF(LEFT(U$3,2)="Q1",U181+INDEX(181:181,0,MATCH("Q4-"&amp;RIGHT(U$3,4)-1,$3:$3,0))+INDEX(181:181,0,MATCH("Q3-"&amp;RIGHT(U$3,4)-1,$3:$3,0))+INDEX(181:181,0,MATCH("Q2-"&amp;RIGHT(U$3,4)-1,$3:$3,0)),
IF(LEFT(U$3,2)="Q2",U181+INDEX(181:181,0,MATCH("Q4-"&amp;RIGHT(U$3,4)-1,$3:$3,0))+INDEX(181:181,0,MATCH("Q3-"&amp;RIGHT(U$3,4)-1,$3:$3,0))+INDEX(181:181,0,MATCH("Q1-"&amp;RIGHT(U$3,4),$3:$3,0)),
IF(LEFT(U$3,2)="Q3",U181+INDEX(181:181,0,MATCH("Q4-"&amp;RIGHT(U$3,4)-1,$3:$3,0))+INDEX(181:181,0,MATCH("Q2-"&amp;RIGHT(U$3,4),$3:$3,0))+INDEX(181:181,0,MATCH("Q1-"&amp;RIGHT(U$3,4),$3:$3,0)),
IF(LEFT(U$3,2)="Q4",INDEX(181:181,0,MATCH("FY"&amp;RIGHT(U$3,4),$3:$3,0))))))), "")</f>
        <v>-3399</v>
      </c>
      <c r="V182" s="1400">
        <f ca="1">IFERROR(IF(LEFT(V$3,1)="F",V181,
IF(LEFT(V$3,2)="Q1",V181+INDEX(181:181,0,MATCH("Q4-"&amp;RIGHT(V$3,4)-1,$3:$3,0))+INDEX(181:181,0,MATCH("Q3-"&amp;RIGHT(V$3,4)-1,$3:$3,0))+INDEX(181:181,0,MATCH("Q2-"&amp;RIGHT(V$3,4)-1,$3:$3,0)),
IF(LEFT(V$3,2)="Q2",V181+INDEX(181:181,0,MATCH("Q4-"&amp;RIGHT(V$3,4)-1,$3:$3,0))+INDEX(181:181,0,MATCH("Q3-"&amp;RIGHT(V$3,4)-1,$3:$3,0))+INDEX(181:181,0,MATCH("Q1-"&amp;RIGHT(V$3,4),$3:$3,0)),
IF(LEFT(V$3,2)="Q3",V181+INDEX(181:181,0,MATCH("Q4-"&amp;RIGHT(V$3,4)-1,$3:$3,0))+INDEX(181:181,0,MATCH("Q2-"&amp;RIGHT(V$3,4),$3:$3,0))+INDEX(181:181,0,MATCH("Q1-"&amp;RIGHT(V$3,4),$3:$3,0)),
IF(LEFT(V$3,2)="Q4",INDEX(181:181,0,MATCH("FY"&amp;RIGHT(V$3,4),$3:$3,0))))))), "")</f>
        <v>-3408.3255670103094</v>
      </c>
      <c r="W182" s="1400">
        <f ca="1">IFERROR(IF(LEFT(W$3,1)="F",W181,
IF(LEFT(W$3,2)="Q1",W181+INDEX(181:181,0,MATCH("Q4-"&amp;RIGHT(W$3,4)-1,$3:$3,0))+INDEX(181:181,0,MATCH("Q3-"&amp;RIGHT(W$3,4)-1,$3:$3,0))+INDEX(181:181,0,MATCH("Q2-"&amp;RIGHT(W$3,4)-1,$3:$3,0)),
IF(LEFT(W$3,2)="Q2",W181+INDEX(181:181,0,MATCH("Q4-"&amp;RIGHT(W$3,4)-1,$3:$3,0))+INDEX(181:181,0,MATCH("Q3-"&amp;RIGHT(W$3,4)-1,$3:$3,0))+INDEX(181:181,0,MATCH("Q1-"&amp;RIGHT(W$3,4),$3:$3,0)),
IF(LEFT(W$3,2)="Q3",W181+INDEX(181:181,0,MATCH("Q4-"&amp;RIGHT(W$3,4)-1,$3:$3,0))+INDEX(181:181,0,MATCH("Q2-"&amp;RIGHT(W$3,4),$3:$3,0))+INDEX(181:181,0,MATCH("Q1-"&amp;RIGHT(W$3,4),$3:$3,0)),
IF(LEFT(W$3,2)="Q4",INDEX(181:181,0,MATCH("FY"&amp;RIGHT(W$3,4),$3:$3,0))))))), "")</f>
        <v>-3412.836701030928</v>
      </c>
      <c r="X182" s="1400">
        <f>IFERROR(IF(LEFT(X$3,1)="F",X181,
IF(LEFT(X$3,2)="Q1",X181+INDEX(181:181,0,MATCH("Q4-"&amp;RIGHT(X$3,4)-1,$3:$3,0))+INDEX(181:181,0,MATCH("Q3-"&amp;RIGHT(X$3,4)-1,$3:$3,0))+INDEX(181:181,0,MATCH("Q2-"&amp;RIGHT(X$3,4)-1,$3:$3,0)),
IF(LEFT(X$3,2)="Q2",X181+INDEX(181:181,0,MATCH("Q4-"&amp;RIGHT(X$3,4)-1,$3:$3,0))+INDEX(181:181,0,MATCH("Q3-"&amp;RIGHT(X$3,4)-1,$3:$3,0))+INDEX(181:181,0,MATCH("Q1-"&amp;RIGHT(X$3,4),$3:$3,0)),
IF(LEFT(X$3,2)="Q3",X181+INDEX(181:181,0,MATCH("Q4-"&amp;RIGHT(X$3,4)-1,$3:$3,0))+INDEX(181:181,0,MATCH("Q2-"&amp;RIGHT(X$3,4),$3:$3,0))+INDEX(181:181,0,MATCH("Q1-"&amp;RIGHT(X$3,4),$3:$3,0)),
IF(LEFT(X$3,2)="Q4",INDEX(181:181,0,MATCH("FY"&amp;RIGHT(X$3,4),$3:$3,0))))))), "")</f>
        <v>-3412.5334020618561</v>
      </c>
      <c r="Y182" s="1365">
        <f>IFERROR(IF(LEFT(Y$3,1)="F",Y181,
IF(LEFT(Y$3,2)="Q1",Y181+INDEX(181:181,0,MATCH("Q4-"&amp;RIGHT(Y$3,4)-1,$3:$3,0))+INDEX(181:181,0,MATCH("Q3-"&amp;RIGHT(Y$3,4)-1,$3:$3,0))+INDEX(181:181,0,MATCH("Q2-"&amp;RIGHT(Y$3,4)-1,$3:$3,0)),
IF(LEFT(Y$3,2)="Q2",Y181+INDEX(181:181,0,MATCH("Q4-"&amp;RIGHT(Y$3,4)-1,$3:$3,0))+INDEX(181:181,0,MATCH("Q3-"&amp;RIGHT(Y$3,4)-1,$3:$3,0))+INDEX(181:181,0,MATCH("Q1-"&amp;RIGHT(Y$3,4),$3:$3,0)),
IF(LEFT(Y$3,2)="Q3",Y181+INDEX(181:181,0,MATCH("Q4-"&amp;RIGHT(Y$3,4)-1,$3:$3,0))+INDEX(181:181,0,MATCH("Q2-"&amp;RIGHT(Y$3,4),$3:$3,0))+INDEX(181:181,0,MATCH("Q1-"&amp;RIGHT(Y$3,4),$3:$3,0)),
IF(LEFT(Y$3,2)="Q4",INDEX(181:181,0,MATCH("FY"&amp;RIGHT(Y$3,4),$3:$3,0))))))), "")</f>
        <v>-3412.5334020618561</v>
      </c>
      <c r="Z182" s="1400">
        <f ca="1">IFERROR(IF(LEFT(Z$3,1)="F",Z181,
IF(LEFT(Z$3,2)="Q1",Z181+INDEX(181:181,0,MATCH("Q4-"&amp;RIGHT(Z$3,4)-1,$3:$3,0))+INDEX(181:181,0,MATCH("Q3-"&amp;RIGHT(Z$3,4)-1,$3:$3,0))+INDEX(181:181,0,MATCH("Q2-"&amp;RIGHT(Z$3,4)-1,$3:$3,0)),
IF(LEFT(Z$3,2)="Q2",Z181+INDEX(181:181,0,MATCH("Q4-"&amp;RIGHT(Z$3,4)-1,$3:$3,0))+INDEX(181:181,0,MATCH("Q3-"&amp;RIGHT(Z$3,4)-1,$3:$3,0))+INDEX(181:181,0,MATCH("Q1-"&amp;RIGHT(Z$3,4),$3:$3,0)),
IF(LEFT(Z$3,2)="Q3",Z181+INDEX(181:181,0,MATCH("Q4-"&amp;RIGHT(Z$3,4)-1,$3:$3,0))+INDEX(181:181,0,MATCH("Q2-"&amp;RIGHT(Z$3,4),$3:$3,0))+INDEX(181:181,0,MATCH("Q1-"&amp;RIGHT(Z$3,4),$3:$3,0)),
IF(LEFT(Z$3,2)="Q4",INDEX(181:181,0,MATCH("FY"&amp;RIGHT(Z$3,4),$3:$3,0))))))), "")</f>
        <v>-3398.7559246890282</v>
      </c>
      <c r="AA182" s="1400">
        <f ca="1">IFERROR(IF(LEFT(AA$3,1)="F",AA181,
IF(LEFT(AA$3,2)="Q1",AA181+INDEX(181:181,0,MATCH("Q4-"&amp;RIGHT(AA$3,4)-1,$3:$3,0))+INDEX(181:181,0,MATCH("Q3-"&amp;RIGHT(AA$3,4)-1,$3:$3,0))+INDEX(181:181,0,MATCH("Q2-"&amp;RIGHT(AA$3,4)-1,$3:$3,0)),
IF(LEFT(AA$3,2)="Q2",AA181+INDEX(181:181,0,MATCH("Q4-"&amp;RIGHT(AA$3,4)-1,$3:$3,0))+INDEX(181:181,0,MATCH("Q3-"&amp;RIGHT(AA$3,4)-1,$3:$3,0))+INDEX(181:181,0,MATCH("Q1-"&amp;RIGHT(AA$3,4),$3:$3,0)),
IF(LEFT(AA$3,2)="Q3",AA181+INDEX(181:181,0,MATCH("Q4-"&amp;RIGHT(AA$3,4)-1,$3:$3,0))+INDEX(181:181,0,MATCH("Q2-"&amp;RIGHT(AA$3,4),$3:$3,0))+INDEX(181:181,0,MATCH("Q1-"&amp;RIGHT(AA$3,4),$3:$3,0)),
IF(LEFT(AA$3,2)="Q4",INDEX(181:181,0,MATCH("FY"&amp;RIGHT(AA$3,4),$3:$3,0))))))), "")</f>
        <v>-3384.1787019021349</v>
      </c>
      <c r="AB182" s="1400">
        <f ca="1">IFERROR(IF(LEFT(AB$3,1)="F",AB181,
IF(LEFT(AB$3,2)="Q1",AB181+INDEX(181:181,0,MATCH("Q4-"&amp;RIGHT(AB$3,4)-1,$3:$3,0))+INDEX(181:181,0,MATCH("Q3-"&amp;RIGHT(AB$3,4)-1,$3:$3,0))+INDEX(181:181,0,MATCH("Q2-"&amp;RIGHT(AB$3,4)-1,$3:$3,0)),
IF(LEFT(AB$3,2)="Q2",AB181+INDEX(181:181,0,MATCH("Q4-"&amp;RIGHT(AB$3,4)-1,$3:$3,0))+INDEX(181:181,0,MATCH("Q3-"&amp;RIGHT(AB$3,4)-1,$3:$3,0))+INDEX(181:181,0,MATCH("Q1-"&amp;RIGHT(AB$3,4),$3:$3,0)),
IF(LEFT(AB$3,2)="Q3",AB181+INDEX(181:181,0,MATCH("Q4-"&amp;RIGHT(AB$3,4)-1,$3:$3,0))+INDEX(181:181,0,MATCH("Q2-"&amp;RIGHT(AB$3,4),$3:$3,0))+INDEX(181:181,0,MATCH("Q1-"&amp;RIGHT(AB$3,4),$3:$3,0)),
IF(LEFT(AB$3,2)="Q4",INDEX(181:181,0,MATCH("FY"&amp;RIGHT(AB$3,4),$3:$3,0))))))), "")</f>
        <v>-3369.9417337011773</v>
      </c>
      <c r="AC182" s="1400">
        <f>IFERROR(IF(LEFT(AC$3,1)="F",AC181,
IF(LEFT(AC$3,2)="Q1",AC181+INDEX(181:181,0,MATCH("Q4-"&amp;RIGHT(AC$3,4)-1,$3:$3,0))+INDEX(181:181,0,MATCH("Q3-"&amp;RIGHT(AC$3,4)-1,$3:$3,0))+INDEX(181:181,0,MATCH("Q2-"&amp;RIGHT(AC$3,4)-1,$3:$3,0)),
IF(LEFT(AC$3,2)="Q2",AC181+INDEX(181:181,0,MATCH("Q4-"&amp;RIGHT(AC$3,4)-1,$3:$3,0))+INDEX(181:181,0,MATCH("Q3-"&amp;RIGHT(AC$3,4)-1,$3:$3,0))+INDEX(181:181,0,MATCH("Q1-"&amp;RIGHT(AC$3,4),$3:$3,0)),
IF(LEFT(AC$3,2)="Q3",AC181+INDEX(181:181,0,MATCH("Q4-"&amp;RIGHT(AC$3,4)-1,$3:$3,0))+INDEX(181:181,0,MATCH("Q2-"&amp;RIGHT(AC$3,4),$3:$3,0))+INDEX(181:181,0,MATCH("Q1-"&amp;RIGHT(AC$3,4),$3:$3,0)),
IF(LEFT(AC$3,2)="Q4",INDEX(181:181,0,MATCH("FY"&amp;RIGHT(AC$3,4),$3:$3,0))))))), "")</f>
        <v>-3356.0450200861537</v>
      </c>
      <c r="AD182" s="1365">
        <f>IFERROR(IF(LEFT(AD$3,1)="F",AD181,
IF(LEFT(AD$3,2)="Q1",AD181+INDEX(181:181,0,MATCH("Q4-"&amp;RIGHT(AD$3,4)-1,$3:$3,0))+INDEX(181:181,0,MATCH("Q3-"&amp;RIGHT(AD$3,4)-1,$3:$3,0))+INDEX(181:181,0,MATCH("Q2-"&amp;RIGHT(AD$3,4)-1,$3:$3,0)),
IF(LEFT(AD$3,2)="Q2",AD181+INDEX(181:181,0,MATCH("Q4-"&amp;RIGHT(AD$3,4)-1,$3:$3,0))+INDEX(181:181,0,MATCH("Q3-"&amp;RIGHT(AD$3,4)-1,$3:$3,0))+INDEX(181:181,0,MATCH("Q1-"&amp;RIGHT(AD$3,4),$3:$3,0)),
IF(LEFT(AD$3,2)="Q3",AD181+INDEX(181:181,0,MATCH("Q4-"&amp;RIGHT(AD$3,4)-1,$3:$3,0))+INDEX(181:181,0,MATCH("Q2-"&amp;RIGHT(AD$3,4),$3:$3,0))+INDEX(181:181,0,MATCH("Q1-"&amp;RIGHT(AD$3,4),$3:$3,0)),
IF(LEFT(AD$3,2)="Q4",INDEX(181:181,0,MATCH("FY"&amp;RIGHT(AD$3,4),$3:$3,0))))))), "")</f>
        <v>-3356.0450200861537</v>
      </c>
      <c r="AE182" s="1365">
        <f ca="1">IFERROR(IF(LEFT(AE$3,1)="F",AE181,
IF(LEFT(AE$3,2)="Q1",AE181+INDEX(181:181,0,MATCH("Q4-"&amp;RIGHT(AE$3,4)-1,$3:$3,0))+INDEX(181:181,0,MATCH("Q3-"&amp;RIGHT(AE$3,4)-1,$3:$3,0))+INDEX(181:181,0,MATCH("Q2-"&amp;RIGHT(AE$3,4)-1,$3:$3,0)),
IF(LEFT(AE$3,2)="Q2",AE181+INDEX(181:181,0,MATCH("Q4-"&amp;RIGHT(AE$3,4)-1,$3:$3,0))+INDEX(181:181,0,MATCH("Q3-"&amp;RIGHT(AE$3,4)-1,$3:$3,0))+INDEX(181:181,0,MATCH("Q1-"&amp;RIGHT(AE$3,4),$3:$3,0)),
IF(LEFT(AE$3,2)="Q3",AE181+INDEX(181:181,0,MATCH("Q4-"&amp;RIGHT(AE$3,4)-1,$3:$3,0))+INDEX(181:181,0,MATCH("Q2-"&amp;RIGHT(AE$3,4),$3:$3,0))+INDEX(181:181,0,MATCH("Q1-"&amp;RIGHT(AE$3,4),$3:$3,0)),
IF(LEFT(AE$3,2)="Q4",INDEX(181:181,0,MATCH("FY"&amp;RIGHT(AE$3,4),$3:$3,0))))))), "")</f>
        <v>-3284.601659065328</v>
      </c>
      <c r="AF182" s="1365">
        <f ca="1">IFERROR(IF(LEFT(AF$3,1)="F",AF181,
IF(LEFT(AF$3,2)="Q1",AF181+INDEX(181:181,0,MATCH("Q4-"&amp;RIGHT(AF$3,4)-1,$3:$3,0))+INDEX(181:181,0,MATCH("Q3-"&amp;RIGHT(AF$3,4)-1,$3:$3,0))+INDEX(181:181,0,MATCH("Q2-"&amp;RIGHT(AF$3,4)-1,$3:$3,0)),
IF(LEFT(AF$3,2)="Q2",AF181+INDEX(181:181,0,MATCH("Q4-"&amp;RIGHT(AF$3,4)-1,$3:$3,0))+INDEX(181:181,0,MATCH("Q3-"&amp;RIGHT(AF$3,4)-1,$3:$3,0))+INDEX(181:181,0,MATCH("Q1-"&amp;RIGHT(AF$3,4),$3:$3,0)),
IF(LEFT(AF$3,2)="Q3",AF181+INDEX(181:181,0,MATCH("Q4-"&amp;RIGHT(AF$3,4)-1,$3:$3,0))+INDEX(181:181,0,MATCH("Q2-"&amp;RIGHT(AF$3,4),$3:$3,0))+INDEX(181:181,0,MATCH("Q1-"&amp;RIGHT(AF$3,4),$3:$3,0)),
IF(LEFT(AF$3,2)="Q4",INDEX(181:181,0,MATCH("FY"&amp;RIGHT(AF$3,4),$3:$3,0))))))), "")</f>
        <v>-3238.5316201548221</v>
      </c>
      <c r="AG182" s="1367">
        <f ca="1">IFERROR(IF(LEFT(AG$3,1)="F",AG181,
IF(LEFT(AG$3,2)="Q1",AG181+INDEX(181:181,0,MATCH("Q4-"&amp;RIGHT(AG$3,4)-1,$3:$3,0))+INDEX(181:181,0,MATCH("Q3-"&amp;RIGHT(AG$3,4)-1,$3:$3,0))+INDEX(181:181,0,MATCH("Q2-"&amp;RIGHT(AG$3,4)-1,$3:$3,0)),
IF(LEFT(AG$3,2)="Q2",AG181+INDEX(181:181,0,MATCH("Q4-"&amp;RIGHT(AG$3,4)-1,$3:$3,0))+INDEX(181:181,0,MATCH("Q3-"&amp;RIGHT(AG$3,4)-1,$3:$3,0))+INDEX(181:181,0,MATCH("Q1-"&amp;RIGHT(AG$3,4),$3:$3,0)),
IF(LEFT(AG$3,2)="Q3",AG181+INDEX(181:181,0,MATCH("Q4-"&amp;RIGHT(AG$3,4)-1,$3:$3,0))+INDEX(181:181,0,MATCH("Q2-"&amp;RIGHT(AG$3,4),$3:$3,0))+INDEX(181:181,0,MATCH("Q1-"&amp;RIGHT(AG$3,4),$3:$3,0)),
IF(LEFT(AG$3,2)="Q4",INDEX(181:181,0,MATCH("FY"&amp;RIGHT(AG$3,4),$3:$3,0))))))), "")</f>
        <v>-3196.6941643244331</v>
      </c>
      <c r="AH182" s="1349"/>
    </row>
    <row r="183" spans="1:34" ht="14.25" customHeight="1" outlineLevel="1" x14ac:dyDescent="0.35">
      <c r="A183" s="1386"/>
      <c r="B183" s="1387"/>
      <c r="C183" s="1207"/>
      <c r="D183" s="1252"/>
      <c r="E183" s="1252"/>
      <c r="F183" s="1397"/>
      <c r="J183" s="1252"/>
      <c r="O183" s="1252"/>
      <c r="T183" s="1252"/>
      <c r="Y183" s="1252"/>
      <c r="AD183" s="1252"/>
      <c r="AE183" s="1252"/>
      <c r="AF183" s="1252"/>
      <c r="AG183" s="1254"/>
      <c r="AH183" s="1349"/>
    </row>
    <row r="184" spans="1:34" ht="14.25" customHeight="1" x14ac:dyDescent="0.35">
      <c r="A184" s="1291" t="s">
        <v>1251</v>
      </c>
      <c r="B184" s="1292"/>
      <c r="C184" s="1207"/>
      <c r="D184" s="1305">
        <f>-D182/D22</f>
        <v>0.53029702970297032</v>
      </c>
      <c r="E184" s="1305">
        <f>-E182/E22</f>
        <v>0.49875444839857652</v>
      </c>
      <c r="F184" s="1401" t="e">
        <f>-F182/F22</f>
        <v>#VALUE!</v>
      </c>
      <c r="G184" s="1247" t="e">
        <f>-G182/G22</f>
        <v>#VALUE!</v>
      </c>
      <c r="H184" s="1247" t="e">
        <f>-H182/H22</f>
        <v>#VALUE!</v>
      </c>
      <c r="I184" s="1247">
        <f>-I182/I22</f>
        <v>0.50722795869737891</v>
      </c>
      <c r="J184" s="1305">
        <f>-J182/J22</f>
        <v>0.50722795869737891</v>
      </c>
      <c r="K184" s="1247">
        <f>-K182/K22</f>
        <v>0.52897596312150152</v>
      </c>
      <c r="L184" s="1247">
        <f>-L182/L22</f>
        <v>0.59326377448288481</v>
      </c>
      <c r="M184" s="1247">
        <f>-M182/M22</f>
        <v>0.60379793510324486</v>
      </c>
      <c r="N184" s="1247">
        <f>-N182/N22</f>
        <v>0.63855189678413249</v>
      </c>
      <c r="O184" s="1305">
        <f>-O182/O22</f>
        <v>0.63855189678413249</v>
      </c>
      <c r="P184" s="1247">
        <f>-P182/P22</f>
        <v>0.64856976065382366</v>
      </c>
      <c r="Q184" s="1247">
        <f>-Q182/Q22</f>
        <v>0.68</v>
      </c>
      <c r="R184" s="1247">
        <f>-R182/R22</f>
        <v>0.69673148531237072</v>
      </c>
      <c r="S184" s="1247">
        <f>-S182/S22</f>
        <v>0.66588050314465408</v>
      </c>
      <c r="T184" s="1305">
        <f>-T182/T22</f>
        <v>0.66588050314465408</v>
      </c>
      <c r="U184" s="1247">
        <f>-U182/U22</f>
        <v>0.62275558812751919</v>
      </c>
      <c r="V184" s="1247">
        <f ca="1">-V182/V22</f>
        <v>0.60132669175903286</v>
      </c>
      <c r="W184" s="1247">
        <f ca="1">-W182/W22</f>
        <v>0.59197897394512056</v>
      </c>
      <c r="X184" s="1247">
        <f>-X182/X22</f>
        <v>0.57182928838052605</v>
      </c>
      <c r="Y184" s="1305">
        <f>-Y182/Y22</f>
        <v>0.57182928838052605</v>
      </c>
      <c r="Z184" s="1247">
        <f ca="1">-Z182/Z22</f>
        <v>0.56348631508286684</v>
      </c>
      <c r="AA184" s="1247">
        <f ca="1">-AA182/AA22</f>
        <v>0.5412002566264934</v>
      </c>
      <c r="AB184" s="1247">
        <f ca="1">-AB182/AB22</f>
        <v>0.53351295094196349</v>
      </c>
      <c r="AC184" s="1247">
        <f ca="1">-AC182/AC22</f>
        <v>0.51825514039652765</v>
      </c>
      <c r="AD184" s="1305">
        <f ca="1">-AD182/AD22</f>
        <v>0.51825514039652765</v>
      </c>
      <c r="AE184" s="1305">
        <f ca="1">-AE182/AE22</f>
        <v>0.46171108713961267</v>
      </c>
      <c r="AF184" s="1305">
        <f ca="1">-AF182/AF22</f>
        <v>0.41464147611643087</v>
      </c>
      <c r="AG184" s="1307">
        <f ca="1">-AG182/AG22</f>
        <v>0.37306683975627025</v>
      </c>
      <c r="AH184" s="1349"/>
    </row>
    <row r="185" spans="1:34" ht="14.25" customHeight="1" x14ac:dyDescent="0.35">
      <c r="A185" s="1291" t="s">
        <v>1252</v>
      </c>
      <c r="B185" s="1292"/>
      <c r="C185" s="1207"/>
      <c r="D185" s="1305">
        <f>1-D184</f>
        <v>0.46970297029702968</v>
      </c>
      <c r="E185" s="1305">
        <f>1-E184</f>
        <v>0.50124555160142348</v>
      </c>
      <c r="F185" s="1401" t="e">
        <f>1-F184</f>
        <v>#VALUE!</v>
      </c>
      <c r="G185" s="1247" t="e">
        <f>1-G184</f>
        <v>#VALUE!</v>
      </c>
      <c r="H185" s="1247" t="e">
        <f>1-H184</f>
        <v>#VALUE!</v>
      </c>
      <c r="I185" s="1247">
        <f>1-I184</f>
        <v>0.49277204130262109</v>
      </c>
      <c r="J185" s="1305">
        <f>1-J184</f>
        <v>0.49277204130262109</v>
      </c>
      <c r="K185" s="1247">
        <f>1-K184</f>
        <v>0.47102403687849848</v>
      </c>
      <c r="L185" s="1247">
        <f>1-L184</f>
        <v>0.40673622551711519</v>
      </c>
      <c r="M185" s="1247">
        <f>1-M184</f>
        <v>0.39620206489675514</v>
      </c>
      <c r="N185" s="1247">
        <f>1-N184</f>
        <v>0.36144810321586751</v>
      </c>
      <c r="O185" s="1305">
        <f>1-O184</f>
        <v>0.36144810321586751</v>
      </c>
      <c r="P185" s="1247">
        <f>1-P184</f>
        <v>0.35143023934617634</v>
      </c>
      <c r="Q185" s="1247">
        <f>1-Q184</f>
        <v>0.31999999999999995</v>
      </c>
      <c r="R185" s="1247">
        <f>1-R184</f>
        <v>0.30326851468762928</v>
      </c>
      <c r="S185" s="1247">
        <f>1-S184</f>
        <v>0.33411949685534592</v>
      </c>
      <c r="T185" s="1305">
        <f>1-T184</f>
        <v>0.33411949685534592</v>
      </c>
      <c r="U185" s="1247">
        <f>1-U184</f>
        <v>0.37724441187248081</v>
      </c>
      <c r="V185" s="1247">
        <f ca="1">1-V184</f>
        <v>0.39867330824096714</v>
      </c>
      <c r="W185" s="1247">
        <f ca="1">1-W184</f>
        <v>0.40802102605487944</v>
      </c>
      <c r="X185" s="1247">
        <f>1-X184</f>
        <v>0.42817071161947395</v>
      </c>
      <c r="Y185" s="1305">
        <f>1-Y184</f>
        <v>0.42817071161947395</v>
      </c>
      <c r="Z185" s="1247">
        <f ca="1">1-Z184</f>
        <v>0.43651368491713316</v>
      </c>
      <c r="AA185" s="1247">
        <f ca="1">1-AA184</f>
        <v>0.4587997433735066</v>
      </c>
      <c r="AB185" s="1247">
        <f ca="1">1-AB184</f>
        <v>0.46648704905803651</v>
      </c>
      <c r="AC185" s="1247">
        <f ca="1">1-AC184</f>
        <v>0.48174485960347235</v>
      </c>
      <c r="AD185" s="1305">
        <f ca="1">1-AD184</f>
        <v>0.48174485960347235</v>
      </c>
      <c r="AE185" s="1305">
        <f ca="1">1-AE184</f>
        <v>0.53828891286038738</v>
      </c>
      <c r="AF185" s="1305">
        <f ca="1">1-AF184</f>
        <v>0.58535852388356913</v>
      </c>
      <c r="AG185" s="1307">
        <f ca="1">1-AG184</f>
        <v>0.6269331602437298</v>
      </c>
      <c r="AH185" s="1349"/>
    </row>
    <row r="186" spans="1:34" ht="14.25" customHeight="1" thickBot="1" x14ac:dyDescent="0.4">
      <c r="A186" s="1402"/>
      <c r="B186" s="1403"/>
      <c r="C186" s="1404"/>
      <c r="D186" s="1405"/>
      <c r="E186" s="1405"/>
      <c r="F186" s="1403"/>
      <c r="G186" s="1406"/>
      <c r="H186" s="1406"/>
      <c r="I186" s="1406"/>
      <c r="J186" s="1405"/>
      <c r="K186" s="1406"/>
      <c r="L186" s="1406"/>
      <c r="M186" s="1406"/>
      <c r="N186" s="1406"/>
      <c r="O186" s="1405"/>
      <c r="P186" s="1406"/>
      <c r="Q186" s="1406"/>
      <c r="R186" s="1406"/>
      <c r="S186" s="1406"/>
      <c r="T186" s="1405"/>
      <c r="U186" s="1406"/>
      <c r="V186" s="1406"/>
      <c r="W186" s="1406"/>
      <c r="X186" s="1406"/>
      <c r="Y186" s="1405"/>
      <c r="Z186" s="1406"/>
      <c r="AA186" s="1406"/>
      <c r="AB186" s="1406"/>
      <c r="AC186" s="1406"/>
      <c r="AD186" s="1405"/>
      <c r="AE186" s="1405"/>
      <c r="AF186" s="1405"/>
      <c r="AG186" s="1407"/>
      <c r="AH186" s="1349"/>
    </row>
    <row r="187" spans="1:34" s="1232" customFormat="1" ht="14.25" customHeight="1" x14ac:dyDescent="0.35">
      <c r="A187" s="1227"/>
      <c r="B187" s="1227"/>
      <c r="C187" s="1408"/>
      <c r="D187" s="1230"/>
      <c r="E187" s="1230"/>
      <c r="F187" s="1230"/>
      <c r="G187" s="1230"/>
      <c r="H187" s="1230"/>
      <c r="I187" s="1230"/>
      <c r="J187" s="1230"/>
      <c r="K187" s="1230"/>
      <c r="L187" s="1230"/>
      <c r="M187" s="1230"/>
      <c r="N187" s="1230"/>
      <c r="O187" s="1230"/>
      <c r="P187" s="1230"/>
      <c r="Q187" s="1230"/>
      <c r="R187" s="1230"/>
      <c r="S187" s="1230"/>
      <c r="T187" s="1230"/>
      <c r="U187" s="1230"/>
      <c r="V187" s="1230"/>
      <c r="W187" s="1230"/>
      <c r="X187" s="1230"/>
      <c r="Y187" s="1230"/>
      <c r="Z187" s="1230"/>
      <c r="AA187" s="1230"/>
      <c r="AB187" s="1230"/>
      <c r="AC187" s="1230"/>
      <c r="AD187" s="1230"/>
      <c r="AE187" s="1230"/>
      <c r="AF187" s="1230"/>
      <c r="AG187" s="1230"/>
    </row>
    <row r="189" spans="1:34" ht="14.25" customHeight="1" x14ac:dyDescent="0.35">
      <c r="A189" s="1201" t="s">
        <v>1253</v>
      </c>
    </row>
    <row r="190" spans="1:34" ht="14.25" customHeight="1" x14ac:dyDescent="0.35">
      <c r="A190" s="1201" t="s">
        <v>1254</v>
      </c>
    </row>
  </sheetData>
  <pageMargins left="0.23622047244094491" right="0.23622047244094491" top="0.15748031496062992" bottom="0.15748031496062992" header="0.11811023622047245" footer="0.11811023622047245"/>
  <pageSetup scale="44" fitToHeight="0" orientation="portrait" r:id="rId1"/>
  <headerFooter>
    <oddFooter>&amp;LINTERNAL</oddFooter>
    <evenFooter>&amp;LINTERNAL</evenFooter>
    <firstFooter>&amp;LINTERNAL</first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55F26-A0F7-431E-8B2D-2F597D4AC319}">
  <sheetPr codeName="Sheet6">
    <tabColor theme="9" tint="0.79998168889431442"/>
    <pageSetUpPr autoPageBreaks="0"/>
  </sheetPr>
  <dimension ref="A1:AJ174"/>
  <sheetViews>
    <sheetView showGridLines="0" zoomScaleSheetLayoutView="100" workbookViewId="0">
      <pane xSplit="3" ySplit="5" topLeftCell="D6" activePane="bottomRight" state="frozen"/>
      <selection pane="topRight" activeCell="D1" sqref="D1"/>
      <selection pane="bottomLeft" activeCell="A5" sqref="A5"/>
      <selection pane="bottomRight"/>
    </sheetView>
  </sheetViews>
  <sheetFormatPr defaultColWidth="9.1796875" defaultRowHeight="14.5" outlineLevelCol="1" x14ac:dyDescent="0.35"/>
  <cols>
    <col min="1" max="1" width="4.1796875" style="1022" customWidth="1"/>
    <col min="2" max="2" width="19.453125" style="990" customWidth="1"/>
    <col min="3" max="3" width="10.81640625" style="990" customWidth="1"/>
    <col min="4" max="9" width="10.81640625" style="990" customWidth="1" outlineLevel="1"/>
    <col min="10" max="19" width="10.81640625" style="990" customWidth="1"/>
    <col min="20" max="20" width="7.1796875" style="990" customWidth="1"/>
    <col min="21" max="22" width="10.453125" style="990" bestFit="1" customWidth="1"/>
    <col min="23" max="23" width="7.1796875" style="990" customWidth="1"/>
    <col min="24" max="24" width="10.7265625" style="990" customWidth="1"/>
    <col min="25" max="25" width="9.1796875" style="990"/>
    <col min="26" max="27" width="9.1796875" style="990" customWidth="1" outlineLevel="1"/>
    <col min="28" max="28" width="5" style="990" customWidth="1" outlineLevel="1"/>
    <col min="29" max="30" width="9.1796875" style="990" customWidth="1" outlineLevel="1"/>
    <col min="31" max="31" width="5" style="990" customWidth="1" outlineLevel="1"/>
    <col min="32" max="33" width="9.1796875" style="990" customWidth="1" outlineLevel="1"/>
    <col min="34" max="34" width="5" style="990" customWidth="1" outlineLevel="1"/>
    <col min="35" max="36" width="9.1796875" style="990" customWidth="1" outlineLevel="1"/>
    <col min="37" max="16384" width="9.1796875" style="990"/>
  </cols>
  <sheetData>
    <row r="1" spans="1:36" s="984" customFormat="1" ht="21.75" customHeight="1" thickBot="1" x14ac:dyDescent="0.5">
      <c r="A1" s="983" t="str">
        <f t="array" ref="A1">IFERROR(MO.CompanyName,"[Company Name]"&amp; " - Canalyst Template Example")</f>
        <v>3M Company</v>
      </c>
      <c r="B1" s="983"/>
      <c r="C1" s="983"/>
      <c r="D1" s="983"/>
      <c r="E1" s="983"/>
      <c r="F1" s="983"/>
      <c r="G1" s="983"/>
      <c r="H1" s="983"/>
      <c r="I1" s="983"/>
      <c r="J1" s="983"/>
      <c r="K1" s="983"/>
      <c r="L1" s="983"/>
      <c r="M1" s="983"/>
      <c r="N1" s="983"/>
      <c r="O1" s="983"/>
      <c r="P1" s="983"/>
      <c r="Q1" s="983"/>
      <c r="R1" s="983"/>
      <c r="S1" s="983"/>
      <c r="Z1" s="985" t="s">
        <v>1081</v>
      </c>
      <c r="AA1" s="986"/>
      <c r="AC1" s="985" t="s">
        <v>1082</v>
      </c>
      <c r="AD1" s="986"/>
      <c r="AE1" s="987"/>
      <c r="AF1" s="985" t="s">
        <v>1083</v>
      </c>
      <c r="AG1" s="986"/>
      <c r="AI1" s="985" t="s">
        <v>1084</v>
      </c>
      <c r="AJ1" s="986"/>
    </row>
    <row r="2" spans="1:36" ht="14.25" customHeight="1" thickBot="1" x14ac:dyDescent="0.4">
      <c r="A2" s="988"/>
      <c r="B2" s="989">
        <f ca="1">NOW()</f>
        <v>44362.681992939812</v>
      </c>
      <c r="D2" s="991"/>
      <c r="E2" s="991"/>
      <c r="F2" s="991"/>
      <c r="G2" s="991"/>
      <c r="H2" s="991"/>
      <c r="I2" s="991"/>
      <c r="J2" s="991"/>
      <c r="K2" s="991"/>
      <c r="L2" s="991"/>
      <c r="M2" s="991"/>
      <c r="N2" s="991"/>
      <c r="O2" s="991"/>
      <c r="P2" s="991"/>
      <c r="Q2" s="991"/>
      <c r="R2" s="991"/>
      <c r="S2" s="991"/>
      <c r="Z2" s="992" t="s">
        <v>1085</v>
      </c>
      <c r="AA2" s="993" t="str">
        <f>IF(LEFT(MO.MRFP,2)="FY","Q4-"&amp;RIGHT(MO.MRFP,4),MO.MRFP)</f>
        <v>Q1-2021</v>
      </c>
      <c r="AC2" s="992" t="s">
        <v>1086</v>
      </c>
      <c r="AD2" s="993" t="str">
        <f>IF(LEFT(AA2,2)="Q1","Q2-"&amp;RIGHT(AA2,4),(IF(LEFT(AA2,2)="Q2","Q3-"&amp;RIGHT(AA2,4),(IF(LEFT(AA2,2)="Q3","Q4-"&amp;RIGHT(AA2,4),(IF(LEFT(AA2,2)="Q4","Q1-"&amp;(RIGHT(AA2,4))+1)))))))</f>
        <v>Q2-2021</v>
      </c>
      <c r="AE2" s="987"/>
      <c r="AF2" s="992" t="s">
        <v>1087</v>
      </c>
      <c r="AG2" s="993" t="str">
        <f>IF(LEFT(UL.MRQ,1)="F","H2-"&amp;RIGHT(UL.MRQ,4),IF(LEFT(UL.MRQ,2)="Q1","H2-"&amp;RIGHT(UL.MRQ,4)-1,IF(LEFT(UL.MRQ,2)="Q3","H1-"&amp;RIGHT(UL.MRQ,4),UL.MRQ)))</f>
        <v>H2-2020</v>
      </c>
      <c r="AI2" s="992" t="s">
        <v>1086</v>
      </c>
      <c r="AJ2" s="993" t="str">
        <f>IF(LEFT(UL.MRQ,1)="F","H1-"&amp;RIGHT(UL.MRQ,4)+1,IF(LEFT(UL.MRQ,2)="Q1","H1-"&amp;RIGHT(UL.MRQ,4),IF(LEFT(UL.MRQ,2)="Q3","H2-"&amp;RIGHT(UL.MRQ,4),"H2-"&amp;RIGHT(UL.MRQ,4))))</f>
        <v>H1-2021</v>
      </c>
    </row>
    <row r="3" spans="1:36" ht="14.25" customHeight="1" thickBot="1" x14ac:dyDescent="0.4">
      <c r="A3" s="988"/>
      <c r="B3" s="994"/>
      <c r="D3" s="991"/>
      <c r="E3" s="991"/>
      <c r="F3" s="991"/>
      <c r="G3" s="991"/>
      <c r="H3" s="991"/>
      <c r="I3" s="991"/>
      <c r="J3" s="991"/>
      <c r="K3" s="991"/>
      <c r="L3" s="991"/>
      <c r="M3" s="991"/>
      <c r="N3" s="991"/>
      <c r="O3" s="991"/>
      <c r="P3" s="991"/>
      <c r="Q3" s="991"/>
      <c r="R3" s="991"/>
      <c r="S3" s="991"/>
      <c r="X3" s="995">
        <v>10</v>
      </c>
      <c r="Z3" s="992" t="s">
        <v>1088</v>
      </c>
      <c r="AA3" s="993" t="str">
        <f>IF(LEFT(AA2,2)="Q1","Q4-"&amp;RIGHT(AA2,4)-1,(IF(LEFT(AA2,2)="Q2","Q1-"&amp;RIGHT(AA2,4),(IF(LEFT(AA2,2)="Q3","Q2-"&amp;RIGHT(AA2,4),(IF(LEFT(AA2,2)="Q4","Q3-"&amp;(RIGHT(AA2,4)))))))))</f>
        <v>Q4-2020</v>
      </c>
      <c r="AC3" s="992" t="s">
        <v>1089</v>
      </c>
      <c r="AD3" s="993" t="str">
        <f>IF(LEFT(AD2,2)="Q1","Q2-"&amp;RIGHT(AD2,4),(IF(LEFT(AD2,2)="Q2","Q3-"&amp;RIGHT(AD2,4),(IF(LEFT(AD2,2)="Q3","Q4-"&amp;RIGHT(AD2,4),(IF(LEFT(AD2,2)="Q4","Q1-"&amp;(RIGHT(AD2,4))+1)))))))</f>
        <v>Q3-2021</v>
      </c>
      <c r="AE3" s="996"/>
      <c r="AF3" s="997" t="s">
        <v>1090</v>
      </c>
      <c r="AG3" s="998" t="str">
        <f>IF(LEFT(AG2,2)="H1","H2-"&amp;RIGHT(AG2,4)-1,"H1-"&amp;RIGHT(AG2,4))</f>
        <v>H1-2020</v>
      </c>
      <c r="AI3" s="997" t="s">
        <v>1091</v>
      </c>
      <c r="AJ3" s="998" t="str">
        <f>IF(LEFT(AJ2,2)="H1","H2-"&amp;RIGHT(AJ2,4),"H1-"&amp;RIGHT(AJ2,4)+1)</f>
        <v>H2-2021</v>
      </c>
    </row>
    <row r="4" spans="1:36" s="1001" customFormat="1" ht="14.25" customHeight="1" x14ac:dyDescent="0.35">
      <c r="A4" s="999"/>
      <c r="B4" s="1000"/>
      <c r="D4" s="1002"/>
      <c r="E4" s="1002"/>
      <c r="F4" s="1002"/>
      <c r="G4" s="1002"/>
      <c r="H4" s="1002"/>
      <c r="I4" s="1002"/>
      <c r="J4" s="1002" t="s">
        <v>1092</v>
      </c>
      <c r="K4" s="1002"/>
      <c r="L4" s="1002"/>
      <c r="M4" s="1002"/>
      <c r="N4" s="1002"/>
      <c r="O4" s="1002" t="s">
        <v>1093</v>
      </c>
      <c r="P4" s="1002"/>
      <c r="Q4" s="1002"/>
      <c r="R4" s="1002"/>
      <c r="S4" s="1002"/>
      <c r="X4" s="1003" t="str">
        <f>X3&amp;"-Yr "</f>
        <v xml:space="preserve">10-Yr </v>
      </c>
      <c r="Z4" s="992" t="s">
        <v>1094</v>
      </c>
      <c r="AA4" s="993" t="str">
        <f>IF(LEFT(AA3,2)="Q1","Q4-"&amp;RIGHT(AA3,4)-1,(IF(LEFT(AA3,2)="Q2","Q1-"&amp;RIGHT(AA3,4),(IF(LEFT(AA3,2)="Q3","Q2-"&amp;RIGHT(AA3,4),(IF(LEFT(AA3,2)="Q4","Q3-"&amp;(RIGHT(AA3,4)))))))))</f>
        <v>Q3-2020</v>
      </c>
      <c r="AC4" s="992" t="s">
        <v>1095</v>
      </c>
      <c r="AD4" s="993" t="str">
        <f>IF(LEFT(AD3,2)="Q1","Q2-"&amp;RIGHT(AD3,4),(IF(LEFT(AD3,2)="Q2","Q3-"&amp;RIGHT(AD3,4),(IF(LEFT(AD3,2)="Q3","Q4-"&amp;RIGHT(AD3,4),(IF(LEFT(AD3,2)="Q4","Q1-"&amp;(RIGHT(AD3,4))+1)))))))</f>
        <v>Q4-2021</v>
      </c>
      <c r="AE4" s="996"/>
      <c r="AF4" s="987"/>
      <c r="AG4" s="1004"/>
      <c r="AI4" s="987"/>
      <c r="AJ4" s="1004"/>
    </row>
    <row r="5" spans="1:36" s="1006" customFormat="1" ht="14.25" customHeight="1" thickBot="1" x14ac:dyDescent="0.55000000000000004">
      <c r="A5" s="1005"/>
      <c r="D5" s="1007" t="str">
        <f>"FY"&amp;RIGHT(E5,4)-1</f>
        <v>FY2010</v>
      </c>
      <c r="E5" s="1007" t="str">
        <f>"FY"&amp;RIGHT(F5,4)-1</f>
        <v>FY2011</v>
      </c>
      <c r="F5" s="1007" t="str">
        <f>"FY"&amp;RIGHT(G5,4)-1</f>
        <v>FY2012</v>
      </c>
      <c r="G5" s="1007" t="str">
        <f>"FY"&amp;RIGHT(H5,4)-1</f>
        <v>FY2013</v>
      </c>
      <c r="H5" s="1007" t="str">
        <f>"FY"&amp;RIGHT(I5,4)-1</f>
        <v>FY2014</v>
      </c>
      <c r="I5" s="1007" t="str">
        <f>"FY"&amp;RIGHT(J5,4)-1</f>
        <v>FY2015</v>
      </c>
      <c r="J5" s="1007" t="str">
        <f>"FY"&amp;RIGHT(K5,4)-1</f>
        <v>FY2016</v>
      </c>
      <c r="K5" s="1007" t="str">
        <f>"FY"&amp;RIGHT(L5,4)-1</f>
        <v>FY2017</v>
      </c>
      <c r="L5" s="1007" t="str">
        <f>"FY"&amp;RIGHT(M5,4)-1</f>
        <v>FY2018</v>
      </c>
      <c r="M5" s="1007" t="str">
        <f>"FY"&amp;RIGHT(N5,4)-1</f>
        <v>FY2019</v>
      </c>
      <c r="N5" s="1008" t="str">
        <f>"FY"&amp;RIGHT(O5,4)-1</f>
        <v>FY2020</v>
      </c>
      <c r="O5" s="1007" t="str">
        <f t="array" ref="O5">MO.FirstForecastedFiscalYear</f>
        <v>FY2021</v>
      </c>
      <c r="P5" s="1007" t="str">
        <f>"FY"&amp;RIGHT(O5,4)+1</f>
        <v>FY2022</v>
      </c>
      <c r="Q5" s="1007" t="str">
        <f>"FY"&amp;RIGHT(P5,4)+1</f>
        <v>FY2023</v>
      </c>
      <c r="R5" s="1007" t="str">
        <f>"FY"&amp;RIGHT(Q5,4)+1</f>
        <v>FY2024</v>
      </c>
      <c r="S5" s="1007" t="str">
        <f>"FY"&amp;RIGHT(R5,4)+1</f>
        <v>FY2025</v>
      </c>
      <c r="U5" s="1007" t="s">
        <v>1096</v>
      </c>
      <c r="V5" s="1007" t="s">
        <v>1097</v>
      </c>
      <c r="X5" s="1007" t="s">
        <v>1098</v>
      </c>
      <c r="Z5" s="997" t="s">
        <v>1099</v>
      </c>
      <c r="AA5" s="998" t="str">
        <f>IF(LEFT(AA4,2)="Q1","Q4-"&amp;RIGHT(AA4,4)-1,(IF(LEFT(AA4,2)="Q2","Q1-"&amp;RIGHT(AA4,4),(IF(LEFT(AA4,2)="Q3","Q2-"&amp;RIGHT(AA4,4),(IF(LEFT(AA4,2)="Q4","Q3-"&amp;(RIGHT(AA4,4)))))))))</f>
        <v>Q2-2020</v>
      </c>
      <c r="AC5" s="997" t="s">
        <v>1100</v>
      </c>
      <c r="AD5" s="998" t="str">
        <f>IF(LEFT(AD4,2)="Q1","Q2-"&amp;RIGHT(AD4,4),(IF(LEFT(AD4,2)="Q2","Q3-"&amp;RIGHT(AD4,4),(IF(LEFT(AD4,2)="Q3","Q4-"&amp;RIGHT(AD4,4),(IF(LEFT(AD4,2)="Q4","Q1-"&amp;(RIGHT(AD4,4))+1)))))))</f>
        <v>Q1-2022</v>
      </c>
      <c r="AE5" s="987"/>
      <c r="AF5" s="987"/>
      <c r="AG5" s="1004"/>
      <c r="AI5" s="987"/>
      <c r="AJ5" s="1004"/>
    </row>
    <row r="6" spans="1:36" s="1009" customFormat="1" ht="14.5" customHeight="1" x14ac:dyDescent="0.35">
      <c r="B6" s="1010" t="s">
        <v>1101</v>
      </c>
      <c r="C6" s="1011"/>
      <c r="D6" s="1011"/>
      <c r="E6" s="1011"/>
      <c r="F6" s="1011"/>
      <c r="G6" s="1011"/>
      <c r="H6" s="1011"/>
      <c r="I6" s="1011"/>
      <c r="J6" s="1011"/>
      <c r="K6" s="1011"/>
      <c r="L6" s="1011"/>
      <c r="M6" s="1011"/>
      <c r="N6" s="1012"/>
      <c r="O6" s="1011"/>
      <c r="P6" s="1011"/>
      <c r="Q6" s="1011"/>
      <c r="R6" s="1011"/>
      <c r="S6" s="1011"/>
      <c r="U6" s="1013"/>
      <c r="V6" s="1013"/>
      <c r="X6" s="1013"/>
      <c r="Y6" s="987"/>
      <c r="Z6" s="987"/>
      <c r="AA6" s="987"/>
      <c r="AC6" s="1014"/>
      <c r="AD6" s="1014"/>
      <c r="AE6" s="987"/>
    </row>
    <row r="7" spans="1:36" s="1017" customFormat="1" ht="14.5" customHeight="1" x14ac:dyDescent="0.35">
      <c r="A7" s="1015"/>
      <c r="B7" s="1016" t="str">
        <f t="array" ref="B7">IFERROR(INDEX(MO_RIS_REV,0,COLUMN(MO_Common_Column_A)), "Total Revenue - N/A")</f>
        <v>Net Revenue</v>
      </c>
      <c r="D7" s="1018">
        <f t="array" ref="D7">IFERROR(INDEX(MO_RIS_REV,0,MATCH(D$5,MO_Common_ColumnHeader,0)), "N/A")</f>
        <v>26662</v>
      </c>
      <c r="E7" s="1018">
        <f t="array" ref="E7">IFERROR(INDEX(MO_RIS_REV,0,MATCH(E$5,MO_Common_ColumnHeader,0)), "N/A")</f>
        <v>29611</v>
      </c>
      <c r="F7" s="1018">
        <f t="array" ref="F7">IFERROR(INDEX(MO_RIS_REV,0,MATCH(F$5,MO_Common_ColumnHeader,0)), "N/A")</f>
        <v>29904</v>
      </c>
      <c r="G7" s="1018">
        <f t="array" ref="G7">IFERROR(INDEX(MO_RIS_REV,0,MATCH(G$5,MO_Common_ColumnHeader,0)), "N/A")</f>
        <v>30871</v>
      </c>
      <c r="H7" s="1018">
        <f t="array" ref="H7">IFERROR(INDEX(MO_RIS_REV,0,MATCH(H$5,MO_Common_ColumnHeader,0)), "N/A")</f>
        <v>31821</v>
      </c>
      <c r="I7" s="1018">
        <f t="array" ref="I7">IFERROR(INDEX(MO_RIS_REV,0,MATCH(I$5,MO_Common_ColumnHeader,0)), "N/A")</f>
        <v>30274</v>
      </c>
      <c r="J7" s="1018">
        <f t="array" ref="J7">IFERROR(INDEX(MO_RIS_REV,0,MATCH(J$5,MO_Common_ColumnHeader,0)), "N/A")</f>
        <v>30109</v>
      </c>
      <c r="K7" s="1018">
        <f t="array" ref="K7">IFERROR(INDEX(MO_RIS_REV,0,MATCH(K$5,MO_Common_ColumnHeader,0)), "N/A")</f>
        <v>31657</v>
      </c>
      <c r="L7" s="1018">
        <f t="array" ref="L7">IFERROR(INDEX(MO_RIS_REV,0,MATCH(L$5,MO_Common_ColumnHeader,0)), "N/A")</f>
        <v>32765</v>
      </c>
      <c r="M7" s="1018">
        <f t="array" ref="M7">IFERROR(INDEX(MO_RIS_REV,0,MATCH(M$5,MO_Common_ColumnHeader,0)), "N/A")</f>
        <v>32136</v>
      </c>
      <c r="N7" s="1019">
        <f t="array" ref="N7">IFERROR(INDEX(MO_RIS_REV,0,MATCH(N$5,MO_Common_ColumnHeader,0)), "N/A")</f>
        <v>32184</v>
      </c>
      <c r="O7" s="1018">
        <f t="array" ref="O7">IFERROR(INDEX(MO_RIS_REV,0,MATCH(O$5,MO_Common_ColumnHeader,0)), "N/A")</f>
        <v>34247.139800000004</v>
      </c>
      <c r="P7" s="1018">
        <f t="array" ref="P7">IFERROR(INDEX(MO_RIS_REV,0,MATCH(P$5,MO_Common_ColumnHeader,0)), "N/A")</f>
        <v>36510.026148999998</v>
      </c>
      <c r="Q7" s="1018">
        <f t="array" ref="Q7">IFERROR(INDEX(MO_RIS_REV,0,MATCH(Q$5,MO_Common_ColumnHeader,0)), "N/A")</f>
        <v>38860.311656844999</v>
      </c>
      <c r="R7" s="1018">
        <f t="array" ref="R7">IFERROR(INDEX(MO_RIS_REV,0,MATCH(R$5,MO_Common_ColumnHeader,0)), "N/A")</f>
        <v>41368.44430713122</v>
      </c>
      <c r="S7" s="1018">
        <f t="array" ref="S7">IFERROR(INDEX(MO_RIS_REV,0,MATCH(S$5,MO_Common_ColumnHeader,0)), "N/A")</f>
        <v>44045.403908700471</v>
      </c>
      <c r="T7" s="1020"/>
      <c r="U7" s="1018">
        <f>IFERROR(INDEX(MO_RIS_REV,0,MATCH($AG$2,MO_Common_ColumnHeader,0))+INDEX(MO_RIS_REV,0,MATCH($AG$3,MO_Common_ColumnHeader,0)),IFERROR(INDEX(MO_RIS_REV,0,MATCH($AA$2,MO_Common_ColumnHeader,0))+INDEX(MO_RIS_REV,0,MATCH($AA$3,MO_Common_ColumnHeader,0))+INDEX(MO_RIS_REV,0,MATCH($AA$4,MO_Common_ColumnHeader,0))+INDEX(MO_RIS_REV,0,MATCH($AA$5,MO_Common_ColumnHeader,0)),"N/A"))</f>
        <v>32960</v>
      </c>
      <c r="V7" s="1018">
        <f>IFERROR(INDEX(MO_RIS_REV,0,MATCH($AJ$2,MO_Common_ColumnHeader,0))+INDEX(MO_RIS_REV,0,MATCH($AJ$3,MO_Common_ColumnHeader,0)),IFERROR(INDEX(MO_RIS_REV,0,MATCH($AD$2,MO_Common_ColumnHeader,0))+INDEX(MO_RIS_REV,0,MATCH($AD$3,MO_Common_ColumnHeader,0))+INDEX(MO_RIS_REV,0,MATCH($AD$4,MO_Common_ColumnHeader,0))+INDEX(MO_RIS_REV,0,MATCH($AD$5,MO_Common_ColumnHeader,0)),"N/A"))</f>
        <v>34880.321500000005</v>
      </c>
      <c r="W7" s="1020"/>
      <c r="X7" s="1021">
        <f ca="1">IFERROR(($N7/OFFSET($N7,0,-X$3))^(1/X$3)-1, "N/A")</f>
        <v>1.9001280022761691E-2</v>
      </c>
      <c r="Y7" s="996"/>
      <c r="Z7" s="996"/>
      <c r="AC7" s="1014"/>
      <c r="AD7" s="1014"/>
      <c r="AE7" s="987"/>
    </row>
    <row r="8" spans="1:36" s="1009" customFormat="1" ht="14.5" customHeight="1" x14ac:dyDescent="0.35">
      <c r="A8" s="1022"/>
      <c r="B8" s="1023" t="s">
        <v>1102</v>
      </c>
      <c r="C8" s="1024"/>
      <c r="D8" s="1025"/>
      <c r="E8" s="1025">
        <f>IFERROR(E7/D7-1, "N/A")</f>
        <v>0.11060685619983501</v>
      </c>
      <c r="F8" s="1025">
        <f>IFERROR(F7/E7-1, "N/A")</f>
        <v>9.8949714633076447E-3</v>
      </c>
      <c r="G8" s="1025">
        <f>IFERROR(G7/F7-1, "N/A")</f>
        <v>3.233681112894593E-2</v>
      </c>
      <c r="H8" s="1025">
        <f>IFERROR(H7/G7-1, "N/A")</f>
        <v>3.0773217582844792E-2</v>
      </c>
      <c r="I8" s="1025">
        <f>IFERROR(I7/H7-1, "N/A")</f>
        <v>-4.8615694038528057E-2</v>
      </c>
      <c r="J8" s="1025">
        <f>IFERROR(J7/I7-1, "N/A")</f>
        <v>-5.4502213120168896E-3</v>
      </c>
      <c r="K8" s="1025">
        <f>IFERROR(K7/J7-1, "N/A")</f>
        <v>5.1413198711348862E-2</v>
      </c>
      <c r="L8" s="1025">
        <f>IFERROR(L7/K7-1, "N/A")</f>
        <v>3.5000157942951082E-2</v>
      </c>
      <c r="M8" s="1025">
        <f>IFERROR(M7/L7-1, "N/A")</f>
        <v>-1.9197314207233362E-2</v>
      </c>
      <c r="N8" s="1026">
        <f>IFERROR(N7/M7-1, "N/A")</f>
        <v>1.4936519790889058E-3</v>
      </c>
      <c r="O8" s="1025">
        <f>IFERROR(O7/N7-1, "N/A")</f>
        <v>6.4104517772806568E-2</v>
      </c>
      <c r="P8" s="1025">
        <f>IFERROR(P7/O7-1, "N/A")</f>
        <v>6.6075192328907795E-2</v>
      </c>
      <c r="Q8" s="1025">
        <f>IFERROR(Q7/P7-1, "N/A")</f>
        <v>6.437370102813178E-2</v>
      </c>
      <c r="R8" s="1025">
        <f>IFERROR(R7/Q7-1, "N/A")</f>
        <v>6.4542268019727178E-2</v>
      </c>
      <c r="S8" s="1025">
        <f>IFERROR(S7/R7-1, "N/A")</f>
        <v>6.4710183000712629E-2</v>
      </c>
      <c r="T8" s="1027"/>
      <c r="U8" s="1027"/>
      <c r="V8" s="1027"/>
      <c r="W8" s="1027"/>
      <c r="X8" s="1027"/>
      <c r="Y8" s="996"/>
      <c r="Z8" s="996"/>
      <c r="AC8" s="996"/>
    </row>
    <row r="9" spans="1:36" s="1009" customFormat="1" ht="14.5" customHeight="1" x14ac:dyDescent="0.35">
      <c r="A9" s="1022"/>
      <c r="B9" s="1028" t="s">
        <v>1103</v>
      </c>
      <c r="C9" s="1024"/>
      <c r="D9" s="1025"/>
      <c r="E9" s="1025"/>
      <c r="F9" s="1025">
        <f>IFERROR(F8+E8, "N/A")</f>
        <v>0.12050182766314266</v>
      </c>
      <c r="G9" s="1025">
        <f>IFERROR(G8+F8, "N/A")</f>
        <v>4.2231782592253575E-2</v>
      </c>
      <c r="H9" s="1025">
        <f>IFERROR(H8+G8, "N/A")</f>
        <v>6.3110028711790722E-2</v>
      </c>
      <c r="I9" s="1025">
        <f>IFERROR(I8+H8, "N/A")</f>
        <v>-1.7842476455683265E-2</v>
      </c>
      <c r="J9" s="1025">
        <f>IFERROR(J8+I8, "N/A")</f>
        <v>-5.4065915350544946E-2</v>
      </c>
      <c r="K9" s="1025">
        <f>IFERROR(K8+J8, "N/A")</f>
        <v>4.5962977399331972E-2</v>
      </c>
      <c r="L9" s="1025">
        <f>IFERROR(L8+K8, "N/A")</f>
        <v>8.6413356654299944E-2</v>
      </c>
      <c r="M9" s="1025">
        <f>IFERROR(M8+L8, "N/A")</f>
        <v>1.580284373571772E-2</v>
      </c>
      <c r="N9" s="1026">
        <f>IFERROR(N8+M8, "N/A")</f>
        <v>-1.7703662228144457E-2</v>
      </c>
      <c r="O9" s="1025">
        <f>IFERROR(O8+N8, "N/A")</f>
        <v>6.5598169751895474E-2</v>
      </c>
      <c r="P9" s="1025">
        <f>IFERROR(P8+O8, "N/A")</f>
        <v>0.13017971010171436</v>
      </c>
      <c r="Q9" s="1025">
        <f>IFERROR(Q8+P8, "N/A")</f>
        <v>0.13044889335703957</v>
      </c>
      <c r="R9" s="1025">
        <f>IFERROR(R8+Q8, "N/A")</f>
        <v>0.12891596904785896</v>
      </c>
      <c r="S9" s="1025">
        <f>IFERROR(S8+R8, "N/A")</f>
        <v>0.12925245102043981</v>
      </c>
      <c r="T9" s="1027"/>
      <c r="U9" s="1027"/>
      <c r="V9" s="1027"/>
      <c r="W9" s="1027"/>
      <c r="X9" s="1027"/>
      <c r="Y9" s="996"/>
      <c r="Z9" s="996"/>
      <c r="AA9" s="1029"/>
      <c r="AC9" s="996"/>
    </row>
    <row r="10" spans="1:36" s="1009" customFormat="1" ht="14.5" customHeight="1" x14ac:dyDescent="0.35">
      <c r="A10" s="1022"/>
      <c r="B10" s="1028" t="s">
        <v>1104</v>
      </c>
      <c r="C10" s="1024"/>
      <c r="D10" s="1025"/>
      <c r="E10" s="1025"/>
      <c r="F10" s="1025"/>
      <c r="G10" s="1025">
        <f>IFERROR(G8+F8+E8, "N/A")</f>
        <v>0.15283863879208859</v>
      </c>
      <c r="H10" s="1025">
        <f>IFERROR(H8+G8+F8, "N/A")</f>
        <v>7.3005000175098367E-2</v>
      </c>
      <c r="I10" s="1025">
        <f>IFERROR(I8+H8+G8, "N/A")</f>
        <v>1.4494334673262665E-2</v>
      </c>
      <c r="J10" s="1025">
        <f>IFERROR(J8+I8+H8, "N/A")</f>
        <v>-2.3292697767700155E-2</v>
      </c>
      <c r="K10" s="1025">
        <f>IFERROR(K8+J8+I8, "N/A")</f>
        <v>-2.6527166391960844E-3</v>
      </c>
      <c r="L10" s="1025">
        <f>IFERROR(L8+K8+J8, "N/A")</f>
        <v>8.0963135342283055E-2</v>
      </c>
      <c r="M10" s="1025">
        <f>IFERROR(M8+L8+K8, "N/A")</f>
        <v>6.7216042447066582E-2</v>
      </c>
      <c r="N10" s="1026">
        <f>IFERROR(N8+M8+L8, "N/A")</f>
        <v>1.7296495714806626E-2</v>
      </c>
      <c r="O10" s="1025">
        <f>IFERROR(O8+N8+M8, "N/A")</f>
        <v>4.6400855544662112E-2</v>
      </c>
      <c r="P10" s="1025">
        <f>IFERROR(P8+O8+N8, "N/A")</f>
        <v>0.13167336208080327</v>
      </c>
      <c r="Q10" s="1025">
        <f>IFERROR(Q8+P8+O8, "N/A")</f>
        <v>0.19455341112984614</v>
      </c>
      <c r="R10" s="1025">
        <f>IFERROR(R8+Q8+P8, "N/A")</f>
        <v>0.19499116137676675</v>
      </c>
      <c r="S10" s="1025">
        <f>IFERROR(S8+R8+Q8, "N/A")</f>
        <v>0.19362615204857159</v>
      </c>
      <c r="T10" s="1027"/>
      <c r="U10" s="1027"/>
      <c r="V10" s="1027"/>
      <c r="W10" s="1027"/>
      <c r="X10" s="1027"/>
      <c r="Y10" s="996"/>
      <c r="Z10" s="996"/>
      <c r="AA10" s="1030"/>
      <c r="AC10" s="996"/>
    </row>
    <row r="11" spans="1:36" s="1039" customFormat="1" ht="14.5" customHeight="1" x14ac:dyDescent="0.35">
      <c r="A11" s="1031"/>
      <c r="B11" s="1032" t="str">
        <f ca="1">IFERROR(IF(LEFT(OFFSET(INDEX(MO_RIS_REV,0,COLUMN(MO_Common_Column_A)),1,0),9)="Consensus",OFFSET(INDEX(MO_RIS_REV,0,COLUMN(MO_Common_Column_A)),1,0),""),"Consensus - Total Revenue")</f>
        <v>Consensus Estimates - Net Revenue</v>
      </c>
      <c r="C11" s="1033"/>
      <c r="D11" s="1034"/>
      <c r="E11" s="1034"/>
      <c r="F11" s="1034"/>
      <c r="G11" s="1034"/>
      <c r="H11" s="1034"/>
      <c r="I11" s="1034"/>
      <c r="J11" s="1034"/>
      <c r="K11" s="1034"/>
      <c r="L11" s="1034"/>
      <c r="M11" s="1034"/>
      <c r="N11" s="1035"/>
      <c r="O11" s="1034" t="str">
        <f ca="1">IFERROR(IF(LEFT($B11,19)="Consensus Estimates",OFFSET(INDEX(MO_RIS_REV,0,MATCH(O$5,MO_Common_ColumnHeader,0)),1,0),"N/A"), "N/A")</f>
        <v>N/A</v>
      </c>
      <c r="P11" s="1034" t="str">
        <f ca="1">IFERROR(IF(LEFT($B11,19)="Consensus Estimates",OFFSET(INDEX(MO_RIS_REV,0,MATCH(P$5,MO_Common_ColumnHeader,0)),1,0),"N/A"), "N/A")</f>
        <v>N/A</v>
      </c>
      <c r="Q11" s="1034" t="str">
        <f ca="1">IFERROR(IF(LEFT($B11,19)="Consensus Estimates",OFFSET(INDEX(MO_RIS_REV,0,MATCH(Q$5,MO_Common_ColumnHeader,0)),1,0),"N/A"), "N/A")</f>
        <v>N/A</v>
      </c>
      <c r="R11" s="1034" t="str">
        <f ca="1">IFERROR(IF(LEFT($B11,19)="Consensus Estimates",OFFSET(INDEX(MO_RIS_REV,0,MATCH(R$5,MO_Common_ColumnHeader,0)),1,0),"N/A"), "N/A")</f>
        <v>N/A</v>
      </c>
      <c r="S11" s="1034" t="str">
        <f ca="1">IFERROR(IF(LEFT($B11,19)="Consensus Estimates",OFFSET(INDEX(MO_RIS_REV,0,MATCH(S$5,MO_Common_ColumnHeader,0)),1,0),"N/A"), "N/A")</f>
        <v>N/A</v>
      </c>
      <c r="T11" s="1036"/>
      <c r="U11" s="1036"/>
      <c r="V11" s="1036"/>
      <c r="W11" s="1036"/>
      <c r="X11" s="1036"/>
      <c r="Y11" s="1037"/>
      <c r="Z11" s="1037"/>
      <c r="AA11" s="1038"/>
      <c r="AC11" s="1037"/>
    </row>
    <row r="12" spans="1:36" s="1006" customFormat="1" ht="14.5" customHeight="1" x14ac:dyDescent="0.35">
      <c r="A12" s="1005"/>
      <c r="B12" s="1040"/>
      <c r="D12" s="1041"/>
      <c r="E12" s="1041"/>
      <c r="F12" s="1041"/>
      <c r="G12" s="1041"/>
      <c r="H12" s="1041"/>
      <c r="I12" s="1041"/>
      <c r="J12" s="1041"/>
      <c r="K12" s="1041"/>
      <c r="L12" s="1041"/>
      <c r="M12" s="1041"/>
      <c r="N12" s="1042"/>
      <c r="O12" s="1041"/>
      <c r="P12" s="1041"/>
      <c r="Q12" s="1041"/>
      <c r="R12" s="1041"/>
      <c r="S12" s="1041"/>
      <c r="T12" s="1043"/>
      <c r="U12" s="1043"/>
      <c r="V12" s="1043"/>
      <c r="W12" s="1043"/>
      <c r="X12" s="1043"/>
      <c r="Y12" s="996"/>
      <c r="Z12" s="996"/>
      <c r="AA12" s="1030"/>
      <c r="AC12" s="996"/>
    </row>
    <row r="13" spans="1:36" ht="14.5" customHeight="1" x14ac:dyDescent="0.35">
      <c r="B13" s="1044" t="str">
        <f t="array" ref="B13">IFERROR(INDEX(MO_RIS_EBITDA_Adj,0,COLUMN(MO_Common_Column_A)),"Adj. EBITDA - N/A")</f>
        <v>Adjusted EBITDA</v>
      </c>
      <c r="D13" s="1045">
        <f t="array" ref="D13">IFERROR(INDEX(MO_RIS_EBITDA_Adj,0,MATCH(D$5,MO_Common_ColumnHeader,0)), "N/A")</f>
        <v>7038</v>
      </c>
      <c r="E13" s="1045">
        <f t="array" ref="E13">IFERROR(INDEX(MO_RIS_EBITDA_Adj,0,MATCH(E$5,MO_Common_ColumnHeader,0)), "N/A")</f>
        <v>7414</v>
      </c>
      <c r="F13" s="1046">
        <f t="array" ref="F13">IFERROR(INDEX(MO_RIS_EBITDA_Adj,0,MATCH(F$5,MO_Common_ColumnHeader,0)), "N/A")</f>
        <v>7771</v>
      </c>
      <c r="G13" s="1046">
        <f t="array" ref="G13">IFERROR(INDEX(MO_RIS_EBITDA_Adj,0,MATCH(G$5,MO_Common_ColumnHeader,0)), "N/A")</f>
        <v>8037</v>
      </c>
      <c r="H13" s="1046">
        <f t="array" ref="H13">IFERROR(INDEX(MO_RIS_EBITDA_Adj,0,MATCH(H$5,MO_Common_ColumnHeader,0)), "N/A")</f>
        <v>8543</v>
      </c>
      <c r="I13" s="1046">
        <f t="array" ref="I13">IFERROR(INDEX(MO_RIS_EBITDA_Adj,0,MATCH(I$5,MO_Common_ColumnHeader,0)), "N/A")</f>
        <v>8381</v>
      </c>
      <c r="J13" s="1046">
        <f t="array" ref="J13">IFERROR(INDEX(MO_RIS_EBITDA_Adj,0,MATCH(J$5,MO_Common_ColumnHeader,0)), "N/A")</f>
        <v>8697</v>
      </c>
      <c r="K13" s="1046">
        <f t="array" ref="K13">IFERROR(INDEX(MO_RIS_EBITDA_Adj,0,MATCH(K$5,MO_Common_ColumnHeader,0)), "N/A")</f>
        <v>9236</v>
      </c>
      <c r="L13" s="1046">
        <f t="array" ref="L13">IFERROR(INDEX(MO_RIS_EBITDA_Adj,0,MATCH(L$5,MO_Common_ColumnHeader,0)), "N/A")</f>
        <v>9592</v>
      </c>
      <c r="M13" s="1046">
        <f t="array" ref="M13">IFERROR(INDEX(MO_RIS_EBITDA_Adj,0,MATCH(M$5,MO_Common_ColumnHeader,0)), "N/A")</f>
        <v>8415</v>
      </c>
      <c r="N13" s="1047">
        <f t="array" ref="N13">IFERROR(INDEX(MO_RIS_EBITDA_Adj,0,MATCH(N$5,MO_Common_ColumnHeader,0)), "N/A")</f>
        <v>8755</v>
      </c>
      <c r="O13" s="1046">
        <f t="array" ref="O13">IFERROR(INDEX(MO_RIS_EBITDA_Adj,0,MATCH(O$5,MO_Common_ColumnHeader,0)), "N/A")</f>
        <v>9602.7317612000006</v>
      </c>
      <c r="P13" s="1046">
        <f t="array" ref="P13">IFERROR(INDEX(MO_RIS_EBITDA_Adj,0,MATCH(P$5,MO_Common_ColumnHeader,0)), "N/A")</f>
        <v>10391.701287356002</v>
      </c>
      <c r="Q13" s="1046">
        <f t="array" ref="Q13">IFERROR(INDEX(MO_RIS_EBITDA_Adj,0,MATCH(Q$5,MO_Common_ColumnHeader,0)), "N/A")</f>
        <v>11195.589153213179</v>
      </c>
      <c r="R13" s="1046">
        <f t="array" ref="R13">IFERROR(INDEX(MO_RIS_EBITDA_Adj,0,MATCH(R$5,MO_Common_ColumnHeader,0)), "N/A")</f>
        <v>12067.758610940777</v>
      </c>
      <c r="S13" s="1046">
        <f t="array" ref="S13">IFERROR(INDEX(MO_RIS_EBITDA_Adj,0,MATCH(S$5,MO_Common_ColumnHeader,0)), "N/A")</f>
        <v>13013.838469852113</v>
      </c>
      <c r="T13" s="1048"/>
      <c r="U13" s="1045">
        <f>IFERROR(INDEX(MO_RIS_EBITDA_Adj,0,MATCH($AG$2,MO_Common_ColumnHeader,0))+INDEX(MO_RIS_EBITDA_Adj,0,MATCH($AG$3,MO_Common_ColumnHeader,0)),IFERROR(INDEX(MO_RIS_EBITDA_Adj,0,MATCH($AA$2,MO_Common_ColumnHeader,0))+INDEX(MO_RIS_EBITDA_Adj,0,MATCH($AA$3,MO_Common_ColumnHeader,0))+INDEX(MO_RIS_EBITDA_Adj,0,MATCH($AA$4,MO_Common_ColumnHeader,0))+INDEX(MO_RIS_EBITDA_Adj,0,MATCH($AA$5,MO_Common_ColumnHeader,0)),"N/A"))</f>
        <v>9091</v>
      </c>
      <c r="V13" s="1045">
        <f>IFERROR(INDEX(MO_RIS_EBITDA_Adj,0,MATCH($AJ$2,MO_Common_ColumnHeader,0))+INDEX(MO_RIS_EBITDA_Adj,0,MATCH($AJ$3,MO_Common_ColumnHeader,0)),IFERROR(INDEX(MO_RIS_EBITDA_Adj,0,MATCH($AD$2,MO_Common_ColumnHeader,0))+INDEX(MO_RIS_EBITDA_Adj,0,MATCH($AD$3,MO_Common_ColumnHeader,0))+INDEX(MO_RIS_EBITDA_Adj,0,MATCH($AD$4,MO_Common_ColumnHeader,0))+INDEX(MO_RIS_EBITDA_Adj,0,MATCH($AD$5,MO_Common_ColumnHeader,0)),"N/A"))</f>
        <v>9832.4778960000003</v>
      </c>
      <c r="W13" s="1048"/>
      <c r="X13" s="1049">
        <f ca="1">IFERROR(($N13/OFFSET($N13,0,-X$3))^(1/X$3)-1, "N/A")</f>
        <v>2.2070112527044605E-2</v>
      </c>
      <c r="Y13" s="987"/>
      <c r="Z13" s="987"/>
      <c r="AA13" s="1009"/>
    </row>
    <row r="14" spans="1:36" s="1053" customFormat="1" ht="14.5" customHeight="1" x14ac:dyDescent="0.35">
      <c r="A14" s="1050"/>
      <c r="B14" s="1023" t="s">
        <v>1102</v>
      </c>
      <c r="C14" s="1051"/>
      <c r="D14" s="1025"/>
      <c r="E14" s="1025">
        <f>IFERROR(E13/D13-1, "N/A")</f>
        <v>5.3424268258027929E-2</v>
      </c>
      <c r="F14" s="1025">
        <f>IFERROR(F13/E13-1, "N/A")</f>
        <v>4.8152144591313784E-2</v>
      </c>
      <c r="G14" s="1025">
        <f>IFERROR(G13/F13-1, "N/A")</f>
        <v>3.4229828850855792E-2</v>
      </c>
      <c r="H14" s="1025">
        <f>IFERROR(H13/G13-1, "N/A")</f>
        <v>6.2958815478412422E-2</v>
      </c>
      <c r="I14" s="1025">
        <f>IFERROR(I13/H13-1, "N/A")</f>
        <v>-1.8962893597097019E-2</v>
      </c>
      <c r="J14" s="1025">
        <f>IFERROR(J13/I13-1, "N/A")</f>
        <v>3.7704331225390852E-2</v>
      </c>
      <c r="K14" s="1025">
        <f>IFERROR(K13/J13-1, "N/A")</f>
        <v>6.197539381395889E-2</v>
      </c>
      <c r="L14" s="1025">
        <f>IFERROR(L13/K13-1, "N/A")</f>
        <v>3.8544824599393568E-2</v>
      </c>
      <c r="M14" s="1025">
        <f>IFERROR(M13/L13-1, "N/A")</f>
        <v>-0.12270642201834858</v>
      </c>
      <c r="N14" s="1026">
        <f>IFERROR(N13/M13-1, "N/A")</f>
        <v>4.0404040404040442E-2</v>
      </c>
      <c r="O14" s="1025">
        <f>IFERROR(O13/N13-1, "N/A")</f>
        <v>9.6828299394631667E-2</v>
      </c>
      <c r="P14" s="1025">
        <f>IFERROR(P13/O13-1, "N/A")</f>
        <v>8.2160946049107064E-2</v>
      </c>
      <c r="Q14" s="1025">
        <f>IFERROR(Q13/P13-1, "N/A")</f>
        <v>7.7358638747179853E-2</v>
      </c>
      <c r="R14" s="1025">
        <f>IFERROR(R13/Q13-1, "N/A")</f>
        <v>7.7902953189138868E-2</v>
      </c>
      <c r="S14" s="1025">
        <f>IFERROR(S13/R13-1, "N/A")</f>
        <v>7.8397313818790559E-2</v>
      </c>
      <c r="T14" s="1052"/>
      <c r="U14" s="1052"/>
      <c r="V14" s="1052"/>
      <c r="W14" s="1052"/>
      <c r="X14" s="1052"/>
      <c r="Y14" s="987"/>
      <c r="Z14" s="987"/>
      <c r="AA14" s="1014"/>
    </row>
    <row r="15" spans="1:36" s="1009" customFormat="1" ht="14.5" customHeight="1" x14ac:dyDescent="0.35">
      <c r="A15" s="1022"/>
      <c r="B15" s="1028" t="s">
        <v>1103</v>
      </c>
      <c r="C15" s="1024"/>
      <c r="D15" s="1025"/>
      <c r="E15" s="1025"/>
      <c r="F15" s="1025">
        <f>IFERROR(F14+E14, "N/A")</f>
        <v>0.10157641284934171</v>
      </c>
      <c r="G15" s="1025">
        <f>IFERROR(G14+F14, "N/A")</f>
        <v>8.2381973442169576E-2</v>
      </c>
      <c r="H15" s="1025">
        <f>IFERROR(H14+G14, "N/A")</f>
        <v>9.7188644329268215E-2</v>
      </c>
      <c r="I15" s="1025">
        <f>IFERROR(I14+H14, "N/A")</f>
        <v>4.3995921881315403E-2</v>
      </c>
      <c r="J15" s="1025">
        <f>IFERROR(J14+I14, "N/A")</f>
        <v>1.8741437628293833E-2</v>
      </c>
      <c r="K15" s="1025">
        <f>IFERROR(K14+J14, "N/A")</f>
        <v>9.9679725039349742E-2</v>
      </c>
      <c r="L15" s="1025">
        <f>IFERROR(L14+K14, "N/A")</f>
        <v>0.10052021841335246</v>
      </c>
      <c r="M15" s="1025">
        <f>IFERROR(M14+L14, "N/A")</f>
        <v>-8.4161597418955014E-2</v>
      </c>
      <c r="N15" s="1026">
        <f>IFERROR(N14+M14, "N/A")</f>
        <v>-8.230238161430814E-2</v>
      </c>
      <c r="O15" s="1025">
        <f>IFERROR(O14+N14, "N/A")</f>
        <v>0.13723233979867211</v>
      </c>
      <c r="P15" s="1025">
        <f>IFERROR(P14+O14, "N/A")</f>
        <v>0.17898924544373873</v>
      </c>
      <c r="Q15" s="1025">
        <f>IFERROR(Q14+P14, "N/A")</f>
        <v>0.15951958479628692</v>
      </c>
      <c r="R15" s="1025">
        <f>IFERROR(R14+Q14, "N/A")</f>
        <v>0.15526159193631872</v>
      </c>
      <c r="S15" s="1025">
        <f>IFERROR(S14+R14, "N/A")</f>
        <v>0.15630026700792943</v>
      </c>
      <c r="T15" s="1027"/>
      <c r="U15" s="1027"/>
      <c r="V15" s="1027"/>
      <c r="W15" s="1027"/>
      <c r="X15" s="1027"/>
      <c r="Y15" s="996"/>
      <c r="Z15" s="996"/>
    </row>
    <row r="16" spans="1:36" s="1009" customFormat="1" ht="14.5" customHeight="1" x14ac:dyDescent="0.35">
      <c r="A16" s="1022"/>
      <c r="B16" s="1028" t="s">
        <v>1104</v>
      </c>
      <c r="C16" s="1024"/>
      <c r="D16" s="1025"/>
      <c r="E16" s="1025"/>
      <c r="F16" s="1025"/>
      <c r="G16" s="1025">
        <f>IFERROR(G14+F14+E14, "N/A")</f>
        <v>0.13580624170019751</v>
      </c>
      <c r="H16" s="1025">
        <f>IFERROR(H14+G14+F14, "N/A")</f>
        <v>0.145340788920582</v>
      </c>
      <c r="I16" s="1025">
        <f>IFERROR(I14+H14+G14, "N/A")</f>
        <v>7.8225750732171195E-2</v>
      </c>
      <c r="J16" s="1025">
        <f>IFERROR(J14+I14+H14, "N/A")</f>
        <v>8.1700253106706255E-2</v>
      </c>
      <c r="K16" s="1025">
        <f>IFERROR(K14+J14+I14, "N/A")</f>
        <v>8.0716831442252723E-2</v>
      </c>
      <c r="L16" s="1025">
        <f>IFERROR(L14+K14+J14, "N/A")</f>
        <v>0.13822454963874331</v>
      </c>
      <c r="M16" s="1025">
        <f>IFERROR(M14+L14+K14, "N/A")</f>
        <v>-2.2186203604996124E-2</v>
      </c>
      <c r="N16" s="1026">
        <f>IFERROR(N14+M14+L14, "N/A")</f>
        <v>-4.3757557014914572E-2</v>
      </c>
      <c r="O16" s="1025">
        <f>IFERROR(O14+N14+M14, "N/A")</f>
        <v>1.4525917780323527E-2</v>
      </c>
      <c r="P16" s="1025">
        <f>IFERROR(P14+O14+N14, "N/A")</f>
        <v>0.21939328584777917</v>
      </c>
      <c r="Q16" s="1025">
        <f>IFERROR(Q14+P14+O14, "N/A")</f>
        <v>0.25634788419091858</v>
      </c>
      <c r="R16" s="1025">
        <f>IFERROR(R14+Q14+P14, "N/A")</f>
        <v>0.23742253798542579</v>
      </c>
      <c r="S16" s="1025">
        <f>IFERROR(S14+R14+Q14, "N/A")</f>
        <v>0.23365890575510928</v>
      </c>
      <c r="T16" s="1027"/>
      <c r="U16" s="1027"/>
      <c r="V16" s="1027"/>
      <c r="W16" s="1027"/>
      <c r="X16" s="1027"/>
      <c r="Y16" s="996"/>
      <c r="Z16" s="996"/>
    </row>
    <row r="17" spans="1:29" s="1014" customFormat="1" ht="14.5" customHeight="1" x14ac:dyDescent="0.35">
      <c r="A17" s="1050"/>
      <c r="B17" s="1023" t="s">
        <v>1105</v>
      </c>
      <c r="C17" s="1051"/>
      <c r="D17" s="1025">
        <f>IFERROR(D13/D$7, "N/A")</f>
        <v>0.26397119495911786</v>
      </c>
      <c r="E17" s="1025">
        <f>IFERROR(E13/E$7, "N/A")</f>
        <v>0.25037992637871059</v>
      </c>
      <c r="F17" s="1025">
        <f>IFERROR(F13/F$7, "N/A")</f>
        <v>0.25986490101658644</v>
      </c>
      <c r="G17" s="1025">
        <f>IFERROR(G13/G$7, "N/A")</f>
        <v>0.26034142075086653</v>
      </c>
      <c r="H17" s="1025">
        <f>IFERROR(H13/H$7, "N/A")</f>
        <v>0.26847050689796048</v>
      </c>
      <c r="I17" s="1025">
        <f>IFERROR(I13/I$7, "N/A")</f>
        <v>0.27683821100614386</v>
      </c>
      <c r="J17" s="1025">
        <f>IFERROR(J13/J$7, "N/A")</f>
        <v>0.28885050981434124</v>
      </c>
      <c r="K17" s="1025">
        <f>IFERROR(K13/K$7, "N/A")</f>
        <v>0.29175221909846166</v>
      </c>
      <c r="L17" s="1025">
        <f>IFERROR(L13/L$7, "N/A")</f>
        <v>0.29275141156722112</v>
      </c>
      <c r="M17" s="1025">
        <f>IFERROR(M13/M$7, "N/A")</f>
        <v>0.26185586258401794</v>
      </c>
      <c r="N17" s="1026">
        <f>IFERROR(N13/N$7, "N/A")</f>
        <v>0.27202957991548593</v>
      </c>
      <c r="O17" s="1025">
        <f>IFERROR(O13/O$7, "N/A")</f>
        <v>0.28039514590938186</v>
      </c>
      <c r="P17" s="1025">
        <f>IFERROR(P13/P$7, "N/A")</f>
        <v>0.28462596123450401</v>
      </c>
      <c r="Q17" s="1025">
        <f>IFERROR(Q13/Q$7, "N/A")</f>
        <v>0.28809828526532538</v>
      </c>
      <c r="R17" s="1025">
        <f>IFERROR(R13/R$7, "N/A")</f>
        <v>0.29171410269494952</v>
      </c>
      <c r="S17" s="1025">
        <f>IFERROR(S13/S$7, "N/A")</f>
        <v>0.29546416458861069</v>
      </c>
      <c r="T17" s="1054"/>
      <c r="U17" s="1025">
        <f>IFERROR(U13/U$7, "N/A")</f>
        <v>0.27581917475728157</v>
      </c>
      <c r="V17" s="1025">
        <f>IFERROR(V13/V$7, "N/A")</f>
        <v>0.28189183680546059</v>
      </c>
      <c r="W17" s="1054"/>
      <c r="X17" s="1025">
        <f ca="1">IFERROR(AVERAGE($N17:INDIRECT(CONCATENATE(SUBSTITUTE(ADDRESS(1,COLUMN(OFFSET($N17,0,-(X$3-1))),4),"1",""),ROW(OFFSET($N17,0,-(X$3-1)))))), "N/A")</f>
        <v>0.27231345490297959</v>
      </c>
      <c r="Y17" s="987"/>
      <c r="Z17" s="987"/>
    </row>
    <row r="18" spans="1:29" s="1014" customFormat="1" ht="14.5" customHeight="1" x14ac:dyDescent="0.35">
      <c r="A18" s="1050"/>
      <c r="B18" s="1023" t="s">
        <v>1106</v>
      </c>
      <c r="C18" s="1051"/>
      <c r="D18" s="1025"/>
      <c r="E18" s="1025"/>
      <c r="F18" s="1025">
        <f>IFERROR((F13-E13)/(F7-E7), "N/A")</f>
        <v>1.2184300341296928</v>
      </c>
      <c r="G18" s="1025">
        <f>IFERROR((G13-F13)/(G7-F7), "N/A")</f>
        <v>0.27507755946225437</v>
      </c>
      <c r="H18" s="1025">
        <f>IFERROR((H13-G13)/(H7-G7), "N/A")</f>
        <v>0.53263157894736846</v>
      </c>
      <c r="I18" s="1025">
        <f>IFERROR((I13-H13)/(I7-H7), "N/A")</f>
        <v>0.10471881060116355</v>
      </c>
      <c r="J18" s="1025">
        <f>IFERROR((J13-I13)/(J7-I7), "N/A")</f>
        <v>-1.915151515151515</v>
      </c>
      <c r="K18" s="1025">
        <f>IFERROR((K13-J13)/(K7-J7), "N/A")</f>
        <v>0.34819121447028423</v>
      </c>
      <c r="L18" s="1025">
        <f>IFERROR((L13-K13)/(L7-K7), "N/A")</f>
        <v>0.32129963898916969</v>
      </c>
      <c r="M18" s="1025">
        <f>IFERROR((M13-L13)/(M7-L7), "N/A")</f>
        <v>1.8712241653418125</v>
      </c>
      <c r="N18" s="1026">
        <f>IFERROR((N13-M13)/(N7-M7), "N/A")</f>
        <v>7.083333333333333</v>
      </c>
      <c r="O18" s="1025">
        <f>IFERROR((O13-N13)/(O7-N7), "N/A")</f>
        <v>0.41089399816725886</v>
      </c>
      <c r="P18" s="1025">
        <f>IFERROR((P13-O13)/(P7-O7), "N/A")</f>
        <v>0.34865627542658501</v>
      </c>
      <c r="Q18" s="1025">
        <f>IFERROR((Q13-P13)/(Q7-P7), "N/A")</f>
        <v>0.34203838775071627</v>
      </c>
      <c r="R18" s="1025">
        <f>IFERROR((R13-Q13)/(R7-Q7), "N/A")</f>
        <v>0.34773657510820571</v>
      </c>
      <c r="S18" s="1025">
        <f>IFERROR((S13-R13)/(S7-R7), "N/A")</f>
        <v>0.35341581485082491</v>
      </c>
      <c r="T18" s="1054"/>
      <c r="U18" s="1025"/>
      <c r="V18" s="1025"/>
      <c r="W18" s="1054"/>
      <c r="X18" s="1054"/>
      <c r="Y18" s="987"/>
      <c r="Z18" s="987"/>
    </row>
    <row r="19" spans="1:29" s="1009" customFormat="1" ht="14.5" customHeight="1" x14ac:dyDescent="0.35">
      <c r="A19" s="1022"/>
      <c r="B19" s="1055" t="str">
        <f ca="1">IFERROR(IF(LEFT(OFFSET(INDEX(MO_RIS_EBITDA_Adj,0,COLUMN(MO_Common_Column_A)),1,0),9)="Consensus",OFFSET(INDEX(MO_RIS_EBITDA_Adj,0,COLUMN(MO_Common_Column_A)),1,0),""), "Consensus - Adj. EBITDA")</f>
        <v>Consensus Estimates - Adjusted EBITDA</v>
      </c>
      <c r="C19" s="1056"/>
      <c r="D19" s="1057"/>
      <c r="E19" s="1057"/>
      <c r="F19" s="1057"/>
      <c r="G19" s="1057"/>
      <c r="H19" s="1057"/>
      <c r="I19" s="1057"/>
      <c r="J19" s="1057"/>
      <c r="K19" s="1057"/>
      <c r="L19" s="1057"/>
      <c r="M19" s="1057"/>
      <c r="N19" s="1058"/>
      <c r="O19" s="1034" t="str">
        <f ca="1">IFERROR(IF(LEFT($B19,19)="Consensus Estimates",OFFSET(INDEX(MO_RIS_EBITDA_Adj,0,MATCH(O$5,MO_Common_ColumnHeader,0)),1,0),"N/A"), "N/A")</f>
        <v>N/A</v>
      </c>
      <c r="P19" s="1034" t="str">
        <f ca="1">IFERROR(IF(LEFT($B19,19)="Consensus Estimates",OFFSET(INDEX(MO_RIS_EBITDA_Adj,0,MATCH(P$5,MO_Common_ColumnHeader,0)),1,0),"N/A"), "N/A")</f>
        <v>N/A</v>
      </c>
      <c r="Q19" s="1034" t="str">
        <f ca="1">IFERROR(IF(LEFT($B19,19)="Consensus Estimates",OFFSET(INDEX(MO_RIS_EBITDA_Adj,0,MATCH(Q$5,MO_Common_ColumnHeader,0)),1,0),"N/A"), "N/A")</f>
        <v>N/A</v>
      </c>
      <c r="R19" s="1034" t="str">
        <f ca="1">IFERROR(IF(LEFT($B19,19)="Consensus Estimates",OFFSET(INDEX(MO_RIS_EBITDA_Adj,0,MATCH(R$5,MO_Common_ColumnHeader,0)),1,0),"N/A"), "N/A")</f>
        <v>N/A</v>
      </c>
      <c r="S19" s="1034" t="str">
        <f ca="1">IFERROR(IF(LEFT($B19,19)="Consensus Estimates",OFFSET(INDEX(MO_RIS_EBITDA_Adj,0,MATCH(S$5,MO_Common_ColumnHeader,0)),1,0),"N/A"), "N/A")</f>
        <v>N/A</v>
      </c>
      <c r="T19" s="1036"/>
      <c r="U19" s="1027"/>
      <c r="V19" s="1027"/>
      <c r="W19" s="1027"/>
      <c r="X19" s="1027"/>
      <c r="Y19" s="996"/>
      <c r="Z19" s="996"/>
      <c r="AA19" s="1030"/>
      <c r="AC19" s="996"/>
    </row>
    <row r="20" spans="1:29" s="1009" customFormat="1" ht="14.5" customHeight="1" x14ac:dyDescent="0.35">
      <c r="A20" s="1031"/>
      <c r="B20" s="1059"/>
      <c r="C20" s="1060"/>
      <c r="D20" s="1061"/>
      <c r="E20" s="1061"/>
      <c r="F20" s="1061"/>
      <c r="G20" s="1061"/>
      <c r="H20" s="1061"/>
      <c r="I20" s="1061"/>
      <c r="J20" s="1061"/>
      <c r="K20" s="1061"/>
      <c r="L20" s="1061"/>
      <c r="M20" s="1061"/>
      <c r="N20" s="1062"/>
      <c r="O20" s="1061"/>
      <c r="P20" s="1061"/>
      <c r="Q20" s="1061"/>
      <c r="R20" s="1061"/>
      <c r="S20" s="1061"/>
      <c r="T20" s="1027"/>
      <c r="U20" s="1027"/>
      <c r="V20" s="1027"/>
      <c r="W20" s="1027"/>
      <c r="X20" s="1027"/>
    </row>
    <row r="21" spans="1:29" s="1014" customFormat="1" ht="14.5" customHeight="1" x14ac:dyDescent="0.35">
      <c r="A21" s="1063"/>
      <c r="B21" s="1064" t="str">
        <f>IFERROR(IFERROR(IFERROR(INDEX(MO_RIS_Reported_OperatingIncome_NONGAAP,0,COLUMN(MO_Common_Column_A)),IFERROR(INDEX(MO_RIS_EBIT_NONGAAP,0,COLUMN(MO_Common_Column_A)),INDEX(MO_RIS_EBIT_Adj,0,COLUMN(MO_Common_Column_A)))), INDEX(MO_RIS_EBIT,0,COLUMN(MO_Common_Column_A))), "EBIT - N/A")</f>
        <v>Adjusted EBIT</v>
      </c>
      <c r="C21" s="1064"/>
      <c r="D21" s="1045">
        <f>IFERROR(IFERROR(IFERROR(INDEX(MO_RIS_Reported_OperatingIncome_NONGAAP,0,MATCH(D$5,MO_Common_ColumnHeader,0)),IFERROR(INDEX(MO_RIS_EBIT_NONGAAP,0,MATCH(D$5,MO_Common_ColumnHeader,0)),INDEX(MO_RIS_EBIT_Adj,0,MATCH(D$5,MO_Common_ColumnHeader,0)))), INDEX(MO_RIS_EBIT,0,MATCH(D$5,MO_Common_ColumnHeader,0))), "")</f>
        <v>5918</v>
      </c>
      <c r="E21" s="1045">
        <f>IFERROR(IFERROR(IFERROR(INDEX(MO_RIS_Reported_OperatingIncome_NONGAAP,0,MATCH(E$5,MO_Common_ColumnHeader,0)),IFERROR(INDEX(MO_RIS_EBIT_NONGAAP,0,MATCH(E$5,MO_Common_ColumnHeader,0)),INDEX(MO_RIS_EBIT_Adj,0,MATCH(E$5,MO_Common_ColumnHeader,0)))), INDEX(MO_RIS_EBIT,0,MATCH(E$5,MO_Common_ColumnHeader,0))), "")</f>
        <v>6178</v>
      </c>
      <c r="F21" s="1045">
        <f>IFERROR(IFERROR(IFERROR(INDEX(MO_RIS_Reported_OperatingIncome_NONGAAP,0,MATCH(F$5,MO_Common_ColumnHeader,0)),IFERROR(INDEX(MO_RIS_EBIT_NONGAAP,0,MATCH(F$5,MO_Common_ColumnHeader,0)),INDEX(MO_RIS_EBIT_Adj,0,MATCH(F$5,MO_Common_ColumnHeader,0)))), INDEX(MO_RIS_EBIT,0,MATCH(F$5,MO_Common_ColumnHeader,0))), "")</f>
        <v>6483</v>
      </c>
      <c r="G21" s="1045">
        <f>IFERROR(IFERROR(IFERROR(INDEX(MO_RIS_Reported_OperatingIncome_NONGAAP,0,MATCH(G$5,MO_Common_ColumnHeader,0)),IFERROR(INDEX(MO_RIS_EBIT_NONGAAP,0,MATCH(G$5,MO_Common_ColumnHeader,0)),INDEX(MO_RIS_EBIT_Adj,0,MATCH(G$5,MO_Common_ColumnHeader,0)))), INDEX(MO_RIS_EBIT,0,MATCH(G$5,MO_Common_ColumnHeader,0))), "")</f>
        <v>6666</v>
      </c>
      <c r="H21" s="1045">
        <f>IFERROR(IFERROR(IFERROR(INDEX(MO_RIS_Reported_OperatingIncome_NONGAAP,0,MATCH(H$5,MO_Common_ColumnHeader,0)),IFERROR(INDEX(MO_RIS_EBIT_NONGAAP,0,MATCH(H$5,MO_Common_ColumnHeader,0)),INDEX(MO_RIS_EBIT_Adj,0,MATCH(H$5,MO_Common_ColumnHeader,0)))), INDEX(MO_RIS_EBIT,0,MATCH(H$5,MO_Common_ColumnHeader,0))), "")</f>
        <v>7135</v>
      </c>
      <c r="I21" s="1045">
        <f>IFERROR(IFERROR(IFERROR(INDEX(MO_RIS_Reported_OperatingIncome_NONGAAP,0,MATCH(I$5,MO_Common_ColumnHeader,0)),IFERROR(INDEX(MO_RIS_EBIT_NONGAAP,0,MATCH(I$5,MO_Common_ColumnHeader,0)),INDEX(MO_RIS_EBIT_Adj,0,MATCH(I$5,MO_Common_ColumnHeader,0)))), INDEX(MO_RIS_EBIT,0,MATCH(I$5,MO_Common_ColumnHeader,0))), "")</f>
        <v>6946</v>
      </c>
      <c r="J21" s="1045">
        <f>IFERROR(IFERROR(IFERROR(INDEX(MO_RIS_Reported_OperatingIncome_NONGAAP,0,MATCH(J$5,MO_Common_ColumnHeader,0)),IFERROR(INDEX(MO_RIS_EBIT_NONGAAP,0,MATCH(J$5,MO_Common_ColumnHeader,0)),INDEX(MO_RIS_EBIT_Adj,0,MATCH(J$5,MO_Common_ColumnHeader,0)))), INDEX(MO_RIS_EBIT,0,MATCH(J$5,MO_Common_ColumnHeader,0))), "")</f>
        <v>7223</v>
      </c>
      <c r="K21" s="1045">
        <f>IFERROR(IFERROR(IFERROR(INDEX(MO_RIS_Reported_OperatingIncome_NONGAAP,0,MATCH(K$5,MO_Common_ColumnHeader,0)),IFERROR(INDEX(MO_RIS_EBIT_NONGAAP,0,MATCH(K$5,MO_Common_ColumnHeader,0)),INDEX(MO_RIS_EBIT_Adj,0,MATCH(K$5,MO_Common_ColumnHeader,0)))), INDEX(MO_RIS_EBIT,0,MATCH(K$5,MO_Common_ColumnHeader,0))), "")</f>
        <v>7692</v>
      </c>
      <c r="L21" s="1045">
        <f>IFERROR(IFERROR(IFERROR(INDEX(MO_RIS_Reported_OperatingIncome_NONGAAP,0,MATCH(L$5,MO_Common_ColumnHeader,0)),IFERROR(INDEX(MO_RIS_EBIT_NONGAAP,0,MATCH(L$5,MO_Common_ColumnHeader,0)),INDEX(MO_RIS_EBIT_Adj,0,MATCH(L$5,MO_Common_ColumnHeader,0)))), INDEX(MO_RIS_EBIT,0,MATCH(L$5,MO_Common_ColumnHeader,0))), "")</f>
        <v>8104</v>
      </c>
      <c r="M21" s="1045">
        <f>IFERROR(IFERROR(IFERROR(INDEX(MO_RIS_Reported_OperatingIncome_NONGAAP,0,MATCH(M$5,MO_Common_ColumnHeader,0)),IFERROR(INDEX(MO_RIS_EBIT_NONGAAP,0,MATCH(M$5,MO_Common_ColumnHeader,0)),INDEX(MO_RIS_EBIT_Adj,0,MATCH(M$5,MO_Common_ColumnHeader,0)))), INDEX(MO_RIS_EBIT,0,MATCH(M$5,MO_Common_ColumnHeader,0))), "")</f>
        <v>6822</v>
      </c>
      <c r="N21" s="1065">
        <f>IFERROR(IFERROR(IFERROR(INDEX(MO_RIS_Reported_OperatingIncome_NONGAAP,0,MATCH(N$5,MO_Common_ColumnHeader,0)),IFERROR(INDEX(MO_RIS_EBIT_NONGAAP,0,MATCH(N$5,MO_Common_ColumnHeader,0)),INDEX(MO_RIS_EBIT_Adj,0,MATCH(N$5,MO_Common_ColumnHeader,0)))), INDEX(MO_RIS_EBIT,0,MATCH(N$5,MO_Common_ColumnHeader,0))), "")</f>
        <v>6844</v>
      </c>
      <c r="O21" s="1045">
        <f>IFERROR(IFERROR(IFERROR(INDEX(MO_RIS_Reported_OperatingIncome_NONGAAP,0,MATCH(O$5,MO_Common_ColumnHeader,0)),IFERROR(INDEX(MO_RIS_EBIT_NONGAAP,0,MATCH(O$5,MO_Common_ColumnHeader,0)),INDEX(MO_RIS_EBIT_Adj,0,MATCH(O$5,MO_Common_ColumnHeader,0)))), INDEX(MO_RIS_EBIT,0,MATCH(O$5,MO_Common_ColumnHeader,0))), "")</f>
        <v>7867.7317612000006</v>
      </c>
      <c r="P21" s="1045">
        <f>IFERROR(IFERROR(IFERROR(INDEX(MO_RIS_Reported_OperatingIncome_NONGAAP,0,MATCH(P$5,MO_Common_ColumnHeader,0)),IFERROR(INDEX(MO_RIS_EBIT_NONGAAP,0,MATCH(P$5,MO_Common_ColumnHeader,0)),INDEX(MO_RIS_EBIT_Adj,0,MATCH(P$5,MO_Common_ColumnHeader,0)))), INDEX(MO_RIS_EBIT,0,MATCH(P$5,MO_Common_ColumnHeader,0))), "")</f>
        <v>8691.7012873560016</v>
      </c>
      <c r="Q21" s="1045">
        <f>IFERROR(IFERROR(IFERROR(INDEX(MO_RIS_Reported_OperatingIncome_NONGAAP,0,MATCH(Q$5,MO_Common_ColumnHeader,0)),IFERROR(INDEX(MO_RIS_EBIT_NONGAAP,0,MATCH(Q$5,MO_Common_ColumnHeader,0)),INDEX(MO_RIS_EBIT_Adj,0,MATCH(Q$5,MO_Common_ColumnHeader,0)))), INDEX(MO_RIS_EBIT,0,MATCH(Q$5,MO_Common_ColumnHeader,0))), "")</f>
        <v>9495.5891532131791</v>
      </c>
      <c r="R21" s="1045">
        <f>IFERROR(IFERROR(IFERROR(INDEX(MO_RIS_Reported_OperatingIncome_NONGAAP,0,MATCH(R$5,MO_Common_ColumnHeader,0)),IFERROR(INDEX(MO_RIS_EBIT_NONGAAP,0,MATCH(R$5,MO_Common_ColumnHeader,0)),INDEX(MO_RIS_EBIT_Adj,0,MATCH(R$5,MO_Common_ColumnHeader,0)))), INDEX(MO_RIS_EBIT,0,MATCH(R$5,MO_Common_ColumnHeader,0))), "")</f>
        <v>10367.758610940777</v>
      </c>
      <c r="S21" s="1045">
        <f>IFERROR(IFERROR(IFERROR(INDEX(MO_RIS_Reported_OperatingIncome_NONGAAP,0,MATCH(S$5,MO_Common_ColumnHeader,0)),IFERROR(INDEX(MO_RIS_EBIT_NONGAAP,0,MATCH(S$5,MO_Common_ColumnHeader,0)),INDEX(MO_RIS_EBIT_Adj,0,MATCH(S$5,MO_Common_ColumnHeader,0)))), INDEX(MO_RIS_EBIT,0,MATCH(S$5,MO_Common_ColumnHeader,0))), "")</f>
        <v>11313.838469852113</v>
      </c>
      <c r="T21" s="1048"/>
      <c r="U21" s="1045">
        <f>IFERROR(IFERROR(IFERROR(IFERROR(INDEX(MO_RIS_Reported_OperatingIncome_NONGAAP,0,MATCH(AG$2,MO_Common_ColumnHeader,0)),IFERROR(INDEX(MO_RIS_EBIT_NONGAAP,0,MATCH(AG$2,MO_Common_ColumnHeader,0)),INDEX(MO_RIS_EBIT_Adj,0,MATCH(AG$2,MO_Common_ColumnHeader,0)))), INDEX(MO_RIS_EBIT,0,MATCH(AG$2,MO_Common_ColumnHeader,0)))+IFERROR(IFERROR(INDEX(MO_RIS_Reported_OperatingIncome_NONGAAP,0,MATCH(AG$3,MO_Common_ColumnHeader,0)),IFERROR(INDEX(MO_RIS_EBIT_NONGAAP,0,MATCH(AG$3,MO_Common_ColumnHeader,0)),INDEX(MO_RIS_EBIT_Adj,0,MATCH(AG$3,MO_Common_ColumnHeader,0)))), INDEX(MO_RIS_EBIT,0,MATCH(AG$3,MO_Common_ColumnHeader,0))),
IFERROR(IFERROR(INDEX(MO_RIS_Reported_OperatingIncome_NONGAAP,0,MATCH(AA$2,MO_Common_ColumnHeader,0)),IFERROR(INDEX(MO_RIS_EBIT_NONGAAP,0,MATCH(AA$2,MO_Common_ColumnHeader,0)),INDEX(MO_RIS_EBIT_Adj,0,MATCH(AA$2,MO_Common_ColumnHeader,0)))), INDEX(MO_RIS_EBIT,0,MATCH(AA$2,MO_Common_ColumnHeader,0)))+IFERROR(IFERROR(INDEX(MO_RIS_Reported_OperatingIncome_NONGAAP,0,MATCH(AA$3,MO_Common_ColumnHeader,0)),IFERROR(INDEX(MO_RIS_EBIT_NONGAAP,0,MATCH(AA$3,MO_Common_ColumnHeader,0)),INDEX(MO_RIS_EBIT_Adj,0,MATCH(AA$3,MO_Common_ColumnHeader,0)))), INDEX(MO_RIS_EBIT,0,MATCH(AA$3,MO_Common_ColumnHeader,0)))+IFERROR(IFERROR(INDEX(MO_RIS_Reported_OperatingIncome_NONGAAP,0,MATCH(AA$4,MO_Common_ColumnHeader,0)),IFERROR(INDEX(MO_RIS_EBIT_NONGAAP,0,MATCH(AA$4,MO_Common_ColumnHeader,0)),INDEX(MO_RIS_EBIT_Adj,0,MATCH(AA$4,MO_Common_ColumnHeader,0)))), INDEX(MO_RIS_EBIT,0,MATCH(AA$4,MO_Common_ColumnHeader,0)))+IFERROR(IFERROR(INDEX(MO_RIS_Reported_OperatingIncome_NONGAAP,0,MATCH(AA$5,MO_Common_ColumnHeader,0)),IFERROR(INDEX(MO_RIS_EBIT_NONGAAP,0,MATCH(AA$5,MO_Common_ColumnHeader,0)),INDEX(MO_RIS_EBIT_Adj,0,MATCH(AA$5,MO_Common_ColumnHeader,0)))), INDEX(MO_RIS_EBIT,0,MATCH(AA$5,MO_Common_ColumnHeader,0)))), "")</f>
        <v>7160</v>
      </c>
      <c r="V21" s="1045">
        <f>IFERROR(IFERROR(IFERROR(IFERROR(INDEX(MO_RIS_Reported_OperatingIncome_NONGAAP,0,MATCH(AJ$2,MO_Common_ColumnHeader,0)),IFERROR(INDEX(MO_RIS_EBIT_NONGAAP,0,MATCH(AJ$2,MO_Common_ColumnHeader,0)),INDEX(MO_RIS_EBIT_Adj,0,MATCH(AJ$2,MO_Common_ColumnHeader,0)))), INDEX(MO_RIS_EBIT,0,MATCH(AJ$2,MO_Common_ColumnHeader,0)))+IFERROR(IFERROR(INDEX(MO_RIS_Reported_OperatingIncome_NONGAAP,0,MATCH(AJ$3,MO_Common_ColumnHeader,0)),IFERROR(INDEX(MO_RIS_EBIT_NONGAAP,0,MATCH(AJ$3,MO_Common_ColumnHeader,0)),INDEX(MO_RIS_EBIT_Adj,0,MATCH(AJ$3,MO_Common_ColumnHeader,0)))), INDEX(MO_RIS_EBIT,0,MATCH(AJ$3,MO_Common_ColumnHeader,0))),
IFERROR(IFERROR(INDEX(MO_RIS_Reported_OperatingIncome_NONGAAP,0,MATCH(AD$2,MO_Common_ColumnHeader,0)),IFERROR(INDEX(MO_RIS_EBIT_NONGAAP,0,MATCH(AD$2,MO_Common_ColumnHeader,0)),INDEX(MO_RIS_EBIT_Adj,0,MATCH(AD$2,MO_Common_ColumnHeader,0)))), INDEX(MO_RIS_EBIT,0,MATCH(AD$2,MO_Common_ColumnHeader,0)))+IFERROR(IFERROR(INDEX(MO_RIS_Reported_OperatingIncome_NONGAAP,0,MATCH(AD$3,MO_Common_ColumnHeader,0)),IFERROR(INDEX(MO_RIS_EBIT_NONGAAP,0,MATCH(AD$3,MO_Common_ColumnHeader,0)),INDEX(MO_RIS_EBIT_Adj,0,MATCH(AD$3,MO_Common_ColumnHeader,0)))), INDEX(MO_RIS_EBIT,0,MATCH(AD$3,MO_Common_ColumnHeader,0)))+IFERROR(IFERROR(INDEX(MO_RIS_Reported_OperatingIncome_NONGAAP,0,MATCH(AD$4,MO_Common_ColumnHeader,0)),IFERROR(INDEX(MO_RIS_EBIT_NONGAAP,0,MATCH(AD$4,MO_Common_ColumnHeader,0)),INDEX(MO_RIS_EBIT_Adj,0,MATCH(AD$4,MO_Common_ColumnHeader,0)))), INDEX(MO_RIS_EBIT,0,MATCH(AD$4,MO_Common_ColumnHeader,0)))+IFERROR(IFERROR(INDEX(MO_RIS_Reported_OperatingIncome_NONGAAP,0,MATCH(AD$5,MO_Common_ColumnHeader,0)),IFERROR(INDEX(MO_RIS_EBIT_NONGAAP,0,MATCH(AD$5,MO_Common_ColumnHeader,0)),INDEX(MO_RIS_EBIT_Adj,0,MATCH(AD$5,MO_Common_ColumnHeader,0)))), INDEX(MO_RIS_EBIT,0,MATCH(AD$5,MO_Common_ColumnHeader,0)))), "")</f>
        <v>8132.4778960000012</v>
      </c>
      <c r="W21" s="1048"/>
      <c r="X21" s="1049">
        <f ca="1">IFERROR(($N21/OFFSET($N21,0,-X$3))^(1/X$3)-1, "")</f>
        <v>1.4643561827075713E-2</v>
      </c>
    </row>
    <row r="22" spans="1:29" ht="14.5" customHeight="1" x14ac:dyDescent="0.35">
      <c r="B22" s="1023" t="s">
        <v>1102</v>
      </c>
      <c r="C22" s="1051"/>
      <c r="D22" s="1025"/>
      <c r="E22" s="1025">
        <f>IFERROR(E21/D21-1, "N/A")</f>
        <v>4.3933761405880345E-2</v>
      </c>
      <c r="F22" s="1025">
        <f>IFERROR(F21/E21-1, "N/A")</f>
        <v>4.9368727743606344E-2</v>
      </c>
      <c r="G22" s="1025">
        <f>IFERROR(G21/F21-1, "N/A")</f>
        <v>2.8227672373901003E-2</v>
      </c>
      <c r="H22" s="1025">
        <f>IFERROR(H21/G21-1, "N/A")</f>
        <v>7.0357035703570325E-2</v>
      </c>
      <c r="I22" s="1025">
        <f>IFERROR(I21/H21-1, "N/A")</f>
        <v>-2.6489138051857042E-2</v>
      </c>
      <c r="J22" s="1025">
        <f>IFERROR(J21/I21-1, "N/A")</f>
        <v>3.9879067088972153E-2</v>
      </c>
      <c r="K22" s="1025">
        <f>IFERROR(K21/J21-1, "N/A")</f>
        <v>6.4931468918731916E-2</v>
      </c>
      <c r="L22" s="1025">
        <f>IFERROR(L21/K21-1, "N/A")</f>
        <v>5.3562142485699349E-2</v>
      </c>
      <c r="M22" s="1025">
        <f>IFERROR(M21/L21-1, "N/A")</f>
        <v>-0.15819348469891414</v>
      </c>
      <c r="N22" s="1026">
        <f>IFERROR(N21/M21-1, "N/A")</f>
        <v>3.2248607446496713E-3</v>
      </c>
      <c r="O22" s="1025">
        <f>IFERROR(O21/N21-1, "N/A")</f>
        <v>0.14958091192285217</v>
      </c>
      <c r="P22" s="1025">
        <f>IFERROR(P21/O21-1, "N/A")</f>
        <v>0.10472770948031496</v>
      </c>
      <c r="Q22" s="1025">
        <f>IFERROR(Q21/P21-1, "N/A")</f>
        <v>9.2489127189243181E-2</v>
      </c>
      <c r="R22" s="1025">
        <f>IFERROR(R21/Q21-1, "N/A")</f>
        <v>9.1849957243829161E-2</v>
      </c>
      <c r="S22" s="1025">
        <f>IFERROR(S21/R21-1, "N/A")</f>
        <v>9.1252110934852082E-2</v>
      </c>
      <c r="T22" s="1054"/>
      <c r="U22" s="1054"/>
      <c r="V22" s="1054"/>
      <c r="W22" s="1054"/>
      <c r="X22" s="1054"/>
    </row>
    <row r="23" spans="1:29" s="1009" customFormat="1" ht="14.5" customHeight="1" x14ac:dyDescent="0.35">
      <c r="A23" s="1022"/>
      <c r="B23" s="1028" t="s">
        <v>1103</v>
      </c>
      <c r="C23" s="1024"/>
      <c r="D23" s="1025"/>
      <c r="E23" s="1025"/>
      <c r="F23" s="1025">
        <f>IFERROR(F22+E22, "N/A")</f>
        <v>9.3302489149486689E-2</v>
      </c>
      <c r="G23" s="1025">
        <f>IFERROR(G22+F22, "N/A")</f>
        <v>7.7596400117507347E-2</v>
      </c>
      <c r="H23" s="1025">
        <f>IFERROR(H22+G22, "N/A")</f>
        <v>9.8584708077471328E-2</v>
      </c>
      <c r="I23" s="1025">
        <f>IFERROR(I22+H22, "N/A")</f>
        <v>4.3867897651713283E-2</v>
      </c>
      <c r="J23" s="1025">
        <f>IFERROR(J22+I22, "N/A")</f>
        <v>1.3389929037115111E-2</v>
      </c>
      <c r="K23" s="1025">
        <f>IFERROR(K22+J22, "N/A")</f>
        <v>0.10481053600770407</v>
      </c>
      <c r="L23" s="1025">
        <f>IFERROR(L22+K22, "N/A")</f>
        <v>0.11849361140443126</v>
      </c>
      <c r="M23" s="1025">
        <f>IFERROR(M22+L22, "N/A")</f>
        <v>-0.1046313422132148</v>
      </c>
      <c r="N23" s="1026">
        <f>IFERROR(N22+M22, "N/A")</f>
        <v>-0.15496862395426447</v>
      </c>
      <c r="O23" s="1025">
        <f>IFERROR(O22+N22, "N/A")</f>
        <v>0.15280577266750184</v>
      </c>
      <c r="P23" s="1025">
        <f>IFERROR(P22+O22, "N/A")</f>
        <v>0.25430862140316712</v>
      </c>
      <c r="Q23" s="1025">
        <f>IFERROR(Q22+P22, "N/A")</f>
        <v>0.19721683666955814</v>
      </c>
      <c r="R23" s="1025">
        <f>IFERROR(R22+Q22, "N/A")</f>
        <v>0.18433908443307234</v>
      </c>
      <c r="S23" s="1025">
        <f>IFERROR(S22+R22, "N/A")</f>
        <v>0.18310206817868124</v>
      </c>
      <c r="T23" s="1027"/>
      <c r="U23" s="1027"/>
      <c r="V23" s="1027"/>
      <c r="W23" s="1027"/>
      <c r="X23" s="1027"/>
      <c r="Y23" s="996"/>
      <c r="Z23" s="996"/>
      <c r="AA23" s="987"/>
      <c r="AB23" s="987"/>
      <c r="AC23" s="996"/>
    </row>
    <row r="24" spans="1:29" s="1009" customFormat="1" ht="14.5" customHeight="1" x14ac:dyDescent="0.35">
      <c r="A24" s="1022"/>
      <c r="B24" s="1028" t="s">
        <v>1104</v>
      </c>
      <c r="C24" s="1024"/>
      <c r="D24" s="1025"/>
      <c r="E24" s="1025"/>
      <c r="F24" s="1025"/>
      <c r="G24" s="1025">
        <f>IFERROR(G22+F22+E22, "N/A")</f>
        <v>0.12153016152338769</v>
      </c>
      <c r="H24" s="1025">
        <f>IFERROR(H22+G22+F22, "N/A")</f>
        <v>0.14795343582107767</v>
      </c>
      <c r="I24" s="1025">
        <f>IFERROR(I22+H22+G22, "N/A")</f>
        <v>7.2095570025614286E-2</v>
      </c>
      <c r="J24" s="1025">
        <f>IFERROR(J22+I22+H22, "N/A")</f>
        <v>8.3746964740685437E-2</v>
      </c>
      <c r="K24" s="1025">
        <f>IFERROR(K22+J22+I22, "N/A")</f>
        <v>7.8321397955847027E-2</v>
      </c>
      <c r="L24" s="1025">
        <f>IFERROR(L22+K22+J22, "N/A")</f>
        <v>0.15837267849340342</v>
      </c>
      <c r="M24" s="1025">
        <f>IFERROR(M22+L22+K22, "N/A")</f>
        <v>-3.9699873294482879E-2</v>
      </c>
      <c r="N24" s="1026">
        <f>IFERROR(N22+M22+L22, "N/A")</f>
        <v>-0.10140648146856512</v>
      </c>
      <c r="O24" s="1025">
        <f>IFERROR(O22+N22+M22, "N/A")</f>
        <v>-5.3877120314123061E-3</v>
      </c>
      <c r="P24" s="1025">
        <f>IFERROR(P22+O22+N22, "N/A")</f>
        <v>0.25753348214781679</v>
      </c>
      <c r="Q24" s="1025">
        <f>IFERROR(Q22+P22+O22, "N/A")</f>
        <v>0.3467977485924103</v>
      </c>
      <c r="R24" s="1025">
        <f>IFERROR(R22+Q22+P22, "N/A")</f>
        <v>0.2890667939133873</v>
      </c>
      <c r="S24" s="1025">
        <f>IFERROR(S22+R22+Q22, "N/A")</f>
        <v>0.27559119536792442</v>
      </c>
      <c r="T24" s="1027"/>
      <c r="U24" s="1027"/>
      <c r="V24" s="1027"/>
      <c r="W24" s="1027"/>
      <c r="X24" s="1027"/>
      <c r="Y24" s="996"/>
      <c r="Z24" s="996"/>
      <c r="AA24" s="990"/>
      <c r="AB24" s="990"/>
      <c r="AC24" s="996"/>
    </row>
    <row r="25" spans="1:29" ht="14.5" customHeight="1" x14ac:dyDescent="0.35">
      <c r="B25" s="1023" t="s">
        <v>1105</v>
      </c>
      <c r="C25" s="1051"/>
      <c r="D25" s="1025">
        <f>IFERROR(D21/D$7, "N/A")</f>
        <v>0.22196384367264271</v>
      </c>
      <c r="E25" s="1025">
        <f>IFERROR(E21/E$7, "N/A")</f>
        <v>0.20863868157103779</v>
      </c>
      <c r="F25" s="1025">
        <f>IFERROR(F21/F$7, "N/A")</f>
        <v>0.21679373996789728</v>
      </c>
      <c r="G25" s="1025">
        <f>IFERROR(G21/G$7, "N/A")</f>
        <v>0.21593080884972951</v>
      </c>
      <c r="H25" s="1025">
        <f>IFERROR(H21/H$7, "N/A")</f>
        <v>0.2242229973916596</v>
      </c>
      <c r="I25" s="1025">
        <f>IFERROR(I21/I$7, "N/A")</f>
        <v>0.22943780141375439</v>
      </c>
      <c r="J25" s="1025">
        <f>IFERROR(J21/J$7, "N/A")</f>
        <v>0.23989504799229466</v>
      </c>
      <c r="K25" s="1025">
        <f>IFERROR(K21/K$7, "N/A")</f>
        <v>0.24297943582777901</v>
      </c>
      <c r="L25" s="1025">
        <f>IFERROR(L21/L$7, "N/A")</f>
        <v>0.24733709751258964</v>
      </c>
      <c r="M25" s="1025">
        <f>IFERROR(M21/M$7, "N/A")</f>
        <v>0.21228528752800596</v>
      </c>
      <c r="N25" s="1026">
        <f>IFERROR(N21/N$7, "N/A")</f>
        <v>0.21265224956500126</v>
      </c>
      <c r="O25" s="1025">
        <f>IFERROR(O21/O$7, "N/A")</f>
        <v>0.22973398091480912</v>
      </c>
      <c r="P25" s="1025">
        <f>IFERROR(P21/P$7, "N/A")</f>
        <v>0.23806340899030184</v>
      </c>
      <c r="Q25" s="1025">
        <f>IFERROR(Q21/Q$7, "N/A")</f>
        <v>0.24435185278655866</v>
      </c>
      <c r="R25" s="1025">
        <f>IFERROR(R21/R$7, "N/A")</f>
        <v>0.25061997821256116</v>
      </c>
      <c r="S25" s="1025">
        <f>IFERROR(S21/S$7, "N/A")</f>
        <v>0.25686762898812343</v>
      </c>
      <c r="T25" s="1048"/>
      <c r="U25" s="1025">
        <f>IFERROR(U21/U$7, "N/A")</f>
        <v>0.21723300970873785</v>
      </c>
      <c r="V25" s="1025">
        <f>IFERROR(V21/V$7, "N/A")</f>
        <v>0.23315375392970503</v>
      </c>
      <c r="W25" s="1048"/>
      <c r="X25" s="1025">
        <f ca="1">IFERROR(AVERAGE($N25:INDIRECT(CONCATENATE(SUBSTITUTE(ADDRESS(1,COLUMN(OFFSET($N25,0,-(X$3-1))),4),"1",""),ROW(OFFSET($N25,0,-(X$3-1)))))), "N/A")</f>
        <v>0.22501731476197495</v>
      </c>
    </row>
    <row r="26" spans="1:29" s="1014" customFormat="1" ht="14.5" customHeight="1" x14ac:dyDescent="0.35">
      <c r="A26" s="1050"/>
      <c r="B26" s="1023" t="s">
        <v>1106</v>
      </c>
      <c r="C26" s="1051"/>
      <c r="D26" s="1025"/>
      <c r="E26" s="1025"/>
      <c r="F26" s="1025">
        <f>IFERROR((F21-E21)/(F7-E7), "N/A")</f>
        <v>1.0409556313993173</v>
      </c>
      <c r="G26" s="1025">
        <f>IFERROR((G21-F21)/(G7-F7), "N/A")</f>
        <v>0.18924508790072389</v>
      </c>
      <c r="H26" s="1025">
        <f>IFERROR((H21-G21)/(H7-G7), "N/A")</f>
        <v>0.49368421052631578</v>
      </c>
      <c r="I26" s="1025">
        <f>IFERROR((I21-H21)/(I7-H7), "N/A")</f>
        <v>0.12217194570135746</v>
      </c>
      <c r="J26" s="1025">
        <f>IFERROR((J21-I21)/(J7-I7), "N/A")</f>
        <v>-1.6787878787878787</v>
      </c>
      <c r="K26" s="1025">
        <f>IFERROR((K21-J21)/(K7-J7), "N/A")</f>
        <v>0.30297157622739018</v>
      </c>
      <c r="L26" s="1025">
        <f>IFERROR((L21-K21)/(L7-K7), "N/A")</f>
        <v>0.37184115523465705</v>
      </c>
      <c r="M26" s="1025">
        <f>IFERROR((M21-L21)/(M7-L7), "N/A")</f>
        <v>2.0381558028616853</v>
      </c>
      <c r="N26" s="1026">
        <f>IFERROR((N21-M21)/(N7-M7), "N/A")</f>
        <v>0.45833333333333331</v>
      </c>
      <c r="O26" s="1025">
        <f>IFERROR((O21-N21)/(O7-N7), "N/A")</f>
        <v>0.49620086879231279</v>
      </c>
      <c r="P26" s="1025">
        <f>IFERROR((P21-O21)/(P7-O7), "N/A")</f>
        <v>0.36412324751533665</v>
      </c>
      <c r="Q26" s="1025">
        <f>IFERROR((Q21-P21)/(Q7-P7), "N/A")</f>
        <v>0.34203838775071627</v>
      </c>
      <c r="R26" s="1025">
        <f>IFERROR((R21-Q21)/(R7-Q7), "N/A")</f>
        <v>0.34773657510820571</v>
      </c>
      <c r="S26" s="1025">
        <f>IFERROR((S21-R21)/(S7-R7), "N/A")</f>
        <v>0.35341581485082491</v>
      </c>
      <c r="T26" s="1048"/>
      <c r="U26" s="1048"/>
      <c r="V26" s="1048"/>
      <c r="W26" s="1048"/>
      <c r="X26" s="1048"/>
      <c r="AA26" s="990"/>
      <c r="AB26" s="990"/>
    </row>
    <row r="27" spans="1:29" s="1014" customFormat="1" ht="14.5" customHeight="1" x14ac:dyDescent="0.35">
      <c r="A27" s="1050"/>
      <c r="B27" s="1023"/>
      <c r="C27" s="1051"/>
      <c r="D27" s="1025"/>
      <c r="E27" s="1025"/>
      <c r="F27" s="1025"/>
      <c r="G27" s="1025"/>
      <c r="H27" s="1025"/>
      <c r="I27" s="1025"/>
      <c r="J27" s="1025"/>
      <c r="K27" s="1025"/>
      <c r="L27" s="1025"/>
      <c r="M27" s="1025"/>
      <c r="N27" s="1026"/>
      <c r="O27" s="1025"/>
      <c r="P27" s="1025"/>
      <c r="Q27" s="1025"/>
      <c r="R27" s="1025"/>
      <c r="S27" s="1025"/>
      <c r="T27" s="1048"/>
      <c r="U27" s="1048"/>
      <c r="V27" s="1048"/>
      <c r="W27" s="1048"/>
      <c r="X27" s="1048"/>
      <c r="AA27" s="990"/>
      <c r="AB27" s="990"/>
    </row>
    <row r="28" spans="1:29" ht="14.5" customHeight="1" x14ac:dyDescent="0.35">
      <c r="B28" s="1064" t="str">
        <f t="array" ref="B28">IFERROR(IFERROR(INDEX(MO_RIS_EBT_NONGAAP,0,COLUMN(MO_Common_Column_A)),IFERROR(INDEX(MO_RIS_EBT_Adj,0,COLUMN(MO_Common_Column_A)),INDEX(MO_RIS_EBT,0,COLUMN(MO_Common_Column_A)))), "EBT - N/A")</f>
        <v>EBT</v>
      </c>
      <c r="C28" s="1064"/>
      <c r="D28" s="1045">
        <f>IFERROR(IFERROR(INDEX(MO_RIS_EBT_NONGAAP,0,MATCH(D$5,MO_Common_ColumnHeader,0)),IFERROR(INDEX(MO_RIS_EBT_Adj,0,MATCH(D$5,MO_Common_ColumnHeader,0)),INDEX(MO_RIS_EBT,0,MATCH(D$5,MO_Common_ColumnHeader,0)))), "N/A")</f>
        <v>5755</v>
      </c>
      <c r="E28" s="1045">
        <f>IFERROR(IFERROR(INDEX(MO_RIS_EBT_NONGAAP,0,MATCH(E$5,MO_Common_ColumnHeader,0)),IFERROR(INDEX(MO_RIS_EBT_Adj,0,MATCH(E$5,MO_Common_ColumnHeader,0)),INDEX(MO_RIS_EBT,0,MATCH(E$5,MO_Common_ColumnHeader,0)))), "N/A")</f>
        <v>6031</v>
      </c>
      <c r="F28" s="1045">
        <f>IFERROR(IFERROR(INDEX(MO_RIS_EBT_NONGAAP,0,MATCH(F$5,MO_Common_ColumnHeader,0)),IFERROR(INDEX(MO_RIS_EBT_Adj,0,MATCH(F$5,MO_Common_ColumnHeader,0)),INDEX(MO_RIS_EBT,0,MATCH(F$5,MO_Common_ColumnHeader,0)))), "N/A")</f>
        <v>6351</v>
      </c>
      <c r="G28" s="1045">
        <f>IFERROR(IFERROR(INDEX(MO_RIS_EBT_NONGAAP,0,MATCH(G$5,MO_Common_ColumnHeader,0)),IFERROR(INDEX(MO_RIS_EBT_Adj,0,MATCH(G$5,MO_Common_ColumnHeader,0)),INDEX(MO_RIS_EBT,0,MATCH(G$5,MO_Common_ColumnHeader,0)))), "N/A")</f>
        <v>6562</v>
      </c>
      <c r="H28" s="1045">
        <f>IFERROR(IFERROR(INDEX(MO_RIS_EBT_NONGAAP,0,MATCH(H$5,MO_Common_ColumnHeader,0)),IFERROR(INDEX(MO_RIS_EBT_Adj,0,MATCH(H$5,MO_Common_ColumnHeader,0)),INDEX(MO_RIS_EBT,0,MATCH(H$5,MO_Common_ColumnHeader,0)))), "N/A")</f>
        <v>7026</v>
      </c>
      <c r="I28" s="1045">
        <f>IFERROR(IFERROR(INDEX(MO_RIS_EBT_NONGAAP,0,MATCH(I$5,MO_Common_ColumnHeader,0)),IFERROR(INDEX(MO_RIS_EBT_Adj,0,MATCH(I$5,MO_Common_ColumnHeader,0)),INDEX(MO_RIS_EBT,0,MATCH(I$5,MO_Common_ColumnHeader,0)))), "N/A")</f>
        <v>6823</v>
      </c>
      <c r="J28" s="1045">
        <f>IFERROR(IFERROR(INDEX(MO_RIS_EBT_NONGAAP,0,MATCH(J$5,MO_Common_ColumnHeader,0)),IFERROR(INDEX(MO_RIS_EBT_Adj,0,MATCH(J$5,MO_Common_ColumnHeader,0)),INDEX(MO_RIS_EBT,0,MATCH(J$5,MO_Common_ColumnHeader,0)))), "N/A")</f>
        <v>7053</v>
      </c>
      <c r="K28" s="1045">
        <f>IFERROR(IFERROR(INDEX(MO_RIS_EBT_NONGAAP,0,MATCH(K$5,MO_Common_ColumnHeader,0)),IFERROR(INDEX(MO_RIS_EBT_Adj,0,MATCH(K$5,MO_Common_ColumnHeader,0)),INDEX(MO_RIS_EBT,0,MATCH(K$5,MO_Common_ColumnHeader,0)))), "N/A")</f>
        <v>7548</v>
      </c>
      <c r="L28" s="1045">
        <f>IFERROR(IFERROR(INDEX(MO_RIS_EBT_NONGAAP,0,MATCH(L$5,MO_Common_ColumnHeader,0)),IFERROR(INDEX(MO_RIS_EBT_Adj,0,MATCH(L$5,MO_Common_ColumnHeader,0)),INDEX(MO_RIS_EBT,0,MATCH(L$5,MO_Common_ColumnHeader,0)))), "N/A")</f>
        <v>7000</v>
      </c>
      <c r="M28" s="1045">
        <f>IFERROR(IFERROR(INDEX(MO_RIS_EBT_NONGAAP,0,MATCH(M$5,MO_Common_ColumnHeader,0)),IFERROR(INDEX(MO_RIS_EBT_Adj,0,MATCH(M$5,MO_Common_ColumnHeader,0)),INDEX(MO_RIS_EBT,0,MATCH(M$5,MO_Common_ColumnHeader,0)))), "N/A")</f>
        <v>5712</v>
      </c>
      <c r="N28" s="1065">
        <f>IFERROR(IFERROR(INDEX(MO_RIS_EBT_NONGAAP,0,MATCH(N$5,MO_Common_ColumnHeader,0)),IFERROR(INDEX(MO_RIS_EBT_Adj,0,MATCH(N$5,MO_Common_ColumnHeader,0)),INDEX(MO_RIS_EBT,0,MATCH(N$5,MO_Common_ColumnHeader,0)))), "N/A")</f>
        <v>6711</v>
      </c>
      <c r="O28" s="1045">
        <f>IFERROR(IFERROR(INDEX(MO_RIS_EBT_NONGAAP,0,MATCH(O$5,MO_Common_ColumnHeader,0)),IFERROR(INDEX(MO_RIS_EBT_Adj,0,MATCH(O$5,MO_Common_ColumnHeader,0)),INDEX(MO_RIS_EBT,0,MATCH(O$5,MO_Common_ColumnHeader,0)))), "N/A")</f>
        <v>7443.4158760734954</v>
      </c>
      <c r="P28" s="1045">
        <f ca="1">IFERROR(IFERROR(INDEX(MO_RIS_EBT_NONGAAP,0,MATCH(P$5,MO_Common_ColumnHeader,0)),IFERROR(INDEX(MO_RIS_EBT_Adj,0,MATCH(P$5,MO_Common_ColumnHeader,0)),INDEX(MO_RIS_EBT,0,MATCH(P$5,MO_Common_ColumnHeader,0)))), "N/A")</f>
        <v>8197.0402648071358</v>
      </c>
      <c r="Q28" s="1045">
        <f ca="1">IFERROR(IFERROR(INDEX(MO_RIS_EBT_NONGAAP,0,MATCH(Q$5,MO_Common_ColumnHeader,0)),IFERROR(INDEX(MO_RIS_EBT_Adj,0,MATCH(Q$5,MO_Common_ColumnHeader,0)),INDEX(MO_RIS_EBT,0,MATCH(Q$5,MO_Common_ColumnHeader,0)))), "N/A")</f>
        <v>9005.0330929411248</v>
      </c>
      <c r="R28" s="1045">
        <f ca="1">IFERROR(IFERROR(INDEX(MO_RIS_EBT_NONGAAP,0,MATCH(R$5,MO_Common_ColumnHeader,0)),IFERROR(INDEX(MO_RIS_EBT_Adj,0,MATCH(R$5,MO_Common_ColumnHeader,0)),INDEX(MO_RIS_EBT,0,MATCH(R$5,MO_Common_ColumnHeader,0)))), "N/A")</f>
        <v>9886.6306200610743</v>
      </c>
      <c r="S28" s="1045">
        <f ca="1">IFERROR(IFERROR(INDEX(MO_RIS_EBT_NONGAAP,0,MATCH(S$5,MO_Common_ColumnHeader,0)),IFERROR(INDEX(MO_RIS_EBT_Adj,0,MATCH(S$5,MO_Common_ColumnHeader,0)),INDEX(MO_RIS_EBT,0,MATCH(S$5,MO_Common_ColumnHeader,0)))), "N/A")</f>
        <v>10846.443259108837</v>
      </c>
      <c r="T28" s="1048"/>
      <c r="U28" s="1045">
        <f>IFERROR(IFERROR(IFERROR(INDEX(MO_RIS_EBT_NONGAAP,0,MATCH(AG$2,MO_Common_ColumnHeader,0)),IFERROR(INDEX(MO_RIS_EBT_Adj,0,MATCH(AG$2,MO_Common_ColumnHeader,0)),INDEX(MO_RIS_EBT,0,MATCH(AG$2,MO_Common_ColumnHeader,0))))+IFERROR(INDEX(MO_RIS_EBT_NONGAAP,0,MATCH(AG$3,MO_Common_ColumnHeader,0)),IFERROR(INDEX(MO_RIS_EBT_Adj,0,MATCH(AG$3,MO_Common_ColumnHeader,0)),INDEX(MO_RIS_EBT,0,MATCH(AG$3,MO_Common_ColumnHeader,0)))),
IFERROR(INDEX(MO_RIS_EBT_NONGAAP,0,MATCH(AA$2,MO_Common_ColumnHeader,0)),IFERROR(INDEX(MO_RIS_EBT_Adj,0,MATCH(AA$2,MO_Common_ColumnHeader,0)),INDEX(MO_RIS_EBT,0,MATCH(AA$2,MO_Common_ColumnHeader,0))))+IFERROR(INDEX(MO_RIS_EBT_NONGAAP,0,MATCH(AA$3,MO_Common_ColumnHeader,0)),IFERROR(INDEX(MO_RIS_EBT_Adj,0,MATCH(AA$3,MO_Common_ColumnHeader,0)),INDEX(MO_RIS_EBT,0,MATCH(AA$3,MO_Common_ColumnHeader,0))))+IFERROR(INDEX(MO_RIS_EBT_NONGAAP,0,MATCH(AA$4,MO_Common_ColumnHeader,0)),IFERROR(INDEX(MO_RIS_EBT_Adj,0,MATCH(AA$4,MO_Common_ColumnHeader,0)),INDEX(MO_RIS_EBT,0,MATCH(AA$4,MO_Common_ColumnHeader,0))))+IFERROR(INDEX(MO_RIS_EBT_NONGAAP,0,MATCH(AA$5,MO_Common_ColumnHeader,0)),IFERROR(INDEX(MO_RIS_EBT_Adj,0,MATCH(AA$5,MO_Common_ColumnHeader,0)),INDEX(MO_RIS_EBT,0,MATCH(AA$5,MO_Common_ColumnHeader,0))))),"N/A")</f>
        <v>7089</v>
      </c>
      <c r="V28" s="1045">
        <f>IFERROR(IFERROR(IFERROR(INDEX(MO_RIS_EBT_NONGAAP,0,MATCH(AJ$2,MO_Common_ColumnHeader,0)),IFERROR(INDEX(MO_RIS_EBT_Adj,0,MATCH(AJ$2,MO_Common_ColumnHeader,0)),INDEX(MO_RIS_EBT,0,MATCH(AJ$2,MO_Common_ColumnHeader,0))))+IFERROR(INDEX(MO_RIS_EBT_NONGAAP,0,MATCH(AJ$3,MO_Common_ColumnHeader,0)),IFERROR(INDEX(MO_RIS_EBT_Adj,0,MATCH(AJ$3,MO_Common_ColumnHeader,0)),INDEX(MO_RIS_EBT,0,MATCH(AJ$3,MO_Common_ColumnHeader,0)))),
IFERROR(INDEX(MO_RIS_EBT_NONGAAP,0,MATCH(AD$2,MO_Common_ColumnHeader,0)),IFERROR(INDEX(MO_RIS_EBT_Adj,0,MATCH(AD$2,MO_Common_ColumnHeader,0)),INDEX(MO_RIS_EBT,0,MATCH(AD$2,MO_Common_ColumnHeader,0))))+IFERROR(INDEX(MO_RIS_EBT_NONGAAP,0,MATCH(AD$3,MO_Common_ColumnHeader,0)),IFERROR(INDEX(MO_RIS_EBT_Adj,0,MATCH(AD$3,MO_Common_ColumnHeader,0)),INDEX(MO_RIS_EBT,0,MATCH(AD$3,MO_Common_ColumnHeader,0))))+IFERROR(INDEX(MO_RIS_EBT_NONGAAP,0,MATCH(AD$4,MO_Common_ColumnHeader,0)),IFERROR(INDEX(MO_RIS_EBT_Adj,0,MATCH(AD$4,MO_Common_ColumnHeader,0)),INDEX(MO_RIS_EBT,0,MATCH(AD$4,MO_Common_ColumnHeader,0))))+IFERROR(INDEX(MO_RIS_EBT_NONGAAP,0,MATCH(AD$5,MO_Common_ColumnHeader,0)),IFERROR(INDEX(MO_RIS_EBT_Adj,0,MATCH(AD$5,MO_Common_ColumnHeader,0)),INDEX(MO_RIS_EBT,0,MATCH(AD$5,MO_Common_ColumnHeader,0))))),"N/A")</f>
        <v>7635.0082944731221</v>
      </c>
      <c r="W28" s="1048"/>
      <c r="X28" s="1049">
        <f ca="1">IFERROR(($N28/OFFSET($N28,0,-X$3))^(1/X$3)-1, "N/A")</f>
        <v>1.5486586208875552E-2</v>
      </c>
    </row>
    <row r="29" spans="1:29" ht="14.5" customHeight="1" x14ac:dyDescent="0.35">
      <c r="B29" s="1023" t="s">
        <v>1102</v>
      </c>
      <c r="C29" s="1051"/>
      <c r="D29" s="1025"/>
      <c r="E29" s="1025">
        <f>IFERROR(E28/D28-1, "N/A")</f>
        <v>4.7958297132927985E-2</v>
      </c>
      <c r="F29" s="1025">
        <f>IFERROR(F28/E28-1, "N/A")</f>
        <v>5.3059194163488588E-2</v>
      </c>
      <c r="G29" s="1025">
        <f>IFERROR(G28/F28-1, "N/A")</f>
        <v>3.3223114470162241E-2</v>
      </c>
      <c r="H29" s="1025">
        <f>IFERROR(H28/G28-1, "N/A")</f>
        <v>7.0710149344711981E-2</v>
      </c>
      <c r="I29" s="1025">
        <f>IFERROR(I28/H28-1, "N/A")</f>
        <v>-2.889268431539993E-2</v>
      </c>
      <c r="J29" s="1025">
        <f>IFERROR(J28/I28-1, "N/A")</f>
        <v>3.3709511944892245E-2</v>
      </c>
      <c r="K29" s="1025">
        <f>IFERROR(K28/J28-1, "N/A")</f>
        <v>7.0182900893236866E-2</v>
      </c>
      <c r="L29" s="1025">
        <f>IFERROR(L28/K28-1, "N/A")</f>
        <v>-7.2602013778484409E-2</v>
      </c>
      <c r="M29" s="1025">
        <f>IFERROR(M28/L28-1, "N/A")</f>
        <v>-0.18400000000000005</v>
      </c>
      <c r="N29" s="1026">
        <f>IFERROR(N28/M28-1, "N/A")</f>
        <v>0.17489495798319332</v>
      </c>
      <c r="O29" s="1025">
        <f>IFERROR(O28/N28-1, "N/A")</f>
        <v>0.10913662286894588</v>
      </c>
      <c r="P29" s="1025">
        <f ca="1">IFERROR(P28/O28-1, "N/A")</f>
        <v>0.10124711574374468</v>
      </c>
      <c r="Q29" s="1025">
        <f ca="1">IFERROR(Q28/P28-1, "N/A")</f>
        <v>9.8571289396124362E-2</v>
      </c>
      <c r="R29" s="1025">
        <f ca="1">IFERROR(R28/Q28-1, "N/A")</f>
        <v>9.7900531627253873E-2</v>
      </c>
      <c r="S29" s="1025">
        <f ca="1">IFERROR(S28/R28-1, "N/A")</f>
        <v>9.7081875103151472E-2</v>
      </c>
      <c r="T29" s="1054"/>
      <c r="U29" s="1054"/>
      <c r="V29" s="1054"/>
      <c r="W29" s="1054"/>
      <c r="X29" s="1054"/>
    </row>
    <row r="30" spans="1:29" s="1009" customFormat="1" ht="14.5" customHeight="1" x14ac:dyDescent="0.35">
      <c r="A30" s="1022"/>
      <c r="B30" s="1028" t="s">
        <v>1103</v>
      </c>
      <c r="C30" s="1024"/>
      <c r="D30" s="1025"/>
      <c r="E30" s="1025"/>
      <c r="F30" s="1025">
        <f>IFERROR(F29+E29, "N/A")</f>
        <v>0.10101749129641657</v>
      </c>
      <c r="G30" s="1025">
        <f>IFERROR(G29+F29, "N/A")</f>
        <v>8.6282308633650828E-2</v>
      </c>
      <c r="H30" s="1025">
        <f>IFERROR(H29+G29, "N/A")</f>
        <v>0.10393326381487422</v>
      </c>
      <c r="I30" s="1025">
        <f>IFERROR(I29+H29, "N/A")</f>
        <v>4.1817465029312051E-2</v>
      </c>
      <c r="J30" s="1025">
        <f>IFERROR(J29+I29, "N/A")</f>
        <v>4.8168276294923151E-3</v>
      </c>
      <c r="K30" s="1025">
        <f>IFERROR(K29+J29, "N/A")</f>
        <v>0.10389241283812911</v>
      </c>
      <c r="L30" s="1025">
        <f>IFERROR(L29+K29, "N/A")</f>
        <v>-2.419112885247543E-3</v>
      </c>
      <c r="M30" s="1025">
        <f>IFERROR(M29+L29, "N/A")</f>
        <v>-0.25660201377848446</v>
      </c>
      <c r="N30" s="1026">
        <f>IFERROR(N29+M29, "N/A")</f>
        <v>-9.1050420168067303E-3</v>
      </c>
      <c r="O30" s="1025">
        <f>IFERROR(O29+N29, "N/A")</f>
        <v>0.2840315808521392</v>
      </c>
      <c r="P30" s="1025">
        <f ca="1">IFERROR(P29+O29, "N/A")</f>
        <v>0.21038373861269055</v>
      </c>
      <c r="Q30" s="1025">
        <f ca="1">IFERROR(Q29+P29, "N/A")</f>
        <v>0.19981840513986904</v>
      </c>
      <c r="R30" s="1025">
        <f ca="1">IFERROR(R29+Q29, "N/A")</f>
        <v>0.19647182102337823</v>
      </c>
      <c r="S30" s="1025">
        <f ca="1">IFERROR(S29+R29, "N/A")</f>
        <v>0.19498240673040534</v>
      </c>
      <c r="T30" s="1027"/>
      <c r="U30" s="1027"/>
      <c r="V30" s="1027"/>
      <c r="W30" s="1027"/>
      <c r="X30" s="1027"/>
      <c r="Y30" s="996"/>
      <c r="Z30" s="996"/>
      <c r="AA30" s="990"/>
      <c r="AB30" s="990"/>
      <c r="AC30" s="996"/>
    </row>
    <row r="31" spans="1:29" s="1009" customFormat="1" ht="14.5" customHeight="1" x14ac:dyDescent="0.35">
      <c r="A31" s="1022"/>
      <c r="B31" s="1028" t="s">
        <v>1104</v>
      </c>
      <c r="C31" s="1024"/>
      <c r="D31" s="1025"/>
      <c r="E31" s="1025"/>
      <c r="F31" s="1025"/>
      <c r="G31" s="1025">
        <f>IFERROR(G29+F29+E29, "N/A")</f>
        <v>0.13424060576657881</v>
      </c>
      <c r="H31" s="1025">
        <f>IFERROR(H29+G29+F29, "N/A")</f>
        <v>0.15699245797836281</v>
      </c>
      <c r="I31" s="1025">
        <f>IFERROR(I29+H29+G29, "N/A")</f>
        <v>7.5040579499474291E-2</v>
      </c>
      <c r="J31" s="1025">
        <f>IFERROR(J29+I29+H29, "N/A")</f>
        <v>7.5526976974204296E-2</v>
      </c>
      <c r="K31" s="1025">
        <f>IFERROR(K29+J29+I29, "N/A")</f>
        <v>7.4999728522729181E-2</v>
      </c>
      <c r="L31" s="1025">
        <f>IFERROR(L29+K29+J29, "N/A")</f>
        <v>3.1290399059644702E-2</v>
      </c>
      <c r="M31" s="1025">
        <f>IFERROR(M29+L29+K29, "N/A")</f>
        <v>-0.1864191128852476</v>
      </c>
      <c r="N31" s="1026">
        <f>IFERROR(N29+M29+L29, "N/A")</f>
        <v>-8.1707055795291139E-2</v>
      </c>
      <c r="O31" s="1025">
        <f>IFERROR(O29+N29+M29, "N/A")</f>
        <v>0.10003158085213915</v>
      </c>
      <c r="P31" s="1025">
        <f ca="1">IFERROR(P29+O29+N29, "N/A")</f>
        <v>0.38527869659588387</v>
      </c>
      <c r="Q31" s="1025">
        <f ca="1">IFERROR(Q29+P29+O29, "N/A")</f>
        <v>0.30895502800881491</v>
      </c>
      <c r="R31" s="1025">
        <f ca="1">IFERROR(R29+Q29+P29, "N/A")</f>
        <v>0.29771893676712291</v>
      </c>
      <c r="S31" s="1025">
        <f ca="1">IFERROR(S29+R29+Q29, "N/A")</f>
        <v>0.29355369612652971</v>
      </c>
      <c r="T31" s="1027"/>
      <c r="U31" s="1027"/>
      <c r="V31" s="1027"/>
      <c r="W31" s="1027"/>
      <c r="X31" s="1027"/>
      <c r="Y31" s="996"/>
      <c r="Z31" s="996"/>
      <c r="AA31" s="990"/>
      <c r="AB31" s="990"/>
      <c r="AC31" s="996"/>
    </row>
    <row r="32" spans="1:29" ht="14.5" customHeight="1" x14ac:dyDescent="0.35">
      <c r="B32" s="1023" t="s">
        <v>1105</v>
      </c>
      <c r="C32" s="1051"/>
      <c r="D32" s="1025">
        <f>IFERROR(D28/D$7, "N/A")</f>
        <v>0.21585027379791463</v>
      </c>
      <c r="E32" s="1025">
        <f>IFERROR(E28/E$7, "N/A")</f>
        <v>0.20367431022255242</v>
      </c>
      <c r="F32" s="1025">
        <f>IFERROR(F28/F$7, "N/A")</f>
        <v>0.21237961476725523</v>
      </c>
      <c r="G32" s="1025">
        <f>IFERROR(G28/G$7, "N/A")</f>
        <v>0.21256195134592337</v>
      </c>
      <c r="H32" s="1025">
        <f>IFERROR(H28/H$7, "N/A")</f>
        <v>0.22079758649948147</v>
      </c>
      <c r="I32" s="1025">
        <f>IFERROR(I28/I$7, "N/A")</f>
        <v>0.22537490916297814</v>
      </c>
      <c r="J32" s="1025">
        <f>IFERROR(J28/J$7, "N/A")</f>
        <v>0.23424889567903284</v>
      </c>
      <c r="K32" s="1025">
        <f>IFERROR(K28/K$7, "N/A")</f>
        <v>0.23843067883880342</v>
      </c>
      <c r="L32" s="1025">
        <f>IFERROR(L28/L$7, "N/A")</f>
        <v>0.21364260643979857</v>
      </c>
      <c r="M32" s="1025">
        <f>IFERROR(M28/M$7, "N/A")</f>
        <v>0.17774458551157579</v>
      </c>
      <c r="N32" s="1026">
        <f>IFERROR(N28/N$7, "N/A")</f>
        <v>0.20851976137211037</v>
      </c>
      <c r="O32" s="1025">
        <f>IFERROR(O28/O$7, "N/A")</f>
        <v>0.21734416128010475</v>
      </c>
      <c r="P32" s="1025">
        <f ca="1">IFERROR(P28/P$7, "N/A")</f>
        <v>0.22451477386935947</v>
      </c>
      <c r="Q32" s="1025">
        <f ca="1">IFERROR(Q28/Q$7, "N/A")</f>
        <v>0.2317282777467109</v>
      </c>
      <c r="R32" s="1025">
        <f ca="1">IFERROR(R28/R$7, "N/A")</f>
        <v>0.23898966436010713</v>
      </c>
      <c r="S32" s="1025">
        <f ca="1">IFERROR(S28/S$7, "N/A")</f>
        <v>0.24625596081697629</v>
      </c>
      <c r="T32" s="1048"/>
      <c r="U32" s="1025">
        <f>IFERROR(U28/U$7, "N/A")</f>
        <v>0.21507888349514562</v>
      </c>
      <c r="V32" s="1025">
        <f>IFERROR(V28/V$7, "N/A")</f>
        <v>0.21889156883124258</v>
      </c>
      <c r="W32" s="1048"/>
      <c r="X32" s="1025">
        <f ca="1">IFERROR(AVERAGE($N32:INDIRECT(CONCATENATE(SUBSTITUTE(ADDRESS(1,COLUMN(OFFSET($N32,0,-(X$3-1))),4),"1",""),ROW(OFFSET($N32,0,-(X$3-1)))))), "N/A")</f>
        <v>0.21473748998395115</v>
      </c>
    </row>
    <row r="33" spans="1:29" ht="14.5" customHeight="1" x14ac:dyDescent="0.35">
      <c r="B33" s="1023"/>
      <c r="C33" s="1051"/>
      <c r="D33" s="1025"/>
      <c r="E33" s="1025"/>
      <c r="F33" s="1025"/>
      <c r="G33" s="1025"/>
      <c r="H33" s="1025"/>
      <c r="I33" s="1025"/>
      <c r="J33" s="1025"/>
      <c r="K33" s="1025"/>
      <c r="L33" s="1025"/>
      <c r="M33" s="1025"/>
      <c r="N33" s="1026"/>
      <c r="O33" s="1025"/>
      <c r="P33" s="1025"/>
      <c r="Q33" s="1025"/>
      <c r="R33" s="1025"/>
      <c r="S33" s="1025"/>
      <c r="T33" s="1048"/>
      <c r="U33" s="1048"/>
      <c r="V33" s="1048"/>
      <c r="W33" s="1048"/>
      <c r="X33" s="1048"/>
      <c r="AA33" s="1060"/>
      <c r="AB33" s="1060"/>
    </row>
    <row r="34" spans="1:29" ht="14.5" customHeight="1" x14ac:dyDescent="0.35">
      <c r="B34" s="1064" t="str">
        <f>IFERROR(INDEX(MO_RIS_Tax_NONGAAP,0,COLUMN(MO_Common_Column_A)),"Taxes")</f>
        <v>Taxes</v>
      </c>
      <c r="C34" s="1064"/>
      <c r="D34" s="1066">
        <f t="array" ref="D34">IFERROR(IFERROR(INDEX(MO_RIS_Tax_NONGAAP,0,MATCH(D$5,MO_Common_ColumnHeader,0)),INDEX(MO_RIS_Tax_Current,0,MATCH(D$5,MO_Common_ColumnHeader,0))+INDEX(MO_RIS_Tax_Deferred,0,MATCH(D$5,MO_Common_ColumnHeader,0))), 0)</f>
        <v>1592</v>
      </c>
      <c r="E34" s="1066">
        <f t="array" ref="E34">IFERROR(IFERROR(INDEX(MO_RIS_Tax_NONGAAP,0,MATCH(E$5,MO_Common_ColumnHeader,0)),INDEX(MO_RIS_Tax_Current,0,MATCH(E$5,MO_Common_ColumnHeader,0))+INDEX(MO_RIS_Tax_Deferred,0,MATCH(E$5,MO_Common_ColumnHeader,0))), 0)</f>
        <v>1674</v>
      </c>
      <c r="F34" s="1045">
        <f t="array" ref="F34">IFERROR(IFERROR(INDEX(MO_RIS_Tax_NONGAAP,0,MATCH(F$5,MO_Common_ColumnHeader,0)),INDEX(MO_RIS_Tax_Current,0,MATCH(F$5,MO_Common_ColumnHeader,0))+INDEX(MO_RIS_Tax_Deferred,0,MATCH(F$5,MO_Common_ColumnHeader,0))), 0)</f>
        <v>1840</v>
      </c>
      <c r="G34" s="1045">
        <f t="array" ref="G34">IFERROR(IFERROR(INDEX(MO_RIS_Tax_NONGAAP,0,MATCH(G$5,MO_Common_ColumnHeader,0)),INDEX(MO_RIS_Tax_Current,0,MATCH(G$5,MO_Common_ColumnHeader,0))+INDEX(MO_RIS_Tax_Deferred,0,MATCH(G$5,MO_Common_ColumnHeader,0))), 0)</f>
        <v>1841</v>
      </c>
      <c r="H34" s="1045">
        <f t="array" ref="H34">IFERROR(IFERROR(INDEX(MO_RIS_Tax_NONGAAP,0,MATCH(H$5,MO_Common_ColumnHeader,0)),INDEX(MO_RIS_Tax_Current,0,MATCH(H$5,MO_Common_ColumnHeader,0))+INDEX(MO_RIS_Tax_Deferred,0,MATCH(H$5,MO_Common_ColumnHeader,0))), 0)</f>
        <v>2028</v>
      </c>
      <c r="I34" s="1045">
        <f t="array" ref="I34">IFERROR(IFERROR(INDEX(MO_RIS_Tax_NONGAAP,0,MATCH(I$5,MO_Common_ColumnHeader,0)),INDEX(MO_RIS_Tax_Current,0,MATCH(I$5,MO_Common_ColumnHeader,0))+INDEX(MO_RIS_Tax_Deferred,0,MATCH(I$5,MO_Common_ColumnHeader,0))), 0)</f>
        <v>1982</v>
      </c>
      <c r="J34" s="1045">
        <f t="array" ref="J34">IFERROR(IFERROR(INDEX(MO_RIS_Tax_NONGAAP,0,MATCH(J$5,MO_Common_ColumnHeader,0)),INDEX(MO_RIS_Tax_Current,0,MATCH(J$5,MO_Common_ColumnHeader,0))+INDEX(MO_RIS_Tax_Deferred,0,MATCH(J$5,MO_Common_ColumnHeader,0))), 0)</f>
        <v>1995</v>
      </c>
      <c r="K34" s="1045">
        <f t="array" ref="K34">IFERROR(IFERROR(INDEX(MO_RIS_Tax_NONGAAP,0,MATCH(K$5,MO_Common_ColumnHeader,0)),INDEX(MO_RIS_Tax_Current,0,MATCH(K$5,MO_Common_ColumnHeader,0))+INDEX(MO_RIS_Tax_Deferred,0,MATCH(K$5,MO_Common_ColumnHeader,0))), 0)</f>
        <v>2679</v>
      </c>
      <c r="L34" s="1045">
        <f t="array" ref="L34">IFERROR(IFERROR(INDEX(MO_RIS_Tax_NONGAAP,0,MATCH(L$5,MO_Common_ColumnHeader,0)),INDEX(MO_RIS_Tax_Current,0,MATCH(L$5,MO_Common_ColumnHeader,0))+INDEX(MO_RIS_Tax_Deferred,0,MATCH(L$5,MO_Common_ColumnHeader,0))), 0)</f>
        <v>1637</v>
      </c>
      <c r="M34" s="1045">
        <f t="array" ref="M34">IFERROR(IFERROR(INDEX(MO_RIS_Tax_NONGAAP,0,MATCH(M$5,MO_Common_ColumnHeader,0)),INDEX(MO_RIS_Tax_Current,0,MATCH(M$5,MO_Common_ColumnHeader,0))+INDEX(MO_RIS_Tax_Deferred,0,MATCH(M$5,MO_Common_ColumnHeader,0))), 0)</f>
        <v>1130</v>
      </c>
      <c r="N34" s="1065">
        <f t="array" ref="N34">IFERROR(IFERROR(INDEX(MO_RIS_Tax_NONGAAP,0,MATCH(N$5,MO_Common_ColumnHeader,0)),INDEX(MO_RIS_Tax_Current,0,MATCH(N$5,MO_Common_ColumnHeader,0))+INDEX(MO_RIS_Tax_Deferred,0,MATCH(N$5,MO_Common_ColumnHeader,0))), 0)</f>
        <v>1318</v>
      </c>
      <c r="O34" s="1045">
        <f t="array" ref="O34">IFERROR(IFERROR(INDEX(MO_RIS_Tax_NONGAAP,0,MATCH(O$5,MO_Common_ColumnHeader,0)),INDEX(MO_RIS_Tax_Current,0,MATCH(O$5,MO_Common_ColumnHeader,0))+INDEX(MO_RIS_Tax_Deferred,0,MATCH(O$5,MO_Common_ColumnHeader,0))), 0)</f>
        <v>1473.6673339754341</v>
      </c>
      <c r="P34" s="1045">
        <f t="array" aca="1" ref="P34" ca="1">IFERROR(IFERROR(INDEX(MO_RIS_Tax_NONGAAP,0,MATCH(P$5,MO_Common_ColumnHeader,0)),INDEX(MO_RIS_Tax_Current,0,MATCH(P$5,MO_Common_ColumnHeader,0))+INDEX(MO_RIS_Tax_Deferred,0,MATCH(P$5,MO_Common_ColumnHeader,0))), 0)</f>
        <v>1721.3784556094984</v>
      </c>
      <c r="Q34" s="1045">
        <f t="array" aca="1" ref="Q34" ca="1">IFERROR(IFERROR(INDEX(MO_RIS_Tax_NONGAAP,0,MATCH(Q$5,MO_Common_ColumnHeader,0)),INDEX(MO_RIS_Tax_Current,0,MATCH(Q$5,MO_Common_ColumnHeader,0))+INDEX(MO_RIS_Tax_Deferred,0,MATCH(Q$5,MO_Common_ColumnHeader,0))), 0)</f>
        <v>1891.0569495176362</v>
      </c>
      <c r="R34" s="1045">
        <f t="array" aca="1" ref="R34" ca="1">IFERROR(IFERROR(INDEX(MO_RIS_Tax_NONGAAP,0,MATCH(R$5,MO_Common_ColumnHeader,0)),INDEX(MO_RIS_Tax_Current,0,MATCH(R$5,MO_Common_ColumnHeader,0))+INDEX(MO_RIS_Tax_Deferred,0,MATCH(R$5,MO_Common_ColumnHeader,0))), 0)</f>
        <v>2076.1924302128255</v>
      </c>
      <c r="S34" s="1045">
        <f t="array" aca="1" ref="S34" ca="1">IFERROR(IFERROR(INDEX(MO_RIS_Tax_NONGAAP,0,MATCH(S$5,MO_Common_ColumnHeader,0)),INDEX(MO_RIS_Tax_Current,0,MATCH(S$5,MO_Common_ColumnHeader,0))+INDEX(MO_RIS_Tax_Deferred,0,MATCH(S$5,MO_Common_ColumnHeader,0))), 0)</f>
        <v>2277.7530844128555</v>
      </c>
      <c r="T34" s="1048"/>
      <c r="U34" s="1045">
        <f>IFERROR(IFERROR((IFERROR(INDEX(MO_RIS_Tax_NONGAAP,0,MATCH(AG$2,MO_Common_ColumnHeader,0)),INDEX(MO_RIS_Tax_Current,0,MATCH(AG$2,MO_Common_ColumnHeader,0))+INDEX(MO_RIS_Tax_Deferred,0,MATCH(AG$2,MO_Common_ColumnHeader,0))))+(IFERROR(INDEX(MO_RIS_Tax_NONGAAP,0,MATCH(AG$3,MO_Common_ColumnHeader,0)),INDEX(MO_RIS_Tax_Current,0,MATCH(AG$3,MO_Common_ColumnHeader,0))+INDEX(MO_RIS_Tax_Deferred,0,MATCH(AG$3,MO_Common_ColumnHeader,0)))),
(IFERROR(INDEX(MO_RIS_Tax_NONGAAP,0,MATCH(AA$2,MO_Common_ColumnHeader,0)),INDEX(MO_RIS_Tax_Current,0,MATCH(AA$2,MO_Common_ColumnHeader,0))+INDEX(MO_RIS_Tax_Deferred,0,MATCH(AA$2,MO_Common_ColumnHeader,0))))+(IFERROR(INDEX(MO_RIS_Tax_NONGAAP,0,MATCH(AA$3,MO_Common_ColumnHeader,0)),INDEX(MO_RIS_Tax_Current,0,MATCH(AA$3,MO_Common_ColumnHeader,0))+INDEX(MO_RIS_Tax_Deferred,0,MATCH(AA$3,MO_Common_ColumnHeader,0))))+(IFERROR(INDEX(MO_RIS_Tax_NONGAAP,0,MATCH(AA$4,MO_Common_ColumnHeader,0)),INDEX(MO_RIS_Tax_Current,0,MATCH(AA$4,MO_Common_ColumnHeader,0))+INDEX(MO_RIS_Tax_Deferred,0,MATCH(AA$4,MO_Common_ColumnHeader,0))))+(IFERROR(INDEX(MO_RIS_Tax_NONGAAP,0,MATCH(AA$5,MO_Common_ColumnHeader,0)),INDEX(MO_RIS_Tax_Current,0,MATCH(AA$5,MO_Common_ColumnHeader,0))+INDEX(MO_RIS_Tax_Deferred,0,MATCH(AA$5,MO_Common_ColumnHeader,0))))),0)</f>
        <v>1364</v>
      </c>
      <c r="V34" s="1045">
        <f>IFERROR(IFERROR((IFERROR(INDEX(MO_RIS_Tax_NONGAAP,0,MATCH(AJ$2,MO_Common_ColumnHeader,0)),INDEX(MO_RIS_Tax_Current,0,MATCH(AJ$2,MO_Common_ColumnHeader,0))+INDEX(MO_RIS_Tax_Deferred,0,MATCH(AJ$2,MO_Common_ColumnHeader,0))))+(IFERROR(INDEX(MO_RIS_Tax_NONGAAP,0,MATCH(AJ$3,MO_Common_ColumnHeader,0)),INDEX(MO_RIS_Tax_Current,0,MATCH(AJ$3,MO_Common_ColumnHeader,0))+INDEX(MO_RIS_Tax_Deferred,0,MATCH(AJ$3,MO_Common_ColumnHeader,0)))),
(IFERROR(INDEX(MO_RIS_Tax_NONGAAP,0,MATCH(AD$2,MO_Common_ColumnHeader,0)),INDEX(MO_RIS_Tax_Current,0,MATCH(AD$2,MO_Common_ColumnHeader,0))+INDEX(MO_RIS_Tax_Deferred,0,MATCH(AD$2,MO_Common_ColumnHeader,0))))+(IFERROR(INDEX(MO_RIS_Tax_NONGAAP,0,MATCH(AD$3,MO_Common_ColumnHeader,0)),INDEX(MO_RIS_Tax_Current,0,MATCH(AD$3,MO_Common_ColumnHeader,0))+INDEX(MO_RIS_Tax_Deferred,0,MATCH(AD$3,MO_Common_ColumnHeader,0))))+(IFERROR(INDEX(MO_RIS_Tax_NONGAAP,0,MATCH(AD$4,MO_Common_ColumnHeader,0)),INDEX(MO_RIS_Tax_Current,0,MATCH(AD$4,MO_Common_ColumnHeader,0))+INDEX(MO_RIS_Tax_Deferred,0,MATCH(AD$4,MO_Common_ColumnHeader,0))))+(IFERROR(INDEX(MO_RIS_Tax_NONGAAP,0,MATCH(AD$5,MO_Common_ColumnHeader,0)),INDEX(MO_RIS_Tax_Current,0,MATCH(AD$5,MO_Common_ColumnHeader,0))+INDEX(MO_RIS_Tax_Deferred,0,MATCH(AD$5,MO_Common_ColumnHeader,0))))),0)</f>
        <v>1603.3517418393553</v>
      </c>
      <c r="W34" s="1048"/>
      <c r="X34" s="1049">
        <f ca="1">IFERROR(($N34/OFFSET($N34,0,-X$3))^(1/X$3)-1, "N/A")</f>
        <v>-1.8710312785191863E-2</v>
      </c>
    </row>
    <row r="35" spans="1:29" ht="14.5" customHeight="1" x14ac:dyDescent="0.35">
      <c r="B35" s="1023" t="s">
        <v>1107</v>
      </c>
      <c r="C35" s="1051"/>
      <c r="D35" s="1067">
        <f>IFERROR(D34/D28, "N/A")</f>
        <v>0.27662901824500435</v>
      </c>
      <c r="E35" s="1067">
        <f>IFERROR(E34/E28, "N/A")</f>
        <v>0.27756590946774995</v>
      </c>
      <c r="F35" s="1067">
        <f>IFERROR(F34/F28, "N/A")</f>
        <v>0.2897181546213195</v>
      </c>
      <c r="G35" s="1067">
        <f>IFERROR(G34/G28, "N/A")</f>
        <v>0.28055470893020423</v>
      </c>
      <c r="H35" s="1067">
        <f>IFERROR(H34/H28, "N/A")</f>
        <v>0.28864218616567039</v>
      </c>
      <c r="I35" s="1067">
        <f>IFERROR(I34/I28, "N/A")</f>
        <v>0.29048805510772385</v>
      </c>
      <c r="J35" s="1067">
        <f>IFERROR(J34/J28, "N/A")</f>
        <v>0.28285835814547</v>
      </c>
      <c r="K35" s="1067">
        <f>IFERROR(K34/K28, "N/A")</f>
        <v>0.35492845786963434</v>
      </c>
      <c r="L35" s="1067">
        <f>IFERROR(L34/L28, "N/A")</f>
        <v>0.23385714285714285</v>
      </c>
      <c r="M35" s="1067">
        <f>IFERROR(M34/M28, "N/A")</f>
        <v>0.19782913165266106</v>
      </c>
      <c r="N35" s="1068">
        <f>IFERROR(N34/N28, "N/A")</f>
        <v>0.196393980032782</v>
      </c>
      <c r="O35" s="1067">
        <f>IFERROR(O34/O28, "N/A")</f>
        <v>0.19798266797270689</v>
      </c>
      <c r="P35" s="1067">
        <f ca="1">IFERROR(P34/P28, "N/A")</f>
        <v>0.21</v>
      </c>
      <c r="Q35" s="1067">
        <f ca="1">IFERROR(Q34/Q28, "N/A")</f>
        <v>0.21</v>
      </c>
      <c r="R35" s="1067">
        <f ca="1">IFERROR(R34/R28, "N/A")</f>
        <v>0.21</v>
      </c>
      <c r="S35" s="1067">
        <f ca="1">IFERROR(S34/S28, "N/A")</f>
        <v>0.20999999999999996</v>
      </c>
      <c r="T35" s="1048"/>
      <c r="U35" s="1067">
        <f>IFERROR(U34/U28, "N/A")</f>
        <v>0.19241077726054451</v>
      </c>
      <c r="V35" s="1067">
        <f>IFERROR(V34/V28, "N/A")</f>
        <v>0.20999999999999996</v>
      </c>
      <c r="W35" s="1048"/>
      <c r="X35" s="1069"/>
      <c r="AA35" s="987"/>
      <c r="AB35" s="1004"/>
    </row>
    <row r="36" spans="1:29" s="1014" customFormat="1" ht="14.5" customHeight="1" x14ac:dyDescent="0.35">
      <c r="A36" s="1050"/>
      <c r="B36" s="990"/>
      <c r="C36" s="990"/>
      <c r="D36" s="1048" t="s">
        <v>1108</v>
      </c>
      <c r="E36" s="1048" t="s">
        <v>1108</v>
      </c>
      <c r="F36" s="1048" t="s">
        <v>1108</v>
      </c>
      <c r="G36" s="1048" t="s">
        <v>1108</v>
      </c>
      <c r="H36" s="1048" t="s">
        <v>1108</v>
      </c>
      <c r="I36" s="1048" t="s">
        <v>1108</v>
      </c>
      <c r="J36" s="1048" t="s">
        <v>1108</v>
      </c>
      <c r="K36" s="1048" t="s">
        <v>1108</v>
      </c>
      <c r="L36" s="1048" t="s">
        <v>1108</v>
      </c>
      <c r="M36" s="1048" t="s">
        <v>1108</v>
      </c>
      <c r="N36" s="1070" t="s">
        <v>1108</v>
      </c>
      <c r="O36" s="1048" t="s">
        <v>1108</v>
      </c>
      <c r="P36" s="1048" t="s">
        <v>1108</v>
      </c>
      <c r="Q36" s="1048" t="s">
        <v>1108</v>
      </c>
      <c r="R36" s="1048" t="s">
        <v>1108</v>
      </c>
      <c r="S36" s="1048" t="s">
        <v>1108</v>
      </c>
      <c r="T36" s="1048"/>
      <c r="U36" s="1048"/>
      <c r="V36" s="1048"/>
      <c r="W36" s="1048"/>
      <c r="X36" s="1048"/>
      <c r="AA36" s="987"/>
      <c r="AB36" s="1004"/>
    </row>
    <row r="37" spans="1:29" s="1060" customFormat="1" ht="14.5" customHeight="1" x14ac:dyDescent="0.35">
      <c r="A37" s="1031"/>
      <c r="B37" s="1059" t="str">
        <f t="array" ref="B37">IFERROR(INDEX(MO_RIS_NI_NONGAAP_Diluted,0,COLUMN(MO_Common_Column_A)), "Adjusted Net Income - N/A")</f>
        <v>Adjusted Net Income</v>
      </c>
      <c r="D37" s="1045">
        <f t="array" ref="D37">IFERROR(INDEX(MO_RIS_NI_NONGAAP_Diluted,0,MATCH(D$5,MO_Common_ColumnHeader,0)), "N/A")</f>
        <v>4085</v>
      </c>
      <c r="E37" s="1045">
        <f t="array" ref="E37">IFERROR(INDEX(MO_RIS_NI_NONGAAP_Diluted,0,MATCH(E$5,MO_Common_ColumnHeader,0)), "N/A")</f>
        <v>4283</v>
      </c>
      <c r="F37" s="1045">
        <f t="array" ref="F37">IFERROR(INDEX(MO_RIS_NI_NONGAAP_Diluted,0,MATCH(F$5,MO_Common_ColumnHeader,0)), "N/A")</f>
        <v>4444</v>
      </c>
      <c r="G37" s="1045">
        <f t="array" ref="G37">IFERROR(INDEX(MO_RIS_NI_NONGAAP_Diluted,0,MATCH(G$5,MO_Common_ColumnHeader,0)), "N/A")</f>
        <v>4659</v>
      </c>
      <c r="H37" s="1045">
        <f t="array" ref="H37">IFERROR(INDEX(MO_RIS_NI_NONGAAP_Diluted,0,MATCH(H$5,MO_Common_ColumnHeader,0)), "N/A")</f>
        <v>4956</v>
      </c>
      <c r="I37" s="1045">
        <f t="array" ref="I37">IFERROR(INDEX(MO_RIS_NI_NONGAAP_Diluted,0,MATCH(I$5,MO_Common_ColumnHeader,0)), "N/A")</f>
        <v>4833</v>
      </c>
      <c r="J37" s="1045">
        <f t="array" ref="J37">IFERROR(INDEX(MO_RIS_NI_NONGAAP_Diluted,0,MATCH(J$5,MO_Common_ColumnHeader,0)), "N/A")</f>
        <v>5050</v>
      </c>
      <c r="K37" s="1045">
        <f t="array" ref="K37">IFERROR(INDEX(MO_RIS_NI_NONGAAP_Diluted,0,MATCH(K$5,MO_Common_ColumnHeader,0)), "N/A")</f>
        <v>5620</v>
      </c>
      <c r="L37" s="1045">
        <f t="array" ref="L37">IFERROR(INDEX(MO_RIS_NI_NONGAAP_Diluted,0,MATCH(L$5,MO_Common_ColumnHeader,0)), "N/A")</f>
        <v>6295</v>
      </c>
      <c r="M37" s="1045">
        <f t="array" ref="M37">IFERROR(INDEX(MO_RIS_NI_NONGAAP_Diluted,0,MATCH(M$5,MO_Common_ColumnHeader,0)), "N/A")</f>
        <v>5193</v>
      </c>
      <c r="N37" s="1065">
        <f t="array" ref="N37">IFERROR(INDEX(MO_RIS_NI_NONGAAP_Diluted,0,MATCH(N$5,MO_Common_ColumnHeader,0)), "N/A")</f>
        <v>5088</v>
      </c>
      <c r="O37" s="1045">
        <f t="array" ref="O37">IFERROR(INDEX(MO_RIS_NI_NONGAAP_Diluted,0,MATCH(O$5,MO_Common_ColumnHeader,0)), "N/A")</f>
        <v>5967.7485420980611</v>
      </c>
      <c r="P37" s="1045">
        <f t="array" aca="1" ref="P37" ca="1">IFERROR(INDEX(MO_RIS_NI_NONGAAP_Diluted,0,MATCH(P$5,MO_Common_ColumnHeader,0)), "N/A")</f>
        <v>6475.6618091976379</v>
      </c>
      <c r="Q37" s="1045">
        <f t="array" aca="1" ref="Q37" ca="1">IFERROR(INDEX(MO_RIS_NI_NONGAAP_Diluted,0,MATCH(Q$5,MO_Common_ColumnHeader,0)), "N/A")</f>
        <v>7113.9761434234888</v>
      </c>
      <c r="R37" s="1045">
        <f t="array" aca="1" ref="R37" ca="1">IFERROR(INDEX(MO_RIS_NI_NONGAAP_Diluted,0,MATCH(R$5,MO_Common_ColumnHeader,0)), "N/A")</f>
        <v>7810.4381898482488</v>
      </c>
      <c r="S37" s="1045">
        <f t="array" aca="1" ref="S37" ca="1">IFERROR(INDEX(MO_RIS_NI_NONGAAP_Diluted,0,MATCH(S$5,MO_Common_ColumnHeader,0)), "N/A")</f>
        <v>8568.6901746959811</v>
      </c>
      <c r="T37" s="1036"/>
      <c r="U37" s="1045">
        <f>IFERROR(IFERROR(INDEX(MO_RIS_NI_NONGAAP_Diluted,0,MATCH($AG$2,MO_Common_ColumnHeader,0))+INDEX(MO_RIS_NI_NONGAAP_Diluted,0,MATCH($AG$3,MO_Common_ColumnHeader,0)),INDEX(MO_RIS_NI_NONGAAP_Diluted,0,MATCH($AA$2,MO_Common_ColumnHeader,0))+INDEX(MO_RIS_NI_NONGAAP_Diluted,0,MATCH($AA$3,MO_Common_ColumnHeader,0))+INDEX(MO_RIS_NI_NONGAAP_Diluted,0,MATCH($AA$4,MO_Common_ColumnHeader,0))+INDEX(MO_RIS_NI_NONGAAP_Diluted,0,MATCH($AA$5,MO_Common_ColumnHeader,0))),"N/A")</f>
        <v>5458</v>
      </c>
      <c r="V37" s="1045">
        <f>IFERROR(IFERROR(INDEX(MO_RIS_NI_NONGAAP_Diluted,0,MATCH($AJ$2,MO_Common_ColumnHeader,0))+INDEX(MO_RIS_NI_NONGAAP_Diluted,0,MATCH($AJ$3,MO_Common_ColumnHeader,0)),INDEX(MO_RIS_NI_NONGAAP_Diluted,0,MATCH($AD$2,MO_Common_ColumnHeader,0))+INDEX(MO_RIS_NI_NONGAAP_Diluted,0,MATCH($AD$3,MO_Common_ColumnHeader,0))+INDEX(MO_RIS_NI_NONGAAP_Diluted,0,MATCH($AD$4,MO_Common_ColumnHeader,0))+INDEX(MO_RIS_NI_NONGAAP_Diluted,0,MATCH($AD$5,MO_Common_ColumnHeader,0))),"N/A")</f>
        <v>6031.6565526337654</v>
      </c>
      <c r="W37" s="1036"/>
      <c r="X37" s="1049">
        <f ca="1">IFERROR(($N37/OFFSET($N37,0,-X$3))^(1/X$3)-1, "N/A")</f>
        <v>2.2199123382655284E-2</v>
      </c>
      <c r="AA37" s="990"/>
      <c r="AB37" s="990"/>
    </row>
    <row r="38" spans="1:29" ht="14.5" customHeight="1" x14ac:dyDescent="0.35">
      <c r="B38" s="1023" t="s">
        <v>1102</v>
      </c>
      <c r="C38" s="1051"/>
      <c r="D38" s="1025"/>
      <c r="E38" s="1025">
        <f>IFERROR(E37/D37-1, "N/A")</f>
        <v>4.8470012239901994E-2</v>
      </c>
      <c r="F38" s="1025">
        <f>IFERROR(F37/E37-1, "N/A")</f>
        <v>3.7590473966845561E-2</v>
      </c>
      <c r="G38" s="1025">
        <f>IFERROR(G37/F37-1, "N/A")</f>
        <v>4.8379837983798302E-2</v>
      </c>
      <c r="H38" s="1025">
        <f>IFERROR(H37/G37-1, "N/A")</f>
        <v>6.374758531873792E-2</v>
      </c>
      <c r="I38" s="1025">
        <f>IFERROR(I37/H37-1, "N/A")</f>
        <v>-2.4818401937045986E-2</v>
      </c>
      <c r="J38" s="1025">
        <f>IFERROR(J37/I37-1, "N/A")</f>
        <v>4.489964825160353E-2</v>
      </c>
      <c r="K38" s="1025">
        <f>IFERROR(K37/J37-1, "N/A")</f>
        <v>0.11287128712871297</v>
      </c>
      <c r="L38" s="1025">
        <f>IFERROR(L37/K37-1, "N/A")</f>
        <v>0.12010676156583622</v>
      </c>
      <c r="M38" s="1025">
        <f>IFERROR(M37/L37-1, "N/A")</f>
        <v>-0.17505957108816517</v>
      </c>
      <c r="N38" s="1026">
        <f>IFERROR(N37/M37-1, "N/A")</f>
        <v>-2.0219526285384148E-2</v>
      </c>
      <c r="O38" s="1025">
        <f>IFERROR(O37/N37-1, "N/A")</f>
        <v>0.17290655308531067</v>
      </c>
      <c r="P38" s="1025">
        <f ca="1">IFERROR(P37/O37-1, "N/A")</f>
        <v>8.5109696482119412E-2</v>
      </c>
      <c r="Q38" s="1025">
        <f ca="1">IFERROR(Q37/P37-1, "N/A")</f>
        <v>9.8571289396124362E-2</v>
      </c>
      <c r="R38" s="1025">
        <f ca="1">IFERROR(R37/Q37-1, "N/A")</f>
        <v>9.7900531627253873E-2</v>
      </c>
      <c r="S38" s="1025">
        <f ca="1">IFERROR(S37/R37-1, "N/A")</f>
        <v>9.7081875103151472E-2</v>
      </c>
      <c r="T38" s="1054"/>
      <c r="U38" s="1054"/>
      <c r="V38" s="1054"/>
      <c r="W38" s="1054"/>
      <c r="X38" s="1054"/>
    </row>
    <row r="39" spans="1:29" s="1009" customFormat="1" ht="14.5" customHeight="1" x14ac:dyDescent="0.35">
      <c r="A39" s="1022"/>
      <c r="B39" s="1028" t="s">
        <v>1103</v>
      </c>
      <c r="C39" s="1024"/>
      <c r="D39" s="1025"/>
      <c r="E39" s="1025"/>
      <c r="F39" s="1025">
        <f>IFERROR(F38+E38, "N/A")</f>
        <v>8.6060486206747555E-2</v>
      </c>
      <c r="G39" s="1025">
        <f>IFERROR(G38+F38, "N/A")</f>
        <v>8.5970311950643863E-2</v>
      </c>
      <c r="H39" s="1025">
        <f>IFERROR(H38+G38, "N/A")</f>
        <v>0.11212742330253622</v>
      </c>
      <c r="I39" s="1025">
        <f>IFERROR(I38+H38, "N/A")</f>
        <v>3.8929183381691934E-2</v>
      </c>
      <c r="J39" s="1025">
        <f>IFERROR(J38+I38, "N/A")</f>
        <v>2.0081246314557544E-2</v>
      </c>
      <c r="K39" s="1025">
        <f>IFERROR(K38+J38, "N/A")</f>
        <v>0.1577709353803165</v>
      </c>
      <c r="L39" s="1025">
        <f>IFERROR(L38+K38, "N/A")</f>
        <v>0.23297804869454919</v>
      </c>
      <c r="M39" s="1025">
        <f>IFERROR(M38+L38, "N/A")</f>
        <v>-5.4952809522328949E-2</v>
      </c>
      <c r="N39" s="1026">
        <f>IFERROR(N38+M38, "N/A")</f>
        <v>-0.19527909737354932</v>
      </c>
      <c r="O39" s="1025">
        <f>IFERROR(O38+N38, "N/A")</f>
        <v>0.15268702679992652</v>
      </c>
      <c r="P39" s="1025">
        <f ca="1">IFERROR(P38+O38, "N/A")</f>
        <v>0.25801624956743008</v>
      </c>
      <c r="Q39" s="1025">
        <f ca="1">IFERROR(Q38+P38, "N/A")</f>
        <v>0.18368098587824377</v>
      </c>
      <c r="R39" s="1025">
        <f ca="1">IFERROR(R38+Q38, "N/A")</f>
        <v>0.19647182102337823</v>
      </c>
      <c r="S39" s="1025">
        <f ca="1">IFERROR(S38+R38, "N/A")</f>
        <v>0.19498240673040534</v>
      </c>
      <c r="T39" s="1027"/>
      <c r="U39" s="1027"/>
      <c r="V39" s="1027"/>
      <c r="W39" s="1027"/>
      <c r="X39" s="1027"/>
      <c r="Y39" s="996"/>
      <c r="Z39" s="996"/>
      <c r="AA39" s="990"/>
      <c r="AB39" s="990"/>
      <c r="AC39" s="996"/>
    </row>
    <row r="40" spans="1:29" s="1009" customFormat="1" ht="14.5" customHeight="1" x14ac:dyDescent="0.35">
      <c r="A40" s="1022"/>
      <c r="B40" s="1028" t="s">
        <v>1104</v>
      </c>
      <c r="C40" s="1024"/>
      <c r="D40" s="1025"/>
      <c r="E40" s="1025"/>
      <c r="F40" s="1025"/>
      <c r="G40" s="1025">
        <f>IFERROR(G38+F38+E38, "N/A")</f>
        <v>0.13444032419054586</v>
      </c>
      <c r="H40" s="1025">
        <f>IFERROR(H38+G38+F38, "N/A")</f>
        <v>0.14971789726938178</v>
      </c>
      <c r="I40" s="1025">
        <f>IFERROR(I38+H38+G38, "N/A")</f>
        <v>8.7309021365490236E-2</v>
      </c>
      <c r="J40" s="1025">
        <f>IFERROR(J38+I38+H38, "N/A")</f>
        <v>8.3828831633295464E-2</v>
      </c>
      <c r="K40" s="1025">
        <f>IFERROR(K38+J38+I38, "N/A")</f>
        <v>0.13295253344327052</v>
      </c>
      <c r="L40" s="1025">
        <f>IFERROR(L38+K38+J38, "N/A")</f>
        <v>0.27787769694615272</v>
      </c>
      <c r="M40" s="1025">
        <f>IFERROR(M38+L38+K38, "N/A")</f>
        <v>5.7918477606384022E-2</v>
      </c>
      <c r="N40" s="1026">
        <f>IFERROR(N38+M38+L38, "N/A")</f>
        <v>-7.5172335807713098E-2</v>
      </c>
      <c r="O40" s="1025">
        <f>IFERROR(O38+N38+M38, "N/A")</f>
        <v>-2.2372544288238649E-2</v>
      </c>
      <c r="P40" s="1025">
        <f ca="1">IFERROR(P38+O38+N38, "N/A")</f>
        <v>0.23779672328204593</v>
      </c>
      <c r="Q40" s="1025">
        <f ca="1">IFERROR(Q38+P38+O38, "N/A")</f>
        <v>0.35658753896355444</v>
      </c>
      <c r="R40" s="1025">
        <f ca="1">IFERROR(R38+Q38+P38, "N/A")</f>
        <v>0.28158151750549765</v>
      </c>
      <c r="S40" s="1025">
        <f ca="1">IFERROR(S38+R38+Q38, "N/A")</f>
        <v>0.29355369612652971</v>
      </c>
      <c r="T40" s="1027"/>
      <c r="U40" s="1027"/>
      <c r="V40" s="1027"/>
      <c r="W40" s="1027"/>
      <c r="X40" s="1027"/>
      <c r="Y40" s="996"/>
      <c r="Z40" s="996"/>
      <c r="AC40" s="996"/>
    </row>
    <row r="41" spans="1:29" ht="14.5" customHeight="1" x14ac:dyDescent="0.35">
      <c r="B41" s="1023" t="s">
        <v>1105</v>
      </c>
      <c r="C41" s="1051"/>
      <c r="D41" s="1025">
        <f>IFERROR(D37/D$7, "N/A")</f>
        <v>0.15321431250468831</v>
      </c>
      <c r="E41" s="1025">
        <f>IFERROR(E37/E$7, "N/A")</f>
        <v>0.14464219377933876</v>
      </c>
      <c r="F41" s="1025">
        <f>IFERROR(F37/F$7, "N/A")</f>
        <v>0.14860888175494916</v>
      </c>
      <c r="G41" s="1025">
        <f>IFERROR(G37/G$7, "N/A")</f>
        <v>0.15091833759839332</v>
      </c>
      <c r="H41" s="1025">
        <f>IFERROR(H37/H$7, "N/A")</f>
        <v>0.15574620533609881</v>
      </c>
      <c r="I41" s="1025">
        <f>IFERROR(I37/I$7, "N/A")</f>
        <v>0.15964193697562265</v>
      </c>
      <c r="J41" s="1025">
        <f>IFERROR(J37/J$7, "N/A")</f>
        <v>0.16772393636454216</v>
      </c>
      <c r="K41" s="1025">
        <f>IFERROR(K37/K$7, "N/A")</f>
        <v>0.17752787693085256</v>
      </c>
      <c r="L41" s="1025">
        <f>IFERROR(L37/L$7, "N/A")</f>
        <v>0.192125743934076</v>
      </c>
      <c r="M41" s="1025">
        <f>IFERROR(M37/M$7, "N/A")</f>
        <v>0.16159447348767736</v>
      </c>
      <c r="N41" s="1026">
        <f>IFERROR(N37/N$7, "N/A")</f>
        <v>0.1580909768829232</v>
      </c>
      <c r="O41" s="1025">
        <f>IFERROR(O37/O$7, "N/A")</f>
        <v>0.17425538532412158</v>
      </c>
      <c r="P41" s="1025">
        <f ca="1">IFERROR(P37/P$7, "N/A")</f>
        <v>0.17736667135679401</v>
      </c>
      <c r="Q41" s="1025">
        <f ca="1">IFERROR(Q37/Q$7, "N/A")</f>
        <v>0.18306533941990161</v>
      </c>
      <c r="R41" s="1025">
        <f ca="1">IFERROR(R37/R$7, "N/A")</f>
        <v>0.18880183484448462</v>
      </c>
      <c r="S41" s="1025">
        <f ca="1">IFERROR(S37/S$7, "N/A")</f>
        <v>0.19454220904541125</v>
      </c>
      <c r="T41" s="1048"/>
      <c r="U41" s="1025">
        <f>IFERROR(U37/U$7, "N/A")</f>
        <v>0.16559466019417476</v>
      </c>
      <c r="V41" s="1025">
        <f>IFERROR(V37/V$7, "N/A")</f>
        <v>0.17292433937668161</v>
      </c>
      <c r="W41" s="1048"/>
      <c r="X41" s="1025">
        <f ca="1">IFERROR(AVERAGE($N41:INDIRECT(CONCATENATE(SUBSTITUTE(ADDRESS(1,COLUMN(OFFSET($N41,0,-(X$3-1))),4),"1",""),ROW(OFFSET($N41,0,-(X$3-1)))))), "N/A")</f>
        <v>0.16166205630444741</v>
      </c>
    </row>
    <row r="42" spans="1:29" ht="14.5" customHeight="1" x14ac:dyDescent="0.35">
      <c r="D42" s="1048" t="s">
        <v>1108</v>
      </c>
      <c r="E42" s="1048" t="s">
        <v>1108</v>
      </c>
      <c r="F42" s="1048" t="s">
        <v>1108</v>
      </c>
      <c r="G42" s="1048" t="s">
        <v>1108</v>
      </c>
      <c r="H42" s="1048" t="s">
        <v>1108</v>
      </c>
      <c r="I42" s="1048" t="s">
        <v>1108</v>
      </c>
      <c r="J42" s="1048" t="s">
        <v>1108</v>
      </c>
      <c r="K42" s="1048" t="s">
        <v>1108</v>
      </c>
      <c r="L42" s="1048" t="s">
        <v>1108</v>
      </c>
      <c r="M42" s="1048" t="s">
        <v>1108</v>
      </c>
      <c r="N42" s="1070" t="s">
        <v>1108</v>
      </c>
      <c r="O42" s="1048" t="s">
        <v>1108</v>
      </c>
      <c r="P42" s="1048" t="s">
        <v>1108</v>
      </c>
      <c r="Q42" s="1048" t="s">
        <v>1108</v>
      </c>
      <c r="R42" s="1048" t="s">
        <v>1108</v>
      </c>
      <c r="S42" s="1048" t="s">
        <v>1108</v>
      </c>
      <c r="T42" s="1048"/>
      <c r="U42" s="1071"/>
      <c r="V42" s="1048"/>
      <c r="W42" s="1048"/>
      <c r="X42" s="1048"/>
      <c r="AA42" s="987"/>
      <c r="AB42" s="1004"/>
    </row>
    <row r="43" spans="1:29" ht="14.5" customHeight="1" x14ac:dyDescent="0.35">
      <c r="B43" s="1044" t="str">
        <f t="array" ref="B43">IFERROR(INDEX(MO_RIS_ShareCount_WAD_Adj,0,COLUMN(MO_Common_Column_A)),"Shares Outstanding - N/A")</f>
        <v>Adjusted Shares Outstanding - WAD</v>
      </c>
      <c r="D43" s="1072">
        <f t="array" ref="D43">IFERROR(INDEX(MO_RIS_ShareCount_WAD_Adj,0,MATCH(D$5,MO_Common_ColumnHeader,0)),INDEX(MO_RIS_ShareCount_WAD,0,MATCH(D$5,MO_Common_ColumnHeader,0)))</f>
        <v>725.5</v>
      </c>
      <c r="E43" s="1072">
        <f t="array" ref="E43">IFERROR(INDEX(MO_RIS_ShareCount_WAD_Adj,0,MATCH(E$5,MO_Common_ColumnHeader,0)),INDEX(MO_RIS_ShareCount_WAD,0,MATCH(E$5,MO_Common_ColumnHeader,0)))</f>
        <v>719</v>
      </c>
      <c r="F43" s="1072">
        <f t="array" ref="F43">IFERROR(INDEX(MO_RIS_ShareCount_WAD_Adj,0,MATCH(F$5,MO_Common_ColumnHeader,0)),INDEX(MO_RIS_ShareCount_WAD,0,MATCH(F$5,MO_Common_ColumnHeader,0)))</f>
        <v>703.3</v>
      </c>
      <c r="G43" s="1072">
        <f t="array" ref="G43">IFERROR(INDEX(MO_RIS_ShareCount_WAD_Adj,0,MATCH(G$5,MO_Common_ColumnHeader,0)),INDEX(MO_RIS_ShareCount_WAD,0,MATCH(G$5,MO_Common_ColumnHeader,0)))</f>
        <v>693.6</v>
      </c>
      <c r="H43" s="1072">
        <f t="array" ref="H43">IFERROR(INDEX(MO_RIS_ShareCount_WAD_Adj,0,MATCH(H$5,MO_Common_ColumnHeader,0)),INDEX(MO_RIS_ShareCount_WAD,0,MATCH(H$5,MO_Common_ColumnHeader,0)))</f>
        <v>662</v>
      </c>
      <c r="I43" s="1072">
        <f t="array" ref="I43">IFERROR(INDEX(MO_RIS_ShareCount_WAD_Adj,0,MATCH(I$5,MO_Common_ColumnHeader,0)),INDEX(MO_RIS_ShareCount_WAD,0,MATCH(I$5,MO_Common_ColumnHeader,0)))</f>
        <v>637.20000000000005</v>
      </c>
      <c r="J43" s="1072">
        <f t="array" ref="J43">IFERROR(INDEX(MO_RIS_ShareCount_WAD_Adj,0,MATCH(J$5,MO_Common_ColumnHeader,0)),INDEX(MO_RIS_ShareCount_WAD,0,MATCH(J$5,MO_Common_ColumnHeader,0)))</f>
        <v>618.70000000000005</v>
      </c>
      <c r="K43" s="1072">
        <f t="array" ref="K43">IFERROR(INDEX(MO_RIS_ShareCount_WAD_Adj,0,MATCH(K$5,MO_Common_ColumnHeader,0)),INDEX(MO_RIS_ShareCount_WAD,0,MATCH(K$5,MO_Common_ColumnHeader,0)))</f>
        <v>612.70000000000005</v>
      </c>
      <c r="L43" s="1072">
        <f t="array" ref="L43">IFERROR(INDEX(MO_RIS_ShareCount_WAD_Adj,0,MATCH(L$5,MO_Common_ColumnHeader,0)),INDEX(MO_RIS_ShareCount_WAD,0,MATCH(L$5,MO_Common_ColumnHeader,0)))</f>
        <v>602</v>
      </c>
      <c r="M43" s="1072">
        <f t="array" ref="M43">IFERROR(INDEX(MO_RIS_ShareCount_WAD_Adj,0,MATCH(M$5,MO_Common_ColumnHeader,0)),INDEX(MO_RIS_ShareCount_WAD,0,MATCH(M$5,MO_Common_ColumnHeader,0)))</f>
        <v>585.1</v>
      </c>
      <c r="N43" s="1073">
        <f t="array" ref="N43">IFERROR(INDEX(MO_RIS_ShareCount_WAD_Adj,0,MATCH(N$5,MO_Common_ColumnHeader,0)),INDEX(MO_RIS_ShareCount_WAD,0,MATCH(N$5,MO_Common_ColumnHeader,0)))</f>
        <v>582.20000000000005</v>
      </c>
      <c r="O43" s="1072">
        <f t="array" aca="1" ref="O43" ca="1">IFERROR(INDEX(MO_RIS_ShareCount_WAD_Adj,0,MATCH(O$5,MO_Common_ColumnHeader,0)),INDEX(MO_RIS_ShareCount_WAD,0,MATCH(O$5,MO_Common_ColumnHeader,0)))</f>
        <v>582.4340206185567</v>
      </c>
      <c r="P43" s="1072">
        <f t="array" aca="1" ref="P43" ca="1">IFERROR(INDEX(MO_RIS_ShareCount_WAD_Adj,0,MATCH(P$5,MO_Common_ColumnHeader,0)),INDEX(MO_RIS_ShareCount_WAD,0,MATCH(P$5,MO_Common_ColumnHeader,0)))</f>
        <v>572.69949663617456</v>
      </c>
      <c r="Q43" s="1072">
        <f t="array" aca="1" ref="Q43" ca="1">IFERROR(INDEX(MO_RIS_ShareCount_WAD_Adj,0,MATCH(Q$5,MO_Common_ColumnHeader,0)),INDEX(MO_RIS_ShareCount_WAD,0,MATCH(Q$5,MO_Common_ColumnHeader,0)))</f>
        <v>560.63136132860268</v>
      </c>
      <c r="R43" s="1072">
        <f t="array" aca="1" ref="R43" ca="1">IFERROR(INDEX(MO_RIS_ShareCount_WAD_Adj,0,MATCH(R$5,MO_Common_ColumnHeader,0)),INDEX(MO_RIS_ShareCount_WAD,0,MATCH(R$5,MO_Common_ColumnHeader,0)))</f>
        <v>552.84926016128748</v>
      </c>
      <c r="S43" s="1072">
        <f t="array" aca="1" ref="S43" ca="1">IFERROR(INDEX(MO_RIS_ShareCount_WAD_Adj,0,MATCH(S$5,MO_Common_ColumnHeader,0)),INDEX(MO_RIS_ShareCount_WAD,0,MATCH(S$5,MO_Common_ColumnHeader,0)))</f>
        <v>545.78212235210015</v>
      </c>
      <c r="T43" s="1043"/>
      <c r="U43" s="1045">
        <f>IFERROR(IFERROR(AVERAGE(INDEX(MO_RIS_ShareCount_WAD_Adj,0,MATCH($AG$2,MO_Common_ColumnHeader,0)),INDEX(MO_RIS_ShareCount_WAD_Adj,0,MATCH($AG3,MO_Common_ColumnHeader,0))),AVERAGE(INDEX(MO_RIS_ShareCount_WAD_Adj,0,MATCH($AA$2,MO_Common_ColumnHeader,0)),INDEX(MO_RIS_ShareCount_WAD_Adj,0,MATCH($AA$3,MO_Common_ColumnHeader,0)),INDEX(MO_RIS_ShareCount_WAD_Adj,0,MATCH($AA$4,MO_Common_ColumnHeader,0)),INDEX(MO_RIS_ShareCount_WAD_Adj,0,MATCH($AA$5,MO_Common_ColumnHeader,0)))),"N/A")</f>
        <v>583.375</v>
      </c>
      <c r="V43" s="1045">
        <f ca="1">IFERROR(IFERROR(AVERAGE(INDEX(MO_RIS_ShareCount_WAD_Adj,0,MATCH($AJ$2,MO_Common_ColumnHeader,0)),INDEX(MO_RIS_ShareCount_WAD_Adj,0,MATCH($AJ3,MO_Common_ColumnHeader,0))),AVERAGE(INDEX(MO_RIS_ShareCount_WAD_Adj,0,MATCH($AD$2,MO_Common_ColumnHeader,0)),INDEX(MO_RIS_ShareCount_WAD_Adj,0,MATCH($AD$3,MO_Common_ColumnHeader,0)),INDEX(MO_RIS_ShareCount_WAD_Adj,0,MATCH($AD$4,MO_Common_ColumnHeader,0)),INDEX(MO_RIS_ShareCount_WAD_Adj,0,MATCH($AD$5,MO_Common_ColumnHeader,0)))),"N/A")</f>
        <v>579.91417646774119</v>
      </c>
      <c r="W43" s="1043"/>
      <c r="X43" s="1049">
        <f ca="1">IFERROR(($N43/OFFSET($N43,0,-X$3))^(1/X$3)-1, "N/A")</f>
        <v>-2.1764366679100422E-2</v>
      </c>
      <c r="AA43" s="987"/>
      <c r="AB43" s="1004"/>
    </row>
    <row r="44" spans="1:29" s="1009" customFormat="1" ht="14.5" customHeight="1" thickBot="1" x14ac:dyDescent="0.4">
      <c r="B44" s="1074" t="s">
        <v>1109</v>
      </c>
      <c r="C44" s="1074"/>
      <c r="D44" s="1075">
        <f>IFERROR(D37/D43,"")</f>
        <v>5.6305995864920746</v>
      </c>
      <c r="E44" s="1075">
        <f>IFERROR(E37/E43,"")</f>
        <v>5.9568845618915161</v>
      </c>
      <c r="F44" s="1075">
        <f>IFERROR(F37/F43,"")</f>
        <v>6.3187828807052471</v>
      </c>
      <c r="G44" s="1075">
        <f>IFERROR(G37/G43,"")</f>
        <v>6.7171280276816603</v>
      </c>
      <c r="H44" s="1075">
        <f>IFERROR(H37/H43,"")</f>
        <v>7.4864048338368576</v>
      </c>
      <c r="I44" s="1075">
        <f>IFERROR(I37/I43,"")</f>
        <v>7.5847457627118642</v>
      </c>
      <c r="J44" s="1075">
        <f>IFERROR(J37/J43,"")</f>
        <v>8.1622757394536922</v>
      </c>
      <c r="K44" s="1075">
        <f>IFERROR(K37/K43,"")</f>
        <v>9.1725150971111464</v>
      </c>
      <c r="L44" s="1075">
        <f>IFERROR(L37/L43,"")</f>
        <v>10.456810631229235</v>
      </c>
      <c r="M44" s="1075">
        <f>IFERROR(M37/M43,"")</f>
        <v>8.8754059135190566</v>
      </c>
      <c r="N44" s="1076">
        <f>IFERROR(N37/N43,"")</f>
        <v>8.7392648574373055</v>
      </c>
      <c r="O44" s="1075">
        <f ca="1">IFERROR(O37/O43,"")</f>
        <v>10.246222457541528</v>
      </c>
      <c r="P44" s="1075">
        <f ca="1">IFERROR(P37/P43,"")</f>
        <v>11.307259474180238</v>
      </c>
      <c r="Q44" s="1075">
        <f ca="1">IFERROR(Q37/Q43,"")</f>
        <v>12.689222605322245</v>
      </c>
      <c r="R44" s="1075">
        <f ca="1">IFERROR(R37/R43,"")</f>
        <v>14.127609011486499</v>
      </c>
      <c r="S44" s="1075">
        <f ca="1">IFERROR(S37/S43,"")</f>
        <v>15.699836663334432</v>
      </c>
      <c r="T44" s="1027"/>
      <c r="U44" s="1075">
        <f>U37/U43</f>
        <v>9.3559031497750169</v>
      </c>
      <c r="V44" s="1075">
        <f ca="1">V37/V43</f>
        <v>10.400946894198382</v>
      </c>
      <c r="W44" s="1027"/>
      <c r="X44" s="1077">
        <f ca="1">IFERROR(($N44/OFFSET($N44,0,-X$3))^(1/X$3)-1, "N/A")</f>
        <v>4.4941615868672846E-2</v>
      </c>
      <c r="AA44" s="990"/>
      <c r="AB44" s="990"/>
    </row>
    <row r="45" spans="1:29" ht="14.5" customHeight="1" thickTop="1" x14ac:dyDescent="0.35">
      <c r="B45" s="1023" t="s">
        <v>1102</v>
      </c>
      <c r="C45" s="1051"/>
      <c r="D45" s="1025"/>
      <c r="E45" s="1025">
        <f>IFERROR(E44/D44-1, "N/A")</f>
        <v>5.7948531126632785E-2</v>
      </c>
      <c r="F45" s="1025">
        <f>IFERROR(F44/E44-1, "N/A")</f>
        <v>6.0752951488926676E-2</v>
      </c>
      <c r="G45" s="1025">
        <f>IFERROR(G44/F44-1, "N/A")</f>
        <v>6.3041436064021461E-2</v>
      </c>
      <c r="H45" s="1025">
        <f>IFERROR(H44/G44-1, "N/A")</f>
        <v>0.11452466038833342</v>
      </c>
      <c r="I45" s="1025">
        <f>IFERROR(I44/H44-1, "N/A")</f>
        <v>1.3135935212924554E-2</v>
      </c>
      <c r="J45" s="1025">
        <f>IFERROR(J44/I44-1, "N/A")</f>
        <v>7.6143617045291379E-2</v>
      </c>
      <c r="K45" s="1025">
        <f>IFERROR(K44/J44-1, "N/A")</f>
        <v>0.12376932486785486</v>
      </c>
      <c r="L45" s="1025">
        <f>IFERROR(L44/K44-1, "N/A")</f>
        <v>0.14001563589931543</v>
      </c>
      <c r="M45" s="1025">
        <f>IFERROR(M44/L44-1, "N/A")</f>
        <v>-0.15123203178102107</v>
      </c>
      <c r="N45" s="1026">
        <f>IFERROR(N44/M44-1, "N/A")</f>
        <v>-1.5339135743006493E-2</v>
      </c>
      <c r="O45" s="1025">
        <f ca="1">IFERROR(O44/N44-1, "N/A")</f>
        <v>0.17243528199305791</v>
      </c>
      <c r="P45" s="1025">
        <f ca="1">IFERROR(P44/O44-1, "N/A")</f>
        <v>0.1035539703569246</v>
      </c>
      <c r="Q45" s="1025">
        <f ca="1">IFERROR(Q44/P44-1, "N/A")</f>
        <v>0.12221910484124598</v>
      </c>
      <c r="R45" s="1025">
        <f ca="1">IFERROR(R44/Q44-1, "N/A")</f>
        <v>0.11335496672278023</v>
      </c>
      <c r="S45" s="1025">
        <f ca="1">IFERROR(S44/R44-1, "N/A")</f>
        <v>0.11128759654727349</v>
      </c>
      <c r="T45" s="1054"/>
      <c r="U45" s="1054"/>
      <c r="V45" s="1054"/>
      <c r="W45" s="1054"/>
      <c r="X45" s="1054"/>
    </row>
    <row r="46" spans="1:29" s="1009" customFormat="1" ht="14.5" customHeight="1" x14ac:dyDescent="0.35">
      <c r="A46" s="1022"/>
      <c r="B46" s="1028" t="s">
        <v>1103</v>
      </c>
      <c r="C46" s="1024"/>
      <c r="D46" s="1025"/>
      <c r="E46" s="1025"/>
      <c r="F46" s="1025">
        <f>IFERROR(F45+E45, "N/A")</f>
        <v>0.11870148261555946</v>
      </c>
      <c r="G46" s="1025">
        <f>IFERROR(G45+F45, "N/A")</f>
        <v>0.12379438755294814</v>
      </c>
      <c r="H46" s="1025">
        <f>IFERROR(H45+G45, "N/A")</f>
        <v>0.17756609645235488</v>
      </c>
      <c r="I46" s="1025">
        <f>IFERROR(I45+H45, "N/A")</f>
        <v>0.12766059560125798</v>
      </c>
      <c r="J46" s="1025">
        <f>IFERROR(J45+I45, "N/A")</f>
        <v>8.9279552258215933E-2</v>
      </c>
      <c r="K46" s="1025">
        <f>IFERROR(K45+J45, "N/A")</f>
        <v>0.19991294191314624</v>
      </c>
      <c r="L46" s="1025">
        <f>IFERROR(L45+K45, "N/A")</f>
        <v>0.26378496076717028</v>
      </c>
      <c r="M46" s="1025">
        <f>IFERROR(M45+L45, "N/A")</f>
        <v>-1.1216395881705643E-2</v>
      </c>
      <c r="N46" s="1026">
        <f>IFERROR(N45+M45, "N/A")</f>
        <v>-0.16657116752402756</v>
      </c>
      <c r="O46" s="1025">
        <f ca="1">IFERROR(O45+N45, "N/A")</f>
        <v>0.15709614625005142</v>
      </c>
      <c r="P46" s="1025">
        <f ca="1">IFERROR(P45+O45, "N/A")</f>
        <v>0.27598925234998251</v>
      </c>
      <c r="Q46" s="1025">
        <f ca="1">IFERROR(Q45+P45, "N/A")</f>
        <v>0.22577307519817058</v>
      </c>
      <c r="R46" s="1025">
        <f ca="1">IFERROR(R45+Q45, "N/A")</f>
        <v>0.23557407156402621</v>
      </c>
      <c r="S46" s="1025">
        <f ca="1">IFERROR(S45+R45, "N/A")</f>
        <v>0.22464256327005372</v>
      </c>
      <c r="T46" s="1027"/>
      <c r="U46" s="1027"/>
      <c r="V46" s="1027"/>
      <c r="W46" s="1027"/>
      <c r="X46" s="1027"/>
      <c r="Y46" s="996"/>
      <c r="Z46" s="996"/>
      <c r="AA46" s="990"/>
      <c r="AB46" s="990"/>
      <c r="AC46" s="996"/>
    </row>
    <row r="47" spans="1:29" s="1009" customFormat="1" ht="14.5" customHeight="1" x14ac:dyDescent="0.35">
      <c r="A47" s="1022"/>
      <c r="B47" s="1028" t="s">
        <v>1104</v>
      </c>
      <c r="C47" s="1024"/>
      <c r="D47" s="1025"/>
      <c r="E47" s="1025"/>
      <c r="F47" s="1025"/>
      <c r="G47" s="1025">
        <f>IFERROR(G45+F45+E45, "N/A")</f>
        <v>0.18174291867958092</v>
      </c>
      <c r="H47" s="1025">
        <f>IFERROR(H45+G45+F45, "N/A")</f>
        <v>0.23831904794128156</v>
      </c>
      <c r="I47" s="1025">
        <f>IFERROR(I45+H45+G45, "N/A")</f>
        <v>0.19070203166527944</v>
      </c>
      <c r="J47" s="1025">
        <f>IFERROR(J45+I45+H45, "N/A")</f>
        <v>0.20380421264654935</v>
      </c>
      <c r="K47" s="1025">
        <f>IFERROR(K45+J45+I45, "N/A")</f>
        <v>0.21304887712607079</v>
      </c>
      <c r="L47" s="1025">
        <f>IFERROR(L45+K45+J45, "N/A")</f>
        <v>0.33992857781246166</v>
      </c>
      <c r="M47" s="1025">
        <f>IFERROR(M45+L45+K45, "N/A")</f>
        <v>0.11255292898614921</v>
      </c>
      <c r="N47" s="1026">
        <f>IFERROR(N45+M45+L45, "N/A")</f>
        <v>-2.6555531624712136E-2</v>
      </c>
      <c r="O47" s="1025">
        <f ca="1">IFERROR(O45+N45+M45, "N/A")</f>
        <v>5.8641144690303459E-3</v>
      </c>
      <c r="P47" s="1025">
        <f ca="1">IFERROR(P45+O45+N45, "N/A")</f>
        <v>0.26065011660697601</v>
      </c>
      <c r="Q47" s="1025">
        <f ca="1">IFERROR(Q45+P45+O45, "N/A")</f>
        <v>0.39820835719122849</v>
      </c>
      <c r="R47" s="1025">
        <f ca="1">IFERROR(R45+Q45+P45, "N/A")</f>
        <v>0.33912804192095081</v>
      </c>
      <c r="S47" s="1025">
        <f ca="1">IFERROR(S45+R45+Q45, "N/A")</f>
        <v>0.3468616681112997</v>
      </c>
      <c r="T47" s="1027"/>
      <c r="U47" s="1027"/>
      <c r="V47" s="1027"/>
      <c r="W47" s="1027"/>
      <c r="X47" s="1027"/>
      <c r="Y47" s="996"/>
      <c r="Z47" s="996"/>
      <c r="AA47" s="1060"/>
      <c r="AB47" s="1060"/>
      <c r="AC47" s="996"/>
    </row>
    <row r="48" spans="1:29" ht="14.5" customHeight="1" x14ac:dyDescent="0.35">
      <c r="B48" s="1023" t="s">
        <v>1105</v>
      </c>
      <c r="C48" s="1051"/>
      <c r="D48" s="1025">
        <f>IFERROR(D44*D43/D$7, "N/A")</f>
        <v>0.15321431250468831</v>
      </c>
      <c r="E48" s="1025">
        <f>IFERROR(E44*E43/E$7, "N/A")</f>
        <v>0.14464219377933876</v>
      </c>
      <c r="F48" s="1025">
        <f>IFERROR(F44*F43/F$7, "N/A")</f>
        <v>0.14860888175494916</v>
      </c>
      <c r="G48" s="1025">
        <f>IFERROR(G44*G43/G$7, "N/A")</f>
        <v>0.15091833759839332</v>
      </c>
      <c r="H48" s="1025">
        <f>IFERROR(H44*H43/H$7, "N/A")</f>
        <v>0.15574620533609881</v>
      </c>
      <c r="I48" s="1025">
        <f>IFERROR(I44*I43/I$7, "N/A")</f>
        <v>0.15964193697562265</v>
      </c>
      <c r="J48" s="1025">
        <f>IFERROR(J44*J43/J$7, "N/A")</f>
        <v>0.16772393636454216</v>
      </c>
      <c r="K48" s="1025">
        <f>IFERROR(K44*K43/K$7, "N/A")</f>
        <v>0.17752787693085256</v>
      </c>
      <c r="L48" s="1025">
        <f>IFERROR(L44*L43/L$7, "N/A")</f>
        <v>0.19212574393407597</v>
      </c>
      <c r="M48" s="1025">
        <f>IFERROR(M44*M43/M$7, "N/A")</f>
        <v>0.16159447348767736</v>
      </c>
      <c r="N48" s="1026">
        <f>IFERROR(N44*N43/N$7, "N/A")</f>
        <v>0.1580909768829232</v>
      </c>
      <c r="O48" s="1025">
        <f ca="1">IFERROR(O44*O43/O$7, "N/A")</f>
        <v>0.17425538532412158</v>
      </c>
      <c r="P48" s="1025">
        <f ca="1">IFERROR(P44*P43/P$7, "N/A")</f>
        <v>0.17736667135679401</v>
      </c>
      <c r="Q48" s="1025">
        <f ca="1">IFERROR(Q44*Q43/Q$7, "N/A")</f>
        <v>0.18306533941990161</v>
      </c>
      <c r="R48" s="1025">
        <f ca="1">IFERROR(R44*R43/R$7, "N/A")</f>
        <v>0.18880183484448462</v>
      </c>
      <c r="S48" s="1025">
        <f ca="1">IFERROR(S44*S43/S$7, "N/A")</f>
        <v>0.19454220904541125</v>
      </c>
      <c r="T48" s="1048"/>
      <c r="U48" s="1025">
        <f>IFERROR(U44*U43/U$7, "N/A")</f>
        <v>0.16559466019417479</v>
      </c>
      <c r="V48" s="1025">
        <f ca="1">IFERROR(V44*V43/V$7, "N/A")</f>
        <v>0.17292433937668161</v>
      </c>
      <c r="W48" s="1048"/>
      <c r="X48" s="1025">
        <f ca="1">IFERROR(AVERAGE($N48:INDIRECT(CONCATENATE(SUBSTITUTE(ADDRESS(1,COLUMN(OFFSET($N48,0,-(X$3-1))),4),"1",""),ROW(OFFSET($N48,0,-(X$3-1)))))), "N/A")</f>
        <v>0.16166205630444741</v>
      </c>
      <c r="AA48" s="1078"/>
      <c r="AB48" s="1078"/>
    </row>
    <row r="49" spans="1:29" s="1079" customFormat="1" ht="14.5" customHeight="1" x14ac:dyDescent="0.35">
      <c r="B49" s="1055" t="str">
        <f ca="1">IFERROR(IF(LEFT(OFFSET(INDEX(MO_RIS_EPS_WAD_Adj,0,COLUMN(MO_Common_Column_A)),1,0),9)="Consensus",OFFSET(INDEX(MO_RIS_EPS_WAD_Adj,0,COLUMN(MO_Common_Column_A)),1,0),""), "Consensus - Adjusted EPS")</f>
        <v>Consensus Estimates - Adjusted Earnings Per Share - WAD</v>
      </c>
      <c r="C49" s="1080"/>
      <c r="D49" s="1057"/>
      <c r="E49" s="1057"/>
      <c r="F49" s="1057"/>
      <c r="G49" s="1057"/>
      <c r="H49" s="1057"/>
      <c r="I49" s="1057"/>
      <c r="J49" s="1057"/>
      <c r="K49" s="1057"/>
      <c r="L49" s="1057"/>
      <c r="M49" s="1057"/>
      <c r="N49" s="1058"/>
      <c r="O49" s="1081" t="str">
        <f ca="1">IFERROR(IF(LEFT($B49,19)="Consensus Estimates",OFFSET(INDEX(MO_RIS_EPS_WAD_Adj,0,MATCH(O$5,MO_Common_ColumnHeader,0)),1,0),"N/A"), "N/A")</f>
        <v>N/A</v>
      </c>
      <c r="P49" s="1081" t="str">
        <f ca="1">IFERROR(IF(LEFT($B49,19)="Consensus Estimates",OFFSET(INDEX(MO_RIS_EPS_WAD_Adj,0,MATCH(P$5,MO_Common_ColumnHeader,0)),1,0),"N/A"), "N/A")</f>
        <v>N/A</v>
      </c>
      <c r="Q49" s="1081" t="str">
        <f ca="1">IFERROR(IF(LEFT($B49,19)="Consensus Estimates",OFFSET(INDEX(MO_RIS_EPS_WAD_Adj,0,MATCH(Q$5,MO_Common_ColumnHeader,0)),1,0),"N/A"), "N/A")</f>
        <v>N/A</v>
      </c>
      <c r="R49" s="1081" t="str">
        <f ca="1">IFERROR(IF(LEFT($B49,19)="Consensus Estimates",OFFSET(INDEX(MO_RIS_EPS_WAD_Adj,0,MATCH(R$5,MO_Common_ColumnHeader,0)),1,0),"N/A"), "N/A")</f>
        <v>N/A</v>
      </c>
      <c r="S49" s="1081" t="str">
        <f ca="1">IFERROR(IF(LEFT($B49,19)="Consensus Estimates",OFFSET(INDEX(MO_RIS_EPS_WAD_Adj,0,MATCH(S$5,MO_Common_ColumnHeader,0)),1,0),"N/A"), "N/A")</f>
        <v>N/A</v>
      </c>
      <c r="T49" s="1082"/>
      <c r="U49" s="1057"/>
      <c r="V49" s="1057"/>
      <c r="W49" s="1083"/>
      <c r="X49" s="1057"/>
      <c r="AA49" s="1084"/>
      <c r="AB49" s="1084"/>
    </row>
    <row r="50" spans="1:29" ht="14.5" customHeight="1" x14ac:dyDescent="0.35">
      <c r="B50" s="1053"/>
      <c r="D50" s="1085"/>
      <c r="E50" s="1085"/>
      <c r="F50" s="1085"/>
      <c r="G50" s="1085"/>
      <c r="H50" s="1085"/>
      <c r="I50" s="1085"/>
      <c r="J50" s="1085"/>
      <c r="K50" s="1085"/>
      <c r="L50" s="1085"/>
      <c r="M50" s="1085"/>
      <c r="N50" s="1086"/>
      <c r="O50" s="1085"/>
      <c r="P50" s="1085"/>
      <c r="Q50" s="1085"/>
      <c r="R50" s="1085"/>
      <c r="S50" s="1085"/>
      <c r="T50" s="1048"/>
      <c r="U50" s="1048"/>
      <c r="V50" s="1048"/>
      <c r="W50" s="1048"/>
      <c r="X50" s="1048"/>
      <c r="AA50" s="1060"/>
      <c r="AB50" s="1060"/>
    </row>
    <row r="51" spans="1:29" ht="14.5" customHeight="1" x14ac:dyDescent="0.35">
      <c r="B51" s="1010" t="s">
        <v>1110</v>
      </c>
      <c r="C51" s="1011"/>
      <c r="D51" s="1087"/>
      <c r="E51" s="1087"/>
      <c r="F51" s="1087"/>
      <c r="G51" s="1087"/>
      <c r="H51" s="1087"/>
      <c r="I51" s="1087"/>
      <c r="J51" s="1087"/>
      <c r="K51" s="1087"/>
      <c r="L51" s="1087"/>
      <c r="M51" s="1087"/>
      <c r="N51" s="1088"/>
      <c r="O51" s="1087"/>
      <c r="P51" s="1087"/>
      <c r="Q51" s="1087"/>
      <c r="R51" s="1087"/>
      <c r="S51" s="1087"/>
      <c r="T51" s="1043"/>
      <c r="U51" s="1089"/>
      <c r="V51" s="1089"/>
      <c r="W51" s="1043"/>
      <c r="X51" s="1089"/>
      <c r="AA51" s="1078"/>
      <c r="AB51" s="1078"/>
    </row>
    <row r="52" spans="1:29" s="1060" customFormat="1" ht="14.5" customHeight="1" x14ac:dyDescent="0.35">
      <c r="A52" s="1031"/>
      <c r="B52" s="1039" t="s">
        <v>123</v>
      </c>
      <c r="D52" s="1072">
        <f t="array" ref="D52">IFERROR(INDEX(MO_CFS_CFO_BeforeWC,0,MATCH(D$5,MO_Common_ColumnHeader,0)), 0)</f>
        <v>5038</v>
      </c>
      <c r="E52" s="1072">
        <f t="array" ref="E52">IFERROR(INDEX(MO_CFS_CFO_BeforeWC,0,MATCH(E$5,MO_Common_ColumnHeader,0)), 0)</f>
        <v>5943</v>
      </c>
      <c r="F52" s="1072">
        <f t="array" ref="F52">IFERROR(INDEX(MO_CFS_CFO_BeforeWC,0,MATCH(F$5,MO_Common_ColumnHeader,0)), 0)</f>
        <v>5497</v>
      </c>
      <c r="G52" s="1072">
        <f t="array" ref="G52">IFERROR(INDEX(MO_CFS_CFO_BeforeWC,0,MATCH(G$5,MO_Common_ColumnHeader,0)), 0)</f>
        <v>6144</v>
      </c>
      <c r="H52" s="1072">
        <f t="array" ref="H52">IFERROR(INDEX(MO_CFS_CFO_BeforeWC,0,MATCH(H$5,MO_Common_ColumnHeader,0)), 0)</f>
        <v>6549</v>
      </c>
      <c r="I52" s="1072">
        <f t="array" ref="I52">IFERROR(INDEX(MO_CFS_CFO_BeforeWC,0,MATCH(I$5,MO_Common_ColumnHeader,0)), 0)</f>
        <v>7082</v>
      </c>
      <c r="J52" s="1072">
        <f t="array" ref="J52">IFERROR(INDEX(MO_CFS_CFO_BeforeWC,0,MATCH(J$5,MO_Common_ColumnHeader,0)), 0)</f>
        <v>6705</v>
      </c>
      <c r="K52" s="1072">
        <f t="array" ref="K52">IFERROR(INDEX(MO_CFS_CFO_BeforeWC,0,MATCH(K$5,MO_Common_ColumnHeader,0)), 0)</f>
        <v>5625</v>
      </c>
      <c r="L52" s="1072">
        <f t="array" ref="L52">IFERROR(INDEX(MO_CFS_CFO_BeforeWC,0,MATCH(L$5,MO_Common_ColumnHeader,0)), 0)</f>
        <v>6591</v>
      </c>
      <c r="M52" s="1072">
        <f t="array" ref="M52">IFERROR(INDEX(MO_CFS_CFO_BeforeWC,0,MATCH(M$5,MO_Common_ColumnHeader,0)), 0)</f>
        <v>6378</v>
      </c>
      <c r="N52" s="1073">
        <f t="array" ref="N52">IFERROR(INDEX(MO_CFS_CFO_BeforeWC,0,MATCH(N$5,MO_Common_ColumnHeader,0)), 0)</f>
        <v>7257</v>
      </c>
      <c r="O52" s="1072">
        <f t="array" ref="O52">IFERROR(INDEX(MO_CFS_CFO_BeforeWC,0,MATCH(O$5,MO_Common_ColumnHeader,0)), 0)</f>
        <v>8112.7168596195306</v>
      </c>
      <c r="P52" s="1072">
        <f t="array" aca="1" ref="P52" ca="1">IFERROR(INDEX(MO_CFS_CFO_BeforeWC,0,MATCH(P$5,MO_Common_ColumnHeader,0)), 0)</f>
        <v>8624.6026144937787</v>
      </c>
      <c r="Q52" s="1072">
        <f t="array" aca="1" ref="Q52" ca="1">IFERROR(INDEX(MO_CFS_CFO_BeforeWC,0,MATCH(Q$5,MO_Common_ColumnHeader,0)), 0)</f>
        <v>9279.0768052823114</v>
      </c>
      <c r="R52" s="1072">
        <f t="array" aca="1" ref="R52" ca="1">IFERROR(INDEX(MO_CFS_CFO_BeforeWC,0,MATCH(R$5,MO_Common_ColumnHeader,0)), 0)</f>
        <v>9993.1708022494713</v>
      </c>
      <c r="S52" s="1072">
        <f t="array" aca="1" ref="S52" ca="1">IFERROR(INDEX(MO_CFS_CFO_BeforeWC,0,MATCH(S$5,MO_Common_ColumnHeader,0)), 0)</f>
        <v>10770.619039878158</v>
      </c>
      <c r="T52" s="1090"/>
      <c r="U52" s="1045">
        <f>IFERROR(IFERROR(INDEX(MO_CFS_CFO_BeforeWC,0,MATCH($AG$2,MO_Common_ColumnHeader,0))+INDEX(MO_CFS_CFO_BeforeWC,0,MATCH($AG$3,MO_Common_ColumnHeader,0)),INDEX(MO_CFS_CFO_BeforeWC,0,MATCH($AA$2,MO_Common_ColumnHeader,0))+INDEX(MO_CFS_CFO_BeforeWC,0,MATCH($AA$3,MO_Common_ColumnHeader,0))+INDEX(MO_CFS_CFO_BeforeWC,0,MATCH($AA$4,MO_Common_ColumnHeader,0))+INDEX(MO_CFS_CFO_BeforeWC,0,MATCH($AA$5,MO_Common_ColumnHeader,0))),"N/A")</f>
        <v>7551</v>
      </c>
      <c r="V52" s="1045">
        <f>IFERROR(IFERROR(INDEX(MO_CFS_CFO_BeforeWC,0,MATCH($AJ$2,MO_Common_ColumnHeader,0))+INDEX(MO_CFS_CFO_BeforeWC,0,MATCH($AJ$3,MO_Common_ColumnHeader,0)),INDEX(MO_CFS_CFO_BeforeWC,0,MATCH($AD$2,MO_Common_ColumnHeader,0))+INDEX(MO_CFS_CFO_BeforeWC,0,MATCH($AD$3,MO_Common_ColumnHeader,0))+INDEX(MO_CFS_CFO_BeforeWC,0,MATCH($AD$4,MO_Common_ColumnHeader,0))+INDEX(MO_CFS_CFO_BeforeWC,0,MATCH($AD$5,MO_Common_ColumnHeader,0))),"N/A")</f>
        <v>8169.3567185232287</v>
      </c>
      <c r="W52" s="1090"/>
      <c r="X52" s="1049">
        <f ca="1">IFERROR(($N52/OFFSET($N52,0,-X$3))^(1/X$3)-1, "N/A")</f>
        <v>3.7169879686957286E-2</v>
      </c>
    </row>
    <row r="53" spans="1:29" s="1078" customFormat="1" ht="14.5" customHeight="1" x14ac:dyDescent="0.35">
      <c r="A53" s="1091"/>
      <c r="B53" s="1092" t="s">
        <v>1111</v>
      </c>
      <c r="C53" s="1060"/>
      <c r="D53" s="1093">
        <f t="array" ref="D53">IFERROR(INDEX(MO_CFS_CFO,0,MATCH(D$5,MO_Common_ColumnHeader,0))-INDEX(MO_CFS_CFO_BeforeWC,0,MATCH(D5,MO_Common_ColumnHeader,0)), 0)</f>
        <v>136</v>
      </c>
      <c r="E53" s="1093">
        <f t="array" ref="E53">IFERROR(INDEX(MO_CFS_CFO,0,MATCH(E$5,MO_Common_ColumnHeader,0))-INDEX(MO_CFS_CFO_BeforeWC,0,MATCH(E5,MO_Common_ColumnHeader,0)), 0)</f>
        <v>-659</v>
      </c>
      <c r="F53" s="1093">
        <f t="array" ref="F53">IFERROR(INDEX(MO_CFS_CFO,0,MATCH(F$5,MO_Common_ColumnHeader,0))-INDEX(MO_CFS_CFO_BeforeWC,0,MATCH(F5,MO_Common_ColumnHeader,0)), 0)</f>
        <v>-197</v>
      </c>
      <c r="G53" s="1093">
        <f t="array" ref="G53">IFERROR(INDEX(MO_CFS_CFO,0,MATCH(G$5,MO_Common_ColumnHeader,0))-INDEX(MO_CFS_CFO_BeforeWC,0,MATCH(G5,MO_Common_ColumnHeader,0)), 0)</f>
        <v>-327</v>
      </c>
      <c r="H53" s="1093">
        <f t="array" ref="H53">IFERROR(INDEX(MO_CFS_CFO,0,MATCH(H$5,MO_Common_ColumnHeader,0))-INDEX(MO_CFS_CFO_BeforeWC,0,MATCH(H5,MO_Common_ColumnHeader,0)), 0)</f>
        <v>77</v>
      </c>
      <c r="I53" s="1093">
        <f t="array" ref="I53">IFERROR(INDEX(MO_CFS_CFO,0,MATCH(I$5,MO_Common_ColumnHeader,0))-INDEX(MO_CFS_CFO_BeforeWC,0,MATCH(I5,MO_Common_ColumnHeader,0)), 0)</f>
        <v>-662</v>
      </c>
      <c r="J53" s="1093">
        <f t="array" ref="J53">IFERROR(INDEX(MO_CFS_CFO,0,MATCH(J$5,MO_Common_ColumnHeader,0))-INDEX(MO_CFS_CFO_BeforeWC,0,MATCH(J5,MO_Common_ColumnHeader,0)), 0)</f>
        <v>-43</v>
      </c>
      <c r="K53" s="1093">
        <f t="array" ref="K53">IFERROR(INDEX(MO_CFS_CFO,0,MATCH(K$5,MO_Common_ColumnHeader,0))-INDEX(MO_CFS_CFO_BeforeWC,0,MATCH(K5,MO_Common_ColumnHeader,0)), 0)</f>
        <v>615</v>
      </c>
      <c r="L53" s="1093">
        <f t="array" ref="L53">IFERROR(INDEX(MO_CFS_CFO,0,MATCH(L$5,MO_Common_ColumnHeader,0))-INDEX(MO_CFS_CFO_BeforeWC,0,MATCH(L5,MO_Common_ColumnHeader,0)), 0)</f>
        <v>-152</v>
      </c>
      <c r="M53" s="1093">
        <f t="array" ref="M53">IFERROR(INDEX(MO_CFS_CFO,0,MATCH(M$5,MO_Common_ColumnHeader,0))-INDEX(MO_CFS_CFO_BeforeWC,0,MATCH(M5,MO_Common_ColumnHeader,0)), 0)</f>
        <v>692</v>
      </c>
      <c r="N53" s="1094">
        <f t="array" ref="N53">IFERROR(INDEX(MO_CFS_CFO,0,MATCH(N$5,MO_Common_ColumnHeader,0))-INDEX(MO_CFS_CFO_BeforeWC,0,MATCH(N5,MO_Common_ColumnHeader,0)), 0)</f>
        <v>856</v>
      </c>
      <c r="O53" s="1093">
        <f t="array" ref="O53">IFERROR(INDEX(MO_CFS_CFO,0,MATCH(O$5,MO_Common_ColumnHeader,0))-INDEX(MO_CFS_CFO_BeforeWC,0,MATCH(O5,MO_Common_ColumnHeader,0)), 0)</f>
        <v>-745.21398744046746</v>
      </c>
      <c r="P53" s="1093">
        <f t="array" aca="1" ref="P53" ca="1">IFERROR(INDEX(MO_CFS_CFO,0,MATCH(P$5,MO_Common_ColumnHeader,0))-INDEX(MO_CFS_CFO_BeforeWC,0,MATCH(P5,MO_Common_ColumnHeader,0)), 0)</f>
        <v>-484.93997576313996</v>
      </c>
      <c r="Q53" s="1093">
        <f t="array" aca="1" ref="Q53" ca="1">IFERROR(INDEX(MO_CFS_CFO,0,MATCH(Q$5,MO_Common_ColumnHeader,0))-INDEX(MO_CFS_CFO_BeforeWC,0,MATCH(Q5,MO_Common_ColumnHeader,0)), 0)</f>
        <v>-503.66974802534423</v>
      </c>
      <c r="R53" s="1093">
        <f t="array" aca="1" ref="R53" ca="1">IFERROR(INDEX(MO_CFS_CFO,0,MATCH(R$5,MO_Common_ColumnHeader,0))-INDEX(MO_CFS_CFO_BeforeWC,0,MATCH(R5,MO_Common_ColumnHeader,0)), 0)</f>
        <v>-537.49662999117754</v>
      </c>
      <c r="S53" s="1093">
        <f t="array" aca="1" ref="S53" ca="1">IFERROR(INDEX(MO_CFS_CFO,0,MATCH(S$5,MO_Common_ColumnHeader,0))-INDEX(MO_CFS_CFO_BeforeWC,0,MATCH(S5,MO_Common_ColumnHeader,0)), 0)</f>
        <v>-573.6765016402951</v>
      </c>
      <c r="T53" s="1090"/>
      <c r="U53" s="1095">
        <f>IFERROR(U54-U52, "N/A")</f>
        <v>1037</v>
      </c>
      <c r="V53" s="1095">
        <f>IFERROR(V54-V52, "N/A")</f>
        <v>-415.9919754247594</v>
      </c>
      <c r="W53" s="1090"/>
      <c r="X53" s="1096">
        <f ca="1">IFERROR(($N53/OFFSET($N53,0,-X$3))^(1/X$3)-1, "N/A")</f>
        <v>0.20196960532321673</v>
      </c>
      <c r="AA53" s="1097"/>
      <c r="AB53" s="1097"/>
    </row>
    <row r="54" spans="1:29" s="1060" customFormat="1" ht="14.5" customHeight="1" x14ac:dyDescent="0.35">
      <c r="A54" s="1031"/>
      <c r="B54" s="1098" t="s">
        <v>1112</v>
      </c>
      <c r="C54" s="1099"/>
      <c r="D54" s="1100">
        <f>SUM(D52:D53)</f>
        <v>5174</v>
      </c>
      <c r="E54" s="1100">
        <f>SUM(E52:E53)</f>
        <v>5284</v>
      </c>
      <c r="F54" s="1100">
        <f>SUM(F52:F53)</f>
        <v>5300</v>
      </c>
      <c r="G54" s="1100">
        <f>SUM(G52:G53)</f>
        <v>5817</v>
      </c>
      <c r="H54" s="1100">
        <f>SUM(H52:H53)</f>
        <v>6626</v>
      </c>
      <c r="I54" s="1100">
        <f>SUM(I52:I53)</f>
        <v>6420</v>
      </c>
      <c r="J54" s="1100">
        <f>SUM(J52:J53)</f>
        <v>6662</v>
      </c>
      <c r="K54" s="1100">
        <f>SUM(K52:K53)</f>
        <v>6240</v>
      </c>
      <c r="L54" s="1100">
        <f>SUM(L52:L53)</f>
        <v>6439</v>
      </c>
      <c r="M54" s="1100">
        <f>SUM(M52:M53)</f>
        <v>7070</v>
      </c>
      <c r="N54" s="1101">
        <f>SUM(N52:N53)</f>
        <v>8113</v>
      </c>
      <c r="O54" s="1100">
        <f>SUM(O52:O53)</f>
        <v>7367.5028721790632</v>
      </c>
      <c r="P54" s="1100">
        <f ca="1">SUM(P52:P53)</f>
        <v>8139.6626387306387</v>
      </c>
      <c r="Q54" s="1100">
        <f ca="1">SUM(Q52:Q53)</f>
        <v>8775.4070572569672</v>
      </c>
      <c r="R54" s="1100">
        <f ca="1">SUM(R52:R53)</f>
        <v>9455.6741722582938</v>
      </c>
      <c r="S54" s="1100">
        <f ca="1">SUM(S52:S53)</f>
        <v>10196.942538237863</v>
      </c>
      <c r="T54" s="1090"/>
      <c r="U54" s="1102">
        <f>IFERROR(IFERROR(INDEX(MO_CFS_CFO,0,MATCH($AG$2,MO_Common_ColumnHeader,0))+INDEX(MO_CFS_CFO,0,MATCH($AG$3,MO_Common_ColumnHeader,0)),INDEX(MO_CFS_CFO,0,MATCH($AA$2,MO_Common_ColumnHeader,0))+INDEX(MO_CFS_CFO,0,MATCH($AA$3,MO_Common_ColumnHeader,0))+INDEX(MO_CFS_CFO,0,MATCH($AA$4,MO_Common_ColumnHeader,0))+INDEX(MO_CFS_CFO,0,MATCH($AA$5,MO_Common_ColumnHeader,0))),"N/A")</f>
        <v>8588</v>
      </c>
      <c r="V54" s="1102">
        <f>IFERROR(IFERROR(INDEX(MO_CFS_CFO,0,MATCH($AJ$2,MO_Common_ColumnHeader,0))+INDEX(MO_CFS_CFO,0,MATCH($AJ$3,MO_Common_ColumnHeader,0)),INDEX(MO_CFS_CFO,0,MATCH($AD$2,MO_Common_ColumnHeader,0))+INDEX(MO_CFS_CFO,0,MATCH($AD$3,MO_Common_ColumnHeader,0))+INDEX(MO_CFS_CFO,0,MATCH($AD$4,MO_Common_ColumnHeader,0))+INDEX(MO_CFS_CFO,0,MATCH($AD$5,MO_Common_ColumnHeader,0))),"N/A")</f>
        <v>7753.3647430984693</v>
      </c>
      <c r="W54" s="1090"/>
      <c r="X54" s="1049">
        <f ca="1">IFERROR(($N54/OFFSET($N54,0,-X$3))^(1/X$3)-1, "N/A")</f>
        <v>4.6009202039474673E-2</v>
      </c>
      <c r="AA54" s="990"/>
      <c r="AB54" s="990"/>
    </row>
    <row r="55" spans="1:29" s="1078" customFormat="1" ht="14.5" customHeight="1" x14ac:dyDescent="0.35">
      <c r="A55" s="1091"/>
      <c r="B55" s="1092" t="str">
        <f t="array" ref="B55">IFERROR(INDEX(MO_CFSum_Capex,0,COLUMN(MO_Common_Column_A)),"Capital Expenditures")</f>
        <v>Capex</v>
      </c>
      <c r="C55" s="1060"/>
      <c r="D55" s="1072">
        <f t="array" ref="D55">IFERROR(INDEX(MO_CFSum_Capex,0,MATCH(D$5,MO_Common_ColumnHeader,0)),0)</f>
        <v>-1091</v>
      </c>
      <c r="E55" s="1072">
        <f t="array" ref="E55">IFERROR(INDEX(MO_CFSum_Capex,0,MATCH(E$5,MO_Common_ColumnHeader,0)),0)</f>
        <v>-1379</v>
      </c>
      <c r="F55" s="1072">
        <f t="array" ref="F55">IFERROR(INDEX(MO_CFSum_Capex,0,MATCH(F$5,MO_Common_ColumnHeader,0)),0)</f>
        <v>-1484</v>
      </c>
      <c r="G55" s="1072">
        <f t="array" ref="G55">IFERROR(INDEX(MO_CFSum_Capex,0,MATCH(G$5,MO_Common_ColumnHeader,0)),0)</f>
        <v>-1665</v>
      </c>
      <c r="H55" s="1072">
        <f t="array" ref="H55">IFERROR(INDEX(MO_CFSum_Capex,0,MATCH(H$5,MO_Common_ColumnHeader,0)),0)</f>
        <v>-1493</v>
      </c>
      <c r="I55" s="1072">
        <f t="array" ref="I55">IFERROR(INDEX(MO_CFSum_Capex,0,MATCH(I$5,MO_Common_ColumnHeader,0)),0)</f>
        <v>-1461</v>
      </c>
      <c r="J55" s="1072">
        <f t="array" ref="J55">IFERROR(INDEX(MO_CFSum_Capex,0,MATCH(J$5,MO_Common_ColumnHeader,0)),0)</f>
        <v>-1420</v>
      </c>
      <c r="K55" s="1072">
        <f t="array" ref="K55">IFERROR(INDEX(MO_CFSum_Capex,0,MATCH(K$5,MO_Common_ColumnHeader,0)),0)</f>
        <v>-1373</v>
      </c>
      <c r="L55" s="1072">
        <f t="array" ref="L55">IFERROR(INDEX(MO_CFSum_Capex,0,MATCH(L$5,MO_Common_ColumnHeader,0)),0)</f>
        <v>-1577</v>
      </c>
      <c r="M55" s="1072">
        <f t="array" ref="M55">IFERROR(INDEX(MO_CFSum_Capex,0,MATCH(M$5,MO_Common_ColumnHeader,0)),0)</f>
        <v>-1699</v>
      </c>
      <c r="N55" s="1073">
        <f t="array" ref="N55">IFERROR(INDEX(MO_CFSum_Capex,0,MATCH(N$5,MO_Common_ColumnHeader,0)),0)</f>
        <v>-1501</v>
      </c>
      <c r="O55" s="1072">
        <f t="array" ref="O55">IFERROR(INDEX(MO_CFSum_Capex,0,MATCH(O$5,MO_Common_ColumnHeader,0)),0)</f>
        <v>-1735</v>
      </c>
      <c r="P55" s="1072">
        <f t="array" ref="P55">IFERROR(INDEX(MO_CFSum_Capex,0,MATCH(P$5,MO_Common_ColumnHeader,0)),0)</f>
        <v>-1900</v>
      </c>
      <c r="Q55" s="1072">
        <f t="array" ref="Q55">IFERROR(INDEX(MO_CFSum_Capex,0,MATCH(Q$5,MO_Common_ColumnHeader,0)),0)</f>
        <v>-1900</v>
      </c>
      <c r="R55" s="1072">
        <f t="array" ref="R55">IFERROR(INDEX(MO_CFSum_Capex,0,MATCH(R$5,MO_Common_ColumnHeader,0)),0)</f>
        <v>-1900</v>
      </c>
      <c r="S55" s="1072">
        <f t="array" ref="S55">IFERROR(INDEX(MO_CFSum_Capex,0,MATCH(S$5,MO_Common_ColumnHeader,0)),0)</f>
        <v>-1900</v>
      </c>
      <c r="T55" s="1090"/>
      <c r="U55" s="1102">
        <f>IFERROR(IFERROR(INDEX(MO_CFSum_Capex,0,MATCH($AG$2,MO_Common_ColumnHeader,0))+INDEX(MO_CFSum_Capex,0,MATCH($AG$3,MO_Common_ColumnHeader,0)),INDEX(MO_CFSum_Capex,0,MATCH($AA$2,MO_Common_ColumnHeader,0))+INDEX(MO_CFSum_Capex,0,MATCH($AA$3,MO_Common_ColumnHeader,0))+INDEX(MO_CFSum_Capex,0,MATCH($AA$4,MO_Common_ColumnHeader,0))+INDEX(MO_CFSum_Capex,0,MATCH($AA$5,MO_Common_ColumnHeader,0))),"N/A")</f>
        <v>-1479</v>
      </c>
      <c r="V55" s="1102">
        <f>IFERROR(IFERROR(INDEX(MO_CFSum_Capex,0,MATCH($AJ$2,MO_Common_ColumnHeader,0))+INDEX(MO_CFSum_Capex,0,MATCH($AJ$3,MO_Common_ColumnHeader,0)),INDEX(MO_CFSum_Capex,0,MATCH($AD$2,MO_Common_ColumnHeader,0))+INDEX(MO_CFSum_Capex,0,MATCH($AD$3,MO_Common_ColumnHeader,0))+INDEX(MO_CFSum_Capex,0,MATCH($AD$4,MO_Common_ColumnHeader,0))+INDEX(MO_CFSum_Capex,0,MATCH($AD$5,MO_Common_ColumnHeader,0))),"N/A")</f>
        <v>-1900</v>
      </c>
      <c r="W55" s="1090"/>
      <c r="X55" s="1049">
        <f ca="1">IFERROR(($N55/OFFSET($N55,0,-X$3))^(1/X$3)-1, "N/A")</f>
        <v>3.2418062736981224E-2</v>
      </c>
      <c r="AA55" s="987"/>
      <c r="AB55" s="1004"/>
    </row>
    <row r="56" spans="1:29" s="1060" customFormat="1" ht="14.5" customHeight="1" thickBot="1" x14ac:dyDescent="0.4">
      <c r="A56" s="1031"/>
      <c r="B56" s="1103" t="s">
        <v>1113</v>
      </c>
      <c r="C56" s="1104"/>
      <c r="D56" s="1105">
        <f>D54+D55</f>
        <v>4083</v>
      </c>
      <c r="E56" s="1105">
        <f>E54+E55</f>
        <v>3905</v>
      </c>
      <c r="F56" s="1105">
        <f>F54+F55</f>
        <v>3816</v>
      </c>
      <c r="G56" s="1105">
        <f>G54+G55</f>
        <v>4152</v>
      </c>
      <c r="H56" s="1105">
        <f>H54+H55</f>
        <v>5133</v>
      </c>
      <c r="I56" s="1105">
        <f>I54+I55</f>
        <v>4959</v>
      </c>
      <c r="J56" s="1105">
        <f>J54+J55</f>
        <v>5242</v>
      </c>
      <c r="K56" s="1105">
        <f>K54+K55</f>
        <v>4867</v>
      </c>
      <c r="L56" s="1105">
        <f>L54+L55</f>
        <v>4862</v>
      </c>
      <c r="M56" s="1105">
        <f>M54+M55</f>
        <v>5371</v>
      </c>
      <c r="N56" s="1106">
        <f>N54+N55</f>
        <v>6612</v>
      </c>
      <c r="O56" s="1105">
        <f>O54+O55</f>
        <v>5632.5028721790632</v>
      </c>
      <c r="P56" s="1105">
        <f ca="1">P54+P55</f>
        <v>6239.6626387306387</v>
      </c>
      <c r="Q56" s="1105">
        <f ca="1">Q54+Q55</f>
        <v>6875.4070572569672</v>
      </c>
      <c r="R56" s="1105">
        <f ca="1">R54+R55</f>
        <v>7555.6741722582938</v>
      </c>
      <c r="S56" s="1105">
        <f ca="1">S54+S55</f>
        <v>8296.9425382378631</v>
      </c>
      <c r="T56" s="1090"/>
      <c r="U56" s="1105">
        <f>U54+U55</f>
        <v>7109</v>
      </c>
      <c r="V56" s="1105">
        <f>V54+V55</f>
        <v>5853.3647430984693</v>
      </c>
      <c r="W56" s="1090"/>
      <c r="X56" s="1107">
        <f ca="1">IFERROR(($N56/OFFSET($N56,0,-X$3))^(1/X$3)-1, "N/A")</f>
        <v>4.9386194700355546E-2</v>
      </c>
      <c r="AA56" s="987"/>
      <c r="AB56" s="1004"/>
    </row>
    <row r="57" spans="1:29" s="1097" customFormat="1" ht="14.5" customHeight="1" thickTop="1" x14ac:dyDescent="0.35">
      <c r="A57" s="1108"/>
      <c r="B57" s="1023" t="s">
        <v>1114</v>
      </c>
      <c r="D57" s="1109">
        <f>IFERROR(D56/D43,"")</f>
        <v>5.6278428669882841</v>
      </c>
      <c r="E57" s="1109">
        <f>IFERROR(E56/E43,"")</f>
        <v>5.4311543810848404</v>
      </c>
      <c r="F57" s="1109">
        <f>IFERROR(F56/F43,"")</f>
        <v>5.4258495663301582</v>
      </c>
      <c r="G57" s="1109">
        <f>IFERROR(G56/G43,"")</f>
        <v>5.9861591695501728</v>
      </c>
      <c r="H57" s="1109">
        <f>IFERROR(H56/H43,"")</f>
        <v>7.7537764350453173</v>
      </c>
      <c r="I57" s="1109">
        <f>IFERROR(I56/I43,"")</f>
        <v>7.7824858757062145</v>
      </c>
      <c r="J57" s="1109">
        <f>IFERROR(J56/J43,"")</f>
        <v>8.4726038467754972</v>
      </c>
      <c r="K57" s="1109">
        <f>IFERROR(K56/K43,"")</f>
        <v>7.9435286437081762</v>
      </c>
      <c r="L57" s="1109">
        <f>IFERROR(L56/L43,"")</f>
        <v>8.0764119601328908</v>
      </c>
      <c r="M57" s="1109">
        <f>IFERROR(M56/M43,"")</f>
        <v>9.1796274141172454</v>
      </c>
      <c r="N57" s="1110">
        <f>IFERROR(N56/N43,"")</f>
        <v>11.356922019924424</v>
      </c>
      <c r="O57" s="1109">
        <f ca="1">IFERROR(O56/O43,"")</f>
        <v>9.6706282132991319</v>
      </c>
      <c r="P57" s="1109">
        <f ca="1">IFERROR(P56/P43,"")</f>
        <v>10.895177445379494</v>
      </c>
      <c r="Q57" s="1109">
        <f ca="1">IFERROR(Q56/Q43,"")</f>
        <v>12.263686143000278</v>
      </c>
      <c r="R57" s="1109">
        <f ca="1">IFERROR(R56/R43,"")</f>
        <v>13.666788972556484</v>
      </c>
      <c r="S57" s="1109">
        <f ca="1">IFERROR(S56/S43,"")</f>
        <v>15.201931683803414</v>
      </c>
      <c r="T57" s="1111"/>
      <c r="U57" s="1109">
        <f>U56/U43</f>
        <v>12.185986715234627</v>
      </c>
      <c r="V57" s="1109">
        <f ca="1">V56/V43</f>
        <v>10.093501729430603</v>
      </c>
      <c r="W57" s="1111"/>
      <c r="X57" s="1112">
        <f ca="1">IFERROR(($N57/OFFSET($N57,0,-X$3))^(1/X$3)-1, "N/A")</f>
        <v>7.2733561276964842E-2</v>
      </c>
      <c r="AA57" s="990"/>
      <c r="AB57" s="990"/>
    </row>
    <row r="58" spans="1:29" ht="14.5" customHeight="1" x14ac:dyDescent="0.35">
      <c r="B58" s="1023" t="s">
        <v>1102</v>
      </c>
      <c r="C58" s="1051"/>
      <c r="D58" s="1025"/>
      <c r="E58" s="1025">
        <f>IFERROR(E56/D56-1, "N/A")</f>
        <v>-4.3595395542493254E-2</v>
      </c>
      <c r="F58" s="1025">
        <f>IFERROR(F56/E56-1, "N/A")</f>
        <v>-2.2791293213828445E-2</v>
      </c>
      <c r="G58" s="1025">
        <f>IFERROR(G56/F56-1, "N/A")</f>
        <v>8.8050314465408785E-2</v>
      </c>
      <c r="H58" s="1025">
        <f>IFERROR(H56/G56-1, "N/A")</f>
        <v>0.2362716763005781</v>
      </c>
      <c r="I58" s="1025">
        <f>IFERROR(I56/H56-1, "N/A")</f>
        <v>-3.3898305084745783E-2</v>
      </c>
      <c r="J58" s="1025">
        <f>IFERROR(J56/I56-1, "N/A")</f>
        <v>5.7067957249445467E-2</v>
      </c>
      <c r="K58" s="1025">
        <f>IFERROR(K56/J56-1, "N/A")</f>
        <v>-7.1537581075925227E-2</v>
      </c>
      <c r="L58" s="1025">
        <f>IFERROR(L56/K56-1, "N/A")</f>
        <v>-1.0273268954180681E-3</v>
      </c>
      <c r="M58" s="1025">
        <f>IFERROR(M56/L56-1, "N/A")</f>
        <v>0.10468942821883997</v>
      </c>
      <c r="N58" s="1026">
        <f>IFERROR(N56/M56-1, "N/A")</f>
        <v>0.2310556693353194</v>
      </c>
      <c r="O58" s="1025">
        <f>IFERROR(O56/N56-1, "N/A")</f>
        <v>-0.14813931152766735</v>
      </c>
      <c r="P58" s="1025">
        <f ca="1">IFERROR(P56/O56-1, "N/A")</f>
        <v>0.10779573137025</v>
      </c>
      <c r="Q58" s="1025">
        <f ca="1">IFERROR(Q56/P56-1, "N/A")</f>
        <v>0.10188762683741204</v>
      </c>
      <c r="R58" s="1025">
        <f ca="1">IFERROR(R56/Q56-1, "N/A")</f>
        <v>9.8942085804695212E-2</v>
      </c>
      <c r="S58" s="1025">
        <f ca="1">IFERROR(S56/R56-1, "N/A")</f>
        <v>9.8107508222262885E-2</v>
      </c>
      <c r="T58" s="1054"/>
      <c r="U58" s="1054"/>
      <c r="V58" s="1054"/>
      <c r="W58" s="1054"/>
      <c r="X58" s="1054"/>
    </row>
    <row r="59" spans="1:29" s="1009" customFormat="1" ht="14.5" customHeight="1" x14ac:dyDescent="0.35">
      <c r="A59" s="1022"/>
      <c r="B59" s="1028" t="s">
        <v>1103</v>
      </c>
      <c r="C59" s="1024"/>
      <c r="D59" s="1025"/>
      <c r="E59" s="1025"/>
      <c r="F59" s="1025">
        <f>IFERROR(F58+E58, "N/A")</f>
        <v>-6.6386688756321699E-2</v>
      </c>
      <c r="G59" s="1025">
        <f>IFERROR(G58+F58, "N/A")</f>
        <v>6.525902125158034E-2</v>
      </c>
      <c r="H59" s="1025">
        <f>IFERROR(H58+G58, "N/A")</f>
        <v>0.32432199076598689</v>
      </c>
      <c r="I59" s="1025">
        <f>IFERROR(I58+H58, "N/A")</f>
        <v>0.20237337121583232</v>
      </c>
      <c r="J59" s="1025">
        <f>IFERROR(J58+I58, "N/A")</f>
        <v>2.3169652164699683E-2</v>
      </c>
      <c r="K59" s="1025">
        <f>IFERROR(K58+J58, "N/A")</f>
        <v>-1.4469623826479761E-2</v>
      </c>
      <c r="L59" s="1025">
        <f>IFERROR(L58+K58, "N/A")</f>
        <v>-7.2564907971343295E-2</v>
      </c>
      <c r="M59" s="1025">
        <f>IFERROR(M58+L58, "N/A")</f>
        <v>0.10366210132342191</v>
      </c>
      <c r="N59" s="1026">
        <f>IFERROR(N58+M58, "N/A")</f>
        <v>0.33574509755415938</v>
      </c>
      <c r="O59" s="1025">
        <f>IFERROR(O58+N58, "N/A")</f>
        <v>8.2916357807652052E-2</v>
      </c>
      <c r="P59" s="1025">
        <f ca="1">IFERROR(P58+O58, "N/A")</f>
        <v>-4.0343580157417347E-2</v>
      </c>
      <c r="Q59" s="1025">
        <f ca="1">IFERROR(Q58+P58, "N/A")</f>
        <v>0.20968335820766204</v>
      </c>
      <c r="R59" s="1025">
        <f ca="1">IFERROR(R58+Q58, "N/A")</f>
        <v>0.20082971264210725</v>
      </c>
      <c r="S59" s="1025">
        <f ca="1">IFERROR(S58+R58, "N/A")</f>
        <v>0.1970495940269581</v>
      </c>
      <c r="T59" s="1027"/>
      <c r="U59" s="1027"/>
      <c r="V59" s="1027"/>
      <c r="W59" s="1027"/>
      <c r="X59" s="1027"/>
      <c r="Y59" s="996"/>
      <c r="Z59" s="996"/>
      <c r="AA59" s="1078"/>
      <c r="AB59" s="1078"/>
      <c r="AC59" s="996"/>
    </row>
    <row r="60" spans="1:29" s="1009" customFormat="1" ht="14.5" customHeight="1" x14ac:dyDescent="0.35">
      <c r="A60" s="1022"/>
      <c r="B60" s="1028" t="s">
        <v>1104</v>
      </c>
      <c r="C60" s="1024"/>
      <c r="D60" s="1025"/>
      <c r="E60" s="1025"/>
      <c r="F60" s="1025"/>
      <c r="G60" s="1025">
        <f>IFERROR(G58+F58+E58, "N/A")</f>
        <v>2.1663625709087087E-2</v>
      </c>
      <c r="H60" s="1025">
        <f>IFERROR(H58+G58+F58, "N/A")</f>
        <v>0.30153069755215844</v>
      </c>
      <c r="I60" s="1025">
        <f>IFERROR(I58+H58+G58, "N/A")</f>
        <v>0.29042368568124111</v>
      </c>
      <c r="J60" s="1025">
        <f>IFERROR(J58+I58+H58, "N/A")</f>
        <v>0.25944132846527779</v>
      </c>
      <c r="K60" s="1025">
        <f>IFERROR(K58+J58+I58, "N/A")</f>
        <v>-4.8367928911225544E-2</v>
      </c>
      <c r="L60" s="1025">
        <f>IFERROR(L58+K58+J58, "N/A")</f>
        <v>-1.5496950721897829E-2</v>
      </c>
      <c r="M60" s="1025">
        <f>IFERROR(M58+L58+K58, "N/A")</f>
        <v>3.212452024749668E-2</v>
      </c>
      <c r="N60" s="1026">
        <f>IFERROR(N58+M58+L58, "N/A")</f>
        <v>0.33471777065874131</v>
      </c>
      <c r="O60" s="1025">
        <f>IFERROR(O58+N58+M58, "N/A")</f>
        <v>0.18760578602649203</v>
      </c>
      <c r="P60" s="1025">
        <f ca="1">IFERROR(P58+O58+N58, "N/A")</f>
        <v>0.19071208917790206</v>
      </c>
      <c r="Q60" s="1025">
        <f ca="1">IFERROR(Q58+P58+O58, "N/A")</f>
        <v>6.1544046679994691E-2</v>
      </c>
      <c r="R60" s="1025">
        <f ca="1">IFERROR(R58+Q58+P58, "N/A")</f>
        <v>0.30862544401235725</v>
      </c>
      <c r="S60" s="1025">
        <f ca="1">IFERROR(S58+R58+Q58, "N/A")</f>
        <v>0.29893722086437013</v>
      </c>
      <c r="T60" s="1027"/>
      <c r="U60" s="1027"/>
      <c r="V60" s="1027"/>
      <c r="W60" s="1027"/>
      <c r="X60" s="1027"/>
      <c r="Y60" s="996"/>
      <c r="Z60" s="996"/>
      <c r="AA60" s="1113"/>
      <c r="AB60" s="1113"/>
      <c r="AC60" s="996"/>
    </row>
    <row r="61" spans="1:29" ht="14.5" customHeight="1" x14ac:dyDescent="0.35">
      <c r="B61" s="1023" t="s">
        <v>1105</v>
      </c>
      <c r="C61" s="1051"/>
      <c r="D61" s="1025">
        <f>IFERROR(D56/D$7, "N/A")</f>
        <v>0.15313929937739104</v>
      </c>
      <c r="E61" s="1025">
        <f>IFERROR(E56/E$7, "N/A")</f>
        <v>0.13187666745466212</v>
      </c>
      <c r="F61" s="1025">
        <f>IFERROR(F56/F$7, "N/A")</f>
        <v>0.1276083467094703</v>
      </c>
      <c r="G61" s="1025">
        <f>IFERROR(G56/G$7, "N/A")</f>
        <v>0.13449515726733827</v>
      </c>
      <c r="H61" s="1025">
        <f>IFERROR(H56/H$7, "N/A")</f>
        <v>0.16130856981238806</v>
      </c>
      <c r="I61" s="1025">
        <f>IFERROR(I56/I$7, "N/A")</f>
        <v>0.16380392415934467</v>
      </c>
      <c r="J61" s="1025">
        <f>IFERROR(J56/J$7, "N/A")</f>
        <v>0.1741007672124614</v>
      </c>
      <c r="K61" s="1025">
        <f>IFERROR(K56/K$7, "N/A")</f>
        <v>0.15374166850933443</v>
      </c>
      <c r="L61" s="1025">
        <f>IFERROR(L56/L$7, "N/A")</f>
        <v>0.14839005035861438</v>
      </c>
      <c r="M61" s="1025">
        <f>IFERROR(M56/M$7, "N/A")</f>
        <v>0.16713343291013194</v>
      </c>
      <c r="N61" s="1026">
        <f>IFERROR(N56/N$7, "N/A")</f>
        <v>0.20544369873228935</v>
      </c>
      <c r="O61" s="1025">
        <f>IFERROR(O56/O$7, "N/A")</f>
        <v>0.16446637310655246</v>
      </c>
      <c r="P61" s="1025">
        <f ca="1">IFERROR(P56/P$7, "N/A")</f>
        <v>0.17090271623652459</v>
      </c>
      <c r="Q61" s="1025">
        <f ca="1">IFERROR(Q56/Q$7, "N/A")</f>
        <v>0.17692619446725172</v>
      </c>
      <c r="R61" s="1025">
        <f ca="1">IFERROR(R56/R$7, "N/A")</f>
        <v>0.18264342057832286</v>
      </c>
      <c r="S61" s="1025">
        <f ca="1">IFERROR(S56/S$7, "N/A")</f>
        <v>0.18837249297193831</v>
      </c>
      <c r="T61" s="1048"/>
      <c r="U61" s="1025">
        <f>IFERROR(U56/U$7, "N/A")</f>
        <v>0.2156856796116505</v>
      </c>
      <c r="V61" s="1025">
        <f>IFERROR(V56/V$7, "N/A")</f>
        <v>0.16781280938303475</v>
      </c>
      <c r="W61" s="1048"/>
      <c r="X61" s="1025">
        <f ca="1">IFERROR(AVERAGE($N61:INDIRECT(CONCATENATE(SUBSTITUTE(ADDRESS(1,COLUMN(OFFSET($N61,0,-(X$3-1))),4),"1",""),ROW(OFFSET($N61,0,-(X$3-1)))))), "N/A")</f>
        <v>0.1567902283126035</v>
      </c>
      <c r="AA61" s="1060"/>
      <c r="AB61" s="1060"/>
    </row>
    <row r="62" spans="1:29" ht="14.5" customHeight="1" x14ac:dyDescent="0.35">
      <c r="B62" s="1114"/>
      <c r="C62" s="1114"/>
      <c r="D62" s="1115"/>
      <c r="E62" s="1115"/>
      <c r="F62" s="1115"/>
      <c r="G62" s="1115"/>
      <c r="H62" s="1115"/>
      <c r="I62" s="1115"/>
      <c r="J62" s="1115"/>
      <c r="K62" s="1115"/>
      <c r="L62" s="1115"/>
      <c r="M62" s="1115"/>
      <c r="N62" s="1116"/>
      <c r="O62" s="1115"/>
      <c r="P62" s="1115"/>
      <c r="Q62" s="1115"/>
      <c r="R62" s="1115"/>
      <c r="S62" s="1115"/>
      <c r="T62" s="1048"/>
      <c r="U62" s="1048"/>
      <c r="V62" s="1048"/>
      <c r="W62" s="1048"/>
      <c r="X62" s="1048"/>
      <c r="AA62" s="1113"/>
      <c r="AB62" s="1113"/>
    </row>
    <row r="63" spans="1:29" s="1078" customFormat="1" ht="14.5" customHeight="1" x14ac:dyDescent="0.35">
      <c r="A63" s="1091"/>
      <c r="B63" s="1092" t="s">
        <v>97</v>
      </c>
      <c r="C63" s="1060"/>
      <c r="D63" s="1072">
        <f t="array" ref="D63">IFERROR(INDEX(MO_DS_Dividend,0,MATCH(D$5,MO_Common_ColumnHeader,0)),0)+IFERROR(INDEX(MO_CFSum_Dividend,0,MATCH(D$5,MO_Common_ColumnHeader,0)),0)</f>
        <v>-1500</v>
      </c>
      <c r="E63" s="1072">
        <f t="array" ref="E63">IFERROR(INDEX(MO_DS_Dividend,0,MATCH(E$5,MO_Common_ColumnHeader,0)),0)+IFERROR(INDEX(MO_CFSum_Dividend,0,MATCH(E$5,MO_Common_ColumnHeader,0)),0)</f>
        <v>-1555</v>
      </c>
      <c r="F63" s="1072">
        <f t="array" ref="F63">IFERROR(INDEX(MO_DS_Dividend,0,MATCH(F$5,MO_Common_ColumnHeader,0)),0)+IFERROR(INDEX(MO_CFSum_Dividend,0,MATCH(F$5,MO_Common_ColumnHeader,0)),0)</f>
        <v>-1635</v>
      </c>
      <c r="G63" s="1072">
        <f t="array" ref="G63">IFERROR(INDEX(MO_DS_Dividend,0,MATCH(G$5,MO_Common_ColumnHeader,0)),0)+IFERROR(INDEX(MO_CFSum_Dividend,0,MATCH(G$5,MO_Common_ColumnHeader,0)),0)</f>
        <v>-1730</v>
      </c>
      <c r="H63" s="1072">
        <f t="array" ref="H63">IFERROR(INDEX(MO_DS_Dividend,0,MATCH(H$5,MO_Common_ColumnHeader,0)),0)+IFERROR(INDEX(MO_CFSum_Dividend,0,MATCH(H$5,MO_Common_ColumnHeader,0)),0)</f>
        <v>-2216</v>
      </c>
      <c r="I63" s="1072">
        <f t="array" ref="I63">IFERROR(INDEX(MO_DS_Dividend,0,MATCH(I$5,MO_Common_ColumnHeader,0)),0)+IFERROR(INDEX(MO_CFSum_Dividend,0,MATCH(I$5,MO_Common_ColumnHeader,0)),0)</f>
        <v>-2561</v>
      </c>
      <c r="J63" s="1072">
        <f t="array" ref="J63">IFERROR(INDEX(MO_DS_Dividend,0,MATCH(J$5,MO_Common_ColumnHeader,0)),0)+IFERROR(INDEX(MO_CFSum_Dividend,0,MATCH(J$5,MO_Common_ColumnHeader,0)),0)</f>
        <v>-2678</v>
      </c>
      <c r="K63" s="1072">
        <f t="array" ref="K63">IFERROR(INDEX(MO_DS_Dividend,0,MATCH(K$5,MO_Common_ColumnHeader,0)),0)+IFERROR(INDEX(MO_CFSum_Dividend,0,MATCH(K$5,MO_Common_ColumnHeader,0)),0)</f>
        <v>-2803</v>
      </c>
      <c r="L63" s="1072">
        <f t="array" ref="L63">IFERROR(INDEX(MO_DS_Dividend,0,MATCH(L$5,MO_Common_ColumnHeader,0)),0)+IFERROR(INDEX(MO_CFSum_Dividend,0,MATCH(L$5,MO_Common_ColumnHeader,0)),0)</f>
        <v>-3193</v>
      </c>
      <c r="M63" s="1072">
        <f t="array" ref="M63">IFERROR(INDEX(MO_DS_Dividend,0,MATCH(M$5,MO_Common_ColumnHeader,0)),0)+IFERROR(INDEX(MO_CFSum_Dividend,0,MATCH(M$5,MO_Common_ColumnHeader,0)),0)</f>
        <v>-3316</v>
      </c>
      <c r="N63" s="1073">
        <f t="array" ref="N63">IFERROR(INDEX(MO_DS_Dividend,0,MATCH(N$5,MO_Common_ColumnHeader,0)),0)+IFERROR(INDEX(MO_CFSum_Dividend,0,MATCH(N$5,MO_Common_ColumnHeader,0)),0)</f>
        <v>-3388</v>
      </c>
      <c r="O63" s="1072">
        <f t="array" ref="O63">IFERROR(INDEX(MO_DS_Dividend,0,MATCH(O$5,MO_Common_ColumnHeader,0)),0)+IFERROR(INDEX(MO_CFSum_Dividend,0,MATCH(O$5,MO_Common_ColumnHeader,0)),0)</f>
        <v>-3412.5334020618561</v>
      </c>
      <c r="P63" s="1072">
        <f t="array" ref="P63">IFERROR(INDEX(MO_DS_Dividend,0,MATCH(P$5,MO_Common_ColumnHeader,0)),0)+IFERROR(INDEX(MO_CFSum_Dividend,0,MATCH(P$5,MO_Common_ColumnHeader,0)),0)</f>
        <v>-3356.0450200861537</v>
      </c>
      <c r="Q63" s="1072">
        <f t="array" aca="1" ref="Q63" ca="1">IFERROR(INDEX(MO_DS_Dividend,0,MATCH(Q$5,MO_Common_ColumnHeader,0)),0)+IFERROR(INDEX(MO_CFSum_Dividend,0,MATCH(Q$5,MO_Common_ColumnHeader,0)),0)</f>
        <v>-3284.601659065328</v>
      </c>
      <c r="R63" s="1072">
        <f t="array" aca="1" ref="R63" ca="1">IFERROR(INDEX(MO_DS_Dividend,0,MATCH(R$5,MO_Common_ColumnHeader,0)),0)+IFERROR(INDEX(MO_CFSum_Dividend,0,MATCH(R$5,MO_Common_ColumnHeader,0)),0)</f>
        <v>-3238.5316201548221</v>
      </c>
      <c r="S63" s="1072">
        <f t="array" aca="1" ref="S63" ca="1">IFERROR(INDEX(MO_DS_Dividend,0,MATCH(S$5,MO_Common_ColumnHeader,0)),0)+IFERROR(INDEX(MO_CFSum_Dividend,0,MATCH(S$5,MO_Common_ColumnHeader,0)),0)</f>
        <v>-3196.6941643244331</v>
      </c>
      <c r="T63" s="1090"/>
      <c r="U63" s="1090"/>
      <c r="V63" s="1090"/>
      <c r="W63" s="1090"/>
      <c r="X63" s="1117"/>
      <c r="AA63" s="1113"/>
      <c r="AB63" s="1113"/>
    </row>
    <row r="64" spans="1:29" s="1113" customFormat="1" ht="14.5" customHeight="1" x14ac:dyDescent="0.35">
      <c r="A64" s="1063"/>
      <c r="B64" s="1092" t="s">
        <v>95</v>
      </c>
      <c r="C64" s="1060"/>
      <c r="D64" s="1072">
        <f t="array" ref="D64">IFERROR(INDEX(MO_CFSum_Acquisition,0,MATCH(D$5,MO_Common_ColumnHeader,0)), 0)</f>
        <v>-1830</v>
      </c>
      <c r="E64" s="1072">
        <f t="array" ref="E64">IFERROR(INDEX(MO_CFSum_Acquisition,0,MATCH(E$5,MO_Common_ColumnHeader,0)), 0)</f>
        <v>-649</v>
      </c>
      <c r="F64" s="1072">
        <f t="array" ref="F64">IFERROR(INDEX(MO_CFSum_Acquisition,0,MATCH(F$5,MO_Common_ColumnHeader,0)), 0)</f>
        <v>-1046</v>
      </c>
      <c r="G64" s="1072">
        <f t="array" ref="G64">IFERROR(INDEX(MO_CFSum_Acquisition,0,MATCH(G$5,MO_Common_ColumnHeader,0)), 0)</f>
        <v>0</v>
      </c>
      <c r="H64" s="1072">
        <f t="array" ref="H64">IFERROR(INDEX(MO_CFSum_Acquisition,0,MATCH(H$5,MO_Common_ColumnHeader,0)), 0)</f>
        <v>-955</v>
      </c>
      <c r="I64" s="1072">
        <f t="array" ref="I64">IFERROR(INDEX(MO_CFSum_Acquisition,0,MATCH(I$5,MO_Common_ColumnHeader,0)), 0)</f>
        <v>-2914</v>
      </c>
      <c r="J64" s="1072">
        <f t="array" ref="J64">IFERROR(INDEX(MO_CFSum_Acquisition,0,MATCH(J$5,MO_Common_ColumnHeader,0)), 0)</f>
        <v>-16</v>
      </c>
      <c r="K64" s="1072">
        <f t="array" ref="K64">IFERROR(INDEX(MO_CFSum_Acquisition,0,MATCH(K$5,MO_Common_ColumnHeader,0)), 0)</f>
        <v>-2023</v>
      </c>
      <c r="L64" s="1072">
        <f t="array" ref="L64">IFERROR(INDEX(MO_CFSum_Acquisition,0,MATCH(L$5,MO_Common_ColumnHeader,0)), 0)</f>
        <v>13</v>
      </c>
      <c r="M64" s="1072">
        <f t="array" ref="M64">IFERROR(INDEX(MO_CFSum_Acquisition,0,MATCH(M$5,MO_Common_ColumnHeader,0)), 0)</f>
        <v>-4984</v>
      </c>
      <c r="N64" s="1073">
        <f t="array" ref="N64">IFERROR(INDEX(MO_CFSum_Acquisition,0,MATCH(N$5,MO_Common_ColumnHeader,0)), 0)</f>
        <v>-25</v>
      </c>
      <c r="O64" s="1072">
        <f t="array" ref="O64">IFERROR(INDEX(MO_CFSum_Acquisition,0,MATCH(O$5,MO_Common_ColumnHeader,0)), 0)</f>
        <v>0</v>
      </c>
      <c r="P64" s="1072">
        <f t="array" ref="P64">IFERROR(INDEX(MO_CFSum_Acquisition,0,MATCH(P$5,MO_Common_ColumnHeader,0)), 0)</f>
        <v>0</v>
      </c>
      <c r="Q64" s="1072">
        <f t="array" ref="Q64">IFERROR(INDEX(MO_CFSum_Acquisition,0,MATCH(Q$5,MO_Common_ColumnHeader,0)), 0)</f>
        <v>0</v>
      </c>
      <c r="R64" s="1072">
        <f t="array" ref="R64">IFERROR(INDEX(MO_CFSum_Acquisition,0,MATCH(R$5,MO_Common_ColumnHeader,0)), 0)</f>
        <v>0</v>
      </c>
      <c r="S64" s="1072">
        <f t="array" ref="S64">IFERROR(INDEX(MO_CFSum_Acquisition,0,MATCH(S$5,MO_Common_ColumnHeader,0)), 0)</f>
        <v>0</v>
      </c>
      <c r="T64" s="1090"/>
      <c r="U64" s="1090"/>
      <c r="V64" s="1090"/>
      <c r="W64" s="1090"/>
      <c r="X64" s="1117"/>
    </row>
    <row r="65" spans="1:28" s="1060" customFormat="1" ht="14.5" customHeight="1" x14ac:dyDescent="0.35">
      <c r="A65" s="1031"/>
      <c r="B65" s="1092" t="s">
        <v>96</v>
      </c>
      <c r="D65" s="1072">
        <f t="array" ref="D65">IFERROR(INDEX(MO_CFSum_Divestiture,0,MATCH(D$5,MO_Common_ColumnHeader,0)), 0)</f>
        <v>25</v>
      </c>
      <c r="E65" s="1072">
        <f t="array" ref="E65">IFERROR(INDEX(MO_CFSum_Divestiture,0,MATCH(E$5,MO_Common_ColumnHeader,0)), 0)</f>
        <v>55</v>
      </c>
      <c r="F65" s="1072">
        <f t="array" ref="F65">IFERROR(INDEX(MO_CFSum_Divestiture,0,MATCH(F$5,MO_Common_ColumnHeader,0)), 0)</f>
        <v>41</v>
      </c>
      <c r="G65" s="1072">
        <f t="array" ref="G65">IFERROR(INDEX(MO_CFSum_Divestiture,0,MATCH(G$5,MO_Common_ColumnHeader,0)), 0)</f>
        <v>136</v>
      </c>
      <c r="H65" s="1072">
        <f t="array" ref="H65">IFERROR(INDEX(MO_CFSum_Divestiture,0,MATCH(H$5,MO_Common_ColumnHeader,0)), 0)</f>
        <v>135</v>
      </c>
      <c r="I65" s="1072">
        <f t="array" ref="I65">IFERROR(INDEX(MO_CFSum_Divestiture,0,MATCH(I$5,MO_Common_ColumnHeader,0)), 0)</f>
        <v>156</v>
      </c>
      <c r="J65" s="1072">
        <f t="array" ref="J65">IFERROR(INDEX(MO_CFSum_Divestiture,0,MATCH(J$5,MO_Common_ColumnHeader,0)), 0)</f>
        <v>200</v>
      </c>
      <c r="K65" s="1072">
        <f t="array" ref="K65">IFERROR(INDEX(MO_CFSum_Divestiture,0,MATCH(K$5,MO_Common_ColumnHeader,0)), 0)</f>
        <v>1114</v>
      </c>
      <c r="L65" s="1072">
        <f t="array" ref="L65">IFERROR(INDEX(MO_CFSum_Divestiture,0,MATCH(L$5,MO_Common_ColumnHeader,0)), 0)</f>
        <v>1108</v>
      </c>
      <c r="M65" s="1072">
        <f t="array" ref="M65">IFERROR(INDEX(MO_CFSum_Divestiture,0,MATCH(M$5,MO_Common_ColumnHeader,0)), 0)</f>
        <v>359</v>
      </c>
      <c r="N65" s="1073">
        <f t="array" ref="N65">IFERROR(INDEX(MO_CFSum_Divestiture,0,MATCH(N$5,MO_Common_ColumnHeader,0)), 0)</f>
        <v>704</v>
      </c>
      <c r="O65" s="1072">
        <f t="array" ref="O65">IFERROR(INDEX(MO_CFSum_Divestiture,0,MATCH(O$5,MO_Common_ColumnHeader,0)), 0)</f>
        <v>0</v>
      </c>
      <c r="P65" s="1072">
        <f t="array" ref="P65">IFERROR(INDEX(MO_CFSum_Divestiture,0,MATCH(P$5,MO_Common_ColumnHeader,0)), 0)</f>
        <v>0</v>
      </c>
      <c r="Q65" s="1072">
        <f t="array" ref="Q65">IFERROR(INDEX(MO_CFSum_Divestiture,0,MATCH(Q$5,MO_Common_ColumnHeader,0)), 0)</f>
        <v>0</v>
      </c>
      <c r="R65" s="1072">
        <f t="array" ref="R65">IFERROR(INDEX(MO_CFSum_Divestiture,0,MATCH(R$5,MO_Common_ColumnHeader,0)), 0)</f>
        <v>0</v>
      </c>
      <c r="S65" s="1072">
        <f t="array" ref="S65">IFERROR(INDEX(MO_CFSum_Divestiture,0,MATCH(S$5,MO_Common_ColumnHeader,0)), 0)</f>
        <v>0</v>
      </c>
      <c r="T65" s="1118"/>
      <c r="U65" s="1118"/>
      <c r="V65" s="1118"/>
      <c r="W65" s="1118"/>
      <c r="X65" s="1117"/>
    </row>
    <row r="66" spans="1:28" s="1113" customFormat="1" ht="14.5" customHeight="1" x14ac:dyDescent="0.35">
      <c r="A66" s="1063"/>
      <c r="B66" s="1119" t="s">
        <v>304</v>
      </c>
      <c r="C66" s="1060"/>
      <c r="D66" s="1072">
        <f>IFERROR(IFERROR(INDEX(MO_CFSum_NetDebtIssuance,0,MATCH(D$5,MO_Common_ColumnHeader,0)),INDEX(SP_CFA_Debt,0,MATCH(D$5,SP_Common_ColumnHeader,0))), 0)</f>
        <v>-472</v>
      </c>
      <c r="E66" s="1072">
        <f>IFERROR(IFERROR(INDEX(MO_CFSum_NetDebtIssuance,0,MATCH(E$5,MO_Common_ColumnHeader,0)),INDEX(SP_CFA_Debt,0,MATCH(E$5,SP_Common_ColumnHeader,0))), 0)</f>
        <v>-307</v>
      </c>
      <c r="F66" s="1072">
        <f>IFERROR(IFERROR(INDEX(MO_CFSum_NetDebtIssuance,0,MATCH(F$5,MO_Common_ColumnHeader,0)),INDEX(SP_CFA_Debt,0,MATCH(F$5,SP_Common_ColumnHeader,0))), 0)</f>
        <v>722</v>
      </c>
      <c r="G66" s="1072">
        <f>IFERROR(IFERROR(INDEX(MO_CFSum_NetDebtIssuance,0,MATCH(G$5,MO_Common_ColumnHeader,0)),INDEX(SP_CFA_Debt,0,MATCH(G$5,SP_Common_ColumnHeader,0))), 0)</f>
        <v>-37</v>
      </c>
      <c r="H66" s="1072">
        <f>IFERROR(IFERROR(INDEX(MO_CFSum_NetDebtIssuance,0,MATCH(H$5,MO_Common_ColumnHeader,0)),INDEX(SP_CFA_Debt,0,MATCH(H$5,SP_Common_ColumnHeader,0))), 0)</f>
        <v>1010</v>
      </c>
      <c r="I66" s="1072">
        <f>IFERROR(IFERROR(INDEX(MO_CFSum_NetDebtIssuance,0,MATCH(I$5,MO_Common_ColumnHeader,0)),INDEX(SP_CFA_Debt,0,MATCH(I$5,SP_Common_ColumnHeader,0))), 0)</f>
        <v>3482</v>
      </c>
      <c r="J66" s="1072">
        <f>IFERROR(IFERROR(INDEX(MO_CFSum_NetDebtIssuance,0,MATCH(J$5,MO_Common_ColumnHeader,0)),INDEX(SP_CFA_Debt,0,MATCH(J$5,SP_Common_ColumnHeader,0))), 0)</f>
        <v>1043</v>
      </c>
      <c r="K66" s="1072">
        <f>IFERROR(IFERROR(INDEX(MO_CFSum_NetDebtIssuance,0,MATCH(K$5,MO_Common_ColumnHeader,0)),INDEX(SP_CFA_Debt,0,MATCH(K$5,SP_Common_ColumnHeader,0))), 0)</f>
        <v>1603</v>
      </c>
      <c r="L66" s="1072">
        <f>IFERROR(IFERROR(INDEX(MO_CFSum_NetDebtIssuance,0,MATCH(L$5,MO_Common_ColumnHeader,0)),INDEX(SP_CFA_Debt,0,MATCH(L$5,SP_Common_ColumnHeader,0))), 0)</f>
        <v>933</v>
      </c>
      <c r="M66" s="1072">
        <f>IFERROR(IFERROR(INDEX(MO_CFSum_NetDebtIssuance,0,MATCH(M$5,MO_Common_ColumnHeader,0)),INDEX(SP_CFA_Debt,0,MATCH(M$5,SP_Common_ColumnHeader,0))), 0)</f>
        <v>3249</v>
      </c>
      <c r="N66" s="1073">
        <f>IFERROR(IFERROR(INDEX(MO_CFSum_NetDebtIssuance,0,MATCH(N$5,MO_Common_ColumnHeader,0)),INDEX(SP_CFA_Debt,0,MATCH(N$5,SP_Common_ColumnHeader,0))), 0)</f>
        <v>-1875</v>
      </c>
      <c r="O66" s="1072">
        <f>IFERROR(IFERROR(INDEX(MO_CFSum_NetDebtIssuance,0,MATCH(O$5,MO_Common_ColumnHeader,0)),INDEX(SP_CFA_Debt,0,MATCH(O$5,SP_Common_ColumnHeader,0))), 0)</f>
        <v>-444</v>
      </c>
      <c r="P66" s="1072">
        <f>IFERROR(IFERROR(INDEX(MO_CFSum_NetDebtIssuance,0,MATCH(P$5,MO_Common_ColumnHeader,0)),INDEX(SP_CFA_Debt,0,MATCH(P$5,SP_Common_ColumnHeader,0))), 0)</f>
        <v>0</v>
      </c>
      <c r="Q66" s="1072">
        <f>IFERROR(IFERROR(INDEX(MO_CFSum_NetDebtIssuance,0,MATCH(Q$5,MO_Common_ColumnHeader,0)),INDEX(SP_CFA_Debt,0,MATCH(Q$5,SP_Common_ColumnHeader,0))), 0)</f>
        <v>0</v>
      </c>
      <c r="R66" s="1072">
        <f>IFERROR(IFERROR(INDEX(MO_CFSum_NetDebtIssuance,0,MATCH(R$5,MO_Common_ColumnHeader,0)),INDEX(SP_CFA_Debt,0,MATCH(R$5,SP_Common_ColumnHeader,0))), 0)</f>
        <v>0</v>
      </c>
      <c r="S66" s="1072">
        <f>IFERROR(IFERROR(INDEX(MO_CFSum_NetDebtIssuance,0,MATCH(S$5,MO_Common_ColumnHeader,0)),INDEX(SP_CFA_Debt,0,MATCH(S$5,SP_Common_ColumnHeader,0))), 0)</f>
        <v>0</v>
      </c>
      <c r="T66" s="1118"/>
      <c r="U66" s="1072">
        <f>IFERROR(IFERROR(IFERROR(INDEX(MO_CFSum_NetDebtIssuance,0,MATCH(AG$2,MO_Common_ColumnHeader,0)),INDEX(SP_CFA_Debt,0,MATCH(AG$2,SP_Common_ColumnHeader,0)))
+IFERROR(INDEX(MO_CFSum_NetDebtIssuance,0,MATCH(AG$3,MO_Common_ColumnHeader,0)),INDEX(SP_CFA_Debt,0,MATCH(AG$3,SP_Common_ColumnHeader,0))),IFERROR(INDEX(MO_CFSum_NetDebtIssuance,0,MATCH(AA$3,MO_Common_ColumnHeader,0)),INDEX(SP_CFA_Debt,0,MATCH(AA$3,SP_Common_ColumnHeader,0)))
+IFERROR(INDEX(
MO_CFSum_NetDebtIssuance,0,MATCH(AA$4,MO_Common_ColumnHeader,0)),INDEX(SP_CFA_Debt,0,MATCH(AA$4,SP_Common_ColumnHeader,0)))
+IFERROR(INDEX(MO_CFSum_NetDebtIssuance,0,MATCH(AA$5,MO_Common_ColumnHeader,0)),INDEX(SP_CFA_Debt,0,MATCH(AA$5,SP_Common_ColumnHeader,0)))
+IFERROR(INDEX(MO_CFSum_NetDebtIssuance,0,MATCH(AA$2,MO_Common_ColumnHeader,0)),INDEX(SP_CFA_Debt,0,MATCH(AA$2,SP_Common_ColumnHeader,0)))),0)</f>
        <v>-4526</v>
      </c>
      <c r="V66" s="1072">
        <f>IFERROR(IFERROR(IFERROR(INDEX(MO_CFSum_NetDebtIssuance,0,MATCH(AJ$2,MO_Common_ColumnHeader,0)),INDEX(SP_CFA_Debt,0,MATCH(AJ$2,SP_Common_ColumnHeader,0)))
+IFERROR(INDEX(MO_CFSum_NetDebtIssuance,0,MATCH(AJ$3,MO_Common_ColumnHeader,0)),INDEX(SP_CFA_Debt,0,MATCH(AJ$3,SP_Common_ColumnHeader,0))),IFERROR(INDEX(MO_CFSum_NetDebtIssuance,0,MATCH(AD$3,MO_Common_ColumnHeader,0)),INDEX(SP_CFA_Debt,0,MATCH(AD$3,SP_Common_ColumnHeader,0)))
+IFERROR(INDEX(
MO_CFSum_NetDebtIssuance,0,MATCH(AD$4,MO_Common_ColumnHeader,0)),INDEX(SP_CFA_Debt,0,MATCH(AD$4,SP_Common_ColumnHeader,0)))
+IFERROR(INDEX(MO_CFSum_NetDebtIssuance,0,MATCH(AD$5,MO_Common_ColumnHeader,0)),INDEX(SP_CFA_Debt,0,MATCH(AD$5,SP_Common_ColumnHeader,0)))
+IFERROR(INDEX(MO_CFSum_NetDebtIssuance,0,MATCH(AD$2,MO_Common_ColumnHeader,0)),INDEX(SP_CFA_Debt,0,MATCH(AD$2,SP_Common_ColumnHeader,0)))),0)</f>
        <v>0</v>
      </c>
      <c r="W66" s="1118"/>
      <c r="X66" s="1117"/>
      <c r="AA66" s="1060"/>
      <c r="AB66" s="1060"/>
    </row>
    <row r="67" spans="1:28" s="1113" customFormat="1" ht="14.5" customHeight="1" x14ac:dyDescent="0.35">
      <c r="A67" s="1063"/>
      <c r="B67" s="1119" t="s">
        <v>1115</v>
      </c>
      <c r="C67" s="1060"/>
      <c r="D67" s="1072">
        <f t="array" ref="D67">IFERROR(INDEX(MO_CFS_Buyback,0,MATCH(D$5,MO_Common_ColumnHeader,0)),0)</f>
        <v>-854</v>
      </c>
      <c r="E67" s="1072">
        <f t="array" ref="E67">IFERROR(INDEX(MO_CFS_Buyback,0,MATCH(E$5,MO_Common_ColumnHeader,0)),0)</f>
        <v>-2701</v>
      </c>
      <c r="F67" s="1072">
        <f t="array" ref="F67">IFERROR(INDEX(MO_CFS_Buyback,0,MATCH(F$5,MO_Common_ColumnHeader,0)),0)</f>
        <v>-2204</v>
      </c>
      <c r="G67" s="1072">
        <f t="array" ref="G67">IFERROR(INDEX(MO_CFS_Buyback,0,MATCH(G$5,MO_Common_ColumnHeader,0)),0)</f>
        <v>-5212</v>
      </c>
      <c r="H67" s="1072">
        <f t="array" ref="H67">IFERROR(INDEX(MO_CFS_Buyback,0,MATCH(H$5,MO_Common_ColumnHeader,0)),0)</f>
        <v>-5652</v>
      </c>
      <c r="I67" s="1072">
        <f t="array" ref="I67">IFERROR(INDEX(MO_CFS_Buyback,0,MATCH(I$5,MO_Common_ColumnHeader,0)),0)</f>
        <v>-5238</v>
      </c>
      <c r="J67" s="1072">
        <f t="array" ref="J67">IFERROR(INDEX(MO_CFS_Buyback,0,MATCH(J$5,MO_Common_ColumnHeader,0)),0)</f>
        <v>-3753</v>
      </c>
      <c r="K67" s="1072">
        <f t="array" ref="K67">IFERROR(INDEX(MO_CFS_Buyback,0,MATCH(K$5,MO_Common_ColumnHeader,0)),0)</f>
        <v>-2068</v>
      </c>
      <c r="L67" s="1072">
        <f t="array" ref="L67">IFERROR(INDEX(MO_CFS_Buyback,0,MATCH(L$5,MO_Common_ColumnHeader,0)),0)</f>
        <v>-4870</v>
      </c>
      <c r="M67" s="1072">
        <f t="array" ref="M67">IFERROR(INDEX(MO_CFS_Buyback,0,MATCH(M$5,MO_Common_ColumnHeader,0)),0)</f>
        <v>-1407</v>
      </c>
      <c r="N67" s="1073">
        <f t="array" ref="N67">IFERROR(INDEX(MO_CFS_Buyback,0,MATCH(N$5,MO_Common_ColumnHeader,0)),0)</f>
        <v>-368</v>
      </c>
      <c r="O67" s="1072">
        <f t="array" ref="O67">IFERROR(INDEX(MO_CFS_Buyback,0,MATCH(O$5,MO_Common_ColumnHeader,0)),0)</f>
        <v>-1731</v>
      </c>
      <c r="P67" s="1072">
        <f t="array" ref="P67">IFERROR(INDEX(MO_CFS_Buyback,0,MATCH(P$5,MO_Common_ColumnHeader,0)),0)</f>
        <v>-2000</v>
      </c>
      <c r="Q67" s="1072">
        <f t="array" ref="Q67">IFERROR(INDEX(MO_CFS_Buyback,0,MATCH(Q$5,MO_Common_ColumnHeader,0)),0)</f>
        <v>-2000</v>
      </c>
      <c r="R67" s="1072">
        <f t="array" ref="R67">IFERROR(INDEX(MO_CFS_Buyback,0,MATCH(R$5,MO_Common_ColumnHeader,0)),0)</f>
        <v>-2000</v>
      </c>
      <c r="S67" s="1072">
        <f t="array" ref="S67">IFERROR(INDEX(MO_CFS_Buyback,0,MATCH(S$5,MO_Common_ColumnHeader,0)),0)</f>
        <v>-2000</v>
      </c>
      <c r="T67" s="1120"/>
      <c r="U67" s="1120"/>
      <c r="V67" s="1120"/>
      <c r="W67" s="1120"/>
      <c r="X67" s="1117"/>
      <c r="AA67" s="990"/>
      <c r="AB67" s="990"/>
    </row>
    <row r="68" spans="1:28" s="1113" customFormat="1" ht="14.5" customHeight="1" x14ac:dyDescent="0.35">
      <c r="A68" s="1063"/>
      <c r="B68" s="1119" t="s">
        <v>303</v>
      </c>
      <c r="C68" s="1060"/>
      <c r="D68" s="1072">
        <f t="array" ref="D68">IFERROR(IFERROR(INDEX(MO_CFSum_NetShares,0,MATCH(D$5,MO_Common_ColumnHeader,0)),INDEX(SP_CFA_Equity,0,MATCH(D$5,SP_Common_ColumnHeader,0)))-D67, 0)</f>
        <v>719</v>
      </c>
      <c r="E68" s="1072">
        <f t="array" ref="E68">IFERROR(IFERROR(INDEX(MO_CFSum_NetShares,0,MATCH(E$5,MO_Common_ColumnHeader,0)),INDEX(SP_CFA_Equity,0,MATCH(E$5,SP_Common_ColumnHeader,0)))-E67, 0)</f>
        <v>955</v>
      </c>
      <c r="F68" s="1072">
        <f t="array" ref="F68">IFERROR(IFERROR(INDEX(MO_CFSum_NetShares,0,MATCH(F$5,MO_Common_ColumnHeader,0)),INDEX(SP_CFA_Equity,0,MATCH(F$5,SP_Common_ColumnHeader,0)))-F67, 0)</f>
        <v>1074</v>
      </c>
      <c r="G68" s="1072">
        <f t="array" ref="G68">IFERROR(IFERROR(INDEX(MO_CFSum_NetShares,0,MATCH(G$5,MO_Common_ColumnHeader,0)),INDEX(SP_CFA_Equity,0,MATCH(G$5,SP_Common_ColumnHeader,0)))-G67, 0)</f>
        <v>1701</v>
      </c>
      <c r="H68" s="1072">
        <f t="array" ref="H68">IFERROR(IFERROR(INDEX(MO_CFSum_NetShares,0,MATCH(H$5,MO_Common_ColumnHeader,0)),INDEX(SP_CFA_Equity,0,MATCH(H$5,SP_Common_ColumnHeader,0)))-H67, 0)</f>
        <v>1135</v>
      </c>
      <c r="I68" s="1072">
        <f t="array" ref="I68">IFERROR(IFERROR(INDEX(MO_CFSum_NetShares,0,MATCH(I$5,MO_Common_ColumnHeader,0)),INDEX(SP_CFA_Equity,0,MATCH(I$5,SP_Common_ColumnHeader,0)))-I67, 0)</f>
        <v>789</v>
      </c>
      <c r="J68" s="1072">
        <f t="array" ref="J68">IFERROR(IFERROR(INDEX(MO_CFSum_NetShares,0,MATCH(J$5,MO_Common_ColumnHeader,0)),INDEX(SP_CFA_Equity,0,MATCH(J$5,SP_Common_ColumnHeader,0)))-J67, 0)</f>
        <v>804</v>
      </c>
      <c r="K68" s="1072">
        <f t="array" ref="K68">IFERROR(IFERROR(INDEX(MO_CFSum_NetShares,0,MATCH(K$5,MO_Common_ColumnHeader,0)),INDEX(SP_CFA_Equity,0,MATCH(K$5,SP_Common_ColumnHeader,0)))-K67, 0)</f>
        <v>734</v>
      </c>
      <c r="L68" s="1072">
        <f t="array" ref="L68">IFERROR(IFERROR(INDEX(MO_CFSum_NetShares,0,MATCH(L$5,MO_Common_ColumnHeader,0)),INDEX(SP_CFA_Equity,0,MATCH(L$5,SP_Common_ColumnHeader,0)))-L67, 0)</f>
        <v>485</v>
      </c>
      <c r="M68" s="1072">
        <f t="array" ref="M68">IFERROR(IFERROR(INDEX(MO_CFSum_NetShares,0,MATCH(M$5,MO_Common_ColumnHeader,0)),INDEX(SP_CFA_Equity,0,MATCH(M$5,SP_Common_ColumnHeader,0)))-M67, 0)</f>
        <v>547</v>
      </c>
      <c r="N68" s="1073">
        <f t="array" ref="N68">IFERROR(IFERROR(INDEX(MO_CFSum_NetShares,0,MATCH(N$5,MO_Common_ColumnHeader,0)),INDEX(SP_CFA_Equity,0,MATCH(N$5,SP_Common_ColumnHeader,0)))-N67, 0)</f>
        <v>429</v>
      </c>
      <c r="O68" s="1072">
        <f t="array" ref="O68">IFERROR(IFERROR(INDEX(MO_CFSum_NetShares,0,MATCH(O$5,MO_Common_ColumnHeader,0)),INDEX(SP_CFA_Equity,0,MATCH(O$5,SP_Common_ColumnHeader,0)))-O67, 0)</f>
        <v>293</v>
      </c>
      <c r="P68" s="1072">
        <f t="array" ref="P68">IFERROR(IFERROR(INDEX(MO_CFSum_NetShares,0,MATCH(P$5,MO_Common_ColumnHeader,0)),INDEX(SP_CFA_Equity,0,MATCH(P$5,SP_Common_ColumnHeader,0)))-P67, 0)</f>
        <v>0</v>
      </c>
      <c r="Q68" s="1072">
        <f t="array" ref="Q68">IFERROR(IFERROR(INDEX(MO_CFSum_NetShares,0,MATCH(Q$5,MO_Common_ColumnHeader,0)),INDEX(SP_CFA_Equity,0,MATCH(Q$5,SP_Common_ColumnHeader,0)))-Q67, 0)</f>
        <v>0</v>
      </c>
      <c r="R68" s="1072">
        <f t="array" ref="R68">IFERROR(IFERROR(INDEX(MO_CFSum_NetShares,0,MATCH(R$5,MO_Common_ColumnHeader,0)),INDEX(SP_CFA_Equity,0,MATCH(R$5,SP_Common_ColumnHeader,0)))-R67, 0)</f>
        <v>0</v>
      </c>
      <c r="S68" s="1072">
        <f t="array" ref="S68">IFERROR(IFERROR(INDEX(MO_CFSum_NetShares,0,MATCH(S$5,MO_Common_ColumnHeader,0)),INDEX(SP_CFA_Equity,0,MATCH(S$5,SP_Common_ColumnHeader,0)))-S67, 0)</f>
        <v>0</v>
      </c>
      <c r="T68" s="1120"/>
      <c r="U68" s="1120"/>
      <c r="V68" s="1120"/>
      <c r="W68" s="1120"/>
      <c r="X68" s="1117"/>
    </row>
    <row r="69" spans="1:28" s="1060" customFormat="1" ht="14.5" customHeight="1" x14ac:dyDescent="0.35">
      <c r="A69" s="1031"/>
      <c r="B69" s="1119" t="s">
        <v>67</v>
      </c>
      <c r="D69" s="1072">
        <f t="array" ref="D69">IFERROR(INDEX(MO_CFS_NetChange,0,MATCH(D$5,MO_Common_ColumnHeader,0)), 0)-SUM(D63:D68,D56)</f>
        <v>166</v>
      </c>
      <c r="E69" s="1072">
        <f t="array" ref="E69">IFERROR(INDEX(MO_CFS_NetChange,0,MATCH(E$5,MO_Common_ColumnHeader,0)), 0)-SUM(E63:E68,E56)</f>
        <v>-861</v>
      </c>
      <c r="F69" s="1072">
        <f t="array" ref="F69">IFERROR(INDEX(MO_CFS_NetChange,0,MATCH(F$5,MO_Common_ColumnHeader,0)), 0)-SUM(F63:F68,F56)</f>
        <v>-104</v>
      </c>
      <c r="G69" s="1072">
        <f t="array" ref="G69">IFERROR(INDEX(MO_CFS_NetChange,0,MATCH(G$5,MO_Common_ColumnHeader,0)), 0)-SUM(G63:G68,G56)</f>
        <v>688</v>
      </c>
      <c r="H69" s="1072">
        <f t="array" ref="H69">IFERROR(INDEX(MO_CFS_NetChange,0,MATCH(H$5,MO_Common_ColumnHeader,0)), 0)-SUM(H63:H68,H56)</f>
        <v>726</v>
      </c>
      <c r="I69" s="1072">
        <f t="array" ref="I69">IFERROR(INDEX(MO_CFS_NetChange,0,MATCH(I$5,MO_Common_ColumnHeader,0)), 0)-SUM(I63:I68,I56)</f>
        <v>1228</v>
      </c>
      <c r="J69" s="1072">
        <f t="array" ref="J69">IFERROR(INDEX(MO_CFS_NetChange,0,MATCH(J$5,MO_Common_ColumnHeader,0)), 0)-SUM(J63:J68,J56)</f>
        <v>-242</v>
      </c>
      <c r="K69" s="1072">
        <f t="array" ref="K69">IFERROR(INDEX(MO_CFS_NetChange,0,MATCH(K$5,MO_Common_ColumnHeader,0)), 0)-SUM(K63:K68,K56)</f>
        <v>-769</v>
      </c>
      <c r="L69" s="1072">
        <f t="array" ref="L69">IFERROR(INDEX(MO_CFS_NetChange,0,MATCH(L$5,MO_Common_ColumnHeader,0)), 0)-SUM(L63:L68,L56)</f>
        <v>462</v>
      </c>
      <c r="M69" s="1072">
        <f t="array" ref="M69">IFERROR(INDEX(MO_CFS_NetChange,0,MATCH(M$5,MO_Common_ColumnHeader,0)), 0)-SUM(M63:M68,M56)</f>
        <v>-319</v>
      </c>
      <c r="N69" s="1073">
        <f t="array" ref="N69">IFERROR(INDEX(MO_CFS_NetChange,0,MATCH(N$5,MO_Common_ColumnHeader,0)), 0)-SUM(N63:N68,N56)</f>
        <v>192</v>
      </c>
      <c r="O69" s="1072">
        <f t="array" ref="O69">IFERROR(INDEX(MO_CFS_NetChange,0,MATCH(O$5,MO_Common_ColumnHeader,0)), 0)-SUM(O63:O68,O56)</f>
        <v>-136</v>
      </c>
      <c r="P69" s="1072">
        <f t="array" aca="1" ref="P69" ca="1">IFERROR(INDEX(MO_CFS_NetChange,0,MATCH(P$5,MO_Common_ColumnHeader,0)), 0)-SUM(P63:P68,P56)</f>
        <v>0</v>
      </c>
      <c r="Q69" s="1072">
        <f t="array" aca="1" ref="Q69" ca="1">IFERROR(INDEX(MO_CFS_NetChange,0,MATCH(Q$5,MO_Common_ColumnHeader,0)), 0)-SUM(Q63:Q68,Q56)</f>
        <v>0</v>
      </c>
      <c r="R69" s="1072">
        <f t="array" aca="1" ref="R69" ca="1">IFERROR(INDEX(MO_CFS_NetChange,0,MATCH(R$5,MO_Common_ColumnHeader,0)), 0)-SUM(R63:R68,R56)</f>
        <v>0</v>
      </c>
      <c r="S69" s="1072">
        <f t="array" aca="1" ref="S69" ca="1">IFERROR(INDEX(MO_CFS_NetChange,0,MATCH(S$5,MO_Common_ColumnHeader,0)), 0)-SUM(S63:S68,S56)</f>
        <v>0</v>
      </c>
      <c r="T69" s="1090"/>
      <c r="U69" s="1090"/>
      <c r="V69" s="1090"/>
      <c r="W69" s="1090"/>
      <c r="X69" s="1117"/>
      <c r="AA69" s="1121"/>
      <c r="AB69" s="1121"/>
    </row>
    <row r="70" spans="1:28" s="1060" customFormat="1" ht="14.5" customHeight="1" thickBot="1" x14ac:dyDescent="0.4">
      <c r="A70" s="1031"/>
      <c r="B70" s="1103" t="s">
        <v>1116</v>
      </c>
      <c r="C70" s="1104"/>
      <c r="D70" s="1105">
        <f>D56+SUM(D63:D69)</f>
        <v>337</v>
      </c>
      <c r="E70" s="1105">
        <f>E56+SUM(E63:E69)</f>
        <v>-1158</v>
      </c>
      <c r="F70" s="1105">
        <f>F56+SUM(F63:F69)</f>
        <v>664</v>
      </c>
      <c r="G70" s="1105">
        <f>G56+SUM(G63:G69)</f>
        <v>-302</v>
      </c>
      <c r="H70" s="1105">
        <f>H56+SUM(H63:H69)</f>
        <v>-684</v>
      </c>
      <c r="I70" s="1105">
        <f>I56+SUM(I63:I69)</f>
        <v>-99</v>
      </c>
      <c r="J70" s="1105">
        <f>J56+SUM(J63:J69)</f>
        <v>600</v>
      </c>
      <c r="K70" s="1105">
        <f>K56+SUM(K63:K69)</f>
        <v>655</v>
      </c>
      <c r="L70" s="1105">
        <f>L56+SUM(L63:L69)</f>
        <v>-200</v>
      </c>
      <c r="M70" s="1105">
        <f>M56+SUM(M63:M69)</f>
        <v>-500</v>
      </c>
      <c r="N70" s="1106">
        <f>N56+SUM(N63:N69)</f>
        <v>2281</v>
      </c>
      <c r="O70" s="1105">
        <f>O56+SUM(O63:O69)</f>
        <v>201.96947011720749</v>
      </c>
      <c r="P70" s="1105">
        <f ca="1">P56+SUM(P63:P69)</f>
        <v>883.61761864448454</v>
      </c>
      <c r="Q70" s="1105">
        <f ca="1">Q56+SUM(Q63:Q69)</f>
        <v>1590.8053981916391</v>
      </c>
      <c r="R70" s="1105">
        <f ca="1">R56+SUM(R63:R69)</f>
        <v>2317.1425521034716</v>
      </c>
      <c r="S70" s="1105">
        <f ca="1">S56+SUM(S63:S69)</f>
        <v>3100.2483739134295</v>
      </c>
      <c r="T70" s="1090"/>
      <c r="U70" s="1090"/>
      <c r="V70" s="1090"/>
      <c r="W70" s="1090"/>
      <c r="X70" s="1117"/>
      <c r="AA70" s="1122"/>
      <c r="AB70" s="1122"/>
    </row>
    <row r="71" spans="1:28" ht="14.5" customHeight="1" thickTop="1" x14ac:dyDescent="0.35">
      <c r="B71" s="1053"/>
      <c r="C71" s="1006"/>
      <c r="D71" s="1123"/>
      <c r="E71" s="1123"/>
      <c r="F71" s="1123"/>
      <c r="G71" s="1123"/>
      <c r="H71" s="1123"/>
      <c r="I71" s="1123"/>
      <c r="J71" s="1123"/>
      <c r="K71" s="1123"/>
      <c r="L71" s="1123"/>
      <c r="M71" s="1123"/>
      <c r="N71" s="1124"/>
      <c r="O71" s="1123"/>
      <c r="P71" s="1123"/>
      <c r="Q71" s="1123"/>
      <c r="R71" s="1123"/>
      <c r="S71" s="1123"/>
      <c r="T71" s="1048"/>
      <c r="U71" s="1048"/>
      <c r="V71" s="1048"/>
      <c r="W71" s="1048"/>
      <c r="X71" s="1048"/>
    </row>
    <row r="72" spans="1:28" s="1113" customFormat="1" ht="14.5" customHeight="1" x14ac:dyDescent="0.35">
      <c r="A72" s="1063"/>
      <c r="B72" s="1125" t="s">
        <v>1117</v>
      </c>
      <c r="C72" s="1060"/>
      <c r="D72" s="1066">
        <f t="array" ref="D72">IFERROR(INDEX(MO_RIS_DA,0,MATCH(D$5,MO_Common_ColumnHeader,0)),0)+IFERROR(INDEX(MO_RIS_DA_operating,0,MATCH(D$5,MO_Common_ColumnHeader,0)),0)+IFERROR(INDEX(MO_RIS_DAintangibles_operating,0,MATCH(D$5,MO_Common_ColumnHeader,0)),0)+IFERROR(INDEX(MO_RIS_DAintangibles,0,MATCH(D$5,MO_Common_ColumnHeader,0)),0)+IFERROR(INDEX(MO_RIS_DAintangible,0,MATCH(D$5,MO_Common_ColumnHeader,0)),0)</f>
        <v>1120</v>
      </c>
      <c r="E72" s="1066">
        <f t="array" ref="E72">IFERROR(INDEX(MO_RIS_DA,0,MATCH(E$5,MO_Common_ColumnHeader,0)),0)+IFERROR(INDEX(MO_RIS_DA_operating,0,MATCH(E$5,MO_Common_ColumnHeader,0)),0)+IFERROR(INDEX(MO_RIS_DAintangibles_operating,0,MATCH(E$5,MO_Common_ColumnHeader,0)),0)+IFERROR(INDEX(MO_RIS_DAintangibles,0,MATCH(E$5,MO_Common_ColumnHeader,0)),0)+IFERROR(INDEX(MO_RIS_DAintangible,0,MATCH(E$5,MO_Common_ColumnHeader,0)),0)</f>
        <v>1236</v>
      </c>
      <c r="F72" s="1072">
        <f t="array" ref="F72">IFERROR(INDEX(MO_RIS_DA,0,MATCH(F$5,MO_Common_ColumnHeader,0)),0)+IFERROR(INDEX(MO_RIS_DA_operating,0,MATCH(F$5,MO_Common_ColumnHeader,0)),0)+IFERROR(INDEX(MO_RIS_DAintangibles_operating,0,MATCH(F$5,MO_Common_ColumnHeader,0)),0)+IFERROR(INDEX(MO_RIS_DAintangibles,0,MATCH(F$5,MO_Common_ColumnHeader,0)),0)+IFERROR(INDEX(MO_RIS_DAintangible,0,MATCH(F$5,MO_Common_ColumnHeader,0)),0)</f>
        <v>1288</v>
      </c>
      <c r="G72" s="1072">
        <f t="array" ref="G72">IFERROR(INDEX(MO_RIS_DA,0,MATCH(G$5,MO_Common_ColumnHeader,0)),0)+IFERROR(INDEX(MO_RIS_DA_operating,0,MATCH(G$5,MO_Common_ColumnHeader,0)),0)+IFERROR(INDEX(MO_RIS_DAintangibles_operating,0,MATCH(G$5,MO_Common_ColumnHeader,0)),0)+IFERROR(INDEX(MO_RIS_DAintangibles,0,MATCH(G$5,MO_Common_ColumnHeader,0)),0)+IFERROR(INDEX(MO_RIS_DAintangible,0,MATCH(G$5,MO_Common_ColumnHeader,0)),0)</f>
        <v>1371</v>
      </c>
      <c r="H72" s="1072">
        <f t="array" ref="H72">IFERROR(INDEX(MO_RIS_DA,0,MATCH(H$5,MO_Common_ColumnHeader,0)),0)+IFERROR(INDEX(MO_RIS_DA_operating,0,MATCH(H$5,MO_Common_ColumnHeader,0)),0)+IFERROR(INDEX(MO_RIS_DAintangibles_operating,0,MATCH(H$5,MO_Common_ColumnHeader,0)),0)+IFERROR(INDEX(MO_RIS_DAintangibles,0,MATCH(H$5,MO_Common_ColumnHeader,0)),0)+IFERROR(INDEX(MO_RIS_DAintangible,0,MATCH(H$5,MO_Common_ColumnHeader,0)),0)</f>
        <v>1408</v>
      </c>
      <c r="I72" s="1072">
        <f t="array" ref="I72">IFERROR(INDEX(MO_RIS_DA,0,MATCH(I$5,MO_Common_ColumnHeader,0)),0)+IFERROR(INDEX(MO_RIS_DA_operating,0,MATCH(I$5,MO_Common_ColumnHeader,0)),0)+IFERROR(INDEX(MO_RIS_DAintangibles_operating,0,MATCH(I$5,MO_Common_ColumnHeader,0)),0)+IFERROR(INDEX(MO_RIS_DAintangibles,0,MATCH(I$5,MO_Common_ColumnHeader,0)),0)+IFERROR(INDEX(MO_RIS_DAintangible,0,MATCH(I$5,MO_Common_ColumnHeader,0)),0)</f>
        <v>1435</v>
      </c>
      <c r="J72" s="1072">
        <f t="array" ref="J72">IFERROR(INDEX(MO_RIS_DA,0,MATCH(J$5,MO_Common_ColumnHeader,0)),0)+IFERROR(INDEX(MO_RIS_DA_operating,0,MATCH(J$5,MO_Common_ColumnHeader,0)),0)+IFERROR(INDEX(MO_RIS_DAintangibles_operating,0,MATCH(J$5,MO_Common_ColumnHeader,0)),0)+IFERROR(INDEX(MO_RIS_DAintangibles,0,MATCH(J$5,MO_Common_ColumnHeader,0)),0)+IFERROR(INDEX(MO_RIS_DAintangible,0,MATCH(J$5,MO_Common_ColumnHeader,0)),0)</f>
        <v>1474</v>
      </c>
      <c r="K72" s="1072">
        <f t="array" ref="K72">IFERROR(INDEX(MO_RIS_DA,0,MATCH(K$5,MO_Common_ColumnHeader,0)),0)+IFERROR(INDEX(MO_RIS_DA_operating,0,MATCH(K$5,MO_Common_ColumnHeader,0)),0)+IFERROR(INDEX(MO_RIS_DAintangibles_operating,0,MATCH(K$5,MO_Common_ColumnHeader,0)),0)+IFERROR(INDEX(MO_RIS_DAintangibles,0,MATCH(K$5,MO_Common_ColumnHeader,0)),0)+IFERROR(INDEX(MO_RIS_DAintangible,0,MATCH(K$5,MO_Common_ColumnHeader,0)),0)</f>
        <v>1544</v>
      </c>
      <c r="L72" s="1072">
        <f t="array" ref="L72">IFERROR(INDEX(MO_RIS_DA,0,MATCH(L$5,MO_Common_ColumnHeader,0)),0)+IFERROR(INDEX(MO_RIS_DA_operating,0,MATCH(L$5,MO_Common_ColumnHeader,0)),0)+IFERROR(INDEX(MO_RIS_DAintangibles_operating,0,MATCH(L$5,MO_Common_ColumnHeader,0)),0)+IFERROR(INDEX(MO_RIS_DAintangibles,0,MATCH(L$5,MO_Common_ColumnHeader,0)),0)+IFERROR(INDEX(MO_RIS_DAintangible,0,MATCH(L$5,MO_Common_ColumnHeader,0)),0)</f>
        <v>1488</v>
      </c>
      <c r="M72" s="1072">
        <f t="array" ref="M72">IFERROR(INDEX(MO_RIS_DA,0,MATCH(M$5,MO_Common_ColumnHeader,0)),0)+IFERROR(INDEX(MO_RIS_DA_operating,0,MATCH(M$5,MO_Common_ColumnHeader,0)),0)+IFERROR(INDEX(MO_RIS_DAintangibles_operating,0,MATCH(M$5,MO_Common_ColumnHeader,0)),0)+IFERROR(INDEX(MO_RIS_DAintangibles,0,MATCH(M$5,MO_Common_ColumnHeader,0)),0)+IFERROR(INDEX(MO_RIS_DAintangible,0,MATCH(M$5,MO_Common_ColumnHeader,0)),0)</f>
        <v>1593</v>
      </c>
      <c r="N72" s="1073">
        <f t="array" ref="N72">IFERROR(INDEX(MO_RIS_DA,0,MATCH(N$5,MO_Common_ColumnHeader,0)),0)+IFERROR(INDEX(MO_RIS_DA_operating,0,MATCH(N$5,MO_Common_ColumnHeader,0)),0)+IFERROR(INDEX(MO_RIS_DAintangibles_operating,0,MATCH(N$5,MO_Common_ColumnHeader,0)),0)+IFERROR(INDEX(MO_RIS_DAintangibles,0,MATCH(N$5,MO_Common_ColumnHeader,0)),0)+IFERROR(INDEX(MO_RIS_DAintangible,0,MATCH(N$5,MO_Common_ColumnHeader,0)),0)</f>
        <v>1911</v>
      </c>
      <c r="O72" s="1072">
        <f t="array" ref="O72">IFERROR(INDEX(MO_RIS_DA,0,MATCH(O$5,MO_Common_ColumnHeader,0)),0)+IFERROR(INDEX(MO_RIS_DA_operating,0,MATCH(O$5,MO_Common_ColumnHeader,0)),0)+IFERROR(INDEX(MO_RIS_DAintangibles_operating,0,MATCH(O$5,MO_Common_ColumnHeader,0)),0)+IFERROR(INDEX(MO_RIS_DAintangibles,0,MATCH(O$5,MO_Common_ColumnHeader,0)),0)+IFERROR(INDEX(MO_RIS_DAintangible,0,MATCH(O$5,MO_Common_ColumnHeader,0)),0)</f>
        <v>1735</v>
      </c>
      <c r="P72" s="1072">
        <f t="array" ref="P72">IFERROR(INDEX(MO_RIS_DA,0,MATCH(P$5,MO_Common_ColumnHeader,0)),0)+IFERROR(INDEX(MO_RIS_DA_operating,0,MATCH(P$5,MO_Common_ColumnHeader,0)),0)+IFERROR(INDEX(MO_RIS_DAintangibles_operating,0,MATCH(P$5,MO_Common_ColumnHeader,0)),0)+IFERROR(INDEX(MO_RIS_DAintangibles,0,MATCH(P$5,MO_Common_ColumnHeader,0)),0)+IFERROR(INDEX(MO_RIS_DAintangible,0,MATCH(P$5,MO_Common_ColumnHeader,0)),0)</f>
        <v>1700</v>
      </c>
      <c r="Q72" s="1072">
        <f t="array" ref="Q72">IFERROR(INDEX(MO_RIS_DA,0,MATCH(Q$5,MO_Common_ColumnHeader,0)),0)+IFERROR(INDEX(MO_RIS_DA_operating,0,MATCH(Q$5,MO_Common_ColumnHeader,0)),0)+IFERROR(INDEX(MO_RIS_DAintangibles_operating,0,MATCH(Q$5,MO_Common_ColumnHeader,0)),0)+IFERROR(INDEX(MO_RIS_DAintangibles,0,MATCH(Q$5,MO_Common_ColumnHeader,0)),0)+IFERROR(INDEX(MO_RIS_DAintangible,0,MATCH(Q$5,MO_Common_ColumnHeader,0)),0)</f>
        <v>1700</v>
      </c>
      <c r="R72" s="1072">
        <f t="array" ref="R72">IFERROR(INDEX(MO_RIS_DA,0,MATCH(R$5,MO_Common_ColumnHeader,0)),0)+IFERROR(INDEX(MO_RIS_DA_operating,0,MATCH(R$5,MO_Common_ColumnHeader,0)),0)+IFERROR(INDEX(MO_RIS_DAintangibles_operating,0,MATCH(R$5,MO_Common_ColumnHeader,0)),0)+IFERROR(INDEX(MO_RIS_DAintangibles,0,MATCH(R$5,MO_Common_ColumnHeader,0)),0)+IFERROR(INDEX(MO_RIS_DAintangible,0,MATCH(R$5,MO_Common_ColumnHeader,0)),0)</f>
        <v>1700</v>
      </c>
      <c r="S72" s="1072">
        <f t="array" ref="S72">IFERROR(INDEX(MO_RIS_DA,0,MATCH(S$5,MO_Common_ColumnHeader,0)),0)+IFERROR(INDEX(MO_RIS_DA_operating,0,MATCH(S$5,MO_Common_ColumnHeader,0)),0)+IFERROR(INDEX(MO_RIS_DAintangibles_operating,0,MATCH(S$5,MO_Common_ColumnHeader,0)),0)+IFERROR(INDEX(MO_RIS_DAintangibles,0,MATCH(S$5,MO_Common_ColumnHeader,0)),0)+IFERROR(INDEX(MO_RIS_DAintangible,0,MATCH(S$5,MO_Common_ColumnHeader,0)),0)</f>
        <v>1700</v>
      </c>
      <c r="T72" s="1090"/>
      <c r="U72" s="1090"/>
      <c r="V72" s="1090"/>
      <c r="W72" s="1090"/>
      <c r="X72" s="1090"/>
      <c r="AA72" s="990"/>
      <c r="AB72" s="990"/>
    </row>
    <row r="73" spans="1:28" s="1121" customFormat="1" ht="14.5" customHeight="1" x14ac:dyDescent="0.35">
      <c r="A73" s="1126"/>
      <c r="B73" s="1127" t="s">
        <v>1118</v>
      </c>
      <c r="D73" s="1128">
        <f>IFERROR(-D72/D55,"")</f>
        <v>1.0265811182401468</v>
      </c>
      <c r="E73" s="1128">
        <f>IFERROR(-E72/E55,"")</f>
        <v>0.89630166787527199</v>
      </c>
      <c r="F73" s="1128">
        <f>IFERROR(-F72/F55,"")</f>
        <v>0.86792452830188682</v>
      </c>
      <c r="G73" s="1128">
        <f>IFERROR(-G72/G55,"")</f>
        <v>0.82342342342342345</v>
      </c>
      <c r="H73" s="1128">
        <f>IFERROR(-H72/H55,"")</f>
        <v>0.94306764902880102</v>
      </c>
      <c r="I73" s="1128">
        <f>IFERROR(-I72/I55,"")</f>
        <v>0.98220396988364134</v>
      </c>
      <c r="J73" s="1128">
        <f>IFERROR(-J72/J55,"")</f>
        <v>1.0380281690140845</v>
      </c>
      <c r="K73" s="1128">
        <f>IFERROR(-K72/K55,"")</f>
        <v>1.124544792425346</v>
      </c>
      <c r="L73" s="1128">
        <f>IFERROR(-L72/L55,"")</f>
        <v>0.94356372859860493</v>
      </c>
      <c r="M73" s="1128">
        <f>IFERROR(-M72/M55,"")</f>
        <v>0.93761035903472634</v>
      </c>
      <c r="N73" s="1129">
        <f>IFERROR(-N72/N55,"")</f>
        <v>1.273151232511659</v>
      </c>
      <c r="O73" s="1128">
        <f>IFERROR(-O72/O55,"")</f>
        <v>1</v>
      </c>
      <c r="P73" s="1128">
        <f>IFERROR(-P72/P55,"")</f>
        <v>0.89473684210526316</v>
      </c>
      <c r="Q73" s="1128">
        <f>IFERROR(-Q72/Q55,"")</f>
        <v>0.89473684210526316</v>
      </c>
      <c r="R73" s="1128">
        <f>IFERROR(-R72/R55,"")</f>
        <v>0.89473684210526316</v>
      </c>
      <c r="S73" s="1128">
        <f>IFERROR(-S72/S55,"")</f>
        <v>0.89473684210526316</v>
      </c>
      <c r="T73" s="1130"/>
      <c r="U73" s="1130"/>
      <c r="V73" s="1130"/>
      <c r="W73" s="1130"/>
      <c r="X73" s="1130"/>
      <c r="AA73" s="1131"/>
      <c r="AB73" s="1131"/>
    </row>
    <row r="74" spans="1:28" s="1122" customFormat="1" ht="14.5" customHeight="1" x14ac:dyDescent="0.35">
      <c r="A74" s="1132"/>
      <c r="B74" s="1133" t="s">
        <v>1119</v>
      </c>
      <c r="D74" s="1134">
        <f>IFERROR(-D55/D7,"")</f>
        <v>4.0919660940664619E-2</v>
      </c>
      <c r="E74" s="1134">
        <f>IFERROR(-E55/E7,"")</f>
        <v>4.6570531221505521E-2</v>
      </c>
      <c r="F74" s="1134">
        <f>IFERROR(-F55/F7,"")</f>
        <v>4.9625468164794011E-2</v>
      </c>
      <c r="G74" s="1134">
        <f>IFERROR(-G55/G7,"")</f>
        <v>5.3934112921512102E-2</v>
      </c>
      <c r="H74" s="1134">
        <f>IFERROR(-H55/H7,"")</f>
        <v>4.6918701486439771E-2</v>
      </c>
      <c r="I74" s="1134">
        <f>IFERROR(-I55/I7,"")</f>
        <v>4.8259232344586116E-2</v>
      </c>
      <c r="J74" s="1134">
        <f>IFERROR(-J55/J7,"")</f>
        <v>4.7161978146069282E-2</v>
      </c>
      <c r="K74" s="1134">
        <f>IFERROR(-K55/K7,"")</f>
        <v>4.3371134346274126E-2</v>
      </c>
      <c r="L74" s="1134">
        <f>IFERROR(-L55/L7,"")</f>
        <v>4.8130627193651764E-2</v>
      </c>
      <c r="M74" s="1134">
        <f>IFERROR(-M55/M7,"")</f>
        <v>5.2869056509833208E-2</v>
      </c>
      <c r="N74" s="1135">
        <f>IFERROR(-N55/N7,"")</f>
        <v>4.6638081034054188E-2</v>
      </c>
      <c r="O74" s="1134">
        <f>IFERROR(-O55/O7,"")</f>
        <v>5.0661164994572766E-2</v>
      </c>
      <c r="P74" s="1134">
        <f>IFERROR(-P55/P7,"")</f>
        <v>5.2040499567049495E-2</v>
      </c>
      <c r="Q74" s="1134">
        <f>IFERROR(-Q55/Q7,"")</f>
        <v>4.8893071593915718E-2</v>
      </c>
      <c r="R74" s="1134">
        <f>IFERROR(-R55/R7,"")</f>
        <v>4.5928727362669335E-2</v>
      </c>
      <c r="S74" s="1134">
        <f>IFERROR(-S55/S7,"")</f>
        <v>4.3137304494662271E-2</v>
      </c>
      <c r="T74" s="1069"/>
      <c r="U74" s="1069"/>
      <c r="V74" s="1069"/>
      <c r="W74" s="1069"/>
      <c r="X74" s="1069"/>
      <c r="AA74" s="1064"/>
      <c r="AB74" s="1064"/>
    </row>
    <row r="75" spans="1:28" ht="14.5" customHeight="1" x14ac:dyDescent="0.35">
      <c r="B75" s="1009"/>
      <c r="D75" s="1136"/>
      <c r="E75" s="1136"/>
      <c r="F75" s="1136"/>
      <c r="G75" s="1136"/>
      <c r="H75" s="1136"/>
      <c r="I75" s="1136"/>
      <c r="J75" s="1136"/>
      <c r="K75" s="1136"/>
      <c r="L75" s="1136"/>
      <c r="M75" s="1136"/>
      <c r="N75" s="1137"/>
      <c r="O75" s="1136"/>
      <c r="P75" s="1136"/>
      <c r="Q75" s="1136"/>
      <c r="R75" s="1136"/>
      <c r="S75" s="1136"/>
      <c r="T75" s="1048"/>
      <c r="U75" s="1048"/>
      <c r="V75" s="1048"/>
      <c r="W75" s="1048"/>
      <c r="X75" s="1048"/>
      <c r="AA75" s="1039"/>
      <c r="AB75" s="1039"/>
    </row>
    <row r="76" spans="1:28" s="1138" customFormat="1" ht="14.5" customHeight="1" x14ac:dyDescent="0.35">
      <c r="B76" s="1138" t="s">
        <v>1120</v>
      </c>
      <c r="D76" s="1139">
        <f>IFERROR(D54+D55+D66, "")</f>
        <v>3611</v>
      </c>
      <c r="E76" s="1139">
        <f>IFERROR(E54+E55+E66, "")</f>
        <v>3598</v>
      </c>
      <c r="F76" s="1139">
        <f>IFERROR(F54+F55+F66, "")</f>
        <v>4538</v>
      </c>
      <c r="G76" s="1139">
        <f>IFERROR(G54+G55+G66, "")</f>
        <v>4115</v>
      </c>
      <c r="H76" s="1139">
        <f>IFERROR(H54+H55+H66, "")</f>
        <v>6143</v>
      </c>
      <c r="I76" s="1139">
        <f>IFERROR(I54+I55+I66, "")</f>
        <v>8441</v>
      </c>
      <c r="J76" s="1139">
        <f>IFERROR(J54+J55+J66, "")</f>
        <v>6285</v>
      </c>
      <c r="K76" s="1139">
        <f>IFERROR(K54+K55+K66, "")</f>
        <v>6470</v>
      </c>
      <c r="L76" s="1139">
        <f>IFERROR(L54+L55+L66, "")</f>
        <v>5795</v>
      </c>
      <c r="M76" s="1139">
        <f>IFERROR(M54+M55+M66, "")</f>
        <v>8620</v>
      </c>
      <c r="N76" s="1140">
        <f>IFERROR(N54+N55+N66, "")</f>
        <v>4737</v>
      </c>
      <c r="O76" s="1139">
        <f>IFERROR(O54+O55+O66, "")</f>
        <v>5188.5028721790632</v>
      </c>
      <c r="P76" s="1139">
        <f ca="1">IFERROR(P54+P55+P66, "")</f>
        <v>6239.6626387306387</v>
      </c>
      <c r="Q76" s="1139">
        <f ca="1">IFERROR(Q54+Q55+Q66, "")</f>
        <v>6875.4070572569672</v>
      </c>
      <c r="R76" s="1139">
        <f ca="1">IFERROR(R54+R55+R66, "")</f>
        <v>7555.6741722582938</v>
      </c>
      <c r="S76" s="1139">
        <f ca="1">IFERROR(S54+S55+S66, "")</f>
        <v>8296.9425382378631</v>
      </c>
      <c r="T76" s="1141"/>
      <c r="U76" s="1142">
        <f>IFERROR(U54+U55+U66, "")</f>
        <v>2583</v>
      </c>
      <c r="V76" s="1142">
        <f>IFERROR(V54+V55+V66, "")</f>
        <v>5853.3647430984693</v>
      </c>
      <c r="W76" s="1141"/>
      <c r="X76" s="1143">
        <f ca="1">IFERROR(($N76/OFFSET($N76,0,-X$3))^(1/X$3)-1, "")</f>
        <v>2.7513625538069464E-2</v>
      </c>
      <c r="AA76" s="1144"/>
      <c r="AB76" s="1144"/>
    </row>
    <row r="77" spans="1:28" s="1138" customFormat="1" ht="14.5" customHeight="1" x14ac:dyDescent="0.35">
      <c r="B77" s="1138" t="s">
        <v>1121</v>
      </c>
      <c r="D77" s="1139">
        <f>IFERROR(D54+D103*(1-D35)+D55, "")</f>
        <v>4228.3975673327541</v>
      </c>
      <c r="E77" s="1139">
        <f>IFERROR(E54+E103*(1-E35)+E55, "")</f>
        <v>4039.3727408389987</v>
      </c>
      <c r="F77" s="1139">
        <f>IFERROR(F54+F103*(1-F35)+F55, "")</f>
        <v>3937.4581955597541</v>
      </c>
      <c r="G77" s="1139">
        <f>IFERROR(G54+G103*(1-G35)+G55, "")</f>
        <v>4256.3195672051206</v>
      </c>
      <c r="H77" s="1139">
        <f>IFERROR(H54+H103*(1-H35)+H55, "")</f>
        <v>5234.012809564475</v>
      </c>
      <c r="I77" s="1139">
        <f>IFERROR(I54+I103*(1-I35)+I55, "")</f>
        <v>5064.7172797889489</v>
      </c>
      <c r="J77" s="1139">
        <f>IFERROR(J54+J103*(1-J35)+J55, "")</f>
        <v>5384.7111867290514</v>
      </c>
      <c r="K77" s="1139">
        <f>IFERROR(K54+K103*(1-K35)+K55, "")</f>
        <v>5074.7130365659777</v>
      </c>
      <c r="L77" s="1139">
        <f>IFERROR(L54+L103*(1-L35)+L55, "")</f>
        <v>5130.1499999999996</v>
      </c>
      <c r="M77" s="1139">
        <f>IFERROR(M54+M103*(1-M35)+M55, "")</f>
        <v>5730.3725490196075</v>
      </c>
      <c r="N77" s="1140">
        <f>IFERROR(N54+N103*(1-N35)+N55, "")</f>
        <v>7037.1075845626583</v>
      </c>
      <c r="O77" s="1139">
        <f>IFERROR(O54+O103*(1-O35)+O55, "")</f>
        <v>6057.0695888017435</v>
      </c>
      <c r="P77" s="1139">
        <f ca="1">IFERROR(P54+P103*(1-P35)+P55, "")</f>
        <v>6656.3268087306387</v>
      </c>
      <c r="Q77" s="1139">
        <f ca="1">IFERROR(Q54+Q103*(1-Q35)+Q55, "")</f>
        <v>7292.0712272569672</v>
      </c>
      <c r="R77" s="1139">
        <f ca="1">IFERROR(R54+R103*(1-R35)+R55, "")</f>
        <v>7972.3383422582938</v>
      </c>
      <c r="S77" s="1139">
        <f ca="1">IFERROR(S54+S103*(1-S35)+S55, "")</f>
        <v>8713.6067082378631</v>
      </c>
      <c r="T77" s="1141"/>
      <c r="U77" s="1142">
        <f>IFERROR(U54+U103*(1-U35)+U55, "")</f>
        <v>7543.4830018338271</v>
      </c>
      <c r="V77" s="1142">
        <f>IFERROR(V54+V103*(1-V35)+V55, "")</f>
        <v>6270.0289130984693</v>
      </c>
      <c r="W77" s="1141"/>
      <c r="X77" s="1143">
        <f ca="1">IFERROR(($N77/OFFSET($N77,0,-X$3))^(1/X$3)-1, "")</f>
        <v>5.2257034209454156E-2</v>
      </c>
      <c r="AA77" s="1144"/>
      <c r="AB77" s="1144"/>
    </row>
    <row r="78" spans="1:28" ht="14.5" customHeight="1" x14ac:dyDescent="0.35">
      <c r="B78" s="1009"/>
      <c r="D78" s="1136"/>
      <c r="E78" s="1136"/>
      <c r="F78" s="1136"/>
      <c r="G78" s="1136"/>
      <c r="H78" s="1136"/>
      <c r="I78" s="1136"/>
      <c r="J78" s="1136"/>
      <c r="K78" s="1136"/>
      <c r="L78" s="1136"/>
      <c r="M78" s="1136"/>
      <c r="N78" s="1137"/>
      <c r="O78" s="1136"/>
      <c r="P78" s="1136"/>
      <c r="Q78" s="1136"/>
      <c r="R78" s="1136"/>
      <c r="S78" s="1136"/>
      <c r="T78" s="1048"/>
      <c r="U78" s="1048"/>
      <c r="V78" s="1048"/>
      <c r="W78" s="1048"/>
      <c r="X78" s="1048"/>
      <c r="AA78" s="1039"/>
      <c r="AB78" s="1039"/>
    </row>
    <row r="79" spans="1:28" ht="14.5" customHeight="1" x14ac:dyDescent="0.35">
      <c r="B79" s="1010" t="s">
        <v>336</v>
      </c>
      <c r="C79" s="1011"/>
      <c r="D79" s="1145"/>
      <c r="E79" s="1145"/>
      <c r="F79" s="1145"/>
      <c r="G79" s="1145"/>
      <c r="H79" s="1145"/>
      <c r="I79" s="1145"/>
      <c r="J79" s="1145"/>
      <c r="K79" s="1145"/>
      <c r="L79" s="1145"/>
      <c r="M79" s="1145"/>
      <c r="N79" s="1146"/>
      <c r="O79" s="1145"/>
      <c r="P79" s="1145"/>
      <c r="Q79" s="1145"/>
      <c r="R79" s="1145"/>
      <c r="S79" s="1145"/>
      <c r="T79" s="1048"/>
      <c r="U79" s="1147"/>
      <c r="V79" s="1147"/>
      <c r="W79" s="1048"/>
      <c r="X79" s="1089"/>
      <c r="AA79" s="1064"/>
      <c r="AB79" s="1064"/>
    </row>
    <row r="80" spans="1:28" s="1131" customFormat="1" ht="14.5" customHeight="1" x14ac:dyDescent="0.35">
      <c r="B80" s="1092" t="s">
        <v>1122</v>
      </c>
      <c r="D80" s="1148">
        <f t="array" aca="1" ref="D80" ca="1">IFERROR(INDEX(MO_VA_StockPrice,0,MATCH(D$5,MO_Common_ColumnHeader,0)), 0)</f>
        <v>82.603750000000005</v>
      </c>
      <c r="E80" s="1148">
        <f t="array" aca="1" ref="E80" ca="1">IFERROR(INDEX(MO_VA_StockPrice,0,MATCH(E$5,MO_Common_ColumnHeader,0)), 0)</f>
        <v>86.194999999999993</v>
      </c>
      <c r="F80" s="1149">
        <f t="array" aca="1" ref="F80" ca="1">IFERROR(INDEX(MO_VA_StockPrice,0,MATCH(F$5,MO_Common_ColumnHeader,0)), 0)</f>
        <v>88.31</v>
      </c>
      <c r="G80" s="1149">
        <f t="array" aca="1" ref="G80" ca="1">IFERROR(INDEX(MO_VA_StockPrice,0,MATCH(G$5,MO_Common_ColumnHeader,0)), 0)</f>
        <v>113.0675</v>
      </c>
      <c r="H80" s="1149">
        <f t="array" aca="1" ref="H80" ca="1">IFERROR(INDEX(MO_VA_StockPrice,0,MATCH(H$5,MO_Common_ColumnHeader,0)), 0)</f>
        <v>140.68875</v>
      </c>
      <c r="I80" s="1149">
        <f t="array" aca="1" ref="I80" ca="1">IFERROR(INDEX(MO_VA_StockPrice,0,MATCH(I$5,MO_Common_ColumnHeader,0)), 0)</f>
        <v>155.0575</v>
      </c>
      <c r="J80" s="1149">
        <f t="array" aca="1" ref="J80" ca="1">IFERROR(INDEX(MO_VA_StockPrice,0,MATCH(J$5,MO_Common_ColumnHeader,0)), 0)</f>
        <v>167.51750000000001</v>
      </c>
      <c r="K80" s="1149">
        <f t="array" aca="1" ref="K80" ca="1">IFERROR(INDEX(MO_VA_StockPrice,0,MATCH(K$5,MO_Common_ColumnHeader,0)), 0)</f>
        <v>204.54</v>
      </c>
      <c r="L80" s="1149">
        <f t="array" aca="1" ref="L80" ca="1">IFERROR(INDEX(MO_VA_StockPrice,0,MATCH(L$5,MO_Common_ColumnHeader,0)), 0)</f>
        <v>208.21640119521899</v>
      </c>
      <c r="M80" s="1149">
        <f t="array" aca="1" ref="M80" ca="1">IFERROR(INDEX(MO_VA_StockPrice,0,MATCH(M$5,MO_Common_ColumnHeader,0)), 0)</f>
        <v>179.774523809524</v>
      </c>
      <c r="N80" s="1150">
        <f t="array" aca="1" ref="N80" ca="1">IFERROR(INDEX(MO_VA_StockPrice,0,MATCH(N$5,MO_Common_ColumnHeader,0)), 0)</f>
        <v>159.72735177865599</v>
      </c>
      <c r="O80" s="1149">
        <f t="array" aca="1" ref="O80" ca="1">IFERROR(INDEX(MO_VA_StockPrice,0,MATCH(O$5,MO_Common_ColumnHeader,0)), 0)</f>
        <v>195.93</v>
      </c>
      <c r="P80" s="1149">
        <f t="array" aca="1" ref="P80" ca="1">IFERROR(INDEX(MO_VA_StockPrice,0,MATCH(P$5,MO_Common_ColumnHeader,0)), 0)</f>
        <v>195.93</v>
      </c>
      <c r="Q80" s="1149">
        <f t="array" aca="1" ref="Q80" ca="1">IFERROR(INDEX(MO_VA_StockPrice,0,MATCH(Q$5,MO_Common_ColumnHeader,0)), 0)</f>
        <v>195.93</v>
      </c>
      <c r="R80" s="1149">
        <f t="array" aca="1" ref="R80" ca="1">IFERROR(INDEX(MO_VA_StockPrice,0,MATCH(R$5,MO_Common_ColumnHeader,0)), 0)</f>
        <v>195.93</v>
      </c>
      <c r="S80" s="1149">
        <f t="array" aca="1" ref="S80" ca="1">IFERROR(INDEX(MO_VA_StockPrice,0,MATCH(S$5,MO_Common_ColumnHeader,0)), 0)</f>
        <v>195.93</v>
      </c>
      <c r="T80" s="1149"/>
      <c r="U80" s="1149">
        <f ca="1">IFERROR(IFERROR(AVERAGE(INDEX(MO_VA_StockPrice,0,MATCH($AG$2,MO_Common_ColumnHeader,0)),INDEX(MO_VA_StockPrice,0,MATCH($AG$3,MO_Common_ColumnHeader,0))),AVERAGE(INDEX(MO_VA_StockPrice,0,MATCH($AA$2,MO_Common_ColumnHeader,0)),INDEX(MO_VA_StockPrice,0,MATCH($AA$3,MO_Common_ColumnHeader,0)),INDEX(MO_VA_StockPrice,0,MATCH($AA$4,MO_Common_ColumnHeader,0)),INDEX(MO_VA_StockPrice,0,MATCH($AA$5,MO_Common_ColumnHeader,0)))),"N/A")</f>
        <v>165.09660640084249</v>
      </c>
      <c r="V80" s="1149">
        <f ca="1">IFERROR(IFERROR(AVERAGE(INDEX(MO_VA_StockPrice,0,MATCH($AJ$2,MO_Common_ColumnHeader,0)),INDEX(MO_VA_StockPrice,0,MATCH($AJ$3,MO_Common_ColumnHeader,0))),AVERAGE(INDEX(MO_VA_StockPrice,0,MATCH($AD$2,MO_Common_ColumnHeader,0)),INDEX(MO_VA_StockPrice,0,MATCH($AD$3,MO_Common_ColumnHeader,0)),INDEX(MO_VA_StockPrice,0,MATCH($AD$4,MO_Common_ColumnHeader,0)),INDEX(MO_VA_StockPrice,0,MATCH($AD$5,MO_Common_ColumnHeader,0)))),"N/A")</f>
        <v>195.93</v>
      </c>
      <c r="W80" s="1149"/>
      <c r="X80" s="1149"/>
      <c r="AA80" s="1060"/>
      <c r="AB80" s="1060"/>
    </row>
    <row r="81" spans="1:28" s="1064" customFormat="1" ht="14.5" customHeight="1" x14ac:dyDescent="0.35">
      <c r="B81" s="1151" t="s">
        <v>1123</v>
      </c>
      <c r="C81" s="1152"/>
      <c r="D81" s="1153">
        <f>IFERROR(D43,0)</f>
        <v>725.5</v>
      </c>
      <c r="E81" s="1153">
        <f>IFERROR(E43,0)</f>
        <v>719</v>
      </c>
      <c r="F81" s="1095">
        <f>IFERROR(F43,0)</f>
        <v>703.3</v>
      </c>
      <c r="G81" s="1095">
        <f>IFERROR(G43,0)</f>
        <v>693.6</v>
      </c>
      <c r="H81" s="1095">
        <f>IFERROR(H43,0)</f>
        <v>662</v>
      </c>
      <c r="I81" s="1095">
        <f>IFERROR(I43,0)</f>
        <v>637.20000000000005</v>
      </c>
      <c r="J81" s="1095">
        <f>IFERROR(J43,0)</f>
        <v>618.70000000000005</v>
      </c>
      <c r="K81" s="1095">
        <f>IFERROR(K43,0)</f>
        <v>612.70000000000005</v>
      </c>
      <c r="L81" s="1095">
        <f>IFERROR(L43,0)</f>
        <v>602</v>
      </c>
      <c r="M81" s="1095">
        <f>IFERROR(M43,0)</f>
        <v>585.1</v>
      </c>
      <c r="N81" s="1154">
        <f>IFERROR(N43,0)</f>
        <v>582.20000000000005</v>
      </c>
      <c r="O81" s="1095">
        <f ca="1">IFERROR(O43,0)</f>
        <v>582.4340206185567</v>
      </c>
      <c r="P81" s="1095">
        <f ca="1">IFERROR(P43,0)</f>
        <v>572.69949663617456</v>
      </c>
      <c r="Q81" s="1095">
        <f ca="1">IFERROR(Q43,0)</f>
        <v>560.63136132860268</v>
      </c>
      <c r="R81" s="1095">
        <f ca="1">IFERROR(R43,0)</f>
        <v>552.84926016128748</v>
      </c>
      <c r="S81" s="1095">
        <f ca="1">IFERROR(S43,0)</f>
        <v>545.78212235210015</v>
      </c>
      <c r="T81" s="1102"/>
      <c r="U81" s="1095">
        <f>U43</f>
        <v>583.375</v>
      </c>
      <c r="V81" s="1095">
        <f ca="1">V43</f>
        <v>579.91417646774119</v>
      </c>
      <c r="W81" s="1102"/>
      <c r="X81" s="1102"/>
      <c r="AA81" s="1078"/>
      <c r="AB81" s="1078"/>
    </row>
    <row r="82" spans="1:28" s="1039" customFormat="1" ht="14.5" customHeight="1" x14ac:dyDescent="0.35">
      <c r="B82" s="1155" t="s">
        <v>1124</v>
      </c>
      <c r="D82" s="1156">
        <f ca="1">IF(D80=0,"",D80*D81)</f>
        <v>59929.020625000005</v>
      </c>
      <c r="E82" s="1156">
        <f ca="1">IF(E80=0,"",E80*E81)</f>
        <v>61974.204999999994</v>
      </c>
      <c r="F82" s="1036">
        <f ca="1">IF(F80=0,"",F80*F81)</f>
        <v>62108.422999999995</v>
      </c>
      <c r="G82" s="1036">
        <f ca="1">IF(G80=0,"",G80*G81)</f>
        <v>78423.618000000002</v>
      </c>
      <c r="H82" s="1036">
        <f ca="1">IF(H80=0,"",H80*H81)</f>
        <v>93135.952499999999</v>
      </c>
      <c r="I82" s="1036">
        <f ca="1">IF(I80=0,"",I80*I81)</f>
        <v>98802.63900000001</v>
      </c>
      <c r="J82" s="1036">
        <f ca="1">IF(J80=0,"",J80*J81)</f>
        <v>103643.07725000002</v>
      </c>
      <c r="K82" s="1036">
        <f ca="1">IF(K80=0,"",K80*K81)</f>
        <v>125321.65800000001</v>
      </c>
      <c r="L82" s="1036">
        <f ca="1">IF(L80=0,"",L80*L81)</f>
        <v>125346.27351952183</v>
      </c>
      <c r="M82" s="1036">
        <f ca="1">IF(M80=0,"",M80*M81)</f>
        <v>105186.07388095249</v>
      </c>
      <c r="N82" s="1157">
        <f ca="1">IF(N80=0,"",N80*N81)</f>
        <v>92993.264205533516</v>
      </c>
      <c r="O82" s="1036">
        <f ca="1">IF(O80=0,"",O80*O81)</f>
        <v>114116.29765979383</v>
      </c>
      <c r="P82" s="1036">
        <f ca="1">IF(P80=0,"",P80*P81)</f>
        <v>112209.01237592568</v>
      </c>
      <c r="Q82" s="1036">
        <f ca="1">IF(Q80=0,"",Q80*Q81)</f>
        <v>109844.50262511312</v>
      </c>
      <c r="R82" s="1036">
        <f ca="1">IF(R80=0,"",R80*R81)</f>
        <v>108319.75554340106</v>
      </c>
      <c r="S82" s="1036">
        <f ca="1">IF(S80=0,"",S80*S81)</f>
        <v>106935.09123244698</v>
      </c>
      <c r="T82" s="1036"/>
      <c r="U82" s="1036">
        <f ca="1">IFERROR(IF(U80=0,"",U80*U81), "")</f>
        <v>96313.232759091494</v>
      </c>
      <c r="V82" s="1036">
        <f ca="1">IFERROR(IF(V80=0,"",V80*V81), "")</f>
        <v>113622.58459532453</v>
      </c>
      <c r="W82" s="1036"/>
      <c r="X82" s="1036"/>
      <c r="AA82" s="1060"/>
      <c r="AB82" s="1060"/>
    </row>
    <row r="83" spans="1:28" s="1064" customFormat="1" ht="14.5" customHeight="1" x14ac:dyDescent="0.35">
      <c r="B83" s="1092" t="s">
        <v>103</v>
      </c>
      <c r="D83" s="1045">
        <f t="array" ref="D83">IFERROR(-INDEX(MO_BSS_Cash,0,MATCH(D$5,MO_Common_ColumnHeader,0)), "")</f>
        <v>-5018</v>
      </c>
      <c r="E83" s="1045">
        <f t="array" ref="E83">IFERROR(-INDEX(MO_BSS_Cash,0,MATCH(E$5,MO_Common_ColumnHeader,0)), "")</f>
        <v>-4576</v>
      </c>
      <c r="F83" s="1102">
        <f t="array" ref="F83">IFERROR(-INDEX(MO_BSS_Cash,0,MATCH(F$5,MO_Common_ColumnHeader,0)), "")</f>
        <v>-5693</v>
      </c>
      <c r="G83" s="1102">
        <f t="array" ref="G83">IFERROR(-INDEX(MO_BSS_Cash,0,MATCH(G$5,MO_Common_ColumnHeader,0)), "")</f>
        <v>-4790</v>
      </c>
      <c r="H83" s="1102">
        <f t="array" ref="H83">IFERROR(-INDEX(MO_BSS_Cash,0,MATCH(H$5,MO_Common_ColumnHeader,0)), "")</f>
        <v>-3351</v>
      </c>
      <c r="I83" s="1102">
        <f t="array" ref="I83">IFERROR(-INDEX(MO_BSS_Cash,0,MATCH(I$5,MO_Common_ColumnHeader,0)), "")</f>
        <v>-1925</v>
      </c>
      <c r="J83" s="1102">
        <f t="array" ref="J83">IFERROR(-INDEX(MO_BSS_Cash,0,MATCH(J$5,MO_Common_ColumnHeader,0)), "")</f>
        <v>-2695</v>
      </c>
      <c r="K83" s="1102">
        <f t="array" ref="K83">IFERROR(-INDEX(MO_BSS_Cash,0,MATCH(K$5,MO_Common_ColumnHeader,0)), "")</f>
        <v>-4129</v>
      </c>
      <c r="L83" s="1102">
        <f t="array" ref="L83">IFERROR(-INDEX(MO_BSS_Cash,0,MATCH(L$5,MO_Common_ColumnHeader,0)), "")</f>
        <v>-3233</v>
      </c>
      <c r="M83" s="1102">
        <f t="array" ref="M83">IFERROR(-INDEX(MO_BSS_Cash,0,MATCH(M$5,MO_Common_ColumnHeader,0)), "")</f>
        <v>-2451</v>
      </c>
      <c r="N83" s="1158">
        <f t="array" ref="N83">IFERROR(-INDEX(MO_BSS_Cash,0,MATCH(N$5,MO_Common_ColumnHeader,0)), "")</f>
        <v>-5038</v>
      </c>
      <c r="O83" s="1102">
        <f t="array" ref="O83">IFERROR(-INDEX(MO_BSS_Cash,0,MATCH(O$5,MO_Common_ColumnHeader,0)), "")</f>
        <v>-5336.9694701172075</v>
      </c>
      <c r="P83" s="1102">
        <f t="array" aca="1" ref="P83" ca="1">IFERROR(-INDEX(MO_BSS_Cash,0,MATCH(P$5,MO_Common_ColumnHeader,0)), "")</f>
        <v>-6220.5870887616948</v>
      </c>
      <c r="Q83" s="1102">
        <f t="array" aca="1" ref="Q83" ca="1">IFERROR(-INDEX(MO_BSS_Cash,0,MATCH(Q$5,MO_Common_ColumnHeader,0)), "")</f>
        <v>-7811.3924869533312</v>
      </c>
      <c r="R83" s="1102">
        <f t="array" aca="1" ref="R83" ca="1">IFERROR(-INDEX(MO_BSS_Cash,0,MATCH(R$5,MO_Common_ColumnHeader,0)), "")</f>
        <v>-10128.535039056802</v>
      </c>
      <c r="S83" s="1102">
        <f t="array" aca="1" ref="S83" ca="1">IFERROR(-INDEX(MO_BSS_Cash,0,MATCH(S$5,MO_Common_ColumnHeader,0)), "")</f>
        <v>-13228.783412970231</v>
      </c>
      <c r="T83" s="1102"/>
      <c r="U83" s="1102">
        <f>IFERROR(IFERROR(-AVERAGE(INDEX(MO_BSS_Cash,0,MATCH($AG$2,MO_Common_ColumnHeader,0)),INDEX(MO_BSS_Cash,0,MATCH($AG$3,MO_Common_ColumnHeader,0))),-AVERAGE(INDEX(MO_BSS_Cash,0,MATCH($AA$2,MO_Common_ColumnHeader,0)),INDEX(MO_BSS_Cash,0,MATCH($AA$3,MO_Common_ColumnHeader,0)),INDEX(MO_BSS_Cash,0,MATCH($AA$4,MO_Common_ColumnHeader,0)),INDEX(MO_BSS_Cash,0,MATCH($AA$5,MO_Common_ColumnHeader,0)))),"")</f>
        <v>-4800.5</v>
      </c>
      <c r="V83" s="1102">
        <f ca="1">IFERROR(IFERROR(-AVERAGE(INDEX(MO_BSS_Cash,0,MATCH($AJ$2,MO_Common_ColumnHeader,0)),INDEX(MO_BSS_Cash,0,MATCH($AJ$3,MO_Common_ColumnHeader,0))),-AVERAGE(INDEX(MO_BSS_Cash,0,MATCH($AD$2,MO_Common_ColumnHeader,0)),INDEX(MO_BSS_Cash,0,MATCH($AD$3,MO_Common_ColumnHeader,0)),INDEX(MO_BSS_Cash,0,MATCH($AD$4,MO_Common_ColumnHeader,0)),INDEX(MO_BSS_Cash,0,MATCH($AD$5,MO_Common_ColumnHeader,0)))),"")</f>
        <v>-5108.1522391722247</v>
      </c>
      <c r="W83" s="1102"/>
      <c r="X83" s="1102"/>
      <c r="AA83" s="1078"/>
      <c r="AB83" s="1078"/>
    </row>
    <row r="84" spans="1:28" s="1060" customFormat="1" ht="14.5" customHeight="1" x14ac:dyDescent="0.35">
      <c r="A84" s="1031"/>
      <c r="B84" s="1119" t="s">
        <v>104</v>
      </c>
      <c r="D84" s="1102">
        <f t="array" ref="D84">IFERROR(INDEX(MO_BSS_Debt,0,MATCH(D$5,MO_Common_ColumnHeader,0)), "")</f>
        <v>5452</v>
      </c>
      <c r="E84" s="1102">
        <f t="array" ref="E84">IFERROR(INDEX(MO_BSS_Debt,0,MATCH(E$5,MO_Common_ColumnHeader,0)), "")</f>
        <v>5166</v>
      </c>
      <c r="F84" s="1102">
        <f t="array" ref="F84">IFERROR(INDEX(MO_BSS_Debt,0,MATCH(F$5,MO_Common_ColumnHeader,0)), "")</f>
        <v>6001</v>
      </c>
      <c r="G84" s="1102">
        <f t="array" ref="G84">IFERROR(INDEX(MO_BSS_Debt,0,MATCH(G$5,MO_Common_ColumnHeader,0)), "")</f>
        <v>6009</v>
      </c>
      <c r="H84" s="1102">
        <f t="array" ref="H84">IFERROR(INDEX(MO_BSS_Debt,0,MATCH(H$5,MO_Common_ColumnHeader,0)), "")</f>
        <v>6811</v>
      </c>
      <c r="I84" s="1102">
        <f t="array" ref="I84">IFERROR(INDEX(MO_BSS_Debt,0,MATCH(I$5,MO_Common_ColumnHeader,0)), "")</f>
        <v>10797</v>
      </c>
      <c r="J84" s="1102">
        <f t="array" ref="J84">IFERROR(INDEX(MO_BSS_Debt,0,MATCH(J$5,MO_Common_ColumnHeader,0)), "")</f>
        <v>11650</v>
      </c>
      <c r="K84" s="1102">
        <f t="array" ref="K84">IFERROR(INDEX(MO_BSS_Debt,0,MATCH(K$5,MO_Common_ColumnHeader,0)), "")</f>
        <v>13949</v>
      </c>
      <c r="L84" s="1102">
        <f t="array" ref="L84">IFERROR(INDEX(MO_BSS_Debt,0,MATCH(L$5,MO_Common_ColumnHeader,0)), "")</f>
        <v>14622</v>
      </c>
      <c r="M84" s="1102">
        <f t="array" ref="M84">IFERROR(INDEX(MO_BSS_Debt,0,MATCH(M$5,MO_Common_ColumnHeader,0)), "")</f>
        <v>20313</v>
      </c>
      <c r="N84" s="1158">
        <f t="array" ref="N84">IFERROR(INDEX(MO_BSS_Debt,0,MATCH(N$5,MO_Common_ColumnHeader,0)), "")</f>
        <v>18795</v>
      </c>
      <c r="O84" s="1102">
        <f t="array" ref="O84">IFERROR(INDEX(MO_BSS_Debt,0,MATCH(O$5,MO_Common_ColumnHeader,0)), "")</f>
        <v>18187</v>
      </c>
      <c r="P84" s="1102">
        <f t="array" ref="P84">IFERROR(INDEX(MO_BSS_Debt,0,MATCH(P$5,MO_Common_ColumnHeader,0)), "")</f>
        <v>18187</v>
      </c>
      <c r="Q84" s="1102">
        <f t="array" ref="Q84">IFERROR(INDEX(MO_BSS_Debt,0,MATCH(Q$5,MO_Common_ColumnHeader,0)), "")</f>
        <v>18187</v>
      </c>
      <c r="R84" s="1102">
        <f t="array" ref="R84">IFERROR(INDEX(MO_BSS_Debt,0,MATCH(R$5,MO_Common_ColumnHeader,0)), "")</f>
        <v>18187</v>
      </c>
      <c r="S84" s="1102">
        <f t="array" ref="S84">IFERROR(INDEX(MO_BSS_Debt,0,MATCH(S$5,MO_Common_ColumnHeader,0)), "")</f>
        <v>18187</v>
      </c>
      <c r="T84" s="1090"/>
      <c r="U84" s="1102">
        <f>IFERROR(IFERROR(AVERAGE(INDEX(MO_BSS_Debt,0,MATCH($AG$2,MO_Common_ColumnHeader,0)),INDEX(MO_BSS_Debt,0,MATCH($AG$3,MO_Common_ColumnHeader,0))),AVERAGE(INDEX(MO_BSS_Debt,0,MATCH($AA$2,MO_Common_ColumnHeader,0)),INDEX(MO_BSS_Debt,0,MATCH($AA$3,MO_Common_ColumnHeader,0)),INDEX(MO_BSS_Debt,0,MATCH($AA$4,MO_Common_ColumnHeader,0)),INDEX(MO_BSS_Debt,0,MATCH($AA$5,MO_Common_ColumnHeader,0)))), "")</f>
        <v>19335.5</v>
      </c>
      <c r="V84" s="1102">
        <f>IFERROR(IFERROR(AVERAGE(INDEX(MO_BSS_Debt,0,MATCH($AJ$2,MO_Common_ColumnHeader,0)),INDEX(MO_BSS_Debt,0,MATCH($AJ$3,MO_Common_ColumnHeader,0))),AVERAGE(INDEX(MO_BSS_Debt,0,MATCH($AD$2,MO_Common_ColumnHeader,0)),INDEX(MO_BSS_Debt,0,MATCH($AD$3,MO_Common_ColumnHeader,0)),INDEX(MO_BSS_Debt,0,MATCH($AD$4,MO_Common_ColumnHeader,0)),INDEX(MO_BSS_Debt,0,MATCH($AD$5,MO_Common_ColumnHeader,0)))), "")</f>
        <v>18187</v>
      </c>
      <c r="W84" s="1090"/>
      <c r="X84" s="1090"/>
      <c r="AA84" s="990"/>
      <c r="AB84" s="990"/>
    </row>
    <row r="85" spans="1:28" s="1060" customFormat="1" ht="14.5" customHeight="1" x14ac:dyDescent="0.35">
      <c r="A85" s="1031"/>
      <c r="B85" s="1151" t="s">
        <v>1125</v>
      </c>
      <c r="C85" s="1159"/>
      <c r="D85" s="1160">
        <f t="array" ref="D85">+IFERROR(INDEX(MO_BSS_OL,0,MATCH(D$5,MO_Common_ColumnHeader,0)), 0)</f>
        <v>0</v>
      </c>
      <c r="E85" s="1160">
        <f t="array" ref="E85">+IFERROR(INDEX(MO_BSS_OL,0,MATCH(E$5,MO_Common_ColumnHeader,0)), 0)</f>
        <v>0</v>
      </c>
      <c r="F85" s="1160">
        <f t="array" ref="F85">+IFERROR(INDEX(MO_BSS_OL,0,MATCH(F$5,MO_Common_ColumnHeader,0)), 0)</f>
        <v>0</v>
      </c>
      <c r="G85" s="1160">
        <f t="array" ref="G85">+IFERROR(INDEX(MO_BSS_OL,0,MATCH(G$5,MO_Common_ColumnHeader,0)), 0)</f>
        <v>0</v>
      </c>
      <c r="H85" s="1160">
        <f t="array" ref="H85">+IFERROR(INDEX(MO_BSS_OL,0,MATCH(H$5,MO_Common_ColumnHeader,0)), 0)</f>
        <v>0</v>
      </c>
      <c r="I85" s="1160">
        <f t="array" ref="I85">+IFERROR(INDEX(MO_BSS_OL,0,MATCH(I$5,MO_Common_ColumnHeader,0)), 0)</f>
        <v>0</v>
      </c>
      <c r="J85" s="1160">
        <f t="array" ref="J85">+IFERROR(INDEX(MO_BSS_OL,0,MATCH(J$5,MO_Common_ColumnHeader,0)), 0)</f>
        <v>0</v>
      </c>
      <c r="K85" s="1160">
        <f t="array" ref="K85">+IFERROR(INDEX(MO_BSS_OL,0,MATCH(K$5,MO_Common_ColumnHeader,0)), 0)</f>
        <v>0</v>
      </c>
      <c r="L85" s="1160">
        <f t="array" ref="L85">+IFERROR(INDEX(MO_BSS_OL,0,MATCH(L$5,MO_Common_ColumnHeader,0)), 0)</f>
        <v>0</v>
      </c>
      <c r="M85" s="1160">
        <f t="array" ref="M85">+IFERROR(INDEX(MO_BSS_OL,0,MATCH(M$5,MO_Common_ColumnHeader,0)), 0)</f>
        <v>854</v>
      </c>
      <c r="N85" s="1161">
        <f t="array" ref="N85">+IFERROR(INDEX(MO_BSS_OL,0,MATCH(N$5,MO_Common_ColumnHeader,0)), 0)</f>
        <v>865</v>
      </c>
      <c r="O85" s="1160">
        <f t="array" ref="O85">+IFERROR(INDEX(MO_BSS_OL,0,MATCH(O$5,MO_Common_ColumnHeader,0)), 0)</f>
        <v>876</v>
      </c>
      <c r="P85" s="1160">
        <f t="array" ref="P85">+IFERROR(INDEX(MO_BSS_OL,0,MATCH(P$5,MO_Common_ColumnHeader,0)), 0)</f>
        <v>876</v>
      </c>
      <c r="Q85" s="1160">
        <f t="array" ref="Q85">+IFERROR(INDEX(MO_BSS_OL,0,MATCH(Q$5,MO_Common_ColumnHeader,0)), 0)</f>
        <v>876</v>
      </c>
      <c r="R85" s="1160">
        <f t="array" ref="R85">+IFERROR(INDEX(MO_BSS_OL,0,MATCH(R$5,MO_Common_ColumnHeader,0)), 0)</f>
        <v>876</v>
      </c>
      <c r="S85" s="1160">
        <f t="array" ref="S85">+IFERROR(INDEX(MO_BSS_OL,0,MATCH(S$5,MO_Common_ColumnHeader,0)), 0)</f>
        <v>876</v>
      </c>
      <c r="T85" s="1090"/>
      <c r="U85" s="1102">
        <f>IFERROR(IFERROR(AVERAGE(INDEX(MO_BSS_OL,0,MATCH($AG$2,MO_Common_ColumnHeader,0)),INDEX(MO_BSS_OL,0,MATCH($AG$3,MO_Common_ColumnHeader,0))),AVERAGE(INDEX(MO_BSS_OL,0,MATCH($AA$2,MO_Common_ColumnHeader,0)),INDEX(MO_BSS_OL,0,MATCH($AA$3,MO_Common_ColumnHeader,0)),INDEX(MO_BSS_OL,0,MATCH($AA$4,MO_Common_ColumnHeader,0)),INDEX(MO_BSS_OL,0,MATCH($AA$5,MO_Common_ColumnHeader,0)))),0)</f>
        <v>863.25</v>
      </c>
      <c r="V85" s="1102">
        <f>IFERROR(IFERROR(AVERAGE(INDEX(MO_BSS_OL,0,MATCH($AJ$2,MO_Common_ColumnHeader,0)),INDEX(MO_BSS_OL,0,MATCH($AJ$3,MO_Common_ColumnHeader,0))),AVERAGE(INDEX(MO_BSS_OL,0,MATCH($AD$2,MO_Common_ColumnHeader,0)),INDEX(MO_BSS_OL,0,MATCH($AD$3,MO_Common_ColumnHeader,0)),INDEX(MO_BSS_OL,0,MATCH($AD$4,MO_Common_ColumnHeader,0)),INDEX(MO_BSS_OL,0,MATCH($AD$5,MO_Common_ColumnHeader,0)))),0)</f>
        <v>876</v>
      </c>
      <c r="W85" s="1090"/>
      <c r="X85" s="1090"/>
      <c r="AA85" s="990"/>
      <c r="AB85" s="990"/>
    </row>
    <row r="86" spans="1:28" s="1078" customFormat="1" ht="14.5" customHeight="1" x14ac:dyDescent="0.35">
      <c r="A86" s="1091"/>
      <c r="B86" s="1144" t="s">
        <v>1126</v>
      </c>
      <c r="D86" s="1162">
        <f ca="1">IF(OR(D82="",D83="",D84=""),"",SUM(D82:D85))</f>
        <v>60363.020625000005</v>
      </c>
      <c r="E86" s="1162">
        <f ca="1">IF(OR(E82="",E83="",E84=""),"",SUM(E82:E85))</f>
        <v>62564.204999999994</v>
      </c>
      <c r="F86" s="1162">
        <f ca="1">IF(OR(F82="",F83="",F84=""),"",SUM(F82:F85))</f>
        <v>62416.422999999995</v>
      </c>
      <c r="G86" s="1162">
        <f ca="1">IF(OR(G82="",G83="",G84=""),"",SUM(G82:G85))</f>
        <v>79642.618000000002</v>
      </c>
      <c r="H86" s="1162">
        <f ca="1">IF(OR(H82="",H83="",H84=""),"",SUM(H82:H85))</f>
        <v>96595.952499999999</v>
      </c>
      <c r="I86" s="1162">
        <f ca="1">IF(OR(I82="",I83="",I84=""),"",SUM(I82:I85))</f>
        <v>107674.63900000001</v>
      </c>
      <c r="J86" s="1162">
        <f ca="1">IF(OR(J82="",J83="",J84=""),"",SUM(J82:J85))</f>
        <v>112598.07725000002</v>
      </c>
      <c r="K86" s="1162">
        <f ca="1">IF(OR(K82="",K83="",K84=""),"",SUM(K82:K85))</f>
        <v>135141.658</v>
      </c>
      <c r="L86" s="1162">
        <f ca="1">IF(OR(L82="",L83="",L84=""),"",SUM(L82:L85))</f>
        <v>136735.27351952181</v>
      </c>
      <c r="M86" s="1162">
        <f ca="1">IF(OR(M82="",M83="",M84=""),"",SUM(M82:M85))</f>
        <v>123902.07388095249</v>
      </c>
      <c r="N86" s="1163">
        <f ca="1">IF(OR(N82="",N83="",N84=""),"",SUM(N82:N85))</f>
        <v>107615.26420553352</v>
      </c>
      <c r="O86" s="1162">
        <f ca="1">IF(OR(O82="",O83="",O84=""),"",SUM(O82:O85))</f>
        <v>127842.32818967661</v>
      </c>
      <c r="P86" s="1162">
        <f ca="1">IF(OR(P82="",P83="",P84=""),"",SUM(P82:P85))</f>
        <v>125051.42528716399</v>
      </c>
      <c r="Q86" s="1162">
        <f ca="1">IF(OR(Q82="",Q83="",Q84=""),"",SUM(Q82:Q85))</f>
        <v>121096.11013815978</v>
      </c>
      <c r="R86" s="1162">
        <f ca="1">IF(OR(R82="",R83="",R84=""),"",SUM(R82:R85))</f>
        <v>117254.22050434425</v>
      </c>
      <c r="S86" s="1162">
        <f ca="1">IF(OR(S82="",S83="",S84=""),"",SUM(S82:S85))</f>
        <v>112769.30781947676</v>
      </c>
      <c r="T86" s="1118"/>
      <c r="U86" s="1162">
        <f ca="1">IF(OR(U82="",U83="",U84=""),"",SUM(U82:U85))</f>
        <v>111711.48275909149</v>
      </c>
      <c r="V86" s="1162">
        <f ca="1">IF(OR(V82="",V83="",V84=""),"",SUM(V82:V85))</f>
        <v>127577.43235615231</v>
      </c>
      <c r="W86" s="1118"/>
      <c r="X86" s="1118"/>
      <c r="AA86" s="990"/>
      <c r="AB86" s="990"/>
    </row>
    <row r="87" spans="1:28" s="1060" customFormat="1" ht="14.5" customHeight="1" x14ac:dyDescent="0.35">
      <c r="A87" s="1031"/>
      <c r="B87" s="1151" t="s">
        <v>1127</v>
      </c>
      <c r="C87" s="1159"/>
      <c r="D87" s="1160">
        <f t="array" ref="D87">IFERROR(INDEX(MO_VA_EVCalc_NCI,0,MATCH(D$5,MO_Common_ColumnHeader,0)),0)+IFERROR(INDEX(MO_VA_EVCalc_Other,0,MATCH(D$5,MO_Common_ColumnHeader,0)),0)+IFERROR(INDEX(MO_VA_EVCalc_Prefs,0,MATCH(D$5,MO_Common_ColumnHeader,0)),0)</f>
        <v>2367</v>
      </c>
      <c r="E87" s="1160">
        <f t="array" ref="E87">IFERROR(INDEX(MO_VA_EVCalc_NCI,0,MATCH(E$5,MO_Common_ColumnHeader,0)),0)+IFERROR(INDEX(MO_VA_EVCalc_Other,0,MATCH(E$5,MO_Common_ColumnHeader,0)),0)+IFERROR(INDEX(MO_VA_EVCalc_Prefs,0,MATCH(E$5,MO_Common_ColumnHeader,0)),0)</f>
        <v>4414</v>
      </c>
      <c r="F87" s="1160">
        <f t="array" ref="F87">IFERROR(INDEX(MO_VA_EVCalc_NCI,0,MATCH(F$5,MO_Common_ColumnHeader,0)),0)+IFERROR(INDEX(MO_VA_EVCalc_Other,0,MATCH(F$5,MO_Common_ColumnHeader,0)),0)+IFERROR(INDEX(MO_VA_EVCalc_Prefs,0,MATCH(F$5,MO_Common_ColumnHeader,0)),0)</f>
        <v>3551</v>
      </c>
      <c r="G87" s="1160">
        <f t="array" ref="G87">IFERROR(INDEX(MO_VA_EVCalc_NCI,0,MATCH(G$5,MO_Common_ColumnHeader,0)),0)+IFERROR(INDEX(MO_VA_EVCalc_Other,0,MATCH(G$5,MO_Common_ColumnHeader,0)),0)+IFERROR(INDEX(MO_VA_EVCalc_Prefs,0,MATCH(G$5,MO_Common_ColumnHeader,0)),0)</f>
        <v>2240</v>
      </c>
      <c r="H87" s="1160">
        <f t="array" ref="H87">IFERROR(INDEX(MO_VA_EVCalc_NCI,0,MATCH(H$5,MO_Common_ColumnHeader,0)),0)+IFERROR(INDEX(MO_VA_EVCalc_Other,0,MATCH(H$5,MO_Common_ColumnHeader,0)),0)+IFERROR(INDEX(MO_VA_EVCalc_Prefs,0,MATCH(H$5,MO_Common_ColumnHeader,0)),0)</f>
        <v>3876</v>
      </c>
      <c r="I87" s="1160">
        <f t="array" ref="I87">IFERROR(INDEX(MO_VA_EVCalc_NCI,0,MATCH(I$5,MO_Common_ColumnHeader,0)),0)+IFERROR(INDEX(MO_VA_EVCalc_Other,0,MATCH(I$5,MO_Common_ColumnHeader,0)),0)+IFERROR(INDEX(MO_VA_EVCalc_Prefs,0,MATCH(I$5,MO_Common_ColumnHeader,0)),0)</f>
        <v>3559</v>
      </c>
      <c r="J87" s="1160">
        <f t="array" ref="J87">IFERROR(INDEX(MO_VA_EVCalc_NCI,0,MATCH(J$5,MO_Common_ColumnHeader,0)),0)+IFERROR(INDEX(MO_VA_EVCalc_Other,0,MATCH(J$5,MO_Common_ColumnHeader,0)),0)+IFERROR(INDEX(MO_VA_EVCalc_Prefs,0,MATCH(J$5,MO_Common_ColumnHeader,0)),0)</f>
        <v>4063</v>
      </c>
      <c r="K87" s="1160">
        <f t="array" ref="K87">IFERROR(INDEX(MO_VA_EVCalc_NCI,0,MATCH(K$5,MO_Common_ColumnHeader,0)),0)+IFERROR(INDEX(MO_VA_EVCalc_Other,0,MATCH(K$5,MO_Common_ColumnHeader,0)),0)+IFERROR(INDEX(MO_VA_EVCalc_Prefs,0,MATCH(K$5,MO_Common_ColumnHeader,0)),0)</f>
        <v>3679</v>
      </c>
      <c r="L87" s="1160">
        <f t="array" ref="L87">IFERROR(INDEX(MO_VA_EVCalc_NCI,0,MATCH(L$5,MO_Common_ColumnHeader,0)),0)+IFERROR(INDEX(MO_VA_EVCalc_Other,0,MATCH(L$5,MO_Common_ColumnHeader,0)),0)+IFERROR(INDEX(MO_VA_EVCalc_Prefs,0,MATCH(L$5,MO_Common_ColumnHeader,0)),0)</f>
        <v>3039</v>
      </c>
      <c r="M87" s="1160">
        <f t="array" ref="M87">IFERROR(INDEX(MO_VA_EVCalc_NCI,0,MATCH(M$5,MO_Common_ColumnHeader,0)),0)+IFERROR(INDEX(MO_VA_EVCalc_Other,0,MATCH(M$5,MO_Common_ColumnHeader,0)),0)+IFERROR(INDEX(MO_VA_EVCalc_Prefs,0,MATCH(M$5,MO_Common_ColumnHeader,0)),0)</f>
        <v>3974</v>
      </c>
      <c r="N87" s="1161">
        <f t="array" ref="N87">IFERROR(INDEX(MO_VA_EVCalc_NCI,0,MATCH(N$5,MO_Common_ColumnHeader,0)),0)+IFERROR(INDEX(MO_VA_EVCalc_Other,0,MATCH(N$5,MO_Common_ColumnHeader,0)),0)+IFERROR(INDEX(MO_VA_EVCalc_Prefs,0,MATCH(N$5,MO_Common_ColumnHeader,0)),0)</f>
        <v>4469</v>
      </c>
      <c r="O87" s="1160">
        <f t="array" ref="O87">IFERROR(INDEX(MO_VA_EVCalc_NCI,0,MATCH(O$5,MO_Common_ColumnHeader,0)),0)+IFERROR(INDEX(MO_VA_EVCalc_Other,0,MATCH(O$5,MO_Common_ColumnHeader,0)),0)+IFERROR(INDEX(MO_VA_EVCalc_Prefs,0,MATCH(O$5,MO_Common_ColumnHeader,0)),0)</f>
        <v>4299</v>
      </c>
      <c r="P87" s="1160">
        <f t="array" ref="P87">IFERROR(INDEX(MO_VA_EVCalc_NCI,0,MATCH(P$5,MO_Common_ColumnHeader,0)),0)+IFERROR(INDEX(MO_VA_EVCalc_Other,0,MATCH(P$5,MO_Common_ColumnHeader,0)),0)+IFERROR(INDEX(MO_VA_EVCalc_Prefs,0,MATCH(P$5,MO_Common_ColumnHeader,0)),0)</f>
        <v>4299</v>
      </c>
      <c r="Q87" s="1160">
        <f t="array" ref="Q87">IFERROR(INDEX(MO_VA_EVCalc_NCI,0,MATCH(Q$5,MO_Common_ColumnHeader,0)),0)+IFERROR(INDEX(MO_VA_EVCalc_Other,0,MATCH(Q$5,MO_Common_ColumnHeader,0)),0)+IFERROR(INDEX(MO_VA_EVCalc_Prefs,0,MATCH(Q$5,MO_Common_ColumnHeader,0)),0)</f>
        <v>4299</v>
      </c>
      <c r="R87" s="1160">
        <f t="array" ref="R87">IFERROR(INDEX(MO_VA_EVCalc_NCI,0,MATCH(R$5,MO_Common_ColumnHeader,0)),0)+IFERROR(INDEX(MO_VA_EVCalc_Other,0,MATCH(R$5,MO_Common_ColumnHeader,0)),0)+IFERROR(INDEX(MO_VA_EVCalc_Prefs,0,MATCH(R$5,MO_Common_ColumnHeader,0)),0)</f>
        <v>4299</v>
      </c>
      <c r="S87" s="1160">
        <f t="array" ref="S87">IFERROR(INDEX(MO_VA_EVCalc_NCI,0,MATCH(S$5,MO_Common_ColumnHeader,0)),0)+IFERROR(INDEX(MO_VA_EVCalc_Other,0,MATCH(S$5,MO_Common_ColumnHeader,0)),0)+IFERROR(INDEX(MO_VA_EVCalc_Prefs,0,MATCH(S$5,MO_Common_ColumnHeader,0)),0)</f>
        <v>4299</v>
      </c>
      <c r="T87" s="1090"/>
      <c r="U87" s="1160">
        <f>IF(ISERROR(AG2)="TRUE",AVERAGE((IFERROR(INDEX(MO_VA_EVCalc_NCI,0,MATCH(AG$2,MO_Common_ColumnHeader,0)),0)+IFERROR(INDEX(MO_VA_EVCalc_Other,0,MATCH(AG$2,MO_Common_ColumnHeader,0)),0)+IFERROR(INDEX(MO_VA_EVCalc_Prefs,0,MATCH(AG$2,MO_Common_ColumnHeader,0)),0)),(IFERROR(INDEX(MO_VA_EVCalc_NCI,0,MATCH(AG$3,MO_Common_ColumnHeader,0)),0)+IFERROR(INDEX(MO_VA_EVCalc_Other,0,MATCH(AG$3,MO_Common_ColumnHeader,0)),0)+IFERROR(INDEX(MO_VA_EVCalc_Prefs,0,MATCH(AG$3,MO_Common_ColumnHeader,0)),0))),
AVERAGE((IFERROR(INDEX(MO_VA_EVCalc_NCI,0,MATCH(AA$2,MO_Common_ColumnHeader,0)),0)+IFERROR(INDEX(MO_VA_EVCalc_Other,0,MATCH(AA$2,MO_Common_ColumnHeader,0)),0)+IFERROR(INDEX(MO_VA_EVCalc_Prefs,0,MATCH(AA$2,MO_Common_ColumnHeader,0)),0)),(IFERROR(INDEX(MO_VA_EVCalc_NCI,0,MATCH(AA$3,MO_Common_ColumnHeader,0)),0)+IFERROR(INDEX(MO_VA_EVCalc_Other,0,MATCH(AA$3,MO_Common_ColumnHeader,0)),0)+IFERROR(INDEX(MO_VA_EVCalc_Prefs,0,MATCH(AA$3,MO_Common_ColumnHeader,0)),0)),(IFERROR(INDEX(MO_VA_EVCalc_NCI,0,MATCH(AA$4,MO_Common_ColumnHeader,0)),0)+IFERROR(INDEX(MO_VA_EVCalc_Other,0,MATCH(AA$4,MO_Common_ColumnHeader,0)),0)+IFERROR(INDEX(MO_VA_EVCalc_Prefs,0,MATCH(AA$4,MO_Common_ColumnHeader,0)),0)),(IFERROR(INDEX(MO_VA_EVCalc_NCI,0,MATCH(AA$5,MO_Common_ColumnHeader,0)),0)+IFERROR(INDEX(MO_VA_EVCalc_Other,0,MATCH(AA$5,MO_Common_ColumnHeader,0)),0)+IFERROR(INDEX(MO_VA_EVCalc_Prefs,0,MATCH(AA$5,MO_Common_ColumnHeader,0)),0))))</f>
        <v>4072.75</v>
      </c>
      <c r="V87" s="1160">
        <f>IF(ISERROR(AJ2)="TRUE",AVERAGE((IFERROR(INDEX(MO_VA_EVCalc_NCI,0,MATCH(AJ$2,MO_Common_ColumnHeader,0)),0)+IFERROR(INDEX(MO_VA_EVCalc_Other,0,MATCH(AJ$2,MO_Common_ColumnHeader,0)),0)+IFERROR(INDEX(MO_VA_EVCalc_Prefs,0,MATCH(AJ$2,MO_Common_ColumnHeader,0)),0)),(IFERROR(INDEX(MO_VA_EVCalc_NCI,0,MATCH(AJ$3,MO_Common_ColumnHeader,0)),0)+IFERROR(INDEX(MO_VA_EVCalc_Other,0,MATCH(AJ$3,MO_Common_ColumnHeader,0)),0)+IFERROR(INDEX(MO_VA_EVCalc_Prefs,0,MATCH(AJ$3,MO_Common_ColumnHeader,0)),0))),
AVERAGE((IFERROR(INDEX(MO_VA_EVCalc_NCI,0,MATCH(AD$2,MO_Common_ColumnHeader,0)),0)+IFERROR(INDEX(MO_VA_EVCalc_Other,0,MATCH(AD$2,MO_Common_ColumnHeader,0)),0)+IFERROR(INDEX(MO_VA_EVCalc_Prefs,0,MATCH(AD$2,MO_Common_ColumnHeader,0)),0)),(IFERROR(INDEX(MO_VA_EVCalc_NCI,0,MATCH(AD$3,MO_Common_ColumnHeader,0)),0)+IFERROR(INDEX(MO_VA_EVCalc_Other,0,MATCH(AD$3,MO_Common_ColumnHeader,0)),0)+IFERROR(INDEX(MO_VA_EVCalc_Prefs,0,MATCH(AD$3,MO_Common_ColumnHeader,0)),0)),(IFERROR(INDEX(MO_VA_EVCalc_NCI,0,MATCH(AD$4,MO_Common_ColumnHeader,0)),0)+IFERROR(INDEX(MO_VA_EVCalc_Other,0,MATCH(AD$4,MO_Common_ColumnHeader,0)),0)+IFERROR(INDEX(MO_VA_EVCalc_Prefs,0,MATCH(AD$4,MO_Common_ColumnHeader,0)),0)),(IFERROR(INDEX(MO_VA_EVCalc_NCI,0,MATCH(AD$5,MO_Common_ColumnHeader,0)),0)+IFERROR(INDEX(MO_VA_EVCalc_Other,0,MATCH(AD$5,MO_Common_ColumnHeader,0)),0)+IFERROR(INDEX(MO_VA_EVCalc_Prefs,0,MATCH(AD$5,MO_Common_ColumnHeader,0)),0))))</f>
        <v>4299</v>
      </c>
      <c r="W87" s="1090"/>
      <c r="X87" s="1090"/>
      <c r="AA87" s="990"/>
      <c r="AB87" s="990"/>
    </row>
    <row r="88" spans="1:28" s="1078" customFormat="1" ht="14.5" customHeight="1" thickBot="1" x14ac:dyDescent="0.4">
      <c r="A88" s="1091"/>
      <c r="B88" s="1103" t="s">
        <v>1128</v>
      </c>
      <c r="C88" s="1104"/>
      <c r="D88" s="1164">
        <f ca="1">IFERROR(D86+D87, "")</f>
        <v>62730.020625000005</v>
      </c>
      <c r="E88" s="1164">
        <f ca="1">IFERROR(E86+E87, "")</f>
        <v>66978.204999999987</v>
      </c>
      <c r="F88" s="1164">
        <f ca="1">IFERROR(F86+F87, "")</f>
        <v>65967.422999999995</v>
      </c>
      <c r="G88" s="1164">
        <f ca="1">IFERROR(G86+G87, "")</f>
        <v>81882.618000000002</v>
      </c>
      <c r="H88" s="1164">
        <f ca="1">IFERROR(H86+H87, "")</f>
        <v>100471.9525</v>
      </c>
      <c r="I88" s="1164">
        <f ca="1">IFERROR(I86+I87, "")</f>
        <v>111233.63900000001</v>
      </c>
      <c r="J88" s="1164">
        <f ca="1">IFERROR(J86+J87, "")</f>
        <v>116661.07725000002</v>
      </c>
      <c r="K88" s="1164">
        <f ca="1">IFERROR(K86+K87, "")</f>
        <v>138820.658</v>
      </c>
      <c r="L88" s="1164">
        <f ca="1">IFERROR(L86+L87, "")</f>
        <v>139774.27351952181</v>
      </c>
      <c r="M88" s="1164">
        <f ca="1">IFERROR(M86+M87, "")</f>
        <v>127876.07388095249</v>
      </c>
      <c r="N88" s="1165">
        <f ca="1">IFERROR(N86+N87, "")</f>
        <v>112084.26420553352</v>
      </c>
      <c r="O88" s="1164">
        <f ca="1">IFERROR(O86+O87, "")</f>
        <v>132141.32818967663</v>
      </c>
      <c r="P88" s="1164">
        <f ca="1">IFERROR(P86+P87, "")</f>
        <v>129350.42528716399</v>
      </c>
      <c r="Q88" s="1164">
        <f ca="1">IFERROR(Q86+Q87, "")</f>
        <v>125395.11013815978</v>
      </c>
      <c r="R88" s="1164">
        <f ca="1">IFERROR(R86+R87, "")</f>
        <v>121553.22050434425</v>
      </c>
      <c r="S88" s="1164">
        <f ca="1">IFERROR(S86+S87, "")</f>
        <v>117068.30781947676</v>
      </c>
      <c r="T88" s="1118"/>
      <c r="U88" s="1164">
        <f ca="1">IFERROR(U86+U87, "")</f>
        <v>115784.23275909149</v>
      </c>
      <c r="V88" s="1164">
        <f ca="1">IFERROR(V86+V87, "")</f>
        <v>131876.43235615231</v>
      </c>
      <c r="W88" s="1118"/>
      <c r="X88" s="1118"/>
      <c r="AA88" s="990"/>
      <c r="AB88" s="990"/>
    </row>
    <row r="89" spans="1:28" ht="14.5" customHeight="1" thickTop="1" x14ac:dyDescent="0.35">
      <c r="B89" s="1009"/>
      <c r="D89" s="1166"/>
      <c r="E89" s="1166"/>
      <c r="F89" s="1166"/>
      <c r="G89" s="1166"/>
      <c r="H89" s="1166"/>
      <c r="I89" s="1166"/>
      <c r="J89" s="1166"/>
      <c r="K89" s="1166"/>
      <c r="L89" s="1166"/>
      <c r="M89" s="1166"/>
      <c r="N89" s="1167"/>
      <c r="O89" s="1166"/>
      <c r="P89" s="1166"/>
      <c r="Q89" s="1166"/>
      <c r="R89" s="1166"/>
      <c r="S89" s="1166"/>
      <c r="T89" s="1048"/>
      <c r="U89" s="1048"/>
      <c r="V89" s="1048"/>
      <c r="W89" s="1048"/>
      <c r="X89" s="1048"/>
    </row>
    <row r="90" spans="1:28" ht="14.5" customHeight="1" x14ac:dyDescent="0.35">
      <c r="B90" s="1009" t="s">
        <v>1129</v>
      </c>
      <c r="D90" s="1166">
        <f ca="1">IFERROR(D88/D7,"")</f>
        <v>2.3527875112519694</v>
      </c>
      <c r="E90" s="1166">
        <f ca="1">IFERROR(E88/E7,"")</f>
        <v>2.2619366113944137</v>
      </c>
      <c r="F90" s="1166">
        <f ca="1">IFERROR(F88/F7,"")</f>
        <v>2.2059732142857142</v>
      </c>
      <c r="G90" s="1166">
        <f ca="1">IFERROR(G88/G7,"")</f>
        <v>2.6524122315441678</v>
      </c>
      <c r="H90" s="1166">
        <f ca="1">IFERROR(H88/H7,"")</f>
        <v>3.1574102793752554</v>
      </c>
      <c r="I90" s="1166">
        <f ca="1">IFERROR(I88/I7,"")</f>
        <v>3.6742299993393677</v>
      </c>
      <c r="J90" s="1166">
        <f ca="1">IFERROR(J88/J7,"")</f>
        <v>3.8746247716629583</v>
      </c>
      <c r="K90" s="1166">
        <f ca="1">IFERROR(K88/K7,"")</f>
        <v>4.3851488770256184</v>
      </c>
      <c r="L90" s="1166">
        <f ca="1">IFERROR(L88/L7,"")</f>
        <v>4.2659628725628513</v>
      </c>
      <c r="M90" s="1166">
        <f ca="1">IFERROR(M88/M7,"")</f>
        <v>3.9792156422999905</v>
      </c>
      <c r="N90" s="1167">
        <f ca="1">IFERROR(N88/N7,"")</f>
        <v>3.4826082589340515</v>
      </c>
      <c r="O90" s="1166">
        <f ca="1">IFERROR(O88/O7,"")</f>
        <v>3.8584631873309494</v>
      </c>
      <c r="P90" s="1166">
        <f ca="1">IFERROR(P88/P7,"")</f>
        <v>3.5428740795549079</v>
      </c>
      <c r="Q90" s="1166">
        <f ca="1">IFERROR(Q88/Q7,"")</f>
        <v>3.2268168934273644</v>
      </c>
      <c r="R90" s="1166">
        <f ca="1">IFERROR(R88/R7,"")</f>
        <v>2.9383077497886605</v>
      </c>
      <c r="S90" s="1166">
        <f ca="1">IFERROR(S88/S7,"")</f>
        <v>2.657900653201906</v>
      </c>
      <c r="T90" s="1048"/>
      <c r="U90" s="1166">
        <f ca="1">IFERROR(U88/U7,"")</f>
        <v>3.5128711395355428</v>
      </c>
      <c r="V90" s="1166">
        <f ca="1">IFERROR(V88/V7,"")</f>
        <v>3.7808261703136048</v>
      </c>
      <c r="W90" s="1048"/>
      <c r="X90" s="1168">
        <f ca="1">IFERROR(AVERAGE($N90:INDIRECT(CONCATENATE(SUBSTITUTE(ADDRESS(1,COLUMN(OFFSET($N90,0,-(X$3-1))),4),"1",""),ROW(OFFSET($N90,0,-(X$3-1)))))), "")</f>
        <v>3.3939522758424387</v>
      </c>
    </row>
    <row r="91" spans="1:28" ht="14.5" customHeight="1" x14ac:dyDescent="0.35">
      <c r="B91" s="1009" t="s">
        <v>1130</v>
      </c>
      <c r="D91" s="1166">
        <f ca="1">IFERROR(D80/D44,"")</f>
        <v>14.670506884944921</v>
      </c>
      <c r="E91" s="1166">
        <f ca="1">IFERROR(E80/E44,"")</f>
        <v>14.469812047630164</v>
      </c>
      <c r="F91" s="1166">
        <f ca="1">IFERROR(F80/F44,"")</f>
        <v>13.975792754275426</v>
      </c>
      <c r="G91" s="1166">
        <f ca="1">IFERROR(G80/G44,"")</f>
        <v>16.832714745653576</v>
      </c>
      <c r="H91" s="1166">
        <f ca="1">IFERROR(H80/H44,"")</f>
        <v>18.792565072639228</v>
      </c>
      <c r="I91" s="1166">
        <f ca="1">IFERROR(I80/I44,"")</f>
        <v>20.443335195530729</v>
      </c>
      <c r="J91" s="1166">
        <f ca="1">IFERROR(J80/J44,"")</f>
        <v>20.523381633663369</v>
      </c>
      <c r="K91" s="1166">
        <f ca="1">IFERROR(K80/K44,"")</f>
        <v>22.299227402135234</v>
      </c>
      <c r="L91" s="1166">
        <f ca="1">IFERROR(L80/L44,"")</f>
        <v>19.912037096032066</v>
      </c>
      <c r="M91" s="1166">
        <f ca="1">IFERROR(M80/M44,"")</f>
        <v>20.255357958974098</v>
      </c>
      <c r="N91" s="1167">
        <f ca="1">IFERROR(N80/N44,"")</f>
        <v>18.276978027817123</v>
      </c>
      <c r="O91" s="1166">
        <f ca="1">IFERROR(O80/O44,"")</f>
        <v>19.122169249389042</v>
      </c>
      <c r="P91" s="1166">
        <f ca="1">IFERROR(P80/P44,"")</f>
        <v>17.327806127329069</v>
      </c>
      <c r="Q91" s="1166">
        <f ca="1">IFERROR(Q80/Q44,"")</f>
        <v>15.440662213445686</v>
      </c>
      <c r="R91" s="1166">
        <f ca="1">IFERROR(R80/R44,"")</f>
        <v>13.868588792392151</v>
      </c>
      <c r="S91" s="1166">
        <f ca="1">IFERROR(S80/S44,"")</f>
        <v>12.479747668813463</v>
      </c>
      <c r="T91" s="1048"/>
      <c r="U91" s="1166">
        <f ca="1">IFERROR(U80/U44,"")</f>
        <v>17.646250047470041</v>
      </c>
      <c r="V91" s="1166">
        <f ca="1">IFERROR(V80/V44,"")</f>
        <v>18.837707950349134</v>
      </c>
      <c r="W91" s="1048"/>
      <c r="X91" s="1168">
        <f ca="1">IFERROR(AVERAGE($N91:INDIRECT(CONCATENATE(SUBSTITUTE(ADDRESS(1,COLUMN(OFFSET($N91,0,-(X$3-1))),4),"1",""),ROW(OFFSET($N91,0,-(X$3-1)))))), "")</f>
        <v>18.578120193435105</v>
      </c>
      <c r="AA91" s="1122"/>
      <c r="AB91" s="1122"/>
    </row>
    <row r="92" spans="1:28" ht="14.5" customHeight="1" x14ac:dyDescent="0.35">
      <c r="B92" s="1029" t="s">
        <v>1131</v>
      </c>
      <c r="D92" s="1166">
        <f ca="1">IFERROR(D88/D13,"")</f>
        <v>8.9130464087809038</v>
      </c>
      <c r="E92" s="1166">
        <f ca="1">IFERROR(E88/E13,"")</f>
        <v>9.0340173995144308</v>
      </c>
      <c r="F92" s="1166">
        <f ca="1">IFERROR(F88/F13,"")</f>
        <v>8.4889233045940031</v>
      </c>
      <c r="G92" s="1166">
        <f ca="1">IFERROR(G88/G13,"")</f>
        <v>10.188206793579694</v>
      </c>
      <c r="H92" s="1166">
        <f ca="1">IFERROR(H88/H13,"")</f>
        <v>11.760734226852394</v>
      </c>
      <c r="I92" s="1166">
        <f ca="1">IFERROR(I88/I13,"")</f>
        <v>13.272120152726407</v>
      </c>
      <c r="J92" s="1166">
        <f ca="1">IFERROR(J88/J13,"")</f>
        <v>13.413944722318043</v>
      </c>
      <c r="K92" s="1166">
        <f ca="1">IFERROR(K88/K13,"")</f>
        <v>15.030387397141618</v>
      </c>
      <c r="L92" s="1166">
        <f ca="1">IFERROR(L88/L13,"")</f>
        <v>14.571963461167829</v>
      </c>
      <c r="M92" s="1166">
        <f ca="1">IFERROR(M88/M13,"")</f>
        <v>15.196206046459</v>
      </c>
      <c r="N92" s="1167">
        <f ca="1">IFERROR(N88/N13,"")</f>
        <v>12.802314586582925</v>
      </c>
      <c r="O92" s="1166">
        <f ca="1">IFERROR(O88/O13,"")</f>
        <v>13.760805932703013</v>
      </c>
      <c r="P92" s="1166">
        <f ca="1">IFERROR(P88/P13,"")</f>
        <v>12.447473393461552</v>
      </c>
      <c r="Q92" s="1166">
        <f ca="1">IFERROR(Q88/Q13,"")</f>
        <v>11.200402982112905</v>
      </c>
      <c r="R92" s="1166">
        <f ca="1">IFERROR(R88/R13,"")</f>
        <v>10.072559820192511</v>
      </c>
      <c r="S92" s="1166">
        <f ca="1">IFERROR(S88/S13,"")</f>
        <v>8.9956785686772935</v>
      </c>
      <c r="T92" s="1048"/>
      <c r="U92" s="1166">
        <f ca="1">IFERROR(U88/U13,"")</f>
        <v>12.736138242117644</v>
      </c>
      <c r="V92" s="1166">
        <f ca="1">IFERROR(V88/V13,"")</f>
        <v>13.412329399672652</v>
      </c>
      <c r="W92" s="1048"/>
      <c r="X92" s="1168">
        <f ca="1">IFERROR(AVERAGE($N92:INDIRECT(CONCATENATE(SUBSTITUTE(ADDRESS(1,COLUMN(OFFSET($N92,0,-(X$3-1))),4),"1",""),ROW(OFFSET($N92,0,-(X$3-1)))))), "")</f>
        <v>12.375881809093634</v>
      </c>
    </row>
    <row r="93" spans="1:28" ht="14.5" customHeight="1" x14ac:dyDescent="0.35">
      <c r="B93" s="1009" t="str">
        <f>SUBSTITUTE(SUBSTITUTE(SUBSTITUTE("EV (incl. Op. Leases) / "&amp;B21,"- N/A",""),"Company reported",""),"Operating Income","EBIT")</f>
        <v>EV (incl. Op. Leases) / Adjusted EBIT</v>
      </c>
      <c r="D93" s="1166">
        <f ca="1">IFERROR(D88/D21,"")</f>
        <v>10.599868304325787</v>
      </c>
      <c r="E93" s="1166">
        <f ca="1">IFERROR(E88/E21,"")</f>
        <v>10.841405794755582</v>
      </c>
      <c r="F93" s="1166">
        <f ca="1">IFERROR(F88/F21,"")</f>
        <v>10.175447015270707</v>
      </c>
      <c r="G93" s="1166">
        <f ca="1">IFERROR(G88/G21,"")</f>
        <v>12.28362106210621</v>
      </c>
      <c r="H93" s="1166">
        <f ca="1">IFERROR(H88/H21,"")</f>
        <v>14.081563069376314</v>
      </c>
      <c r="I93" s="1166">
        <f ca="1">IFERROR(I88/I21,"")</f>
        <v>16.014056867261736</v>
      </c>
      <c r="J93" s="1166">
        <f ca="1">IFERROR(J88/J21,"")</f>
        <v>16.151332860307352</v>
      </c>
      <c r="K93" s="1166">
        <f ca="1">IFERROR(K88/K21,"")</f>
        <v>18.047407436297451</v>
      </c>
      <c r="L93" s="1166">
        <f ca="1">IFERROR(L88/L21,"")</f>
        <v>17.247565834096967</v>
      </c>
      <c r="M93" s="1166">
        <f ca="1">IFERROR(M88/M21,"")</f>
        <v>18.744660492663808</v>
      </c>
      <c r="N93" s="1167">
        <f ca="1">IFERROR(N88/N21,"")</f>
        <v>16.377011134648381</v>
      </c>
      <c r="O93" s="1166">
        <f ca="1">IFERROR(O88/O21,"")</f>
        <v>16.795352485367676</v>
      </c>
      <c r="P93" s="1166">
        <f ca="1">IFERROR(P88/P21,"")</f>
        <v>14.882060601338514</v>
      </c>
      <c r="Q93" s="1166">
        <f ca="1">IFERROR(Q88/Q21,"")</f>
        <v>13.205616641040937</v>
      </c>
      <c r="R93" s="1166">
        <f ca="1">IFERROR(R88/R21,"")</f>
        <v>11.724156113749878</v>
      </c>
      <c r="S93" s="1166">
        <f ca="1">IFERROR(S88/S21,"")</f>
        <v>10.347355420658308</v>
      </c>
      <c r="T93" s="1048"/>
      <c r="U93" s="1166">
        <f ca="1">IFERROR(U88/U21,"")</f>
        <v>16.170982228923393</v>
      </c>
      <c r="V93" s="1166">
        <f ca="1">IFERROR(V88/V21,"")</f>
        <v>16.216021001546942</v>
      </c>
      <c r="W93" s="1048"/>
      <c r="X93" s="1168">
        <f ca="1">IFERROR(AVERAGE($N93:INDIRECT(CONCATENATE(SUBSTITUTE(ADDRESS(1,COLUMN(OFFSET($N93,0,-(X$3-1))),4),"1",""),ROW(OFFSET($N93,0,-(X$3-1)))))), "")</f>
        <v>14.996407156678449</v>
      </c>
    </row>
    <row r="94" spans="1:28" ht="14.5" customHeight="1" x14ac:dyDescent="0.35">
      <c r="B94" s="1009" t="s">
        <v>1132</v>
      </c>
      <c r="D94" s="1166">
        <f ca="1">IFERROR(D82/D7,"")</f>
        <v>2.2477316264721328</v>
      </c>
      <c r="E94" s="1166">
        <f ca="1">IFERROR(E82/E7,"")</f>
        <v>2.092945358143933</v>
      </c>
      <c r="F94" s="1166">
        <f ca="1">IFERROR(F82/F7,"")</f>
        <v>2.0769269328517921</v>
      </c>
      <c r="G94" s="1166">
        <f ca="1">IFERROR(G82/G7,"")</f>
        <v>2.5403653266819992</v>
      </c>
      <c r="H94" s="1166">
        <f ca="1">IFERROR(H82/H7,"")</f>
        <v>2.9268706985952671</v>
      </c>
      <c r="I94" s="1166">
        <f ca="1">IFERROR(I82/I7,"")</f>
        <v>3.263613628856445</v>
      </c>
      <c r="J94" s="1166">
        <f ca="1">IFERROR(J82/J7,"")</f>
        <v>3.4422623551097682</v>
      </c>
      <c r="K94" s="1166">
        <f ca="1">IFERROR(K82/K7,"")</f>
        <v>3.9587344978993593</v>
      </c>
      <c r="L94" s="1166">
        <f ca="1">IFERROR(L82/L7,"")</f>
        <v>3.8256149403180779</v>
      </c>
      <c r="M94" s="1166">
        <f ca="1">IFERROR(M82/M7,"")</f>
        <v>3.2731539046848548</v>
      </c>
      <c r="N94" s="1167">
        <f ca="1">IFERROR(N82/N7,"")</f>
        <v>2.8894253108853318</v>
      </c>
      <c r="O94" s="1166">
        <f ca="1">IFERROR(O82/O7,"")</f>
        <v>3.3321409707853564</v>
      </c>
      <c r="P94" s="1166">
        <f ca="1">IFERROR(P82/P7,"")</f>
        <v>3.0733752947202166</v>
      </c>
      <c r="Q94" s="1166">
        <f ca="1">IFERROR(Q82/Q7,"")</f>
        <v>2.8266500689724836</v>
      </c>
      <c r="R94" s="1166">
        <f ca="1">IFERROR(R82/R7,"")</f>
        <v>2.6184150107072934</v>
      </c>
      <c r="S94" s="1166">
        <f ca="1">IFERROR(S82/S7,"")</f>
        <v>2.4278376798202923</v>
      </c>
      <c r="T94" s="1048"/>
      <c r="U94" s="1166">
        <f ca="1">IFERROR(U82/U7,"")</f>
        <v>2.9221247803122421</v>
      </c>
      <c r="V94" s="1166">
        <f ca="1">IFERROR(V82/V7,"")</f>
        <v>3.257498202684987</v>
      </c>
      <c r="W94" s="1048"/>
      <c r="X94" s="1168">
        <f ca="1">IFERROR(AVERAGE($N94:INDIRECT(CONCATENATE(SUBSTITUTE(ADDRESS(1,COLUMN(OFFSET($N94,0,-(X$3-1))),4),"1",""),ROW(OFFSET($N94,0,-(X$3-1)))))), "")</f>
        <v>3.0289912954026832</v>
      </c>
    </row>
    <row r="95" spans="1:28" s="1122" customFormat="1" ht="14.5" customHeight="1" x14ac:dyDescent="0.35">
      <c r="A95" s="1132"/>
      <c r="B95" s="1009" t="s">
        <v>1133</v>
      </c>
      <c r="D95" s="1169">
        <f ca="1">IFERROR(D57/D80,"")</f>
        <v>6.8130597787488867E-2</v>
      </c>
      <c r="E95" s="1169">
        <f ca="1">IFERROR(E57/E80,"")</f>
        <v>6.301008621248147E-2</v>
      </c>
      <c r="F95" s="1169">
        <f ca="1">IFERROR(F57/F80,"")</f>
        <v>6.1440941754389744E-2</v>
      </c>
      <c r="G95" s="1169">
        <f ca="1">IFERROR(G57/G80,"")</f>
        <v>5.2943234524069009E-2</v>
      </c>
      <c r="H95" s="1169">
        <f ca="1">IFERROR(H57/H80,"")</f>
        <v>5.5112981208840915E-2</v>
      </c>
      <c r="I95" s="1169">
        <f ca="1">IFERROR(I57/I80,"")</f>
        <v>5.0190967065161081E-2</v>
      </c>
      <c r="J95" s="1169">
        <f ca="1">IFERROR(J57/J80,"")</f>
        <v>5.0577425324372059E-2</v>
      </c>
      <c r="K95" s="1169">
        <f ca="1">IFERROR(K57/K80,"")</f>
        <v>3.8836064553183614E-2</v>
      </c>
      <c r="L95" s="1169">
        <f ca="1">IFERROR(L57/L80,"")</f>
        <v>3.8788548422564607E-2</v>
      </c>
      <c r="M95" s="1169">
        <f ca="1">IFERROR(M57/M80,"")</f>
        <v>5.1061892528461432E-2</v>
      </c>
      <c r="N95" s="1170">
        <f ca="1">IFERROR(N57/N80,"")</f>
        <v>7.1101923956407978E-2</v>
      </c>
      <c r="O95" s="1169">
        <f ca="1">IFERROR(O57/O80,"")</f>
        <v>4.9357567566473394E-2</v>
      </c>
      <c r="P95" s="1169">
        <f ca="1">IFERROR(P57/P80,"")</f>
        <v>5.560749984882097E-2</v>
      </c>
      <c r="Q95" s="1169">
        <f ca="1">IFERROR(Q57/Q80,"")</f>
        <v>6.2592181610780784E-2</v>
      </c>
      <c r="R95" s="1169">
        <f ca="1">IFERROR(R57/R80,"")</f>
        <v>6.9753427104356058E-2</v>
      </c>
      <c r="S95" s="1169">
        <f ca="1">IFERROR(S57/S80,"")</f>
        <v>7.7588586147110769E-2</v>
      </c>
      <c r="T95" s="1069"/>
      <c r="U95" s="1169">
        <f ca="1">IFERROR(U57/U80,"")</f>
        <v>7.3811248946256E-2</v>
      </c>
      <c r="V95" s="1169">
        <f ca="1">IFERROR(V57/V80,"")</f>
        <v>5.1515856323332838E-2</v>
      </c>
      <c r="W95" s="1069"/>
      <c r="X95" s="1168">
        <f ca="1">IFERROR(AVERAGE($N95:INDIRECT(CONCATENATE(SUBSTITUTE(ADDRESS(1,COLUMN(OFFSET($N95,0,-(X$3-1))),4),"1",""),ROW(OFFSET($N95,0,-(X$3-1)))))), "")</f>
        <v>5.3306406554993191E-2</v>
      </c>
      <c r="AA95" s="990"/>
      <c r="AB95" s="990"/>
    </row>
    <row r="96" spans="1:28" ht="14.5" customHeight="1" x14ac:dyDescent="0.35">
      <c r="B96" s="1009" t="s">
        <v>1134</v>
      </c>
      <c r="D96" s="1166">
        <f ca="1">IFERROR(D82/D76, "")</f>
        <v>16.596239441982831</v>
      </c>
      <c r="E96" s="1166">
        <f ca="1">IFERROR(E82/E76, "")</f>
        <v>17.224626181211782</v>
      </c>
      <c r="F96" s="1166">
        <f ca="1">IFERROR(F82/F76, "")</f>
        <v>13.686298589687086</v>
      </c>
      <c r="G96" s="1166">
        <f ca="1">IFERROR(G82/G76, "")</f>
        <v>19.057987363304981</v>
      </c>
      <c r="H96" s="1166">
        <f ca="1">IFERROR(H82/H76, "")</f>
        <v>15.161314097346573</v>
      </c>
      <c r="I96" s="1166">
        <f ca="1">IFERROR(I82/I76, "")</f>
        <v>11.70508695652174</v>
      </c>
      <c r="J96" s="1166">
        <f ca="1">IFERROR(J82/J76, "")</f>
        <v>16.490545306284808</v>
      </c>
      <c r="K96" s="1166">
        <f ca="1">IFERROR(K82/K76, "")</f>
        <v>19.369653477588873</v>
      </c>
      <c r="L96" s="1166">
        <f ca="1">IFERROR(L82/L76, "")</f>
        <v>21.630073083610323</v>
      </c>
      <c r="M96" s="1166">
        <f ca="1">IFERROR(M82/M76, "")</f>
        <v>12.202560775052493</v>
      </c>
      <c r="N96" s="1167">
        <f ca="1">IFERROR(N82/N76, "")</f>
        <v>19.631256957047395</v>
      </c>
      <c r="O96" s="1166">
        <f ca="1">IFERROR(O82/O76, "")</f>
        <v>21.994070442109511</v>
      </c>
      <c r="P96" s="1166">
        <f ca="1">IFERROR(P82/P76, "")</f>
        <v>17.983185770241072</v>
      </c>
      <c r="Q96" s="1166">
        <f ca="1">IFERROR(Q82/Q76, "")</f>
        <v>15.976436261933415</v>
      </c>
      <c r="R96" s="1166">
        <f ca="1">IFERROR(R82/R76, "")</f>
        <v>14.336213165611623</v>
      </c>
      <c r="S96" s="1166">
        <f ca="1">IFERROR(S82/S76, "")</f>
        <v>12.888493651681753</v>
      </c>
      <c r="T96" s="1048"/>
      <c r="U96" s="1166">
        <f ca="1">IFERROR(U82/U76, "")</f>
        <v>37.28735298454955</v>
      </c>
      <c r="V96" s="1166">
        <f ca="1">IFERROR(V82/V76, "")</f>
        <v>19.411499126087023</v>
      </c>
      <c r="W96" s="1048"/>
      <c r="X96" s="1168">
        <f ca="1">IFERROR(AVERAGE($N96:INDIRECT(CONCATENATE(SUBSTITUTE(ADDRESS(1,COLUMN(OFFSET($N96,0,-(X$3-1))),4),"1",""),ROW(OFFSET($N96,0,-(X$3-1)))))), "")</f>
        <v>16.615940278765603</v>
      </c>
    </row>
    <row r="97" spans="1:28" ht="14.5" customHeight="1" x14ac:dyDescent="0.35">
      <c r="D97" s="1171"/>
      <c r="E97" s="1171"/>
      <c r="F97" s="1171"/>
      <c r="G97" s="1171"/>
      <c r="H97" s="1171"/>
      <c r="I97" s="1171"/>
      <c r="J97" s="1171"/>
      <c r="K97" s="1171"/>
      <c r="L97" s="1171"/>
      <c r="M97" s="1171"/>
      <c r="N97" s="1172"/>
      <c r="O97" s="1171"/>
      <c r="P97" s="1171"/>
      <c r="Q97" s="1171"/>
      <c r="R97" s="1171"/>
      <c r="S97" s="1171"/>
      <c r="T97" s="1048"/>
      <c r="U97" s="1048"/>
      <c r="V97" s="1048"/>
      <c r="W97" s="1048"/>
      <c r="X97" s="1048"/>
    </row>
    <row r="98" spans="1:28" ht="14.5" customHeight="1" x14ac:dyDescent="0.35">
      <c r="B98" s="1009" t="s">
        <v>1135</v>
      </c>
      <c r="D98" s="1166">
        <f ca="1">IFERROR((D88-D85)/D7,"")</f>
        <v>2.3527875112519694</v>
      </c>
      <c r="E98" s="1166">
        <f ca="1">IFERROR((E88-E85)/E7,"")</f>
        <v>2.2619366113944137</v>
      </c>
      <c r="F98" s="1166">
        <f ca="1">IFERROR((F88-F85)/F7,"")</f>
        <v>2.2059732142857142</v>
      </c>
      <c r="G98" s="1166">
        <f ca="1">IFERROR((G88-G85)/G7,"")</f>
        <v>2.6524122315441678</v>
      </c>
      <c r="H98" s="1166">
        <f ca="1">IFERROR((H88-H85)/H7,"")</f>
        <v>3.1574102793752554</v>
      </c>
      <c r="I98" s="1166">
        <f ca="1">IFERROR((I88-I85)/I7,"")</f>
        <v>3.6742299993393677</v>
      </c>
      <c r="J98" s="1166">
        <f ca="1">IFERROR((J88-J85)/J7,"")</f>
        <v>3.8746247716629583</v>
      </c>
      <c r="K98" s="1166">
        <f ca="1">IFERROR((K88-K85)/K7,"")</f>
        <v>4.3851488770256184</v>
      </c>
      <c r="L98" s="1166">
        <f ca="1">IFERROR((L88-L85)/L7,"")</f>
        <v>4.2659628725628513</v>
      </c>
      <c r="M98" s="1166">
        <f ca="1">IFERROR((M88-M85)/M7,"")</f>
        <v>3.9526410841720341</v>
      </c>
      <c r="N98" s="1167">
        <f ca="1">IFERROR((N88-N85)/N7,"")</f>
        <v>3.4557315500103627</v>
      </c>
      <c r="O98" s="1166">
        <f ca="1">IFERROR((O88-O85)/O7,"")</f>
        <v>3.8328844089244676</v>
      </c>
      <c r="P98" s="1166">
        <f ca="1">IFERROR((P88-P85)/P7,"")</f>
        <v>3.5188806702808368</v>
      </c>
      <c r="Q98" s="1166">
        <f ca="1">IFERROR((Q88-Q85)/Q7,"")</f>
        <v>3.2042746141030118</v>
      </c>
      <c r="R98" s="1166">
        <f ca="1">IFERROR((R88-R85)/R7,"")</f>
        <v>2.9171321891730297</v>
      </c>
      <c r="S98" s="1166">
        <f ca="1">IFERROR((S88-S85)/S7,"")</f>
        <v>2.6380120854454194</v>
      </c>
      <c r="T98" s="1048"/>
      <c r="U98" s="1166">
        <f ca="1">IFERROR((U88-U85)/U7,"")</f>
        <v>3.4866803021569019</v>
      </c>
      <c r="V98" s="1166">
        <f ca="1">IFERROR((V88-V85)/V7,"")</f>
        <v>3.7557117229023329</v>
      </c>
      <c r="W98" s="1048"/>
      <c r="X98" s="1168">
        <f ca="1">IFERROR(AVERAGE($N98:INDIRECT(CONCATENATE(SUBSTITUTE(ADDRESS(1,COLUMN(OFFSET($N98,0,-(X$3-1))),4),"1",""),ROW(OFFSET($N98,0,-(X$3-1)))))), "")</f>
        <v>3.388607149137274</v>
      </c>
    </row>
    <row r="99" spans="1:28" ht="14.5" customHeight="1" x14ac:dyDescent="0.35">
      <c r="B99" s="1029" t="s">
        <v>1136</v>
      </c>
      <c r="D99" s="1166">
        <f ca="1">IFERROR((D88-D85)/D13,"")</f>
        <v>8.9130464087809038</v>
      </c>
      <c r="E99" s="1166">
        <f ca="1">IFERROR((E88-E85)/E13,"")</f>
        <v>9.0340173995144308</v>
      </c>
      <c r="F99" s="1166">
        <f ca="1">IFERROR((F88-F85)/F13,"")</f>
        <v>8.4889233045940031</v>
      </c>
      <c r="G99" s="1166">
        <f ca="1">IFERROR((G88-G85)/G13,"")</f>
        <v>10.188206793579694</v>
      </c>
      <c r="H99" s="1166">
        <f ca="1">IFERROR((H88-H85)/H13,"")</f>
        <v>11.760734226852394</v>
      </c>
      <c r="I99" s="1166">
        <f ca="1">IFERROR((I88-I85)/I13,"")</f>
        <v>13.272120152726407</v>
      </c>
      <c r="J99" s="1166">
        <f ca="1">IFERROR((J88-J85)/J13,"")</f>
        <v>13.413944722318043</v>
      </c>
      <c r="K99" s="1166">
        <f ca="1">IFERROR((K88-K85)/K13,"")</f>
        <v>15.030387397141618</v>
      </c>
      <c r="L99" s="1166">
        <f ca="1">IFERROR((L88-L85)/L13,"")</f>
        <v>14.571963461167829</v>
      </c>
      <c r="M99" s="1166">
        <f ca="1">IFERROR((M88-M85)/M13,"")</f>
        <v>15.094720603797088</v>
      </c>
      <c r="N99" s="1167">
        <f ca="1">IFERROR((N88-N85)/N13,"")</f>
        <v>12.703513901260253</v>
      </c>
      <c r="O99" s="1166">
        <f ca="1">IFERROR((O88-O85)/O13,"")</f>
        <v>13.669581891275605</v>
      </c>
      <c r="P99" s="1166">
        <f ca="1">IFERROR((P88-P85)/P13,"")</f>
        <v>12.363175358349066</v>
      </c>
      <c r="Q99" s="1166">
        <f ca="1">IFERROR((Q88-Q85)/Q13,"")</f>
        <v>11.122157881474447</v>
      </c>
      <c r="R99" s="1166">
        <f ca="1">IFERROR((R88-R85)/R13,"")</f>
        <v>9.9999697039793958</v>
      </c>
      <c r="S99" s="1166">
        <f ca="1">IFERROR((S88-S85)/S13,"")</f>
        <v>8.9283656077834461</v>
      </c>
      <c r="T99" s="1048"/>
      <c r="U99" s="1166">
        <f ca="1">IFERROR((U88-U85)/U13,"")</f>
        <v>12.641181691683148</v>
      </c>
      <c r="V99" s="1166">
        <f ca="1">IFERROR((V88-V85)/V13,"")</f>
        <v>13.323236903430542</v>
      </c>
      <c r="W99" s="1048"/>
      <c r="X99" s="1168">
        <f ca="1">IFERROR(AVERAGE($N99:INDIRECT(CONCATENATE(SUBSTITUTE(ADDRESS(1,COLUMN(OFFSET($N99,0,-(X$3-1))),4),"1",""),ROW(OFFSET($N99,0,-(X$3-1)))))), "")</f>
        <v>12.355853196295175</v>
      </c>
    </row>
    <row r="100" spans="1:28" ht="14.5" customHeight="1" x14ac:dyDescent="0.35">
      <c r="B100" s="1009" t="str">
        <f>SUBSTITUTE(SUBSTITUTE(SUBSTITUTE("EV / "&amp;B28,"- N/A",""),"Company reported",""),"Operating Income","EBIT")</f>
        <v>EV / EBT</v>
      </c>
      <c r="D100" s="1166">
        <f ca="1">IFERROR((D88-D85)/D21,"")</f>
        <v>10.599868304325787</v>
      </c>
      <c r="E100" s="1166">
        <f ca="1">IFERROR((E88-E85)/E21,"")</f>
        <v>10.841405794755582</v>
      </c>
      <c r="F100" s="1166">
        <f ca="1">IFERROR((F88-F85)/F21,"")</f>
        <v>10.175447015270707</v>
      </c>
      <c r="G100" s="1166">
        <f ca="1">IFERROR((G88-G85)/G21,"")</f>
        <v>12.28362106210621</v>
      </c>
      <c r="H100" s="1166">
        <f ca="1">IFERROR((H88-H85)/H21,"")</f>
        <v>14.081563069376314</v>
      </c>
      <c r="I100" s="1166">
        <f ca="1">IFERROR((I88-I85)/I21,"")</f>
        <v>16.014056867261736</v>
      </c>
      <c r="J100" s="1166">
        <f ca="1">IFERROR((J88-J85)/J21,"")</f>
        <v>16.151332860307352</v>
      </c>
      <c r="K100" s="1166">
        <f ca="1">IFERROR((K88-K85)/K21,"")</f>
        <v>18.047407436297451</v>
      </c>
      <c r="L100" s="1166">
        <f ca="1">IFERROR((L88-L85)/L21,"")</f>
        <v>17.247565834096967</v>
      </c>
      <c r="M100" s="1166">
        <f ca="1">IFERROR((M88-M85)/M21,"")</f>
        <v>18.619477261939679</v>
      </c>
      <c r="N100" s="1167">
        <f ca="1">IFERROR((N88-N85)/N21,"")</f>
        <v>16.250623057500516</v>
      </c>
      <c r="O100" s="1166">
        <f ca="1">IFERROR((O88-O85)/O21,"")</f>
        <v>16.684011627978506</v>
      </c>
      <c r="P100" s="1166">
        <f ca="1">IFERROR((P88-P85)/P21,"")</f>
        <v>14.781274809116876</v>
      </c>
      <c r="Q100" s="1166">
        <f ca="1">IFERROR((Q88-Q85)/Q21,"")</f>
        <v>13.113363281521526</v>
      </c>
      <c r="R100" s="1166">
        <f ca="1">IFERROR((R88-R85)/R21,"")</f>
        <v>11.639663405839455</v>
      </c>
      <c r="S100" s="1166">
        <f ca="1">IFERROR((S88-S85)/S21,"")</f>
        <v>10.269928117596287</v>
      </c>
      <c r="T100" s="1048"/>
      <c r="U100" s="1166">
        <f ca="1">IFERROR((U88-U85)/U21,"")</f>
        <v>16.050416586465293</v>
      </c>
      <c r="V100" s="1166">
        <f ca="1">IFERROR((V88-V85)/V21,"")</f>
        <v>16.108304754272435</v>
      </c>
      <c r="W100" s="1048"/>
      <c r="X100" s="1168">
        <f ca="1">IFERROR(AVERAGE($N100:INDIRECT(CONCATENATE(SUBSTITUTE(ADDRESS(1,COLUMN(OFFSET($N100,0,-(X$3-1))),4),"1",""),ROW(OFFSET($N100,0,-(X$3-1)))))), "")</f>
        <v>14.971250025891251</v>
      </c>
    </row>
    <row r="101" spans="1:28" ht="14.5" customHeight="1" x14ac:dyDescent="0.35">
      <c r="D101" s="1171"/>
      <c r="E101" s="1171"/>
      <c r="F101" s="1171"/>
      <c r="G101" s="1171"/>
      <c r="H101" s="1171"/>
      <c r="I101" s="1171"/>
      <c r="J101" s="1171"/>
      <c r="K101" s="1171"/>
      <c r="L101" s="1171"/>
      <c r="M101" s="1171"/>
      <c r="N101" s="1172"/>
      <c r="O101" s="1171"/>
      <c r="P101" s="1171"/>
      <c r="Q101" s="1171"/>
      <c r="R101" s="1171"/>
      <c r="S101" s="1171"/>
      <c r="T101" s="1048"/>
      <c r="U101" s="1048"/>
      <c r="V101" s="1048"/>
      <c r="W101" s="1048"/>
      <c r="X101" s="1048"/>
    </row>
    <row r="102" spans="1:28" ht="14.5" customHeight="1" x14ac:dyDescent="0.35">
      <c r="B102" s="1010" t="s">
        <v>1137</v>
      </c>
      <c r="C102" s="1011"/>
      <c r="D102" s="1145"/>
      <c r="E102" s="1145"/>
      <c r="F102" s="1145"/>
      <c r="G102" s="1145"/>
      <c r="H102" s="1145"/>
      <c r="I102" s="1145"/>
      <c r="J102" s="1145"/>
      <c r="K102" s="1145"/>
      <c r="L102" s="1145"/>
      <c r="M102" s="1145"/>
      <c r="N102" s="1146"/>
      <c r="O102" s="1145"/>
      <c r="P102" s="1145"/>
      <c r="Q102" s="1145"/>
      <c r="R102" s="1145"/>
      <c r="S102" s="1145"/>
      <c r="T102" s="1048"/>
      <c r="U102" s="1147"/>
      <c r="V102" s="1147"/>
      <c r="W102" s="1048"/>
      <c r="X102" s="1089"/>
    </row>
    <row r="103" spans="1:28" ht="14.5" customHeight="1" x14ac:dyDescent="0.35">
      <c r="B103" s="1173" t="str">
        <f>(IFERROR(IFERROR(INDEX(MO_RIS_IE_NONGAAP,0,COLUMN(MO_Common_Column_A)),IFERROR(INDEX(MO_FE_IE,0,COLUMN(MO_Common_Column_A)),INDEX(MO_RIS_IE,0,COLUMN(MO_Common_Column_A)))), "Interest Expense - N/A"))</f>
        <v>Interest expense</v>
      </c>
      <c r="C103" s="1064"/>
      <c r="D103" s="1045">
        <f>IFERROR(IFERROR(INDEX(MO_RIS_IE_NONGAAP,0,MATCH(D$5,MO_Common_ColumnHeader,0)),IFERROR(-INDEX(MO_FE_IE,0,MATCH(D$5,MO_Common_ColumnHeader,0)),INDEX(MO_RIS_IE,0,MATCH(D$5,MO_Common_ColumnHeader,0)))), "N/A")</f>
        <v>201</v>
      </c>
      <c r="E103" s="1045">
        <f>IFERROR(IFERROR(INDEX(MO_RIS_IE_NONGAAP,0,MATCH(E$5,MO_Common_ColumnHeader,0)),IFERROR(-INDEX(MO_FE_IE,0,MATCH(E$5,MO_Common_ColumnHeader,0)),INDEX(MO_RIS_IE,0,MATCH(E$5,MO_Common_ColumnHeader,0)))), "N/A")</f>
        <v>186</v>
      </c>
      <c r="F103" s="1045">
        <f>IFERROR(IFERROR(INDEX(MO_RIS_IE_NONGAAP,0,MATCH(F$5,MO_Common_ColumnHeader,0)),IFERROR(-INDEX(MO_FE_IE,0,MATCH(F$5,MO_Common_ColumnHeader,0)),INDEX(MO_RIS_IE,0,MATCH(F$5,MO_Common_ColumnHeader,0)))), "N/A")</f>
        <v>171</v>
      </c>
      <c r="G103" s="1045">
        <f>IFERROR(IFERROR(INDEX(MO_RIS_IE_NONGAAP,0,MATCH(G$5,MO_Common_ColumnHeader,0)),IFERROR(-INDEX(MO_FE_IE,0,MATCH(G$5,MO_Common_ColumnHeader,0)),INDEX(MO_RIS_IE,0,MATCH(G$5,MO_Common_ColumnHeader,0)))), "N/A")</f>
        <v>145</v>
      </c>
      <c r="H103" s="1045">
        <f>IFERROR(IFERROR(INDEX(MO_RIS_IE_NONGAAP,0,MATCH(H$5,MO_Common_ColumnHeader,0)),IFERROR(-INDEX(MO_FE_IE,0,MATCH(H$5,MO_Common_ColumnHeader,0)),INDEX(MO_RIS_IE,0,MATCH(H$5,MO_Common_ColumnHeader,0)))), "N/A")</f>
        <v>142</v>
      </c>
      <c r="I103" s="1045">
        <f>IFERROR(IFERROR(INDEX(MO_RIS_IE_NONGAAP,0,MATCH(I$5,MO_Common_ColumnHeader,0)),IFERROR(-INDEX(MO_FE_IE,0,MATCH(I$5,MO_Common_ColumnHeader,0)),INDEX(MO_RIS_IE,0,MATCH(I$5,MO_Common_ColumnHeader,0)))), "N/A")</f>
        <v>149</v>
      </c>
      <c r="J103" s="1045">
        <f>IFERROR(IFERROR(INDEX(MO_RIS_IE_NONGAAP,0,MATCH(J$5,MO_Common_ColumnHeader,0)),IFERROR(-INDEX(MO_FE_IE,0,MATCH(J$5,MO_Common_ColumnHeader,0)),INDEX(MO_RIS_IE,0,MATCH(J$5,MO_Common_ColumnHeader,0)))), "N/A")</f>
        <v>199</v>
      </c>
      <c r="K103" s="1045">
        <f>IFERROR(IFERROR(INDEX(MO_RIS_IE_NONGAAP,0,MATCH(K$5,MO_Common_ColumnHeader,0)),IFERROR(-INDEX(MO_FE_IE,0,MATCH(K$5,MO_Common_ColumnHeader,0)),INDEX(MO_RIS_IE,0,MATCH(K$5,MO_Common_ColumnHeader,0)))), "N/A")</f>
        <v>322</v>
      </c>
      <c r="L103" s="1045">
        <f>IFERROR(IFERROR(INDEX(MO_RIS_IE_NONGAAP,0,MATCH(L$5,MO_Common_ColumnHeader,0)),IFERROR(-INDEX(MO_FE_IE,0,MATCH(L$5,MO_Common_ColumnHeader,0)),INDEX(MO_RIS_IE,0,MATCH(L$5,MO_Common_ColumnHeader,0)))), "N/A")</f>
        <v>350</v>
      </c>
      <c r="M103" s="1045">
        <f>IFERROR(IFERROR(INDEX(MO_RIS_IE_NONGAAP,0,MATCH(M$5,MO_Common_ColumnHeader,0)),IFERROR(-INDEX(MO_FE_IE,0,MATCH(M$5,MO_Common_ColumnHeader,0)),INDEX(MO_RIS_IE,0,MATCH(M$5,MO_Common_ColumnHeader,0)))), "N/A")</f>
        <v>448</v>
      </c>
      <c r="N103" s="1065">
        <f>IFERROR(IFERROR(INDEX(MO_RIS_IE_NONGAAP,0,MATCH(N$5,MO_Common_ColumnHeader,0)),IFERROR(-INDEX(MO_FE_IE,0,MATCH(N$5,MO_Common_ColumnHeader,0)),INDEX(MO_RIS_IE,0,MATCH(N$5,MO_Common_ColumnHeader,0)))), "N/A")</f>
        <v>529</v>
      </c>
      <c r="O103" s="1045">
        <f>IFERROR(IFERROR(INDEX(MO_RIS_IE_NONGAAP,0,MATCH(O$5,MO_Common_ColumnHeader,0)),IFERROR(-INDEX(MO_FE_IE,0,MATCH(O$5,MO_Common_ColumnHeader,0)),INDEX(MO_RIS_IE,0,MATCH(O$5,MO_Common_ColumnHeader,0)))), "N/A")</f>
        <v>529.37349315068491</v>
      </c>
      <c r="P103" s="1045">
        <f>IFERROR(IFERROR(INDEX(MO_RIS_IE_NONGAAP,0,MATCH(P$5,MO_Common_ColumnHeader,0)),IFERROR(-INDEX(MO_FE_IE,0,MATCH(P$5,MO_Common_ColumnHeader,0)),INDEX(MO_RIS_IE,0,MATCH(P$5,MO_Common_ColumnHeader,0)))), "N/A")</f>
        <v>527.423</v>
      </c>
      <c r="Q103" s="1045">
        <f>IFERROR(IFERROR(INDEX(MO_RIS_IE_NONGAAP,0,MATCH(Q$5,MO_Common_ColumnHeader,0)),IFERROR(-INDEX(MO_FE_IE,0,MATCH(Q$5,MO_Common_ColumnHeader,0)),INDEX(MO_RIS_IE,0,MATCH(Q$5,MO_Common_ColumnHeader,0)))), "N/A")</f>
        <v>527.423</v>
      </c>
      <c r="R103" s="1045">
        <f>IFERROR(IFERROR(INDEX(MO_RIS_IE_NONGAAP,0,MATCH(R$5,MO_Common_ColumnHeader,0)),IFERROR(-INDEX(MO_FE_IE,0,MATCH(R$5,MO_Common_ColumnHeader,0)),INDEX(MO_RIS_IE,0,MATCH(R$5,MO_Common_ColumnHeader,0)))), "N/A")</f>
        <v>527.423</v>
      </c>
      <c r="S103" s="1045">
        <f>IFERROR(IFERROR(INDEX(MO_RIS_IE_NONGAAP,0,MATCH(S$5,MO_Common_ColumnHeader,0)),IFERROR(-INDEX(MO_FE_IE,0,MATCH(S$5,MO_Common_ColumnHeader,0)),INDEX(MO_RIS_IE,0,MATCH(S$5,MO_Common_ColumnHeader,0)))), "N/A")</f>
        <v>527.423</v>
      </c>
      <c r="T103" s="1048"/>
      <c r="U103" s="1045">
        <f>IFERROR(IFERROR(IFERROR(INDEX(MO_RIS_IE_NONGAAP,0,MATCH(AG$2,MO_Common_ColumnHeader,0)),IFERROR(-INDEX(MO_FE_IE,0,MATCH(AG$2,MO_Common_ColumnHeader,0)),INDEX(MO_RIS_IE,0,MATCH(AG$2,MO_Common_ColumnHeader,0))))+IFERROR(INDEX(MO_RIS_IE_NONGAAP,0,MATCH(AG$3,MO_Common_ColumnHeader,0)),IFERROR(-INDEX(MO_FE_IE,0,MATCH(AG$3,MO_Common_ColumnHeader,0)),INDEX(MO_RIS_IE,0,MATCH(AG$3,MO_Common_ColumnHeader,0)))),
IFERROR(INDEX(MO_RIS_IE_NONGAAP,0,MATCH(AA$2,MO_Common_ColumnHeader,0)),IFERROR(-INDEX(MO_FE_IE,0,MATCH(AA$2,MO_Common_ColumnHeader,0)),INDEX(MO_RIS_IE,0,MATCH(AA$2,MO_Common_ColumnHeader,0))))+IFERROR(INDEX(MO_RIS_IE_NONGAAP,0,MATCH(AA$3,MO_Common_ColumnHeader,0)),IFERROR(-INDEX(MO_FE_IE,0,MATCH(AA$3,MO_Common_ColumnHeader,0)),INDEX(MO_RIS_IE,0,MATCH(AA$3,MO_Common_ColumnHeader,0))))+IFERROR(INDEX(MO_RIS_IE_NONGAAP,0,MATCH(AA$4,MO_Common_ColumnHeader,0)),IFERROR(-INDEX(MO_FE_IE,0,MATCH(AA$4,MO_Common_ColumnHeader,0)),INDEX(MO_RIS_IE,0,MATCH(AA$4,MO_Common_ColumnHeader,0))))+IFERROR(INDEX(MO_RIS_IE_NONGAAP,0,MATCH(AA$5,MO_Common_ColumnHeader,0)),IFERROR(-INDEX(MO_FE_IE,0,MATCH(AA$5,MO_Common_ColumnHeader,0)),INDEX(MO_RIS_IE,0,MATCH(AA$5,MO_Common_ColumnHeader,0))))), "N/A")</f>
        <v>538</v>
      </c>
      <c r="V103" s="1045">
        <f>IFERROR(IFERROR(IFERROR(INDEX(MO_RIS_IE_NONGAAP,0,MATCH(AJ$2,MO_Common_ColumnHeader,0)),IFERROR(-INDEX(MO_FE_IE,0,MATCH(AJ$2,MO_Common_ColumnHeader,0)),INDEX(MO_RIS_IE,0,MATCH(AJ$2,MO_Common_ColumnHeader,0))))+IFERROR(INDEX(MO_RIS_IE_NONGAAP,0,MATCH(AJ$3,MO_Common_ColumnHeader,0)),IFERROR(-INDEX(MO_FE_IE,0,MATCH(AJ$3,MO_Common_ColumnHeader,0)),INDEX(MO_RIS_IE,0,MATCH(AJ$3,MO_Common_ColumnHeader,0)))),
IFERROR(INDEX(MO_RIS_IE_NONGAAP,0,MATCH(AD$2,MO_Common_ColumnHeader,0)),IFERROR(-INDEX(MO_FE_IE,0,MATCH(AD$2,MO_Common_ColumnHeader,0)),INDEX(MO_RIS_IE,0,MATCH(AD$2,MO_Common_ColumnHeader,0))))+IFERROR(INDEX(MO_RIS_IE_NONGAAP,0,MATCH(AD$3,MO_Common_ColumnHeader,0)),IFERROR(-INDEX(MO_FE_IE,0,MATCH(AD$3,MO_Common_ColumnHeader,0)),INDEX(MO_RIS_IE,0,MATCH(AD$3,MO_Common_ColumnHeader,0))))+IFERROR(INDEX(MO_RIS_IE_NONGAAP,0,MATCH(AD$4,MO_Common_ColumnHeader,0)),IFERROR(-INDEX(MO_FE_IE,0,MATCH(AD$4,MO_Common_ColumnHeader,0)),INDEX(MO_RIS_IE,0,MATCH(AD$4,MO_Common_ColumnHeader,0))))+IFERROR(INDEX(MO_RIS_IE_NONGAAP,0,MATCH(AD$5,MO_Common_ColumnHeader,0)),IFERROR(-INDEX(MO_FE_IE,0,MATCH(AD$5,MO_Common_ColumnHeader,0)),INDEX(MO_RIS_IE,0,MATCH(AD$5,MO_Common_ColumnHeader,0))))), "N/A")</f>
        <v>527.423</v>
      </c>
      <c r="W103" s="1048"/>
      <c r="X103" s="1049">
        <f ca="1">IFERROR(($N103/OFFSET($N103,0,-X$3))^(1/X$3)-1, "N/A")</f>
        <v>0.10160515984877616</v>
      </c>
      <c r="AA103" s="987"/>
      <c r="AB103" s="1004"/>
    </row>
    <row r="104" spans="1:28" s="1014" customFormat="1" ht="14.5" customHeight="1" x14ac:dyDescent="0.35">
      <c r="A104" s="1050"/>
      <c r="B104" s="990"/>
      <c r="C104" s="990"/>
      <c r="D104" s="1090" t="s">
        <v>1108</v>
      </c>
      <c r="E104" s="1090" t="s">
        <v>1108</v>
      </c>
      <c r="F104" s="1090" t="s">
        <v>1108</v>
      </c>
      <c r="G104" s="1090" t="s">
        <v>1108</v>
      </c>
      <c r="H104" s="1090" t="s">
        <v>1108</v>
      </c>
      <c r="I104" s="1090" t="s">
        <v>1108</v>
      </c>
      <c r="J104" s="1090" t="s">
        <v>1108</v>
      </c>
      <c r="K104" s="1090" t="s">
        <v>1108</v>
      </c>
      <c r="L104" s="1090" t="s">
        <v>1108</v>
      </c>
      <c r="M104" s="1090" t="s">
        <v>1108</v>
      </c>
      <c r="N104" s="1174" t="s">
        <v>1108</v>
      </c>
      <c r="O104" s="1090" t="s">
        <v>1108</v>
      </c>
      <c r="P104" s="1090" t="s">
        <v>1108</v>
      </c>
      <c r="Q104" s="1090" t="s">
        <v>1108</v>
      </c>
      <c r="R104" s="1090" t="s">
        <v>1108</v>
      </c>
      <c r="S104" s="1090" t="s">
        <v>1108</v>
      </c>
      <c r="T104" s="1048"/>
      <c r="U104" s="1048"/>
      <c r="V104" s="1048"/>
      <c r="W104" s="1048"/>
      <c r="X104" s="1069"/>
      <c r="AA104" s="987"/>
      <c r="AB104" s="1004"/>
    </row>
    <row r="105" spans="1:28" ht="14.5" customHeight="1" x14ac:dyDescent="0.35">
      <c r="B105" s="1009" t="str">
        <f>SUBSTITUTE(SUBSTITUTE(SUBSTITUTE(B21&amp;"-to-Interest Coverage Ratio","- N/A",""),"Company reported",""),"Operating Income","EBIT")</f>
        <v>Adjusted EBIT-to-Interest Coverage Ratio</v>
      </c>
      <c r="D105" s="1166">
        <f>IFERROR(D21/D103, "")</f>
        <v>29.442786069651742</v>
      </c>
      <c r="E105" s="1166">
        <f>IFERROR(E21/E103, "")</f>
        <v>33.215053763440864</v>
      </c>
      <c r="F105" s="1166">
        <f>IFERROR(F21/F103, "")</f>
        <v>37.912280701754383</v>
      </c>
      <c r="G105" s="1166">
        <f>IFERROR(G21/G103, "")</f>
        <v>45.972413793103449</v>
      </c>
      <c r="H105" s="1166">
        <f>IFERROR(H21/H103, "")</f>
        <v>50.24647887323944</v>
      </c>
      <c r="I105" s="1166">
        <f>IFERROR(I21/I103, "")</f>
        <v>46.617449664429529</v>
      </c>
      <c r="J105" s="1166">
        <f>IFERROR(J21/J103, "")</f>
        <v>36.2964824120603</v>
      </c>
      <c r="K105" s="1166">
        <f>IFERROR(K21/K103, "")</f>
        <v>23.888198757763973</v>
      </c>
      <c r="L105" s="1166">
        <f>IFERROR(L21/L103, "")</f>
        <v>23.154285714285713</v>
      </c>
      <c r="M105" s="1166">
        <f>IFERROR(M21/M103, "")</f>
        <v>15.227678571428571</v>
      </c>
      <c r="N105" s="1167">
        <f>IFERROR(N21/N103, "")</f>
        <v>12.937618147448015</v>
      </c>
      <c r="O105" s="1166">
        <f>IFERROR(O21/O103, "")</f>
        <v>14.862345514078223</v>
      </c>
      <c r="P105" s="1166">
        <f>IFERROR(P21/P103, "")</f>
        <v>16.479564386376783</v>
      </c>
      <c r="Q105" s="1166">
        <f>IFERROR(Q21/Q103, "")</f>
        <v>18.003744912931705</v>
      </c>
      <c r="R105" s="1166">
        <f>IFERROR(R21/R103, "")</f>
        <v>19.657388113413287</v>
      </c>
      <c r="S105" s="1166">
        <f>IFERROR(S21/S103, "")</f>
        <v>21.451166274227923</v>
      </c>
      <c r="T105" s="1048"/>
      <c r="U105" s="1166">
        <f>U21/U103</f>
        <v>13.308550185873607</v>
      </c>
      <c r="V105" s="1166">
        <f>V21/V103</f>
        <v>15.419270483084738</v>
      </c>
      <c r="W105" s="1048"/>
      <c r="X105" s="1168">
        <f ca="1">IFERROR(AVERAGE($N105:INDIRECT(CONCATENATE(SUBSTITUTE(ADDRESS(1,COLUMN(OFFSET($N105,0,-(X$3-1))),4),"1",""),ROW(OFFSET($N105,0,-(X$3-1)))))), "")</f>
        <v>32.546794039895417</v>
      </c>
    </row>
    <row r="106" spans="1:28" ht="14.5" customHeight="1" x14ac:dyDescent="0.35">
      <c r="B106" s="1009" t="s">
        <v>1138</v>
      </c>
      <c r="D106" s="1166">
        <f>IFERROR(D13/D103, "")</f>
        <v>35.014925373134325</v>
      </c>
      <c r="E106" s="1166">
        <f>IFERROR(E13/E103, "")</f>
        <v>39.86021505376344</v>
      </c>
      <c r="F106" s="1166">
        <f>IFERROR(F13/F103, "")</f>
        <v>45.444444444444443</v>
      </c>
      <c r="G106" s="1166">
        <f>IFERROR(G13/G103, "")</f>
        <v>55.427586206896549</v>
      </c>
      <c r="H106" s="1166">
        <f>IFERROR(H13/H103, "")</f>
        <v>60.161971830985912</v>
      </c>
      <c r="I106" s="1166">
        <f>IFERROR(I13/I103, "")</f>
        <v>56.24832214765101</v>
      </c>
      <c r="J106" s="1166">
        <f>IFERROR(J13/J103, "")</f>
        <v>43.7035175879397</v>
      </c>
      <c r="K106" s="1166">
        <f>IFERROR(K13/K103, "")</f>
        <v>28.683229813664596</v>
      </c>
      <c r="L106" s="1166">
        <f>IFERROR(L13/L103, "")</f>
        <v>27.405714285714286</v>
      </c>
      <c r="M106" s="1166">
        <f>IFERROR(M13/M103, "")</f>
        <v>18.783482142857142</v>
      </c>
      <c r="N106" s="1167">
        <f>IFERROR(N13/N103, "")</f>
        <v>16.550094517958414</v>
      </c>
      <c r="O106" s="1166">
        <f>IFERROR(O13/O103, "")</f>
        <v>18.139804666167155</v>
      </c>
      <c r="P106" s="1166">
        <f>IFERROR(P13/P103, "")</f>
        <v>19.702783699906909</v>
      </c>
      <c r="Q106" s="1166">
        <f>IFERROR(Q13/Q103, "")</f>
        <v>21.226964226461831</v>
      </c>
      <c r="R106" s="1166">
        <f>IFERROR(R13/R103, "")</f>
        <v>22.880607426943413</v>
      </c>
      <c r="S106" s="1166">
        <f>IFERROR(S13/S103, "")</f>
        <v>24.674385587758049</v>
      </c>
      <c r="T106" s="1048"/>
      <c r="U106" s="1166">
        <f>U13/U103</f>
        <v>16.897769516728623</v>
      </c>
      <c r="V106" s="1166">
        <f>V13/V103</f>
        <v>18.642489796614861</v>
      </c>
      <c r="W106" s="1048"/>
      <c r="X106" s="1168">
        <f ca="1">IFERROR(AVERAGE($N106:INDIRECT(CONCATENATE(SUBSTITUTE(ADDRESS(1,COLUMN(OFFSET($N106,0,-(X$3-1))),4),"1",""),ROW(OFFSET($N106,0,-(X$3-1)))))), "")</f>
        <v>39.226857803187549</v>
      </c>
    </row>
    <row r="107" spans="1:28" ht="14.5" customHeight="1" x14ac:dyDescent="0.35">
      <c r="B107" s="1009"/>
      <c r="D107" s="1166"/>
      <c r="E107" s="1166"/>
      <c r="F107" s="1166"/>
      <c r="G107" s="1166"/>
      <c r="H107" s="1166"/>
      <c r="I107" s="1166"/>
      <c r="J107" s="1166"/>
      <c r="K107" s="1166"/>
      <c r="L107" s="1166"/>
      <c r="M107" s="1166"/>
      <c r="N107" s="1167"/>
      <c r="O107" s="1166"/>
      <c r="P107" s="1166"/>
      <c r="Q107" s="1166"/>
      <c r="R107" s="1166"/>
      <c r="S107" s="1166"/>
      <c r="T107" s="1048"/>
      <c r="U107" s="1166"/>
      <c r="V107" s="1166"/>
      <c r="W107" s="1048"/>
      <c r="X107" s="1048"/>
    </row>
    <row r="108" spans="1:28" ht="14.5" customHeight="1" x14ac:dyDescent="0.35">
      <c r="B108" s="1029" t="s">
        <v>1139</v>
      </c>
      <c r="D108" s="1166">
        <f>IFERROR((D84+D83+D85)/D13, "")</f>
        <v>6.1665245808468314E-2</v>
      </c>
      <c r="E108" s="1166">
        <f>IFERROR((E84+E83+E85)/E13, "")</f>
        <v>7.9579174534664149E-2</v>
      </c>
      <c r="F108" s="1166">
        <f>IFERROR((F84+F83+F85)/F13, "")</f>
        <v>3.9634538669411919E-2</v>
      </c>
      <c r="G108" s="1166">
        <f>IFERROR((G84+G83+G85)/G13, "")</f>
        <v>0.15167351001617518</v>
      </c>
      <c r="H108" s="1166">
        <f>IFERROR((H84+H83+H85)/H13, "")</f>
        <v>0.40500994966639353</v>
      </c>
      <c r="I108" s="1166">
        <f>IFERROR((I84+I83+I85)/I13, "")</f>
        <v>1.058584894404009</v>
      </c>
      <c r="J108" s="1166">
        <f>IFERROR((J84+J83+J85)/J13, "")</f>
        <v>1.0296654018627114</v>
      </c>
      <c r="K108" s="1166">
        <f>IFERROR((K84+K83+K85)/K13, "")</f>
        <v>1.0632308358596796</v>
      </c>
      <c r="L108" s="1166">
        <f>IFERROR((L84+L83+L85)/L13, "")</f>
        <v>1.1873436196830691</v>
      </c>
      <c r="M108" s="1166">
        <f>IFERROR((M84+M83+M85)/M13, "")</f>
        <v>2.224123588829471</v>
      </c>
      <c r="N108" s="1167">
        <f>IFERROR((N84+N83+N85)/N13, "")</f>
        <v>1.6701313535122786</v>
      </c>
      <c r="O108" s="1166">
        <f>IFERROR((O84+O83+O85)/O13, "")</f>
        <v>1.4293881023880151</v>
      </c>
      <c r="P108" s="1166">
        <f ca="1">IFERROR((P84+P83+P85)/P13, "")</f>
        <v>1.2358335325577712</v>
      </c>
      <c r="Q108" s="1166">
        <f ca="1">IFERROR((Q84+Q83+Q85)/Q13, "")</f>
        <v>1.0050036098205168</v>
      </c>
      <c r="R108" s="1166">
        <f ca="1">IFERROR((R84+R83+R85)/R13, "")</f>
        <v>0.74035827604664739</v>
      </c>
      <c r="S108" s="1166">
        <f ca="1">IFERROR((S84+S83+S85)/S13, "")</f>
        <v>0.44830866777279643</v>
      </c>
      <c r="T108" s="1048"/>
      <c r="U108" s="1166">
        <f>(U84+U83+U85)/U13</f>
        <v>1.6937905620943789</v>
      </c>
      <c r="V108" s="1166">
        <f ca="1">(V84+V83+V85)/V13</f>
        <v>1.4192605270442376</v>
      </c>
      <c r="W108" s="1048"/>
      <c r="X108" s="1168">
        <f ca="1">IFERROR(AVERAGE($N108:INDIRECT(CONCATENATE(SUBSTITUTE(ADDRESS(1,COLUMN(OFFSET($N108,0,-(X$3-1))),4),"1",""),ROW(OFFSET($N108,0,-(X$3-1)))))), "")</f>
        <v>0.89089768670378644</v>
      </c>
    </row>
    <row r="109" spans="1:28" ht="14.5" customHeight="1" x14ac:dyDescent="0.35">
      <c r="B109" s="1029" t="s">
        <v>1140</v>
      </c>
      <c r="D109" s="1166">
        <f>IFERROR((D84+D85)/D13, "")</f>
        <v>0.77465188974140375</v>
      </c>
      <c r="E109" s="1166">
        <f>IFERROR((E84+E85)/E13, "")</f>
        <v>0.69678985702724572</v>
      </c>
      <c r="F109" s="1166">
        <f>IFERROR((F84+F85)/F13, "")</f>
        <v>0.77223008621798994</v>
      </c>
      <c r="G109" s="1166">
        <f>IFERROR((G84+G85)/G13, "")</f>
        <v>0.74766703994027617</v>
      </c>
      <c r="H109" s="1166">
        <f>IFERROR((H84+H85)/H13, "")</f>
        <v>0.79726091536930821</v>
      </c>
      <c r="I109" s="1166">
        <f>IFERROR((I84+I85)/I13, "")</f>
        <v>1.2882710893688103</v>
      </c>
      <c r="J109" s="1166">
        <f>IFERROR((J84+J85)/J13, "")</f>
        <v>1.3395423709325054</v>
      </c>
      <c r="K109" s="1166">
        <f>IFERROR((K84+K85)/K13, "")</f>
        <v>1.5102858380251192</v>
      </c>
      <c r="L109" s="1166">
        <f>IFERROR((L84+L85)/L13, "")</f>
        <v>1.5243953294412009</v>
      </c>
      <c r="M109" s="1166">
        <f>IFERROR((M84+M85)/M13, "")</f>
        <v>2.5153891859774213</v>
      </c>
      <c r="N109" s="1167">
        <f>IFERROR((N84+N85)/N13, "")</f>
        <v>2.245573957738435</v>
      </c>
      <c r="O109" s="1166">
        <f>IFERROR((O84+O85)/O13, "")</f>
        <v>1.9851642713820636</v>
      </c>
      <c r="P109" s="1166">
        <f>IFERROR((P84+P85)/P13, "")</f>
        <v>1.8344445700334664</v>
      </c>
      <c r="Q109" s="1166">
        <f>IFERROR((Q84+Q85)/Q13, "")</f>
        <v>1.7027241477978712</v>
      </c>
      <c r="R109" s="1166">
        <f>IFERROR((R84+R85)/R13, "")</f>
        <v>1.579663681929903</v>
      </c>
      <c r="S109" s="1166">
        <f>IFERROR((S84+S85)/S13, "")</f>
        <v>1.4648253122367692</v>
      </c>
      <c r="T109" s="1048"/>
      <c r="U109" s="1166">
        <f>(U84+U85)/U13</f>
        <v>2.2218402815971841</v>
      </c>
      <c r="V109" s="1166">
        <f>(V84+V85)/V13</f>
        <v>1.9387788308942058</v>
      </c>
      <c r="W109" s="1048"/>
      <c r="X109" s="1168">
        <f ca="1">IFERROR(AVERAGE($N109:INDIRECT(CONCATENATE(SUBSTITUTE(ADDRESS(1,COLUMN(OFFSET($N109,0,-(X$3-1))),4),"1",""),ROW(OFFSET($N109,0,-(X$3-1)))))), "")</f>
        <v>1.3437405670038312</v>
      </c>
    </row>
    <row r="110" spans="1:28" ht="14.5" customHeight="1" x14ac:dyDescent="0.35">
      <c r="B110" s="1009"/>
      <c r="D110" s="1166"/>
      <c r="E110" s="1166"/>
      <c r="F110" s="1166"/>
      <c r="G110" s="1166"/>
      <c r="H110" s="1166"/>
      <c r="I110" s="1166"/>
      <c r="J110" s="1166"/>
      <c r="K110" s="1166"/>
      <c r="L110" s="1166"/>
      <c r="M110" s="1166"/>
      <c r="N110" s="1167"/>
      <c r="O110" s="1166"/>
      <c r="P110" s="1166"/>
      <c r="Q110" s="1166"/>
      <c r="R110" s="1166"/>
      <c r="S110" s="1166"/>
      <c r="T110" s="1048"/>
      <c r="U110" s="1166"/>
      <c r="V110" s="1166"/>
      <c r="W110" s="1048"/>
      <c r="X110" s="1048"/>
    </row>
    <row r="111" spans="1:28" ht="14.5" customHeight="1" x14ac:dyDescent="0.35">
      <c r="B111" s="1029" t="s">
        <v>1141</v>
      </c>
      <c r="D111" s="1166">
        <f>IFERROR(D56/(D84+D85), "")</f>
        <v>0.74889948642699922</v>
      </c>
      <c r="E111" s="1166">
        <f>IFERROR(E56/(E84+E85), "")</f>
        <v>0.75590398761130473</v>
      </c>
      <c r="F111" s="1166">
        <f>IFERROR(F56/(F84+F85), "")</f>
        <v>0.63589401766372267</v>
      </c>
      <c r="G111" s="1166">
        <f>IFERROR(G56/(G84+G85), "")</f>
        <v>0.69096355466799797</v>
      </c>
      <c r="H111" s="1166">
        <f>IFERROR(H56/(H84+H85), "")</f>
        <v>0.75363382763177211</v>
      </c>
      <c r="I111" s="1166">
        <f>IFERROR(I56/(I84+I85), "")</f>
        <v>0.45929424840233396</v>
      </c>
      <c r="J111" s="1166">
        <f>IFERROR(J56/(J84+J85), "")</f>
        <v>0.44995708154506436</v>
      </c>
      <c r="K111" s="1166">
        <f>IFERROR(K56/(K84+K85), "")</f>
        <v>0.34891390063803857</v>
      </c>
      <c r="L111" s="1166">
        <f>IFERROR(L56/(L84+L85), "")</f>
        <v>0.33251265216796611</v>
      </c>
      <c r="M111" s="1166">
        <f>IFERROR(M56/(M84+M85), "")</f>
        <v>0.25374403552699959</v>
      </c>
      <c r="N111" s="1167">
        <f>IFERROR(N56/(N84+N85), "")</f>
        <v>0.33631739572736519</v>
      </c>
      <c r="O111" s="1166">
        <f>IFERROR(O56/(O84+O85), "")</f>
        <v>0.2954678105323959</v>
      </c>
      <c r="P111" s="1166">
        <f ca="1">IFERROR(P56/(P84+P85), "")</f>
        <v>0.32731797926510198</v>
      </c>
      <c r="Q111" s="1166">
        <f ca="1">IFERROR(Q56/(Q84+Q85), "")</f>
        <v>0.36066763139364039</v>
      </c>
      <c r="R111" s="1166">
        <f ca="1">IFERROR(R56/(R84+R85), "")</f>
        <v>0.39635283912596619</v>
      </c>
      <c r="S111" s="1166">
        <f ca="1">IFERROR(S56/(S84+S85), "")</f>
        <v>0.43523802854943416</v>
      </c>
      <c r="T111" s="1048"/>
      <c r="U111" s="1166">
        <f>U56/(U84+U85)</f>
        <v>0.3519524723064546</v>
      </c>
      <c r="V111" s="1166">
        <f>V56/(V84+V85)</f>
        <v>0.30705370314737812</v>
      </c>
      <c r="W111" s="1048"/>
      <c r="X111" s="1168">
        <f ca="1">IFERROR(AVERAGE($N111:INDIRECT(CONCATENATE(SUBSTITUTE(ADDRESS(1,COLUMN(OFFSET($N111,0,-(X$3-1))),4),"1",""),ROW(OFFSET($N111,0,-(X$3-1)))))), "")</f>
        <v>0.50171347015825651</v>
      </c>
    </row>
    <row r="112" spans="1:28" ht="14.5" customHeight="1" x14ac:dyDescent="0.35">
      <c r="B112" s="1009"/>
      <c r="D112" s="1166"/>
      <c r="E112" s="1166"/>
      <c r="F112" s="1166"/>
      <c r="G112" s="1166"/>
      <c r="H112" s="1166"/>
      <c r="I112" s="1166"/>
      <c r="J112" s="1166"/>
      <c r="K112" s="1166"/>
      <c r="L112" s="1166"/>
      <c r="M112" s="1166"/>
      <c r="N112" s="1167"/>
      <c r="O112" s="1166"/>
      <c r="P112" s="1166"/>
      <c r="Q112" s="1166"/>
      <c r="R112" s="1166"/>
      <c r="S112" s="1166"/>
      <c r="T112" s="1048"/>
      <c r="U112" s="1166"/>
      <c r="V112" s="1166"/>
      <c r="W112" s="1048"/>
      <c r="X112" s="1048"/>
    </row>
    <row r="113" spans="1:28" ht="14.5" customHeight="1" x14ac:dyDescent="0.35">
      <c r="B113" s="1029" t="s">
        <v>1142</v>
      </c>
      <c r="D113" s="1175">
        <f>IFERROR((D84+D85)/D138, "")</f>
        <v>0.348081465874992</v>
      </c>
      <c r="E113" s="1175">
        <f>IFERROR((E84+E85)/E138, "")</f>
        <v>0.33501945525291826</v>
      </c>
      <c r="F113" s="1175">
        <f>IFERROR((F84+F85)/F138, "")</f>
        <v>0.34145092460881937</v>
      </c>
      <c r="G113" s="1175">
        <f>IFERROR((G84+G85)/G138, "")</f>
        <v>0.34333219060678777</v>
      </c>
      <c r="H113" s="1175">
        <f>IFERROR((H84+H85)/H138, "")</f>
        <v>0.51956670989396603</v>
      </c>
      <c r="I113" s="1175">
        <f>IFERROR((I84+I85)/I138, "")</f>
        <v>0.9221899555859242</v>
      </c>
      <c r="J113" s="1175">
        <f>IFERROR((J84+J85)/J138, "")</f>
        <v>1.1312876286657603</v>
      </c>
      <c r="K113" s="1175">
        <f>IFERROR((K84+K85)/K138, "")</f>
        <v>1.2063478336071953</v>
      </c>
      <c r="L113" s="1175">
        <f>IFERROR((L84+L85)/L138, "")</f>
        <v>1.4926500612494895</v>
      </c>
      <c r="M113" s="1175">
        <f>IFERROR((M84+M85)/M138, "")</f>
        <v>2.103448275862069</v>
      </c>
      <c r="N113" s="1176">
        <f>IFERROR((N84+N85)/N138, "")</f>
        <v>1.5279396906815885</v>
      </c>
      <c r="O113" s="1175">
        <f ca="1">IFERROR((O84+O85)/O138, "")</f>
        <v>1.3425389933173033</v>
      </c>
      <c r="P113" s="1175">
        <f ca="1">IFERROR((P84+P85)/P138, "")</f>
        <v>1.2216870885664088</v>
      </c>
      <c r="Q113" s="1175">
        <f ca="1">IFERROR((Q84+Q85)/Q138, "")</f>
        <v>1.0758989682764437</v>
      </c>
      <c r="R113" s="1175">
        <f ca="1">IFERROR((R84+R85)/R138, "")</f>
        <v>0.92650767048355986</v>
      </c>
      <c r="S113" s="1175">
        <f ca="1">IFERROR((S84+S85)/S138, "")</f>
        <v>0.78668348698240564</v>
      </c>
      <c r="T113" s="1048"/>
      <c r="U113" s="1175"/>
      <c r="V113" s="1175"/>
      <c r="W113" s="1048"/>
      <c r="X113" s="1168">
        <f ca="1">IFERROR(AVERAGE($N113:INDIRECT(CONCATENATE(SUBSTITUTE(ADDRESS(1,COLUMN(OFFSET($N113,0,-(X$3-1))),4),"1",""),ROW(OFFSET($N113,0,-(X$3-1)))))), "")</f>
        <v>0.99232327260145181</v>
      </c>
    </row>
    <row r="114" spans="1:28" ht="14.5" customHeight="1" x14ac:dyDescent="0.35">
      <c r="B114" s="1029" t="s">
        <v>1143</v>
      </c>
      <c r="D114" s="1175">
        <f>IFERROR((D84+D85)/D142, "")</f>
        <v>0.18079320864836185</v>
      </c>
      <c r="E114" s="1175">
        <f>IFERROR((E84+E85)/E142, "")</f>
        <v>0.16339827935222673</v>
      </c>
      <c r="F114" s="1175">
        <f>IFERROR((F84+F85)/F142, "")</f>
        <v>0.17714606210886763</v>
      </c>
      <c r="G114" s="1175">
        <f>IFERROR((G84+G85)/G142, "")</f>
        <v>0.17910581222056632</v>
      </c>
      <c r="H114" s="1175">
        <f>IFERROR((H84+H85)/H142, "")</f>
        <v>0.21823832868723766</v>
      </c>
      <c r="I114" s="1175">
        <f>IFERROR((I84+I85)/I142, "")</f>
        <v>0.33000183385292498</v>
      </c>
      <c r="J114" s="1175">
        <f>IFERROR((J84+J85)/J142, "")</f>
        <v>0.3540387771227132</v>
      </c>
      <c r="K114" s="1175">
        <f>IFERROR((K84+K85)/K142, "")</f>
        <v>0.36720456998446838</v>
      </c>
      <c r="L114" s="1175">
        <f>IFERROR((L84+L85)/L142, "")</f>
        <v>0.40060273972602739</v>
      </c>
      <c r="M114" s="1175">
        <f>IFERROR((M84+M85)/M142, "")</f>
        <v>0.47396941266038201</v>
      </c>
      <c r="N114" s="1176">
        <f>IFERROR((N84+N85)/N142, "")</f>
        <v>0.41525853328827306</v>
      </c>
      <c r="O114" s="1175">
        <f>IFERROR((O84+O85)/O142, "")</f>
        <v>0.39893810325797924</v>
      </c>
      <c r="P114" s="1175">
        <f ca="1">IFERROR((P84+P85)/P142, "")</f>
        <v>0.38485470485784995</v>
      </c>
      <c r="Q114" s="1175">
        <f ca="1">IFERROR((Q84+Q85)/Q142, "")</f>
        <v>0.36649413437375883</v>
      </c>
      <c r="R114" s="1175">
        <f ca="1">IFERROR((R84+R85)/R142, "")</f>
        <v>0.34491496118172704</v>
      </c>
      <c r="S114" s="1175">
        <f ca="1">IFERROR((S84+S85)/S142, "")</f>
        <v>0.3211657942414512</v>
      </c>
      <c r="T114" s="1048"/>
      <c r="U114" s="1175"/>
      <c r="V114" s="1175"/>
      <c r="W114" s="1048"/>
      <c r="X114" s="1168">
        <f ca="1">IFERROR(AVERAGE($N114:INDIRECT(CONCATENATE(SUBSTITUTE(ADDRESS(1,COLUMN(OFFSET($N114,0,-(X$3-1))),4),"1",""),ROW(OFFSET($N114,0,-(X$3-1)))))), "")</f>
        <v>0.30789643490036878</v>
      </c>
    </row>
    <row r="115" spans="1:28" ht="14.5" customHeight="1" x14ac:dyDescent="0.35">
      <c r="B115" s="1029" t="s">
        <v>1144</v>
      </c>
      <c r="D115" s="1175">
        <f>IFERROR((D84+D85)/(D84+D85+D138), "")</f>
        <v>0.25820506748756811</v>
      </c>
      <c r="E115" s="1175">
        <f>IFERROR((E84+E85)/(E84+E85+E138), "")</f>
        <v>0.25094724570096183</v>
      </c>
      <c r="F115" s="1175">
        <f>IFERROR((F84+F85)/(F84+F85+F138), "")</f>
        <v>0.2545385137427893</v>
      </c>
      <c r="G115" s="1175">
        <f>IFERROR((G84+G85)/(G84+G85+G138), "")</f>
        <v>0.25558249330100802</v>
      </c>
      <c r="H115" s="1175">
        <f>IFERROR((H84+H85)/(H84+H85+H138), "")</f>
        <v>0.34191767068273093</v>
      </c>
      <c r="I115" s="1175">
        <f>IFERROR((I84+I85)/(I84+I85+I138), "")</f>
        <v>0.47976005332148414</v>
      </c>
      <c r="J115" s="1175">
        <f>IFERROR((J84+J85)/(J84+J85+J138), "")</f>
        <v>0.53080007289958087</v>
      </c>
      <c r="K115" s="1175">
        <f>IFERROR((K84+K85)/(K84+K85+K138), "")</f>
        <v>0.54676230793352143</v>
      </c>
      <c r="L115" s="1175">
        <f>IFERROR((L84+L85)/(L84+L85+L138), "")</f>
        <v>0.59882054222295034</v>
      </c>
      <c r="M115" s="1175">
        <f>IFERROR((M84+M85)/(M84+M85+M138), "")</f>
        <v>0.67777777777777781</v>
      </c>
      <c r="N115" s="1176">
        <f>IFERROR((N84+N85)/(N84+N85+N138), "")</f>
        <v>0.60442094260153101</v>
      </c>
      <c r="O115" s="1175">
        <f ca="1">IFERROR((O84+O85)/(O84+O85+O138), "")</f>
        <v>0.57311276232636554</v>
      </c>
      <c r="P115" s="1175">
        <f ca="1">IFERROR((P84+P85)/(P84+P85+P138), "")</f>
        <v>0.54989160933312553</v>
      </c>
      <c r="Q115" s="1175">
        <f ca="1">IFERROR((Q84+Q85)/(Q84+Q85+Q138), "")</f>
        <v>0.51828098800479205</v>
      </c>
      <c r="R115" s="1175">
        <f ca="1">IFERROR((R84+R85)/(R84+R85+R138), "")</f>
        <v>0.48092602208586244</v>
      </c>
      <c r="S115" s="1175">
        <f ca="1">IFERROR((S84+S85)/(S84+S85+S138), "")</f>
        <v>0.44030377664208664</v>
      </c>
      <c r="T115" s="1048"/>
      <c r="U115" s="1175"/>
      <c r="V115" s="1175"/>
      <c r="W115" s="1048"/>
      <c r="X115" s="1168">
        <f ca="1">IFERROR(AVERAGE($N115:INDIRECT(CONCATENATE(SUBSTITUTE(ADDRESS(1,COLUMN(OFFSET($N115,0,-(X$3-1))),4),"1",""),ROW(OFFSET($N115,0,-(X$3-1)))))), "")</f>
        <v>0.45413276201843356</v>
      </c>
      <c r="AA115" s="1017"/>
      <c r="AB115" s="1017"/>
    </row>
    <row r="116" spans="1:28" ht="14.5" customHeight="1" x14ac:dyDescent="0.35">
      <c r="B116" s="1029" t="s">
        <v>1145</v>
      </c>
      <c r="D116" s="1175">
        <f>IFERROR((D84+D83+D85)/(D84+D85+D138), "")</f>
        <v>2.0554108453705897E-2</v>
      </c>
      <c r="E116" s="1175">
        <f>IFERROR((E84+E83+E85)/(E84+E85+E138), "")</f>
        <v>2.8660254541921695E-2</v>
      </c>
      <c r="F116" s="1175">
        <f>IFERROR((F84+F83+F85)/(F84+F85+F138), "")</f>
        <v>1.3064133016627079E-2</v>
      </c>
      <c r="G116" s="1175">
        <f>IFERROR((G84+G83+G85)/(G84+G85+G138), "")</f>
        <v>5.1848071115647994E-2</v>
      </c>
      <c r="H116" s="1175">
        <f>IFERROR((H84+H83+H85)/(H84+H85+H138), "")</f>
        <v>0.17369477911646586</v>
      </c>
      <c r="I116" s="1175">
        <f>IFERROR((I84+I83+I85)/(I84+I85+I138), "")</f>
        <v>0.39422350588758054</v>
      </c>
      <c r="J116" s="1175">
        <f>IFERROR((J84+J83+J85)/(J84+J85+J138), "")</f>
        <v>0.40800984144341168</v>
      </c>
      <c r="K116" s="1175">
        <f>IFERROR((K84+K83+K85)/(K84+K85+K138), "")</f>
        <v>0.38491690185010974</v>
      </c>
      <c r="L116" s="1175">
        <f>IFERROR((L84+L83+L85)/(L84+L85+L138), "")</f>
        <v>0.46641821607011219</v>
      </c>
      <c r="M116" s="1175">
        <f>IFERROR((M84+M83+M85)/(M84+M85+M138), "")</f>
        <v>0.59929554915145689</v>
      </c>
      <c r="N116" s="1176">
        <f>IFERROR((N84+N83+N85)/(N84+N85+N138), "")</f>
        <v>0.44953423309865648</v>
      </c>
      <c r="O116" s="1175">
        <f ca="1">IFERROR((O84+O83+O85)/(O84+O85+O138), "")</f>
        <v>0.41266134778141711</v>
      </c>
      <c r="P116" s="1175">
        <f ca="1">IFERROR((P84+P83+P85)/(P84+P85+P138), "")</f>
        <v>0.3704524525773143</v>
      </c>
      <c r="Q116" s="1175">
        <f ca="1">IFERROR((Q84+Q83+Q85)/(Q84+Q85+Q138), "")</f>
        <v>0.30590642912993593</v>
      </c>
      <c r="R116" s="1175">
        <f ca="1">IFERROR((R84+R83+R85)/(R84+R85+R138), "")</f>
        <v>0.22540086519078489</v>
      </c>
      <c r="S116" s="1175">
        <f ca="1">IFERROR((S84+S83+S85)/(S84+S85+S138), "")</f>
        <v>0.13475463447605898</v>
      </c>
      <c r="T116" s="1048"/>
      <c r="U116" s="1048"/>
      <c r="V116" s="1048"/>
      <c r="W116" s="1048"/>
      <c r="X116" s="1168">
        <f ca="1">IFERROR(AVERAGE($N116:INDIRECT(CONCATENATE(SUBSTITUTE(ADDRESS(1,COLUMN(OFFSET($N116,0,-(X$3-1))),4),"1",""),ROW(OFFSET($N116,0,-(X$3-1)))))), "")</f>
        <v>0.29696654852919907</v>
      </c>
      <c r="AA116" s="1060"/>
      <c r="AB116" s="1060"/>
    </row>
    <row r="117" spans="1:28" ht="14.5" customHeight="1" x14ac:dyDescent="0.35">
      <c r="D117" s="1171"/>
      <c r="E117" s="1171"/>
      <c r="F117" s="1171"/>
      <c r="G117" s="1171"/>
      <c r="H117" s="1171"/>
      <c r="I117" s="1171"/>
      <c r="J117" s="1171"/>
      <c r="K117" s="1171"/>
      <c r="L117" s="1171"/>
      <c r="M117" s="1171"/>
      <c r="N117" s="1172"/>
      <c r="O117" s="1171"/>
      <c r="P117" s="1171"/>
      <c r="Q117" s="1171"/>
      <c r="R117" s="1171"/>
      <c r="S117" s="1171"/>
      <c r="T117" s="1048"/>
      <c r="U117" s="1048"/>
      <c r="V117" s="1048"/>
      <c r="W117" s="1048"/>
      <c r="X117" s="1048"/>
      <c r="AA117" s="1060"/>
      <c r="AB117" s="1060"/>
    </row>
    <row r="118" spans="1:28" ht="14.5" customHeight="1" x14ac:dyDescent="0.35">
      <c r="B118" s="1010" t="s">
        <v>1146</v>
      </c>
      <c r="C118" s="1011"/>
      <c r="D118" s="1145"/>
      <c r="E118" s="1145"/>
      <c r="F118" s="1145"/>
      <c r="G118" s="1145"/>
      <c r="H118" s="1145"/>
      <c r="I118" s="1145"/>
      <c r="J118" s="1145"/>
      <c r="K118" s="1145"/>
      <c r="L118" s="1145"/>
      <c r="M118" s="1145"/>
      <c r="N118" s="1146"/>
      <c r="O118" s="1145"/>
      <c r="P118" s="1145"/>
      <c r="Q118" s="1145"/>
      <c r="R118" s="1145"/>
      <c r="S118" s="1145"/>
      <c r="T118" s="1048"/>
      <c r="U118" s="1048"/>
      <c r="V118" s="1048"/>
      <c r="W118" s="1048"/>
      <c r="X118" s="1048"/>
      <c r="AA118" s="1060"/>
      <c r="AB118" s="1060"/>
    </row>
    <row r="119" spans="1:28" s="1017" customFormat="1" ht="14.5" customHeight="1" x14ac:dyDescent="0.35">
      <c r="A119" s="1015"/>
      <c r="B119" s="1177" t="s">
        <v>1147</v>
      </c>
      <c r="D119" s="1178">
        <f t="array" ref="D119">IFERROR(INDEX(MO_Common_FPDays,0,MATCH(D$5,MO_Common_ColumnHeader,0)), 0)</f>
        <v>365</v>
      </c>
      <c r="E119" s="1178">
        <f t="array" ref="E119">IFERROR(INDEX(MO_Common_FPDays,0,MATCH(E$5,MO_Common_ColumnHeader,0)), 0)</f>
        <v>365</v>
      </c>
      <c r="F119" s="1178">
        <f t="array" ref="F119">IFERROR(INDEX(MO_Common_FPDays,0,MATCH(F$5,MO_Common_ColumnHeader,0)), 0)</f>
        <v>366</v>
      </c>
      <c r="G119" s="1178">
        <f t="array" ref="G119">IFERROR(INDEX(MO_Common_FPDays,0,MATCH(G$5,MO_Common_ColumnHeader,0)), 0)</f>
        <v>365</v>
      </c>
      <c r="H119" s="1178">
        <f t="array" ref="H119">IFERROR(INDEX(MO_Common_FPDays,0,MATCH(H$5,MO_Common_ColumnHeader,0)), 0)</f>
        <v>365</v>
      </c>
      <c r="I119" s="1178">
        <f t="array" ref="I119">IFERROR(INDEX(MO_Common_FPDays,0,MATCH(I$5,MO_Common_ColumnHeader,0)), 0)</f>
        <v>365</v>
      </c>
      <c r="J119" s="1178">
        <f t="array" ref="J119">IFERROR(INDEX(MO_Common_FPDays,0,MATCH(J$5,MO_Common_ColumnHeader,0)), 0)</f>
        <v>366</v>
      </c>
      <c r="K119" s="1178">
        <f t="array" ref="K119">IFERROR(INDEX(MO_Common_FPDays,0,MATCH(K$5,MO_Common_ColumnHeader,0)), 0)</f>
        <v>365</v>
      </c>
      <c r="L119" s="1178">
        <f t="array" ref="L119">IFERROR(INDEX(MO_Common_FPDays,0,MATCH(L$5,MO_Common_ColumnHeader,0)), 0)</f>
        <v>365</v>
      </c>
      <c r="M119" s="1178">
        <f t="array" ref="M119">IFERROR(INDEX(MO_Common_FPDays,0,MATCH(M$5,MO_Common_ColumnHeader,0)), 0)</f>
        <v>365</v>
      </c>
      <c r="N119" s="1179">
        <f t="array" ref="N119">IFERROR(INDEX(MO_Common_FPDays,0,MATCH(N$5,MO_Common_ColumnHeader,0)), 0)</f>
        <v>366</v>
      </c>
      <c r="O119" s="1178">
        <f t="array" ref="O119">IFERROR(INDEX(MO_Common_FPDays,0,MATCH(O$5,MO_Common_ColumnHeader,0)), 0)</f>
        <v>365</v>
      </c>
      <c r="P119" s="1178">
        <f t="array" ref="P119">IFERROR(INDEX(MO_Common_FPDays,0,MATCH(P$5,MO_Common_ColumnHeader,0)), 0)</f>
        <v>365</v>
      </c>
      <c r="Q119" s="1178">
        <f t="array" ref="Q119">IFERROR(INDEX(MO_Common_FPDays,0,MATCH(Q$5,MO_Common_ColumnHeader,0)), 0)</f>
        <v>365</v>
      </c>
      <c r="R119" s="1178">
        <f t="array" ref="R119">IFERROR(INDEX(MO_Common_FPDays,0,MATCH(R$5,MO_Common_ColumnHeader,0)), 0)</f>
        <v>366</v>
      </c>
      <c r="S119" s="1178">
        <f t="array" ref="S119">IFERROR(INDEX(MO_Common_FPDays,0,MATCH(S$5,MO_Common_ColumnHeader,0)), 0)</f>
        <v>365</v>
      </c>
      <c r="T119" s="1020"/>
      <c r="U119" s="1048"/>
      <c r="V119" s="1048"/>
      <c r="W119" s="1020"/>
      <c r="X119" s="1020"/>
      <c r="AA119" s="1060"/>
      <c r="AB119" s="1060"/>
    </row>
    <row r="120" spans="1:28" s="1060" customFormat="1" ht="14.5" customHeight="1" x14ac:dyDescent="0.35">
      <c r="A120" s="1031"/>
      <c r="B120" s="1092"/>
      <c r="D120" s="1156"/>
      <c r="E120" s="1156"/>
      <c r="F120" s="1156"/>
      <c r="G120" s="1156"/>
      <c r="H120" s="1156"/>
      <c r="I120" s="1156"/>
      <c r="J120" s="1156"/>
      <c r="K120" s="1156"/>
      <c r="L120" s="1156"/>
      <c r="M120" s="1156"/>
      <c r="N120" s="1180"/>
      <c r="O120" s="1156"/>
      <c r="P120" s="1156"/>
      <c r="Q120" s="1156"/>
      <c r="R120" s="1156"/>
      <c r="S120" s="1156"/>
      <c r="T120" s="1090"/>
      <c r="U120" s="1048"/>
      <c r="V120" s="1048"/>
      <c r="W120" s="1090"/>
      <c r="X120" s="1090"/>
      <c r="AA120" s="1017"/>
      <c r="AB120" s="1017"/>
    </row>
    <row r="121" spans="1:28" s="1060" customFormat="1" ht="14.5" customHeight="1" x14ac:dyDescent="0.35">
      <c r="A121" s="1031"/>
      <c r="B121" s="1119" t="s">
        <v>1148</v>
      </c>
      <c r="D121" s="1045">
        <f t="array" ref="D121">IFERROR(INDEX(MO_BS_AR,0,MATCH(D$5,MO_Common_ColumnHeader,0)),"")</f>
        <v>3615</v>
      </c>
      <c r="E121" s="1045">
        <f t="array" ref="E121">IFERROR(INDEX(MO_BS_AR,0,MATCH(E$5,MO_Common_ColumnHeader,0)),"")</f>
        <v>3867</v>
      </c>
      <c r="F121" s="1045">
        <f t="array" ref="F121">IFERROR(INDEX(MO_BS_AR,0,MATCH(F$5,MO_Common_ColumnHeader,0)),"")</f>
        <v>4061</v>
      </c>
      <c r="G121" s="1045">
        <f t="array" ref="G121">IFERROR(INDEX(MO_BS_AR,0,MATCH(G$5,MO_Common_ColumnHeader,0)),"")</f>
        <v>4253</v>
      </c>
      <c r="H121" s="1045">
        <f t="array" ref="H121">IFERROR(INDEX(MO_BS_AR,0,MATCH(H$5,MO_Common_ColumnHeader,0)),"")</f>
        <v>4238</v>
      </c>
      <c r="I121" s="1045">
        <f t="array" ref="I121">IFERROR(INDEX(MO_BS_AR,0,MATCH(I$5,MO_Common_ColumnHeader,0)),"")</f>
        <v>4154</v>
      </c>
      <c r="J121" s="1045">
        <f t="array" ref="J121">IFERROR(INDEX(MO_BS_AR,0,MATCH(J$5,MO_Common_ColumnHeader,0)),"")</f>
        <v>4392</v>
      </c>
      <c r="K121" s="1045">
        <f t="array" ref="K121">IFERROR(INDEX(MO_BS_AR,0,MATCH(K$5,MO_Common_ColumnHeader,0)),"")</f>
        <v>4911</v>
      </c>
      <c r="L121" s="1045">
        <f t="array" ref="L121">IFERROR(INDEX(MO_BS_AR,0,MATCH(L$5,MO_Common_ColumnHeader,0)),"")</f>
        <v>5020</v>
      </c>
      <c r="M121" s="1045">
        <f t="array" ref="M121">IFERROR(INDEX(MO_BS_AR,0,MATCH(M$5,MO_Common_ColumnHeader,0)),"")</f>
        <v>4791</v>
      </c>
      <c r="N121" s="1065">
        <f t="array" ref="N121">IFERROR(INDEX(MO_BS_AR,0,MATCH(N$5,MO_Common_ColumnHeader,0)),"")</f>
        <v>4705</v>
      </c>
      <c r="O121" s="1045">
        <f t="array" ref="O121">IFERROR(INDEX(MO_BS_AR,0,MATCH(O$5,MO_Common_ColumnHeader,0)),"")</f>
        <v>4835.3760571210541</v>
      </c>
      <c r="P121" s="1045">
        <f t="array" ref="P121">IFERROR(INDEX(MO_BS_AR,0,MATCH(P$5,MO_Common_ColumnHeader,0)),"")</f>
        <v>5154.8744600779237</v>
      </c>
      <c r="Q121" s="1045">
        <f t="array" ref="Q121">IFERROR(INDEX(MO_BS_AR,0,MATCH(Q$5,MO_Common_ColumnHeader,0)),"")</f>
        <v>5486.7128074085322</v>
      </c>
      <c r="R121" s="1045">
        <f t="array" ref="R121">IFERROR(INDEX(MO_BS_AR,0,MATCH(R$5,MO_Common_ColumnHeader,0)),"")</f>
        <v>5840.8376959715642</v>
      </c>
      <c r="S121" s="1045">
        <f t="array" ref="S121">IFERROR(INDEX(MO_BS_AR,0,MATCH(S$5,MO_Common_ColumnHeader,0)),"")</f>
        <v>6218.7993721553448</v>
      </c>
      <c r="T121" s="1090"/>
      <c r="U121" s="1048"/>
      <c r="V121" s="1048"/>
      <c r="W121" s="1090"/>
      <c r="X121" s="1090"/>
    </row>
    <row r="122" spans="1:28" s="1060" customFormat="1" ht="14.5" customHeight="1" x14ac:dyDescent="0.35">
      <c r="A122" s="1031"/>
      <c r="B122" s="1092" t="s">
        <v>1149</v>
      </c>
      <c r="D122" s="1156">
        <f>D121</f>
        <v>3615</v>
      </c>
      <c r="E122" s="1156">
        <f>IF(OR(D121="",E121=""),"",AVERAGE(D121:E121))</f>
        <v>3741</v>
      </c>
      <c r="F122" s="1156">
        <f>IF(OR(E121="",F121=""),"",AVERAGE(E121:F121))</f>
        <v>3964</v>
      </c>
      <c r="G122" s="1156">
        <f>IF(OR(F121="",G121=""),"",AVERAGE(F121:G121))</f>
        <v>4157</v>
      </c>
      <c r="H122" s="1156">
        <f>IF(OR(G121="",H121=""),"",AVERAGE(G121:H121))</f>
        <v>4245.5</v>
      </c>
      <c r="I122" s="1156">
        <f>IF(OR(H121="",I121=""),"",AVERAGE(H121:I121))</f>
        <v>4196</v>
      </c>
      <c r="J122" s="1156">
        <f>IF(OR(I121="",J121=""),"",AVERAGE(I121:J121))</f>
        <v>4273</v>
      </c>
      <c r="K122" s="1156">
        <f>IF(OR(J121="",K121=""),"",AVERAGE(J121:K121))</f>
        <v>4651.5</v>
      </c>
      <c r="L122" s="1156">
        <f>IF(OR(K121="",L121=""),"",AVERAGE(K121:L121))</f>
        <v>4965.5</v>
      </c>
      <c r="M122" s="1156">
        <f>IF(OR(L121="",M121=""),"",AVERAGE(L121:M121))</f>
        <v>4905.5</v>
      </c>
      <c r="N122" s="1180">
        <f>IF(OR(M121="",N121=""),"",AVERAGE(M121:N121))</f>
        <v>4748</v>
      </c>
      <c r="O122" s="1156">
        <f>IF(OR(N121="",O121=""),"",AVERAGE(N121:O121))</f>
        <v>4770.1880285605275</v>
      </c>
      <c r="P122" s="1156">
        <f>IF(OR(O121="",P121=""),"",AVERAGE(O121:P121))</f>
        <v>4995.1252585994889</v>
      </c>
      <c r="Q122" s="1156">
        <f>IF(OR(P121="",Q121=""),"",AVERAGE(P121:Q121))</f>
        <v>5320.7936337432275</v>
      </c>
      <c r="R122" s="1156">
        <f>IF(OR(Q121="",R121=""),"",AVERAGE(Q121:R121))</f>
        <v>5663.7752516900482</v>
      </c>
      <c r="S122" s="1156">
        <f>IF(OR(R121="",S121=""),"",AVERAGE(R121:S121))</f>
        <v>6029.8185340634545</v>
      </c>
      <c r="T122" s="1090"/>
      <c r="U122" s="1048"/>
      <c r="V122" s="1048"/>
      <c r="W122" s="1090"/>
      <c r="X122" s="1090"/>
    </row>
    <row r="123" spans="1:28" s="1060" customFormat="1" ht="14.5" customHeight="1" x14ac:dyDescent="0.35">
      <c r="A123" s="1031"/>
      <c r="B123" s="1181" t="s">
        <v>1150</v>
      </c>
      <c r="C123" s="1159"/>
      <c r="D123" s="1153">
        <f>D7</f>
        <v>26662</v>
      </c>
      <c r="E123" s="1095">
        <f>E7</f>
        <v>29611</v>
      </c>
      <c r="F123" s="1095">
        <f>F7</f>
        <v>29904</v>
      </c>
      <c r="G123" s="1095">
        <f>G7</f>
        <v>30871</v>
      </c>
      <c r="H123" s="1095">
        <f>H7</f>
        <v>31821</v>
      </c>
      <c r="I123" s="1095">
        <f>I7</f>
        <v>30274</v>
      </c>
      <c r="J123" s="1095">
        <f>J7</f>
        <v>30109</v>
      </c>
      <c r="K123" s="1095">
        <f>K7</f>
        <v>31657</v>
      </c>
      <c r="L123" s="1095">
        <f>L7</f>
        <v>32765</v>
      </c>
      <c r="M123" s="1095">
        <f>M7</f>
        <v>32136</v>
      </c>
      <c r="N123" s="1154">
        <f>N7</f>
        <v>32184</v>
      </c>
      <c r="O123" s="1095">
        <f>O7</f>
        <v>34247.139800000004</v>
      </c>
      <c r="P123" s="1095">
        <f>P7</f>
        <v>36510.026148999998</v>
      </c>
      <c r="Q123" s="1095">
        <f>Q7</f>
        <v>38860.311656844999</v>
      </c>
      <c r="R123" s="1095">
        <f>R7</f>
        <v>41368.44430713122</v>
      </c>
      <c r="S123" s="1095">
        <f>S7</f>
        <v>44045.403908700471</v>
      </c>
      <c r="T123" s="1090"/>
      <c r="U123" s="1048"/>
      <c r="V123" s="1048"/>
      <c r="W123" s="1090"/>
      <c r="X123" s="1090"/>
    </row>
    <row r="124" spans="1:28" s="1017" customFormat="1" ht="14.5" customHeight="1" x14ac:dyDescent="0.35">
      <c r="A124" s="1015"/>
      <c r="B124" s="1182" t="s">
        <v>1151</v>
      </c>
      <c r="D124" s="1183"/>
      <c r="E124" s="1183">
        <f>IF(E122="","",IFERROR(E$119*E122/E123, 0))</f>
        <v>46.11343757387457</v>
      </c>
      <c r="F124" s="1183">
        <f>IF(F122="","",IFERROR(F$119*F122/F123, 0))</f>
        <v>48.516051364365971</v>
      </c>
      <c r="G124" s="1183">
        <f>IF(G122="","",IFERROR(G$119*G122/G123, 0))</f>
        <v>49.149849373198144</v>
      </c>
      <c r="H124" s="1183">
        <f>IF(H122="","",IFERROR(H$119*H122/H123, 0))</f>
        <v>48.697636780742279</v>
      </c>
      <c r="I124" s="1183">
        <f>IF(I122="","",IFERROR(I$119*I122/I123, 0))</f>
        <v>50.589284534584131</v>
      </c>
      <c r="J124" s="1183">
        <f>IF(J122="","",IFERROR(J$119*J122/J123, 0))</f>
        <v>51.941877843834071</v>
      </c>
      <c r="K124" s="1183">
        <f>IF(K122="","",IFERROR(K$119*K122/K123, 0))</f>
        <v>53.631029472154658</v>
      </c>
      <c r="L124" s="1183">
        <f>IF(L122="","",IFERROR(L$119*L122/L123, 0))</f>
        <v>55.315351747291317</v>
      </c>
      <c r="M124" s="1183">
        <f>IF(M122="","",IFERROR(M$119*M122/M123, 0))</f>
        <v>55.716563978093106</v>
      </c>
      <c r="N124" s="1184">
        <f>IF(N122="","",IFERROR(N$119*N122/N123, 0))</f>
        <v>53.994780014914241</v>
      </c>
      <c r="O124" s="1183">
        <f>IF(O122="","",IFERROR(O$119*O122/O123, 0))</f>
        <v>50.839826058250637</v>
      </c>
      <c r="P124" s="1183">
        <f>IF(P122="","",IFERROR(P$119*P122/P123, 0))</f>
        <v>49.937535293678529</v>
      </c>
      <c r="Q124" s="1183">
        <f>IF(Q122="","",IFERROR(Q$119*Q122/Q123, 0))</f>
        <v>49.976173466282305</v>
      </c>
      <c r="R124" s="1183">
        <f>IF(R122="","",IFERROR(R$119*R122/R123, 0))</f>
        <v>50.109250585505279</v>
      </c>
      <c r="S124" s="1183">
        <f>IF(S122="","",IFERROR(S$119*S122/S123, 0))</f>
        <v>49.968522697516036</v>
      </c>
      <c r="T124" s="1020"/>
      <c r="U124" s="1048"/>
      <c r="V124" s="1048"/>
      <c r="W124" s="1020"/>
      <c r="X124" s="1020"/>
    </row>
    <row r="125" spans="1:28" s="1060" customFormat="1" ht="14.5" customHeight="1" x14ac:dyDescent="0.35">
      <c r="A125" s="1031"/>
      <c r="B125" s="1092" t="s">
        <v>1152</v>
      </c>
      <c r="D125" s="1102">
        <f t="array" ref="D125">IFERROR(INDEX(MO_BS_INV,0,MATCH(D$5,MO_Common_ColumnHeader,0)),"")</f>
        <v>3155</v>
      </c>
      <c r="E125" s="1102">
        <f t="array" ref="E125">IFERROR(INDEX(MO_BS_INV,0,MATCH(E$5,MO_Common_ColumnHeader,0)),"")</f>
        <v>3416</v>
      </c>
      <c r="F125" s="1102">
        <f t="array" ref="F125">IFERROR(INDEX(MO_BS_INV,0,MATCH(F$5,MO_Common_ColumnHeader,0)),"")</f>
        <v>3837</v>
      </c>
      <c r="G125" s="1102">
        <f t="array" ref="G125">IFERROR(INDEX(MO_BS_INV,0,MATCH(G$5,MO_Common_ColumnHeader,0)),"")</f>
        <v>3864</v>
      </c>
      <c r="H125" s="1102">
        <f t="array" ref="H125">IFERROR(INDEX(MO_BS_INV,0,MATCH(H$5,MO_Common_ColumnHeader,0)),"")</f>
        <v>3706</v>
      </c>
      <c r="I125" s="1102">
        <f t="array" ref="I125">IFERROR(INDEX(MO_BS_INV,0,MATCH(I$5,MO_Common_ColumnHeader,0)),"")</f>
        <v>3518</v>
      </c>
      <c r="J125" s="1102">
        <f t="array" ref="J125">IFERROR(INDEX(MO_BS_INV,0,MATCH(J$5,MO_Common_ColumnHeader,0)),"")</f>
        <v>3385</v>
      </c>
      <c r="K125" s="1102">
        <f t="array" ref="K125">IFERROR(INDEX(MO_BS_INV,0,MATCH(K$5,MO_Common_ColumnHeader,0)),"")</f>
        <v>4034</v>
      </c>
      <c r="L125" s="1102">
        <f t="array" ref="L125">IFERROR(INDEX(MO_BS_INV,0,MATCH(L$5,MO_Common_ColumnHeader,0)),"")</f>
        <v>4366</v>
      </c>
      <c r="M125" s="1102">
        <f t="array" ref="M125">IFERROR(INDEX(MO_BS_INV,0,MATCH(M$5,MO_Common_ColumnHeader,0)),"")</f>
        <v>4134</v>
      </c>
      <c r="N125" s="1158">
        <f t="array" ref="N125">IFERROR(INDEX(MO_BS_INV,0,MATCH(N$5,MO_Common_ColumnHeader,0)),"")</f>
        <v>4239</v>
      </c>
      <c r="O125" s="1102">
        <f t="array" ref="O125">IFERROR(INDEX(MO_BS_INV,0,MATCH(O$5,MO_Common_ColumnHeader,0)),"")</f>
        <v>4510.7390508389262</v>
      </c>
      <c r="P125" s="1102">
        <f t="array" ref="P125">IFERROR(INDEX(MO_BS_INV,0,MATCH(P$5,MO_Common_ColumnHeader,0)),"")</f>
        <v>4808.7870011686236</v>
      </c>
      <c r="Q125" s="1102">
        <f t="array" ref="Q125">IFERROR(INDEX(MO_BS_INV,0,MATCH(Q$5,MO_Common_ColumnHeader,0)),"")</f>
        <v>5118.3464178898193</v>
      </c>
      <c r="R125" s="1102">
        <f t="array" ref="R125">IFERROR(INDEX(MO_BS_INV,0,MATCH(R$5,MO_Common_ColumnHeader,0)),"")</f>
        <v>5448.6961042110743</v>
      </c>
      <c r="S125" s="1102">
        <f t="array" ref="S125">IFERROR(INDEX(MO_BS_INV,0,MATCH(S$5,MO_Common_ColumnHeader,0)),"")</f>
        <v>5801.2822262298432</v>
      </c>
      <c r="T125" s="1090"/>
      <c r="U125" s="1048"/>
      <c r="V125" s="1048"/>
      <c r="W125" s="1090"/>
      <c r="X125" s="1090"/>
    </row>
    <row r="126" spans="1:28" s="1060" customFormat="1" ht="14.5" customHeight="1" x14ac:dyDescent="0.35">
      <c r="A126" s="1031"/>
      <c r="B126" s="1092" t="s">
        <v>1153</v>
      </c>
      <c r="D126" s="1156">
        <f>D125</f>
        <v>3155</v>
      </c>
      <c r="E126" s="1156">
        <f>IF(OR(D125="",E125=""),"",AVERAGE(D125:E125))</f>
        <v>3285.5</v>
      </c>
      <c r="F126" s="1156">
        <f>IF(OR(E125="",F125=""),"",AVERAGE(E125:F125))</f>
        <v>3626.5</v>
      </c>
      <c r="G126" s="1156">
        <f>IF(OR(F125="",G125=""),"",AVERAGE(F125:G125))</f>
        <v>3850.5</v>
      </c>
      <c r="H126" s="1156">
        <f>IF(OR(G125="",H125=""),"",AVERAGE(G125:H125))</f>
        <v>3785</v>
      </c>
      <c r="I126" s="1156">
        <f>IF(OR(H125="",I125=""),"",AVERAGE(H125:I125))</f>
        <v>3612</v>
      </c>
      <c r="J126" s="1156">
        <f>IF(OR(I125="",J125=""),"",AVERAGE(I125:J125))</f>
        <v>3451.5</v>
      </c>
      <c r="K126" s="1156">
        <f>IF(OR(J125="",K125=""),"",AVERAGE(J125:K125))</f>
        <v>3709.5</v>
      </c>
      <c r="L126" s="1156">
        <f>IF(OR(K125="",L125=""),"",AVERAGE(K125:L125))</f>
        <v>4200</v>
      </c>
      <c r="M126" s="1156">
        <f>IF(OR(L125="",M125=""),"",AVERAGE(L125:M125))</f>
        <v>4250</v>
      </c>
      <c r="N126" s="1180">
        <f>IF(OR(M125="",N125=""),"",AVERAGE(M125:N125))</f>
        <v>4186.5</v>
      </c>
      <c r="O126" s="1156">
        <f>IF(OR(N125="",O125=""),"",AVERAGE(N125:O125))</f>
        <v>4374.8695254194627</v>
      </c>
      <c r="P126" s="1156">
        <f>IF(OR(O125="",P125=""),"",AVERAGE(O125:P125))</f>
        <v>4659.7630260037749</v>
      </c>
      <c r="Q126" s="1156">
        <f>IF(OR(P125="",Q125=""),"",AVERAGE(P125:Q125))</f>
        <v>4963.566709529221</v>
      </c>
      <c r="R126" s="1156">
        <f>IF(OR(Q125="",R125=""),"",AVERAGE(Q125:R125))</f>
        <v>5283.5212610504468</v>
      </c>
      <c r="S126" s="1156">
        <f>IF(OR(R125="",S125=""),"",AVERAGE(R125:S125))</f>
        <v>5624.9891652204587</v>
      </c>
      <c r="T126" s="1090"/>
      <c r="U126" s="1048"/>
      <c r="V126" s="1048"/>
      <c r="W126" s="1090"/>
      <c r="X126" s="1090"/>
    </row>
    <row r="127" spans="1:28" s="1060" customFormat="1" ht="14.5" customHeight="1" x14ac:dyDescent="0.35">
      <c r="A127" s="1031"/>
      <c r="B127" s="1151" t="str">
        <f t="array" ref="B127">IFERROR(SUBSTITUTE(INDEX(MO_MA_COGS_NONGAAP,0,COLUMN(MO_Common_Column_A)),"Margin, %",""), "COGS")</f>
        <v>COGS</v>
      </c>
      <c r="C127" s="1159"/>
      <c r="D127" s="1160">
        <f>IFERROR(IFERROR(INDEX(MO_RIS_COGS_NONGAAP,0,MATCH(D$5,MO_Common_ColumnHeader,0)),IFERROR(D7*INDEX(MO_MA_COGS_NONGAAP,0,MATCH(D$5,MO_Common_ColumnHeader,0)),IFERROR(D7*INDEX(MO_MA_COGS_DA_Including,0,MATCH(D$5,MO_Common_ColumnHeader,0)),INDEX(MO_RIS_COGS,0,MATCH(D$5,MO_Common_ColumnHeader,0))))), "")</f>
        <v>13800</v>
      </c>
      <c r="E127" s="1160">
        <f>IFERROR(IFERROR(INDEX(MO_RIS_COGS_NONGAAP,0,MATCH(E$5,MO_Common_ColumnHeader,0)),IFERROR(E7*INDEX(MO_MA_COGS_NONGAAP,0,MATCH(E$5,MO_Common_ColumnHeader,0)),IFERROR(E7*INDEX(MO_MA_COGS_DA_Including,0,MATCH(E$5,MO_Common_ColumnHeader,0)),INDEX(MO_RIS_COGS,0,MATCH(E$5,MO_Common_ColumnHeader,0))))), "")</f>
        <v>15663.999999999998</v>
      </c>
      <c r="F127" s="1160">
        <f>IFERROR(IFERROR(INDEX(MO_RIS_COGS_NONGAAP,0,MATCH(F$5,MO_Common_ColumnHeader,0)),IFERROR(F7*INDEX(MO_MA_COGS_NONGAAP,0,MATCH(F$5,MO_Common_ColumnHeader,0)),IFERROR(F7*INDEX(MO_MA_COGS_DA_Including,0,MATCH(F$5,MO_Common_ColumnHeader,0)),INDEX(MO_RIS_COGS,0,MATCH(F$5,MO_Common_ColumnHeader,0))))), "")</f>
        <v>15657.999999999998</v>
      </c>
      <c r="G127" s="1160">
        <f>IFERROR(IFERROR(INDEX(MO_RIS_COGS_NONGAAP,0,MATCH(G$5,MO_Common_ColumnHeader,0)),IFERROR(G7*INDEX(MO_MA_COGS_NONGAAP,0,MATCH(G$5,MO_Common_ColumnHeader,0)),IFERROR(G7*INDEX(MO_MA_COGS_DA_Including,0,MATCH(G$5,MO_Common_ColumnHeader,0)),INDEX(MO_RIS_COGS,0,MATCH(G$5,MO_Common_ColumnHeader,0))))), "")</f>
        <v>16079</v>
      </c>
      <c r="H127" s="1160">
        <f>IFERROR(IFERROR(INDEX(MO_RIS_COGS_NONGAAP,0,MATCH(H$5,MO_Common_ColumnHeader,0)),IFERROR(H7*INDEX(MO_MA_COGS_NONGAAP,0,MATCH(H$5,MO_Common_ColumnHeader,0)),IFERROR(H7*INDEX(MO_MA_COGS_DA_Including,0,MATCH(H$5,MO_Common_ColumnHeader,0)),INDEX(MO_RIS_COGS,0,MATCH(H$5,MO_Common_ColumnHeader,0))))), "")</f>
        <v>16400</v>
      </c>
      <c r="I127" s="1160">
        <f>IFERROR(IFERROR(INDEX(MO_RIS_COGS_NONGAAP,0,MATCH(I$5,MO_Common_ColumnHeader,0)),IFERROR(I7*INDEX(MO_MA_COGS_NONGAAP,0,MATCH(I$5,MO_Common_ColumnHeader,0)),IFERROR(I7*INDEX(MO_MA_COGS_DA_Including,0,MATCH(I$5,MO_Common_ColumnHeader,0)),INDEX(MO_RIS_COGS,0,MATCH(I$5,MO_Common_ColumnHeader,0))))), "")</f>
        <v>15337</v>
      </c>
      <c r="J127" s="1160">
        <f>IFERROR(IFERROR(INDEX(MO_RIS_COGS_NONGAAP,0,MATCH(J$5,MO_Common_ColumnHeader,0)),IFERROR(J7*INDEX(MO_MA_COGS_NONGAAP,0,MATCH(J$5,MO_Common_ColumnHeader,0)),IFERROR(J7*INDEX(MO_MA_COGS_DA_Including,0,MATCH(J$5,MO_Common_ColumnHeader,0)),INDEX(MO_RIS_COGS,0,MATCH(J$5,MO_Common_ColumnHeader,0))))), "")</f>
        <v>14993</v>
      </c>
      <c r="K127" s="1160">
        <f>IFERROR(IFERROR(INDEX(MO_RIS_COGS_NONGAAP,0,MATCH(K$5,MO_Common_ColumnHeader,0)),IFERROR(K7*INDEX(MO_MA_COGS_NONGAAP,0,MATCH(K$5,MO_Common_ColumnHeader,0)),IFERROR(K7*INDEX(MO_MA_COGS_DA_Including,0,MATCH(K$5,MO_Common_ColumnHeader,0)),INDEX(MO_RIS_COGS,0,MATCH(K$5,MO_Common_ColumnHeader,0))))), "")</f>
        <v>16006.000000000002</v>
      </c>
      <c r="L127" s="1160">
        <f>IFERROR(IFERROR(INDEX(MO_RIS_COGS_NONGAAP,0,MATCH(L$5,MO_Common_ColumnHeader,0)),IFERROR(L7*INDEX(MO_MA_COGS_NONGAAP,0,MATCH(L$5,MO_Common_ColumnHeader,0)),IFERROR(L7*INDEX(MO_MA_COGS_DA_Including,0,MATCH(L$5,MO_Common_ColumnHeader,0)),INDEX(MO_RIS_COGS,0,MATCH(L$5,MO_Common_ColumnHeader,0))))), "")</f>
        <v>16634</v>
      </c>
      <c r="M127" s="1160">
        <f>IFERROR(IFERROR(INDEX(MO_RIS_COGS_NONGAAP,0,MATCH(M$5,MO_Common_ColumnHeader,0)),IFERROR(M7*INDEX(MO_MA_COGS_NONGAAP,0,MATCH(M$5,MO_Common_ColumnHeader,0)),IFERROR(M7*INDEX(MO_MA_COGS_DA_Including,0,MATCH(M$5,MO_Common_ColumnHeader,0)),INDEX(MO_RIS_COGS,0,MATCH(M$5,MO_Common_ColumnHeader,0))))), "")</f>
        <v>17089</v>
      </c>
      <c r="N127" s="1161">
        <f>IFERROR(IFERROR(INDEX(MO_RIS_COGS_NONGAAP,0,MATCH(N$5,MO_Common_ColumnHeader,0)),IFERROR(N7*INDEX(MO_MA_COGS_NONGAAP,0,MATCH(N$5,MO_Common_ColumnHeader,0)),IFERROR(N7*INDEX(MO_MA_COGS_DA_Including,0,MATCH(N$5,MO_Common_ColumnHeader,0)),INDEX(MO_RIS_COGS,0,MATCH(N$5,MO_Common_ColumnHeader,0))))), "")</f>
        <v>16555</v>
      </c>
      <c r="O127" s="1160">
        <f>IFERROR(IFERROR(INDEX(MO_RIS_COGS_NONGAAP,0,MATCH(O$5,MO_Common_ColumnHeader,0)),IFERROR(O7*INDEX(MO_MA_COGS_NONGAAP,0,MATCH(O$5,MO_Common_ColumnHeader,0)),IFERROR(O7*INDEX(MO_MA_COGS_DA_Including,0,MATCH(O$5,MO_Common_ColumnHeader,0)),INDEX(MO_RIS_COGS,0,MATCH(O$5,MO_Common_ColumnHeader,0))))), "")</f>
        <v>17500.976949</v>
      </c>
      <c r="P127" s="1160">
        <f>IFERROR(IFERROR(INDEX(MO_RIS_COGS_NONGAAP,0,MATCH(P$5,MO_Common_ColumnHeader,0)),IFERROR(P7*INDEX(MO_MA_COGS_NONGAAP,0,MATCH(P$5,MO_Common_ColumnHeader,0)),IFERROR(P7*INDEX(MO_MA_COGS_DA_Including,0,MATCH(P$5,MO_Common_ColumnHeader,0)),INDEX(MO_RIS_COGS,0,MATCH(P$5,MO_Common_ColumnHeader,0))))), "")</f>
        <v>18369.308298245</v>
      </c>
      <c r="Q127" s="1160">
        <f>IFERROR(IFERROR(INDEX(MO_RIS_COGS_NONGAAP,0,MATCH(Q$5,MO_Common_ColumnHeader,0)),IFERROR(Q7*INDEX(MO_MA_COGS_NONGAAP,0,MATCH(Q$5,MO_Common_ColumnHeader,0)),IFERROR(Q7*INDEX(MO_MA_COGS_DA_Including,0,MATCH(Q$5,MO_Common_ColumnHeader,0)),INDEX(MO_RIS_COGS,0,MATCH(Q$5,MO_Common_ColumnHeader,0))))), "")</f>
        <v>19325.784277763723</v>
      </c>
      <c r="R127" s="1160">
        <f>IFERROR(IFERROR(INDEX(MO_RIS_COGS_NONGAAP,0,MATCH(R$5,MO_Common_ColumnHeader,0)),IFERROR(R7*INDEX(MO_MA_COGS_NONGAAP,0,MATCH(R$5,MO_Common_ColumnHeader,0)),IFERROR(R7*INDEX(MO_MA_COGS_DA_Including,0,MATCH(R$5,MO_Common_ColumnHeader,0)),INDEX(MO_RIS_COGS,0,MATCH(R$5,MO_Common_ColumnHeader,0))))), "")</f>
        <v>20332.206175100506</v>
      </c>
      <c r="S127" s="1160">
        <f>IFERROR(IFERROR(INDEX(MO_RIS_COGS_NONGAAP,0,MATCH(S$5,MO_Common_ColumnHeader,0)),IFERROR(S7*INDEX(MO_MA_COGS_NONGAAP,0,MATCH(S$5,MO_Common_ColumnHeader,0)),IFERROR(S7*INDEX(MO_MA_COGS_DA_Including,0,MATCH(S$5,MO_Common_ColumnHeader,0)),INDEX(MO_RIS_COGS,0,MATCH(S$5,MO_Common_ColumnHeader,0))))), "")</f>
        <v>21391.169057764542</v>
      </c>
      <c r="T127" s="1090"/>
      <c r="U127" s="1048"/>
      <c r="V127" s="1048"/>
      <c r="W127" s="1090"/>
      <c r="X127" s="1090"/>
    </row>
    <row r="128" spans="1:28" s="1017" customFormat="1" ht="14.5" customHeight="1" x14ac:dyDescent="0.35">
      <c r="A128" s="1015"/>
      <c r="B128" s="1182" t="s">
        <v>1154</v>
      </c>
      <c r="D128" s="1183"/>
      <c r="E128" s="1183">
        <f>IF(OR(E126="",E127=""),"",IFERROR(E$119*E126/E127, 0))</f>
        <v>76.558190755873355</v>
      </c>
      <c r="F128" s="1183">
        <f>IF(OR(F126="",F127=""),"",IFERROR(F$119*F126/F127, 0))</f>
        <v>84.768105760633546</v>
      </c>
      <c r="G128" s="1183">
        <f>IF(OR(G126="",G127=""),"",IFERROR(G$119*G126/G127, 0))</f>
        <v>87.407954474780766</v>
      </c>
      <c r="H128" s="1183">
        <f>IF(OR(H126="",H127=""),"",IFERROR(H$119*H126/H127, 0))</f>
        <v>84.239329268292678</v>
      </c>
      <c r="I128" s="1183">
        <f>IF(OR(I126="",I127=""),"",IFERROR(I$119*I126/I127, 0))</f>
        <v>85.960748516659066</v>
      </c>
      <c r="J128" s="1183">
        <f>IF(OR(J126="",J127=""),"",IFERROR(J$119*J126/J127, 0))</f>
        <v>84.255919429066893</v>
      </c>
      <c r="K128" s="1183">
        <f>IF(OR(K126="",K127=""),"",IFERROR(K$119*K126/K127, 0))</f>
        <v>84.591247032362858</v>
      </c>
      <c r="L128" s="1183">
        <f>IF(OR(L126="",L127=""),"",IFERROR(L$119*L126/L127, 0))</f>
        <v>92.160634844294819</v>
      </c>
      <c r="M128" s="1183">
        <f>IF(OR(M126="",M127=""),"",IFERROR(M$119*M126/M127, 0))</f>
        <v>90.77476739423021</v>
      </c>
      <c r="N128" s="1184">
        <f>IF(OR(N126="",N127=""),"",IFERROR(N$119*N126/N127, 0))</f>
        <v>92.555662941709457</v>
      </c>
      <c r="O128" s="1183">
        <f>IF(OR(O126="",O127=""),"",IFERROR(O$119*O126/O127, 0))</f>
        <v>91.24218501809672</v>
      </c>
      <c r="P128" s="1183">
        <f>IF(OR(P126="",P127=""),"",IFERROR(P$119*P126/P127, 0))</f>
        <v>92.589959125127933</v>
      </c>
      <c r="Q128" s="1183">
        <f>IF(OR(Q126="",Q127=""),"",IFERROR(Q$119*Q126/Q127, 0))</f>
        <v>93.745320911126626</v>
      </c>
      <c r="R128" s="1183">
        <f>IF(OR(R126="",R127=""),"",IFERROR(R$119*R126/R127, 0))</f>
        <v>95.108654953175758</v>
      </c>
      <c r="S128" s="1183">
        <f>IF(OR(S126="",S127=""),"",IFERROR(S$119*S126/S127, 0))</f>
        <v>95.979842885689692</v>
      </c>
      <c r="T128" s="1020"/>
      <c r="U128" s="1048"/>
      <c r="V128" s="1048"/>
      <c r="W128" s="1020"/>
      <c r="X128" s="1020"/>
    </row>
    <row r="129" spans="1:28" s="1060" customFormat="1" ht="14.5" customHeight="1" x14ac:dyDescent="0.35">
      <c r="A129" s="1031"/>
      <c r="B129" s="1092" t="str">
        <f>IFERROR(IFERROR(INDEX(MO_BS_AP,0,COLUMN(MO_Common_Column_A)),INDEX(MO_BS_APandAE,0,COLUMN(MO_Common_Column_A))),"Accounts Payable")</f>
        <v>Accounts payable</v>
      </c>
      <c r="D129" s="1102">
        <f t="array" ref="D129">IFERROR(IFERROR(INDEX(MO_BS_AP,0,MATCH(D$5,MO_Common_ColumnHeader,0)),INDEX(MO_BS_APandAE,0,MATCH(D$5,MO_Common_ColumnHeader,0))),"")</f>
        <v>1662</v>
      </c>
      <c r="E129" s="1102">
        <f t="array" ref="E129">IFERROR(IFERROR(INDEX(MO_BS_AP,0,MATCH(E$5,MO_Common_ColumnHeader,0)),INDEX(MO_BS_APandAE,0,MATCH(E$5,MO_Common_ColumnHeader,0))),"")</f>
        <v>1643</v>
      </c>
      <c r="F129" s="1102">
        <f t="array" ref="F129">IFERROR(IFERROR(INDEX(MO_BS_AP,0,MATCH(F$5,MO_Common_ColumnHeader,0)),INDEX(MO_BS_APandAE,0,MATCH(F$5,MO_Common_ColumnHeader,0))),"")</f>
        <v>1762</v>
      </c>
      <c r="G129" s="1102">
        <f t="array" ref="G129">IFERROR(IFERROR(INDEX(MO_BS_AP,0,MATCH(G$5,MO_Common_ColumnHeader,0)),INDEX(MO_BS_APandAE,0,MATCH(G$5,MO_Common_ColumnHeader,0))),"")</f>
        <v>1799</v>
      </c>
      <c r="H129" s="1102">
        <f t="array" ref="H129">IFERROR(IFERROR(INDEX(MO_BS_AP,0,MATCH(H$5,MO_Common_ColumnHeader,0)),INDEX(MO_BS_APandAE,0,MATCH(H$5,MO_Common_ColumnHeader,0))),"")</f>
        <v>1807</v>
      </c>
      <c r="I129" s="1102">
        <f t="array" ref="I129">IFERROR(IFERROR(INDEX(MO_BS_AP,0,MATCH(I$5,MO_Common_ColumnHeader,0)),INDEX(MO_BS_APandAE,0,MATCH(I$5,MO_Common_ColumnHeader,0))),"")</f>
        <v>1694</v>
      </c>
      <c r="J129" s="1102">
        <f t="array" ref="J129">IFERROR(IFERROR(INDEX(MO_BS_AP,0,MATCH(J$5,MO_Common_ColumnHeader,0)),INDEX(MO_BS_APandAE,0,MATCH(J$5,MO_Common_ColumnHeader,0))),"")</f>
        <v>1798</v>
      </c>
      <c r="K129" s="1102">
        <f t="array" ref="K129">IFERROR(IFERROR(INDEX(MO_BS_AP,0,MATCH(K$5,MO_Common_ColumnHeader,0)),INDEX(MO_BS_APandAE,0,MATCH(K$5,MO_Common_ColumnHeader,0))),"")</f>
        <v>1945</v>
      </c>
      <c r="L129" s="1102">
        <f t="array" ref="L129">IFERROR(IFERROR(INDEX(MO_BS_AP,0,MATCH(L$5,MO_Common_ColumnHeader,0)),INDEX(MO_BS_APandAE,0,MATCH(L$5,MO_Common_ColumnHeader,0))),"")</f>
        <v>2266</v>
      </c>
      <c r="M129" s="1102">
        <f t="array" ref="M129">IFERROR(IFERROR(INDEX(MO_BS_AP,0,MATCH(M$5,MO_Common_ColumnHeader,0)),INDEX(MO_BS_APandAE,0,MATCH(M$5,MO_Common_ColumnHeader,0))),"")</f>
        <v>2228</v>
      </c>
      <c r="N129" s="1158">
        <f t="array" ref="N129">IFERROR(IFERROR(INDEX(MO_BS_AP,0,MATCH(N$5,MO_Common_ColumnHeader,0)),INDEX(MO_BS_APandAE,0,MATCH(N$5,MO_Common_ColumnHeader,0))),"")</f>
        <v>2561</v>
      </c>
      <c r="O129" s="1102">
        <f t="array" ref="O129">IFERROR(IFERROR(INDEX(MO_BS_AP,0,MATCH(O$5,MO_Common_ColumnHeader,0)),INDEX(MO_BS_APandAE,0,MATCH(O$5,MO_Common_ColumnHeader,0))),"")</f>
        <v>2725.1716700161573</v>
      </c>
      <c r="P129" s="1102">
        <f t="array" ref="P129">IFERROR(IFERROR(INDEX(MO_BS_AP,0,MATCH(P$5,MO_Common_ColumnHeader,0)),INDEX(MO_BS_APandAE,0,MATCH(P$5,MO_Common_ColumnHeader,0))),"")</f>
        <v>2905.237912241766</v>
      </c>
      <c r="Q129" s="1102">
        <f t="array" ref="Q129">IFERROR(IFERROR(INDEX(MO_BS_AP,0,MATCH(Q$5,MO_Common_ColumnHeader,0)),INDEX(MO_BS_APandAE,0,MATCH(Q$5,MO_Common_ColumnHeader,0))),"")</f>
        <v>3092.258829020011</v>
      </c>
      <c r="R129" s="1102">
        <f t="array" ref="R129">IFERROR(IFERROR(INDEX(MO_BS_AP,0,MATCH(R$5,MO_Common_ColumnHeader,0)),INDEX(MO_BS_APandAE,0,MATCH(R$5,MO_Common_ColumnHeader,0))),"")</f>
        <v>3291.8402271489886</v>
      </c>
      <c r="S129" s="1102">
        <f t="array" ref="S129">IFERROR(IFERROR(INDEX(MO_BS_AP,0,MATCH(S$5,MO_Common_ColumnHeader,0)),INDEX(MO_BS_APandAE,0,MATCH(S$5,MO_Common_ColumnHeader,0))),"")</f>
        <v>3504.8558106569076</v>
      </c>
      <c r="T129" s="1090"/>
      <c r="U129" s="1048"/>
      <c r="V129" s="1048"/>
      <c r="W129" s="1090"/>
      <c r="X129" s="1090"/>
      <c r="AA129" s="1185"/>
      <c r="AB129" s="1185"/>
    </row>
    <row r="130" spans="1:28" s="1060" customFormat="1" ht="14.5" customHeight="1" x14ac:dyDescent="0.35">
      <c r="A130" s="1031"/>
      <c r="B130" s="1092" t="str">
        <f>"Average "&amp;B129</f>
        <v>Average Accounts payable</v>
      </c>
      <c r="D130" s="1156">
        <f>D129</f>
        <v>1662</v>
      </c>
      <c r="E130" s="1156">
        <f>IF(OR(D129="",E129=""),"",AVERAGE(D129:E129))</f>
        <v>1652.5</v>
      </c>
      <c r="F130" s="1156">
        <f>IF(OR(E129="",F129=""),"",AVERAGE(E129:F129))</f>
        <v>1702.5</v>
      </c>
      <c r="G130" s="1156">
        <f>IF(OR(F129="",G129=""),"",AVERAGE(F129:G129))</f>
        <v>1780.5</v>
      </c>
      <c r="H130" s="1156">
        <f>IF(OR(G129="",H129=""),"",AVERAGE(G129:H129))</f>
        <v>1803</v>
      </c>
      <c r="I130" s="1156">
        <f>IF(OR(H129="",I129=""),"",AVERAGE(H129:I129))</f>
        <v>1750.5</v>
      </c>
      <c r="J130" s="1156">
        <f>IF(OR(I129="",J129=""),"",AVERAGE(I129:J129))</f>
        <v>1746</v>
      </c>
      <c r="K130" s="1156">
        <f>IF(OR(J129="",K129=""),"",AVERAGE(J129:K129))</f>
        <v>1871.5</v>
      </c>
      <c r="L130" s="1156">
        <f>IF(OR(K129="",L129=""),"",AVERAGE(K129:L129))</f>
        <v>2105.5</v>
      </c>
      <c r="M130" s="1156">
        <f>IF(OR(L129="",M129=""),"",AVERAGE(L129:M129))</f>
        <v>2247</v>
      </c>
      <c r="N130" s="1180">
        <f>IF(OR(M129="",N129=""),"",AVERAGE(M129:N129))</f>
        <v>2394.5</v>
      </c>
      <c r="O130" s="1156">
        <f>IF(OR(N129="",O129=""),"",AVERAGE(N129:O129))</f>
        <v>2643.0858350080789</v>
      </c>
      <c r="P130" s="1156">
        <f>IF(OR(O129="",P129=""),"",AVERAGE(O129:P129))</f>
        <v>2815.2047911289619</v>
      </c>
      <c r="Q130" s="1156">
        <f>IF(OR(P129="",Q129=""),"",AVERAGE(P129:Q129))</f>
        <v>2998.7483706308885</v>
      </c>
      <c r="R130" s="1156">
        <f>IF(OR(Q129="",R129=""),"",AVERAGE(Q129:R129))</f>
        <v>3192.0495280844998</v>
      </c>
      <c r="S130" s="1156">
        <f>IF(OR(R129="",S129=""),"",AVERAGE(R129:S129))</f>
        <v>3398.3480189029478</v>
      </c>
      <c r="T130" s="1090"/>
      <c r="U130" s="1048"/>
      <c r="V130" s="1048"/>
      <c r="W130" s="1090"/>
      <c r="X130" s="1090"/>
      <c r="AA130" s="1017"/>
      <c r="AB130" s="1017"/>
    </row>
    <row r="131" spans="1:28" s="1060" customFormat="1" ht="14.5" customHeight="1" x14ac:dyDescent="0.35">
      <c r="A131" s="1031"/>
      <c r="B131" s="1151" t="str">
        <f>B127</f>
        <v>COGS</v>
      </c>
      <c r="C131" s="1159"/>
      <c r="D131" s="1186">
        <f>D127</f>
        <v>13800</v>
      </c>
      <c r="E131" s="1095">
        <f>E127</f>
        <v>15663.999999999998</v>
      </c>
      <c r="F131" s="1095">
        <f>F127</f>
        <v>15657.999999999998</v>
      </c>
      <c r="G131" s="1095">
        <f>G127</f>
        <v>16079</v>
      </c>
      <c r="H131" s="1095">
        <f>H127</f>
        <v>16400</v>
      </c>
      <c r="I131" s="1095">
        <f>I127</f>
        <v>15337</v>
      </c>
      <c r="J131" s="1095">
        <f>J127</f>
        <v>14993</v>
      </c>
      <c r="K131" s="1095">
        <f>K127</f>
        <v>16006.000000000002</v>
      </c>
      <c r="L131" s="1095">
        <f>L127</f>
        <v>16634</v>
      </c>
      <c r="M131" s="1095">
        <f>M127</f>
        <v>17089</v>
      </c>
      <c r="N131" s="1154">
        <f>N127</f>
        <v>16555</v>
      </c>
      <c r="O131" s="1095">
        <f>O127</f>
        <v>17500.976949</v>
      </c>
      <c r="P131" s="1095">
        <f>P127</f>
        <v>18369.308298245</v>
      </c>
      <c r="Q131" s="1095">
        <f>Q127</f>
        <v>19325.784277763723</v>
      </c>
      <c r="R131" s="1095">
        <f>R127</f>
        <v>20332.206175100506</v>
      </c>
      <c r="S131" s="1095">
        <f>S127</f>
        <v>21391.169057764542</v>
      </c>
      <c r="T131" s="1090"/>
      <c r="U131" s="1048"/>
      <c r="V131" s="1048"/>
      <c r="W131" s="1090"/>
      <c r="X131" s="1090"/>
      <c r="AA131" s="1185"/>
      <c r="AB131" s="1185"/>
    </row>
    <row r="132" spans="1:28" s="1017" customFormat="1" ht="14.5" customHeight="1" x14ac:dyDescent="0.35">
      <c r="A132" s="1015"/>
      <c r="B132" s="1182" t="s">
        <v>1155</v>
      </c>
      <c r="D132" s="1183"/>
      <c r="E132" s="1183">
        <f>IF(OR(E130="",E131=""),"",IFERROR(E119*E130/E131, 0))</f>
        <v>38.506288304392243</v>
      </c>
      <c r="F132" s="1183">
        <f>IF(OR(F130="",F131=""),"",IFERROR(F119*F130/F131, 0))</f>
        <v>39.795312300421514</v>
      </c>
      <c r="G132" s="1183">
        <f>IF(OR(G130="",G131=""),"",IFERROR(G119*G130/G131, 0))</f>
        <v>40.418091921139371</v>
      </c>
      <c r="H132" s="1183">
        <f>IF(OR(H130="",H131=""),"",IFERROR(H119*H130/H131, 0))</f>
        <v>40.127743902439022</v>
      </c>
      <c r="I132" s="1183">
        <f>IF(OR(I130="",I131=""),"",IFERROR(I119*I130/I131, 0))</f>
        <v>41.659548803546976</v>
      </c>
      <c r="J132" s="1183">
        <f>IF(OR(J130="",J131=""),"",IFERROR(J119*J130/J131, 0))</f>
        <v>42.622290402187687</v>
      </c>
      <c r="K132" s="1183">
        <f>IF(OR(K130="",K131=""),"",IFERROR(K119*K130/K131, 0))</f>
        <v>42.677589653879792</v>
      </c>
      <c r="L132" s="1183">
        <f>IF(OR(L130="",L131=""),"",IFERROR(L119*L130/L131, 0))</f>
        <v>46.201003967776842</v>
      </c>
      <c r="M132" s="1183">
        <f>IF(OR(M130="",M131=""),"",IFERROR(M119*M130/M131, 0))</f>
        <v>47.993153490549474</v>
      </c>
      <c r="N132" s="1184">
        <f>IF(OR(N130="",N131=""),"",IFERROR(N119*N130/N131, 0))</f>
        <v>52.937903956508606</v>
      </c>
      <c r="O132" s="1183">
        <f>IF(OR(O130="",O131=""),"",IFERROR(O119*O130/O131, 0))</f>
        <v>55.124141503030373</v>
      </c>
      <c r="P132" s="1183">
        <f>IF(OR(P130="",P131=""),"",IFERROR(P119*P130/P131, 0))</f>
        <v>55.938401821055123</v>
      </c>
      <c r="Q132" s="1183">
        <f>IF(OR(Q130="",Q131=""),"",IFERROR(Q119*Q130/Q131, 0))</f>
        <v>56.636415865391676</v>
      </c>
      <c r="R132" s="1183">
        <f>IF(OR(R130="",R131=""),"",IFERROR(R119*R130/R131, 0))</f>
        <v>57.460076748073405</v>
      </c>
      <c r="S132" s="1183">
        <f>IF(OR(S130="",S131=""),"",IFERROR(S119*S130/S131, 0))</f>
        <v>57.986406612467867</v>
      </c>
      <c r="T132" s="1020"/>
      <c r="U132" s="1048"/>
      <c r="V132" s="1048"/>
      <c r="W132" s="1020"/>
      <c r="X132" s="1020"/>
      <c r="AA132" s="990"/>
      <c r="AB132" s="990"/>
    </row>
    <row r="133" spans="1:28" s="1185" customFormat="1" ht="14.5" customHeight="1" x14ac:dyDescent="0.35">
      <c r="A133" s="1187"/>
      <c r="B133" s="1188"/>
      <c r="C133" s="1188"/>
      <c r="D133" s="1143"/>
      <c r="E133" s="1143"/>
      <c r="F133" s="1143"/>
      <c r="G133" s="1143"/>
      <c r="H133" s="1143"/>
      <c r="I133" s="1143"/>
      <c r="J133" s="1143"/>
      <c r="K133" s="1143"/>
      <c r="L133" s="1143"/>
      <c r="M133" s="1143"/>
      <c r="N133" s="1189"/>
      <c r="O133" s="1143"/>
      <c r="P133" s="1143"/>
      <c r="Q133" s="1143"/>
      <c r="R133" s="1143"/>
      <c r="S133" s="1143"/>
      <c r="T133" s="1190"/>
      <c r="U133" s="1048"/>
      <c r="V133" s="1048"/>
      <c r="W133" s="1190"/>
      <c r="X133" s="1190"/>
      <c r="AA133" s="1060"/>
      <c r="AB133" s="1060"/>
    </row>
    <row r="134" spans="1:28" s="1017" customFormat="1" ht="14.5" customHeight="1" x14ac:dyDescent="0.35">
      <c r="A134" s="1015"/>
      <c r="B134" s="1182" t="s">
        <v>1146</v>
      </c>
      <c r="C134" s="1188"/>
      <c r="D134" s="1183"/>
      <c r="E134" s="1183">
        <f>IF(OR(E124="",E128="",E132=""),"",E124+E128-E132)</f>
        <v>84.16534002535569</v>
      </c>
      <c r="F134" s="1183">
        <f>IF(OR(F124="",F128="",F132=""),"",F124+F128-F132)</f>
        <v>93.48884482457801</v>
      </c>
      <c r="G134" s="1183">
        <f>IF(OR(G124="",G128="",G132=""),"",G124+G128-G132)</f>
        <v>96.139711926839539</v>
      </c>
      <c r="H134" s="1183">
        <f>IF(OR(H124="",H128="",H132=""),"",H124+H128-H132)</f>
        <v>92.809222146595943</v>
      </c>
      <c r="I134" s="1183">
        <f>IF(OR(I124="",I128="",I132=""),"",I124+I128-I132)</f>
        <v>94.890484247696207</v>
      </c>
      <c r="J134" s="1183">
        <f>IF(OR(J124="",J128="",J132=""),"",J124+J128-J132)</f>
        <v>93.575506870713284</v>
      </c>
      <c r="K134" s="1183">
        <f>IF(OR(K124="",K128="",K132=""),"",K124+K128-K132)</f>
        <v>95.544686850637717</v>
      </c>
      <c r="L134" s="1183">
        <f>IF(OR(L124="",L128="",L132=""),"",L124+L128-L132)</f>
        <v>101.27498262380931</v>
      </c>
      <c r="M134" s="1183">
        <f>IF(OR(M124="",M128="",M132=""),"",M124+M128-M132)</f>
        <v>98.498177881773842</v>
      </c>
      <c r="N134" s="1184">
        <f>IF(OR(N124="",N128="",N132=""),"",N124+N128-N132)</f>
        <v>93.612539000115092</v>
      </c>
      <c r="O134" s="1183">
        <f>IF(OR(O124="",O128="",O132=""),"",O124+O128-O132)</f>
        <v>86.957869573316984</v>
      </c>
      <c r="P134" s="1183">
        <f>IF(OR(P124="",P128="",P132=""),"",P124+P128-P132)</f>
        <v>86.589092597751346</v>
      </c>
      <c r="Q134" s="1183">
        <f>IF(OR(Q124="",Q128="",Q132=""),"",Q124+Q128-Q132)</f>
        <v>87.085078512017247</v>
      </c>
      <c r="R134" s="1183">
        <f>IF(OR(R124="",R128="",R132=""),"",R124+R128-R132)</f>
        <v>87.757828790607633</v>
      </c>
      <c r="S134" s="1183">
        <f>IF(OR(S124="",S128="",S132=""),"",S124+S128-S132)</f>
        <v>87.96195897073784</v>
      </c>
      <c r="T134" s="1020"/>
      <c r="U134" s="1191"/>
      <c r="V134" s="1191"/>
      <c r="W134" s="1020"/>
      <c r="X134" s="1020"/>
      <c r="AA134" s="1060"/>
      <c r="AB134" s="1060"/>
    </row>
    <row r="135" spans="1:28" s="1185" customFormat="1" ht="14.5" customHeight="1" x14ac:dyDescent="0.35">
      <c r="A135" s="1187"/>
      <c r="B135" s="1188"/>
      <c r="D135" s="1143"/>
      <c r="E135" s="1143"/>
      <c r="F135" s="1143"/>
      <c r="G135" s="1143"/>
      <c r="H135" s="1143"/>
      <c r="I135" s="1143"/>
      <c r="J135" s="1143"/>
      <c r="K135" s="1143"/>
      <c r="L135" s="1143"/>
      <c r="M135" s="1143"/>
      <c r="N135" s="1189"/>
      <c r="O135" s="1143"/>
      <c r="P135" s="1143"/>
      <c r="Q135" s="1143"/>
      <c r="R135" s="1143"/>
      <c r="S135" s="1143"/>
      <c r="T135" s="1190"/>
      <c r="U135" s="1048"/>
      <c r="V135" s="1048"/>
      <c r="W135" s="1190"/>
      <c r="X135" s="1190"/>
      <c r="AA135" s="1060"/>
      <c r="AB135" s="1060"/>
    </row>
    <row r="136" spans="1:28" ht="14.5" customHeight="1" x14ac:dyDescent="0.35">
      <c r="B136" s="1192" t="s">
        <v>314</v>
      </c>
      <c r="C136" s="1011"/>
      <c r="D136" s="1145"/>
      <c r="E136" s="1145"/>
      <c r="F136" s="1145"/>
      <c r="G136" s="1145"/>
      <c r="H136" s="1145"/>
      <c r="I136" s="1145"/>
      <c r="J136" s="1145"/>
      <c r="K136" s="1145"/>
      <c r="L136" s="1145"/>
      <c r="M136" s="1145"/>
      <c r="N136" s="1146"/>
      <c r="O136" s="1145"/>
      <c r="P136" s="1145"/>
      <c r="Q136" s="1145"/>
      <c r="R136" s="1145"/>
      <c r="S136" s="1145"/>
      <c r="T136" s="1048"/>
      <c r="U136" s="1048"/>
      <c r="V136" s="1048"/>
      <c r="W136" s="1048"/>
      <c r="X136" s="1048"/>
      <c r="AA136" s="1185"/>
      <c r="AB136" s="1185"/>
    </row>
    <row r="137" spans="1:28" s="1060" customFormat="1" ht="14.5" customHeight="1" x14ac:dyDescent="0.35">
      <c r="A137" s="1031"/>
      <c r="B137" s="1119" t="str">
        <f>B37</f>
        <v>Adjusted Net Income</v>
      </c>
      <c r="D137" s="1156">
        <f>D37</f>
        <v>4085</v>
      </c>
      <c r="E137" s="1156">
        <f>E37</f>
        <v>4283</v>
      </c>
      <c r="F137" s="1156">
        <f>F37</f>
        <v>4444</v>
      </c>
      <c r="G137" s="1156">
        <f>G37</f>
        <v>4659</v>
      </c>
      <c r="H137" s="1156">
        <f>H37</f>
        <v>4956</v>
      </c>
      <c r="I137" s="1156">
        <f>I37</f>
        <v>4833</v>
      </c>
      <c r="J137" s="1156">
        <f>J37</f>
        <v>5050</v>
      </c>
      <c r="K137" s="1156">
        <f>K37</f>
        <v>5620</v>
      </c>
      <c r="L137" s="1156">
        <f>L37</f>
        <v>6295</v>
      </c>
      <c r="M137" s="1156">
        <f>M37</f>
        <v>5193</v>
      </c>
      <c r="N137" s="1180">
        <f>N37</f>
        <v>5088</v>
      </c>
      <c r="O137" s="1156">
        <f>O37</f>
        <v>5967.7485420980611</v>
      </c>
      <c r="P137" s="1156">
        <f ca="1">P37</f>
        <v>6475.6618091976379</v>
      </c>
      <c r="Q137" s="1156">
        <f ca="1">Q37</f>
        <v>7113.9761434234888</v>
      </c>
      <c r="R137" s="1156">
        <f ca="1">R37</f>
        <v>7810.4381898482488</v>
      </c>
      <c r="S137" s="1156">
        <f ca="1">S37</f>
        <v>8568.6901746959811</v>
      </c>
      <c r="T137" s="1090"/>
      <c r="U137" s="1048"/>
      <c r="V137" s="1048"/>
      <c r="W137" s="1090"/>
      <c r="X137" s="1090"/>
    </row>
    <row r="138" spans="1:28" s="1060" customFormat="1" ht="14.5" customHeight="1" x14ac:dyDescent="0.35">
      <c r="A138" s="1031"/>
      <c r="B138" s="1092" t="s">
        <v>317</v>
      </c>
      <c r="D138" s="1045">
        <f t="array" ref="D138">IFERROR(INDEX(MO_BS_SE,0,MATCH(D$5,MO_Common_ColumnHeader,0)), 0)</f>
        <v>15663</v>
      </c>
      <c r="E138" s="1045">
        <f t="array" ref="E138">IFERROR(INDEX(MO_BS_SE,0,MATCH(E$5,MO_Common_ColumnHeader,0)), 0)</f>
        <v>15420</v>
      </c>
      <c r="F138" s="1045">
        <f t="array" ref="F138">IFERROR(INDEX(MO_BS_SE,0,MATCH(F$5,MO_Common_ColumnHeader,0)), 0)</f>
        <v>17575</v>
      </c>
      <c r="G138" s="1045">
        <f t="array" ref="G138">IFERROR(INDEX(MO_BS_SE,0,MATCH(G$5,MO_Common_ColumnHeader,0)), 0)</f>
        <v>17502</v>
      </c>
      <c r="H138" s="1045">
        <f t="array" ref="H138">IFERROR(INDEX(MO_BS_SE,0,MATCH(H$5,MO_Common_ColumnHeader,0)), 0)</f>
        <v>13109</v>
      </c>
      <c r="I138" s="1045">
        <f t="array" ref="I138">IFERROR(INDEX(MO_BS_SE,0,MATCH(I$5,MO_Common_ColumnHeader,0)), 0)</f>
        <v>11708</v>
      </c>
      <c r="J138" s="1045">
        <f t="array" ref="J138">IFERROR(INDEX(MO_BS_SE,0,MATCH(J$5,MO_Common_ColumnHeader,0)), 0)</f>
        <v>10298</v>
      </c>
      <c r="K138" s="1045">
        <f t="array" ref="K138">IFERROR(INDEX(MO_BS_SE,0,MATCH(K$5,MO_Common_ColumnHeader,0)), 0)</f>
        <v>11563</v>
      </c>
      <c r="L138" s="1045">
        <f t="array" ref="L138">IFERROR(INDEX(MO_BS_SE,0,MATCH(L$5,MO_Common_ColumnHeader,0)), 0)</f>
        <v>9796</v>
      </c>
      <c r="M138" s="1045">
        <f t="array" ref="M138">IFERROR(INDEX(MO_BS_SE,0,MATCH(M$5,MO_Common_ColumnHeader,0)), 0)</f>
        <v>10063</v>
      </c>
      <c r="N138" s="1065">
        <f t="array" ref="N138">IFERROR(INDEX(MO_BS_SE,0,MATCH(N$5,MO_Common_ColumnHeader,0)), 0)</f>
        <v>12867</v>
      </c>
      <c r="O138" s="1045">
        <f t="array" aca="1" ref="O138" ca="1">IFERROR(INDEX(MO_BS_SE,0,MATCH(O$5,MO_Common_ColumnHeader,0)), 0)</f>
        <v>14199.215140036191</v>
      </c>
      <c r="P138" s="1045">
        <f t="array" aca="1" ref="P138" ca="1">IFERROR(INDEX(MO_BS_SE,0,MATCH(P$5,MO_Common_ColumnHeader,0)), 0)</f>
        <v>15603.83192914768</v>
      </c>
      <c r="Q138" s="1045">
        <f t="array" aca="1" ref="Q138" ca="1">IFERROR(INDEX(MO_BS_SE,0,MATCH(Q$5,MO_Common_ColumnHeader,0)), 0)</f>
        <v>17718.206413505839</v>
      </c>
      <c r="R138" s="1045">
        <f t="array" aca="1" ref="R138" ca="1">IFERROR(INDEX(MO_BS_SE,0,MATCH(R$5,MO_Common_ColumnHeader,0)), 0)</f>
        <v>20575.112983199266</v>
      </c>
      <c r="S138" s="1045">
        <f t="array" aca="1" ref="S138" ca="1">IFERROR(INDEX(MO_BS_SE,0,MATCH(S$5,MO_Common_ColumnHeader,0)), 0)</f>
        <v>24232.108993570815</v>
      </c>
      <c r="T138" s="1090"/>
      <c r="U138" s="1048"/>
      <c r="V138" s="1048"/>
      <c r="W138" s="1090"/>
      <c r="X138" s="1090"/>
    </row>
    <row r="139" spans="1:28" s="1060" customFormat="1" ht="14.5" customHeight="1" x14ac:dyDescent="0.35">
      <c r="A139" s="1031"/>
      <c r="B139" s="1181" t="s">
        <v>318</v>
      </c>
      <c r="C139" s="1159"/>
      <c r="D139" s="1153"/>
      <c r="E139" s="1095">
        <f>IF(D138=0,"",AVERAGE(D138:E138))</f>
        <v>15541.5</v>
      </c>
      <c r="F139" s="1095">
        <f>IF(E138=0,"",AVERAGE(E138:F138))</f>
        <v>16497.5</v>
      </c>
      <c r="G139" s="1095">
        <f>IF(F138=0,"",AVERAGE(F138:G138))</f>
        <v>17538.5</v>
      </c>
      <c r="H139" s="1095">
        <f>IF(G138=0,"",AVERAGE(G138:H138))</f>
        <v>15305.5</v>
      </c>
      <c r="I139" s="1095">
        <f>IF(H138=0,"",AVERAGE(H138:I138))</f>
        <v>12408.5</v>
      </c>
      <c r="J139" s="1095">
        <f>IF(I138=0,"",AVERAGE(I138:J138))</f>
        <v>11003</v>
      </c>
      <c r="K139" s="1095">
        <f>IF(J138=0,"",AVERAGE(J138:K138))</f>
        <v>10930.5</v>
      </c>
      <c r="L139" s="1095">
        <f>IF(K138=0,"",AVERAGE(K138:L138))</f>
        <v>10679.5</v>
      </c>
      <c r="M139" s="1095">
        <f>IF(L138=0,"",AVERAGE(L138:M138))</f>
        <v>9929.5</v>
      </c>
      <c r="N139" s="1154">
        <f>IF(M138=0,"",AVERAGE(M138:N138))</f>
        <v>11465</v>
      </c>
      <c r="O139" s="1095">
        <f ca="1">IF(N138=0,"",AVERAGE(N138:O138))</f>
        <v>13533.107570018095</v>
      </c>
      <c r="P139" s="1095">
        <f ca="1">IF(O138=0,"",AVERAGE(O138:P138))</f>
        <v>14901.523534591935</v>
      </c>
      <c r="Q139" s="1095">
        <f ca="1">IF(P138=0,"",AVERAGE(P138:Q138))</f>
        <v>16661.01917132676</v>
      </c>
      <c r="R139" s="1095">
        <f ca="1">IF(Q138=0,"",AVERAGE(Q138:R138))</f>
        <v>19146.659698352552</v>
      </c>
      <c r="S139" s="1095">
        <f ca="1">IF(R138=0,"",AVERAGE(R138:S138))</f>
        <v>22403.61098838504</v>
      </c>
      <c r="T139" s="1090"/>
      <c r="U139" s="1048"/>
      <c r="V139" s="1048"/>
      <c r="W139" s="1090"/>
      <c r="X139" s="1090"/>
    </row>
    <row r="140" spans="1:28" s="1185" customFormat="1" ht="14.5" customHeight="1" x14ac:dyDescent="0.35">
      <c r="A140" s="1187"/>
      <c r="B140" s="1188" t="s">
        <v>319</v>
      </c>
      <c r="D140" s="1143"/>
      <c r="E140" s="1143">
        <f>IFERROR(E137/E139, "")</f>
        <v>0.2755847247691664</v>
      </c>
      <c r="F140" s="1143">
        <f>IFERROR(F137/F139, "")</f>
        <v>0.26937414759812095</v>
      </c>
      <c r="G140" s="1143">
        <f>IFERROR(G137/G139, "")</f>
        <v>0.26564415428913535</v>
      </c>
      <c r="H140" s="1143">
        <f>IFERROR(H137/H139, "")</f>
        <v>0.32380516807683513</v>
      </c>
      <c r="I140" s="1143">
        <f>IFERROR(I137/I139, "")</f>
        <v>0.38949107466655919</v>
      </c>
      <c r="J140" s="1143">
        <f>IFERROR(J137/J139, "")</f>
        <v>0.45896573661728618</v>
      </c>
      <c r="K140" s="1143">
        <f>IFERROR(K137/K139, "")</f>
        <v>0.51415763231325196</v>
      </c>
      <c r="L140" s="1143">
        <f>IFERROR(L137/L139, "")</f>
        <v>0.58944707149211106</v>
      </c>
      <c r="M140" s="1143">
        <f>IFERROR(M137/M139, "")</f>
        <v>0.52298705876428819</v>
      </c>
      <c r="N140" s="1189">
        <f>IFERROR(N137/N139, "")</f>
        <v>0.44378543392935021</v>
      </c>
      <c r="O140" s="1143">
        <f ca="1">IFERROR(O137/O139, "")</f>
        <v>0.44097399737805243</v>
      </c>
      <c r="P140" s="1143">
        <f ca="1">IFERROR(P137/P139, "")</f>
        <v>0.43456374069169751</v>
      </c>
      <c r="Q140" s="1143">
        <f ca="1">IFERROR(Q137/Q139, "")</f>
        <v>0.42698325176088159</v>
      </c>
      <c r="R140" s="1143">
        <f ca="1">IFERROR(R137/R139, "")</f>
        <v>0.40792693414404224</v>
      </c>
      <c r="S140" s="1143">
        <f ca="1">IFERROR(S137/S139, "")</f>
        <v>0.38246915549186894</v>
      </c>
      <c r="T140" s="1190"/>
      <c r="U140" s="1190"/>
      <c r="V140" s="1190"/>
      <c r="W140" s="1190"/>
      <c r="X140" s="1190"/>
    </row>
    <row r="141" spans="1:28" s="1060" customFormat="1" ht="14.5" customHeight="1" x14ac:dyDescent="0.35">
      <c r="A141" s="1031"/>
      <c r="B141" s="1092" t="s">
        <v>404</v>
      </c>
      <c r="D141" s="1027">
        <f>IFERROR(D21*(1-D35), "N/A")</f>
        <v>4280.9094700260639</v>
      </c>
      <c r="E141" s="1036">
        <f>IFERROR(E21*(1-E35), "N/A")</f>
        <v>4463.1978113082405</v>
      </c>
      <c r="F141" s="1036">
        <f>IFERROR(F21*(1-F35), "N/A")</f>
        <v>4604.7572035899857</v>
      </c>
      <c r="G141" s="1036">
        <f>IFERROR(G21*(1-G35), "N/A")</f>
        <v>4795.8223102712582</v>
      </c>
      <c r="H141" s="1036">
        <f>IFERROR(H21*(1-H35), "N/A")</f>
        <v>5075.5380017079415</v>
      </c>
      <c r="I141" s="1036">
        <f>IFERROR(I21*(1-I35), "N/A")</f>
        <v>4928.2699692217502</v>
      </c>
      <c r="J141" s="1036">
        <f>IFERROR(J21*(1-J35), "N/A")</f>
        <v>5179.9140791152704</v>
      </c>
      <c r="K141" s="1036">
        <f>IFERROR(K21*(1-K35), "N/A")</f>
        <v>4961.8903020667731</v>
      </c>
      <c r="L141" s="1036">
        <f>IFERROR(L21*(1-L35), "N/A")</f>
        <v>6208.8217142857138</v>
      </c>
      <c r="M141" s="1036">
        <f>IFERROR(M21*(1-M35), "N/A")</f>
        <v>5472.4096638655465</v>
      </c>
      <c r="N141" s="1157">
        <f>IFERROR(N21*(1-N35), "N/A")</f>
        <v>5499.8796006556404</v>
      </c>
      <c r="O141" s="1036">
        <f>IFERROR(O21*(1-O35), "N/A")</f>
        <v>6310.05723622402</v>
      </c>
      <c r="P141" s="1036">
        <f ca="1">IFERROR(P21*(1-P35), "N/A")</f>
        <v>6866.4440170112412</v>
      </c>
      <c r="Q141" s="1036">
        <f ca="1">IFERROR(Q21*(1-Q35), "N/A")</f>
        <v>7501.5154310384114</v>
      </c>
      <c r="R141" s="1036">
        <f ca="1">IFERROR(R21*(1-R35), "N/A")</f>
        <v>8190.5293026432137</v>
      </c>
      <c r="S141" s="1036">
        <f ca="1">IFERROR(S21*(1-S35), "N/A")</f>
        <v>8937.9323911831689</v>
      </c>
      <c r="T141" s="1090"/>
      <c r="U141" s="1090"/>
      <c r="V141" s="1090"/>
      <c r="W141" s="1090"/>
      <c r="X141" s="1090"/>
    </row>
    <row r="142" spans="1:28" s="1060" customFormat="1" ht="14.5" customHeight="1" x14ac:dyDescent="0.35">
      <c r="A142" s="1031"/>
      <c r="B142" s="1092" t="s">
        <v>188</v>
      </c>
      <c r="D142" s="1102">
        <f t="array" ref="D142">IFERROR(INDEX(MO_BS_TA,0,MATCH(D$5,MO_Common_ColumnHeader,0)), 0)</f>
        <v>30156</v>
      </c>
      <c r="E142" s="1102">
        <f t="array" ref="E142">IFERROR(INDEX(MO_BS_TA,0,MATCH(E$5,MO_Common_ColumnHeader,0)), 0)</f>
        <v>31616</v>
      </c>
      <c r="F142" s="1102">
        <f t="array" ref="F142">IFERROR(INDEX(MO_BS_TA,0,MATCH(F$5,MO_Common_ColumnHeader,0)), 0)</f>
        <v>33876</v>
      </c>
      <c r="G142" s="1102">
        <f t="array" ref="G142">IFERROR(INDEX(MO_BS_TA,0,MATCH(G$5,MO_Common_ColumnHeader,0)), 0)</f>
        <v>33550</v>
      </c>
      <c r="H142" s="1102">
        <f t="array" ref="H142">IFERROR(INDEX(MO_BS_TA,0,MATCH(H$5,MO_Common_ColumnHeader,0)), 0)</f>
        <v>31209</v>
      </c>
      <c r="I142" s="1102">
        <f t="array" ref="I142">IFERROR(INDEX(MO_BS_TA,0,MATCH(I$5,MO_Common_ColumnHeader,0)), 0)</f>
        <v>32718</v>
      </c>
      <c r="J142" s="1102">
        <f t="array" ref="J142">IFERROR(INDEX(MO_BS_TA,0,MATCH(J$5,MO_Common_ColumnHeader,0)), 0)</f>
        <v>32906</v>
      </c>
      <c r="K142" s="1102">
        <f t="array" ref="K142">IFERROR(INDEX(MO_BS_TA,0,MATCH(K$5,MO_Common_ColumnHeader,0)), 0)</f>
        <v>37987</v>
      </c>
      <c r="L142" s="1102">
        <f t="array" ref="L142">IFERROR(INDEX(MO_BS_TA,0,MATCH(L$5,MO_Common_ColumnHeader,0)), 0)</f>
        <v>36500</v>
      </c>
      <c r="M142" s="1102">
        <f t="array" ref="M142">IFERROR(INDEX(MO_BS_TA,0,MATCH(M$5,MO_Common_ColumnHeader,0)), 0)</f>
        <v>44659</v>
      </c>
      <c r="N142" s="1158">
        <f t="array" ref="N142">IFERROR(INDEX(MO_BS_TA,0,MATCH(N$5,MO_Common_ColumnHeader,0)), 0)</f>
        <v>47344</v>
      </c>
      <c r="O142" s="1102">
        <f t="array" ref="O142">IFERROR(INDEX(MO_BS_TA,0,MATCH(O$5,MO_Common_ColumnHeader,0)), 0)</f>
        <v>47784.355127573835</v>
      </c>
      <c r="P142" s="1102">
        <f t="array" aca="1" ref="P142" ca="1">IFERROR(INDEX(MO_BS_TA,0,MATCH(P$5,MO_Common_ColumnHeader,0)), 0)</f>
        <v>49532.978964207068</v>
      </c>
      <c r="Q142" s="1102">
        <f t="array" aca="1" ref="Q142" ca="1">IFERROR(INDEX(MO_BS_TA,0,MATCH(Q$5,MO_Common_ColumnHeader,0)), 0)</f>
        <v>52014.475027202294</v>
      </c>
      <c r="R142" s="1102">
        <f t="array" aca="1" ref="R142" ca="1">IFERROR(INDEX(MO_BS_TA,0,MATCH(R$5,MO_Common_ColumnHeader,0)), 0)</f>
        <v>55268.695607425921</v>
      </c>
      <c r="S142" s="1102">
        <f t="array" aca="1" ref="S142" ca="1">IFERROR(INDEX(MO_BS_TA,0,MATCH(S$5,MO_Common_ColumnHeader,0)), 0)</f>
        <v>59355.636066487554</v>
      </c>
      <c r="T142" s="1090"/>
      <c r="U142" s="1090"/>
      <c r="V142" s="1090"/>
      <c r="W142" s="1090"/>
      <c r="X142" s="1090"/>
    </row>
    <row r="143" spans="1:28" s="1060" customFormat="1" ht="14.5" customHeight="1" x14ac:dyDescent="0.35">
      <c r="A143" s="1031"/>
      <c r="B143" s="1181" t="s">
        <v>321</v>
      </c>
      <c r="C143" s="1159"/>
      <c r="D143" s="1095"/>
      <c r="E143" s="1095">
        <f>IF(D142=0,"",AVERAGE(D142:E142))</f>
        <v>30886</v>
      </c>
      <c r="F143" s="1095">
        <f>IF(E142=0,"",AVERAGE(E142:F142))</f>
        <v>32746</v>
      </c>
      <c r="G143" s="1095">
        <f>IF(F142=0,"",AVERAGE(F142:G142))</f>
        <v>33713</v>
      </c>
      <c r="H143" s="1095">
        <f>IF(G142=0,"",AVERAGE(G142:H142))</f>
        <v>32379.5</v>
      </c>
      <c r="I143" s="1095">
        <f>IF(H142=0,"",AVERAGE(H142:I142))</f>
        <v>31963.5</v>
      </c>
      <c r="J143" s="1095">
        <f>IF(I142=0,"",AVERAGE(I142:J142))</f>
        <v>32812</v>
      </c>
      <c r="K143" s="1095">
        <f>IF(J142=0,"",AVERAGE(J142:K142))</f>
        <v>35446.5</v>
      </c>
      <c r="L143" s="1095">
        <f>IF(K142=0,"",AVERAGE(K142:L142))</f>
        <v>37243.5</v>
      </c>
      <c r="M143" s="1095">
        <f>IF(L142=0,"",AVERAGE(L142:M142))</f>
        <v>40579.5</v>
      </c>
      <c r="N143" s="1154">
        <f>IF(M142=0,"",AVERAGE(M142:N142))</f>
        <v>46001.5</v>
      </c>
      <c r="O143" s="1095">
        <f>IF(N142=0,"",AVERAGE(N142:O142))</f>
        <v>47564.177563786914</v>
      </c>
      <c r="P143" s="1095">
        <f ca="1">IF(O142=0,"",AVERAGE(O142:P142))</f>
        <v>48658.667045890455</v>
      </c>
      <c r="Q143" s="1095">
        <f ca="1">IF(P142=0,"",AVERAGE(P142:Q142))</f>
        <v>50773.726995704681</v>
      </c>
      <c r="R143" s="1095">
        <f ca="1">IF(Q142=0,"",AVERAGE(Q142:R142))</f>
        <v>53641.585317314108</v>
      </c>
      <c r="S143" s="1095">
        <f ca="1">IF(R142=0,"",AVERAGE(R142:S142))</f>
        <v>57312.165836956738</v>
      </c>
      <c r="T143" s="1090"/>
      <c r="U143" s="1090"/>
      <c r="V143" s="1090"/>
      <c r="W143" s="1090"/>
      <c r="X143" s="1090"/>
    </row>
    <row r="144" spans="1:28" s="1185" customFormat="1" ht="14.5" customHeight="1" x14ac:dyDescent="0.35">
      <c r="A144" s="1187"/>
      <c r="B144" s="1188" t="s">
        <v>1156</v>
      </c>
      <c r="D144" s="1143"/>
      <c r="E144" s="1143">
        <f>IFERROR(E141/E143, "")</f>
        <v>0.14450553037972674</v>
      </c>
      <c r="F144" s="1143">
        <f>IFERROR(F141/F143, "")</f>
        <v>0.14062044840866017</v>
      </c>
      <c r="G144" s="1143">
        <f>IFERROR(G141/G143, "")</f>
        <v>0.14225439178569863</v>
      </c>
      <c r="H144" s="1143">
        <f>IFERROR(H141/H143, "")</f>
        <v>0.15675158670479597</v>
      </c>
      <c r="I144" s="1143">
        <f>IFERROR(I141/I143, "")</f>
        <v>0.1541843030087991</v>
      </c>
      <c r="J144" s="1143">
        <f>IFERROR(J141/J143, "")</f>
        <v>0.1578664537094743</v>
      </c>
      <c r="K144" s="1143">
        <f>IFERROR(K141/K143, "")</f>
        <v>0.13998251737313341</v>
      </c>
      <c r="L144" s="1143">
        <f>IFERROR(L141/L143, "")</f>
        <v>0.16670886770270554</v>
      </c>
      <c r="M144" s="1143">
        <f>IFERROR(M141/M143, "")</f>
        <v>0.1348565079378885</v>
      </c>
      <c r="N144" s="1189">
        <f>IFERROR(N141/N143, "")</f>
        <v>0.1195587013609478</v>
      </c>
      <c r="O144" s="1143">
        <f>IFERROR(O141/O143, "")</f>
        <v>0.1326640669390696</v>
      </c>
      <c r="P144" s="1143">
        <f ca="1">IFERROR(P141/P143, "")</f>
        <v>0.14111451122439159</v>
      </c>
      <c r="Q144" s="1143">
        <f ca="1">IFERROR(Q141/Q143, "")</f>
        <v>0.14774403761364652</v>
      </c>
      <c r="R144" s="1143">
        <f ca="1">IFERROR(R141/R143, "")</f>
        <v>0.15268991872989116</v>
      </c>
      <c r="S144" s="1143">
        <f ca="1">IFERROR(S141/S143, "")</f>
        <v>0.1559517470794953</v>
      </c>
      <c r="T144" s="1190"/>
      <c r="U144" s="1190"/>
      <c r="V144" s="1190"/>
      <c r="W144" s="1190"/>
      <c r="X144" s="1190"/>
    </row>
    <row r="145" spans="1:28" s="1060" customFormat="1" ht="14.5" customHeight="1" x14ac:dyDescent="0.35">
      <c r="A145" s="1031"/>
      <c r="B145" s="1193" t="s">
        <v>1157</v>
      </c>
      <c r="D145" s="1036">
        <f>+D84</f>
        <v>5452</v>
      </c>
      <c r="E145" s="1036">
        <f>+E84</f>
        <v>5166</v>
      </c>
      <c r="F145" s="1036">
        <f>+F84</f>
        <v>6001</v>
      </c>
      <c r="G145" s="1036">
        <f>+G84</f>
        <v>6009</v>
      </c>
      <c r="H145" s="1036">
        <f>+H84</f>
        <v>6811</v>
      </c>
      <c r="I145" s="1036">
        <f>+I84</f>
        <v>10797</v>
      </c>
      <c r="J145" s="1036">
        <f>+J84</f>
        <v>11650</v>
      </c>
      <c r="K145" s="1036">
        <f>+K84</f>
        <v>13949</v>
      </c>
      <c r="L145" s="1036">
        <f>+L84</f>
        <v>14622</v>
      </c>
      <c r="M145" s="1036">
        <f>+M84</f>
        <v>20313</v>
      </c>
      <c r="N145" s="1157">
        <f>+N84</f>
        <v>18795</v>
      </c>
      <c r="O145" s="1036">
        <f>+O84</f>
        <v>18187</v>
      </c>
      <c r="P145" s="1036">
        <f>+P84</f>
        <v>18187</v>
      </c>
      <c r="Q145" s="1036">
        <f>+Q84</f>
        <v>18187</v>
      </c>
      <c r="R145" s="1036">
        <f>+R84</f>
        <v>18187</v>
      </c>
      <c r="S145" s="1036">
        <f>+S84</f>
        <v>18187</v>
      </c>
      <c r="T145" s="1090"/>
      <c r="U145" s="1090"/>
      <c r="V145" s="1090"/>
      <c r="W145" s="1090"/>
      <c r="X145" s="1090"/>
    </row>
    <row r="146" spans="1:28" s="1060" customFormat="1" ht="14.5" customHeight="1" x14ac:dyDescent="0.35">
      <c r="A146" s="1031"/>
      <c r="B146" s="1193" t="s">
        <v>1158</v>
      </c>
      <c r="D146" s="1036">
        <f>+D85</f>
        <v>0</v>
      </c>
      <c r="E146" s="1036">
        <f>+E85</f>
        <v>0</v>
      </c>
      <c r="F146" s="1036">
        <f>+F85</f>
        <v>0</v>
      </c>
      <c r="G146" s="1036">
        <f>+G85</f>
        <v>0</v>
      </c>
      <c r="H146" s="1036">
        <f>+H85</f>
        <v>0</v>
      </c>
      <c r="I146" s="1036">
        <f>+I85</f>
        <v>0</v>
      </c>
      <c r="J146" s="1036">
        <f>+J85</f>
        <v>0</v>
      </c>
      <c r="K146" s="1036">
        <f>+K85</f>
        <v>0</v>
      </c>
      <c r="L146" s="1036">
        <f>+L85</f>
        <v>0</v>
      </c>
      <c r="M146" s="1036">
        <f>+M85</f>
        <v>854</v>
      </c>
      <c r="N146" s="1157">
        <f>+N85</f>
        <v>865</v>
      </c>
      <c r="O146" s="1036">
        <f>+O85</f>
        <v>876</v>
      </c>
      <c r="P146" s="1036">
        <f>+P85</f>
        <v>876</v>
      </c>
      <c r="Q146" s="1036">
        <f>+Q85</f>
        <v>876</v>
      </c>
      <c r="R146" s="1036">
        <f>+R85</f>
        <v>876</v>
      </c>
      <c r="S146" s="1036">
        <f>+S85</f>
        <v>876</v>
      </c>
      <c r="T146" s="1090"/>
      <c r="U146" s="1090"/>
      <c r="V146" s="1090"/>
      <c r="W146" s="1090"/>
      <c r="X146" s="1090"/>
    </row>
    <row r="147" spans="1:28" s="1060" customFormat="1" ht="14.5" customHeight="1" x14ac:dyDescent="0.35">
      <c r="A147" s="1031"/>
      <c r="B147" s="1119" t="s">
        <v>1159</v>
      </c>
      <c r="D147" s="1036"/>
      <c r="E147" s="1036">
        <f>IF(SUM(D145:D146)=0,"",AVERAGE(D145:E145)+AVERAGE(D146:E146))</f>
        <v>5309</v>
      </c>
      <c r="F147" s="1036">
        <f>IF(SUM(E145:E146)=0,"",AVERAGE(E145:F145)+AVERAGE(E146:F146))</f>
        <v>5583.5</v>
      </c>
      <c r="G147" s="1036">
        <f>IF(SUM(F145:F146)=0,"",AVERAGE(F145:G145)+AVERAGE(F146:G146))</f>
        <v>6005</v>
      </c>
      <c r="H147" s="1036">
        <f>IF(SUM(G145:G146)=0,"",AVERAGE(G145:H145)+AVERAGE(G146:H146))</f>
        <v>6410</v>
      </c>
      <c r="I147" s="1036">
        <f>IF(SUM(H145:H146)=0,"",AVERAGE(H145:I145)+AVERAGE(H146:I146))</f>
        <v>8804</v>
      </c>
      <c r="J147" s="1036">
        <f>IF(SUM(I145:I146)=0,"",AVERAGE(I145:J145)+AVERAGE(I146:J146))</f>
        <v>11223.5</v>
      </c>
      <c r="K147" s="1036">
        <f>IF(SUM(J145:J146)=0,"",AVERAGE(J145:K145)+AVERAGE(J146:K146))</f>
        <v>12799.5</v>
      </c>
      <c r="L147" s="1036">
        <f>IF(SUM(K145:K146)=0,"",AVERAGE(K145:L145)+AVERAGE(K146:L146))</f>
        <v>14285.5</v>
      </c>
      <c r="M147" s="1036">
        <f>IF(SUM(L145:L146)=0,"",AVERAGE(L145:M145)+AVERAGE(L146:M146))</f>
        <v>17894.5</v>
      </c>
      <c r="N147" s="1157">
        <f>IF(SUM(M145:M146)=0,"",AVERAGE(M145:N145)+AVERAGE(M146:N146))</f>
        <v>20413.5</v>
      </c>
      <c r="O147" s="1036">
        <f>IF(SUM(N145:N146)=0,"",AVERAGE(N145:O145)+AVERAGE(N146:O146))</f>
        <v>19361.5</v>
      </c>
      <c r="P147" s="1036">
        <f>IF(SUM(O145:O146)=0,"",AVERAGE(O145:P145)+AVERAGE(O146:P146))</f>
        <v>19063</v>
      </c>
      <c r="Q147" s="1036">
        <f>IF(SUM(P145:P146)=0,"",AVERAGE(P145:Q145)+AVERAGE(P146:Q146))</f>
        <v>19063</v>
      </c>
      <c r="R147" s="1036">
        <f>IF(SUM(Q145:Q146)=0,"",AVERAGE(Q145:R145)+AVERAGE(Q146:R146))</f>
        <v>19063</v>
      </c>
      <c r="S147" s="1036">
        <f>IF(SUM(R145:R146)=0,"",AVERAGE(R145:S145)+AVERAGE(R146:S146))</f>
        <v>19063</v>
      </c>
      <c r="T147" s="1090"/>
      <c r="U147" s="1090"/>
      <c r="V147" s="1090"/>
      <c r="W147" s="1090"/>
      <c r="X147" s="1090"/>
    </row>
    <row r="148" spans="1:28" s="1060" customFormat="1" ht="14.5" customHeight="1" x14ac:dyDescent="0.35">
      <c r="A148" s="1031"/>
      <c r="B148" s="1181" t="s">
        <v>324</v>
      </c>
      <c r="C148" s="1159"/>
      <c r="D148" s="1095"/>
      <c r="E148" s="1095">
        <f>IF(OR(E139="",E147=""),"",SUM(E147,E139))</f>
        <v>20850.5</v>
      </c>
      <c r="F148" s="1095">
        <f>IF(OR(F139="",F147=""),"",SUM(F147,F139))</f>
        <v>22081</v>
      </c>
      <c r="G148" s="1095">
        <f>IF(OR(G139="",G147=""),"",SUM(G147,G139))</f>
        <v>23543.5</v>
      </c>
      <c r="H148" s="1095">
        <f>IF(OR(H139="",H147=""),"",SUM(H147,H139))</f>
        <v>21715.5</v>
      </c>
      <c r="I148" s="1095">
        <f>IF(OR(I139="",I147=""),"",SUM(I147,I139))</f>
        <v>21212.5</v>
      </c>
      <c r="J148" s="1095">
        <f>IF(OR(J139="",J147=""),"",SUM(J147,J139))</f>
        <v>22226.5</v>
      </c>
      <c r="K148" s="1095">
        <f>IF(OR(K139="",K147=""),"",SUM(K147,K139))</f>
        <v>23730</v>
      </c>
      <c r="L148" s="1095">
        <f>IF(OR(L139="",L147=""),"",SUM(L147,L139))</f>
        <v>24965</v>
      </c>
      <c r="M148" s="1095">
        <f>IF(OR(M139="",M147=""),"",SUM(M147,M139))</f>
        <v>27824</v>
      </c>
      <c r="N148" s="1154">
        <f>IF(OR(N139="",N147=""),"",SUM(N147,N139))</f>
        <v>31878.5</v>
      </c>
      <c r="O148" s="1095">
        <f ca="1">IF(OR(O139="",O147=""),"",SUM(O147,O139))</f>
        <v>32894.607570018095</v>
      </c>
      <c r="P148" s="1095">
        <f ca="1">IF(OR(P139="",P147=""),"",SUM(P147,P139))</f>
        <v>33964.523534591935</v>
      </c>
      <c r="Q148" s="1095">
        <f ca="1">IF(OR(Q139="",Q147=""),"",SUM(Q147,Q139))</f>
        <v>35724.019171326756</v>
      </c>
      <c r="R148" s="1095">
        <f ca="1">IF(OR(R139="",R147=""),"",SUM(R147,R139))</f>
        <v>38209.659698352552</v>
      </c>
      <c r="S148" s="1095">
        <f ca="1">IF(OR(S139="",S147=""),"",SUM(S147,S139))</f>
        <v>41466.610988385044</v>
      </c>
      <c r="T148" s="1090"/>
      <c r="U148" s="1090"/>
      <c r="V148" s="1090"/>
      <c r="W148" s="1090"/>
      <c r="X148" s="1090"/>
    </row>
    <row r="149" spans="1:28" s="1185" customFormat="1" ht="14.5" customHeight="1" x14ac:dyDescent="0.35">
      <c r="A149" s="1187"/>
      <c r="B149" s="1188" t="s">
        <v>325</v>
      </c>
      <c r="D149" s="1143"/>
      <c r="E149" s="1143">
        <f>IFERROR(E141/E148, "")</f>
        <v>0.21405711188260429</v>
      </c>
      <c r="F149" s="1143">
        <f>IFERROR(F141/F148, "")</f>
        <v>0.20853934167791249</v>
      </c>
      <c r="G149" s="1143">
        <f>IFERROR(G141/G148, "")</f>
        <v>0.20370048252261805</v>
      </c>
      <c r="H149" s="1143">
        <f>IFERROR(H141/H148, "")</f>
        <v>0.23372881129644454</v>
      </c>
      <c r="I149" s="1143">
        <f>IFERROR(I141/I148, "")</f>
        <v>0.23232857839583973</v>
      </c>
      <c r="J149" s="1143">
        <f>IFERROR(J141/J148, "")</f>
        <v>0.23305127119048299</v>
      </c>
      <c r="K149" s="1143">
        <f>IFERROR(K141/K148, "")</f>
        <v>0.20909777926956483</v>
      </c>
      <c r="L149" s="1143">
        <f>IFERROR(L141/L148, "")</f>
        <v>0.24870105004148663</v>
      </c>
      <c r="M149" s="1143">
        <f>IFERROR(M141/M148, "")</f>
        <v>0.19667947325566226</v>
      </c>
      <c r="N149" s="1189">
        <f>IFERROR(N141/N148, "")</f>
        <v>0.17252629830938221</v>
      </c>
      <c r="O149" s="1143">
        <f ca="1">IFERROR(O141/O148, "")</f>
        <v>0.19182649383467165</v>
      </c>
      <c r="P149" s="1143">
        <f ca="1">IFERROR(P141/P148, "")</f>
        <v>0.20216518008909962</v>
      </c>
      <c r="Q149" s="1143">
        <f ca="1">IFERROR(Q141/Q148, "")</f>
        <v>0.20998520337429918</v>
      </c>
      <c r="R149" s="1143">
        <f ca="1">IFERROR(R141/R148, "")</f>
        <v>0.21435755689277591</v>
      </c>
      <c r="S149" s="1143">
        <f ca="1">IFERROR(S141/S148, "")</f>
        <v>0.21554528277429563</v>
      </c>
      <c r="T149" s="1190"/>
      <c r="U149" s="1190"/>
      <c r="V149" s="1190"/>
      <c r="W149" s="1190"/>
      <c r="X149" s="1190"/>
      <c r="AA149" s="1060"/>
      <c r="AB149" s="1060"/>
    </row>
    <row r="150" spans="1:28" s="1060" customFormat="1" ht="14.5" customHeight="1" x14ac:dyDescent="0.35">
      <c r="A150" s="1031"/>
      <c r="B150" s="1119" t="str">
        <f>B21</f>
        <v>Adjusted EBIT</v>
      </c>
      <c r="D150" s="1036">
        <f>D21</f>
        <v>5918</v>
      </c>
      <c r="E150" s="1036">
        <f>E21</f>
        <v>6178</v>
      </c>
      <c r="F150" s="1036">
        <f>F21</f>
        <v>6483</v>
      </c>
      <c r="G150" s="1036">
        <f>G21</f>
        <v>6666</v>
      </c>
      <c r="H150" s="1036">
        <f>H21</f>
        <v>7135</v>
      </c>
      <c r="I150" s="1036">
        <f>I21</f>
        <v>6946</v>
      </c>
      <c r="J150" s="1036">
        <f>J21</f>
        <v>7223</v>
      </c>
      <c r="K150" s="1036">
        <f>K21</f>
        <v>7692</v>
      </c>
      <c r="L150" s="1036">
        <f>L21</f>
        <v>8104</v>
      </c>
      <c r="M150" s="1036">
        <f>M21</f>
        <v>6822</v>
      </c>
      <c r="N150" s="1157">
        <f>N21</f>
        <v>6844</v>
      </c>
      <c r="O150" s="1036">
        <f>O21</f>
        <v>7867.7317612000006</v>
      </c>
      <c r="P150" s="1036">
        <f>P21</f>
        <v>8691.7012873560016</v>
      </c>
      <c r="Q150" s="1036">
        <f>Q21</f>
        <v>9495.5891532131791</v>
      </c>
      <c r="R150" s="1036">
        <f>R21</f>
        <v>10367.758610940777</v>
      </c>
      <c r="S150" s="1036">
        <f>S21</f>
        <v>11313.838469852113</v>
      </c>
      <c r="T150" s="1090"/>
      <c r="U150" s="1090"/>
      <c r="V150" s="1090"/>
      <c r="W150" s="1090"/>
      <c r="X150" s="1090"/>
      <c r="AA150" s="1185"/>
      <c r="AB150" s="1185"/>
    </row>
    <row r="151" spans="1:28" s="1060" customFormat="1" ht="14.5" customHeight="1" x14ac:dyDescent="0.35">
      <c r="A151" s="1031"/>
      <c r="B151" s="1092" t="s">
        <v>189</v>
      </c>
      <c r="D151" s="1102">
        <f t="array" ref="D151">IFERROR(INDEX(MO_BS_CL,0,MATCH(D$5,MO_Common_ColumnHeader,0)), 0)</f>
        <v>6089</v>
      </c>
      <c r="E151" s="1102">
        <f t="array" ref="E151">IFERROR(INDEX(MO_BS_CL,0,MATCH(E$5,MO_Common_ColumnHeader,0)), 0)</f>
        <v>5441</v>
      </c>
      <c r="F151" s="1102">
        <f t="array" ref="F151">IFERROR(INDEX(MO_BS_CL,0,MATCH(F$5,MO_Common_ColumnHeader,0)), 0)</f>
        <v>6200</v>
      </c>
      <c r="G151" s="1102">
        <f t="array" ref="G151">IFERROR(INDEX(MO_BS_CL,0,MATCH(G$5,MO_Common_ColumnHeader,0)), 0)</f>
        <v>7498</v>
      </c>
      <c r="H151" s="1102">
        <f t="array" ref="H151">IFERROR(INDEX(MO_BS_CL,0,MATCH(H$5,MO_Common_ColumnHeader,0)), 0)</f>
        <v>5964</v>
      </c>
      <c r="I151" s="1102">
        <f t="array" ref="I151">IFERROR(INDEX(MO_BS_CL,0,MATCH(I$5,MO_Common_ColumnHeader,0)), 0)</f>
        <v>7118</v>
      </c>
      <c r="J151" s="1102">
        <f t="array" ref="J151">IFERROR(INDEX(MO_BS_CL,0,MATCH(J$5,MO_Common_ColumnHeader,0)), 0)</f>
        <v>6219</v>
      </c>
      <c r="K151" s="1102">
        <f t="array" ref="K151">IFERROR(INDEX(MO_BS_CL,0,MATCH(K$5,MO_Common_ColumnHeader,0)), 0)</f>
        <v>7687</v>
      </c>
      <c r="L151" s="1102">
        <f t="array" ref="L151">IFERROR(INDEX(MO_BS_CL,0,MATCH(L$5,MO_Common_ColumnHeader,0)), 0)</f>
        <v>7244</v>
      </c>
      <c r="M151" s="1102">
        <f t="array" ref="M151">IFERROR(INDEX(MO_BS_CL,0,MATCH(M$5,MO_Common_ColumnHeader,0)), 0)</f>
        <v>9222</v>
      </c>
      <c r="N151" s="1158">
        <f t="array" ref="N151">IFERROR(INDEX(MO_BS_CL,0,MATCH(N$5,MO_Common_ColumnHeader,0)), 0)</f>
        <v>7948</v>
      </c>
      <c r="O151" s="1102">
        <f t="array" ref="O151">IFERROR(INDEX(MO_BS_CL,0,MATCH(O$5,MO_Common_ColumnHeader,0)), 0)</f>
        <v>8528.1399875376264</v>
      </c>
      <c r="P151" s="1102">
        <f t="array" ref="P151">IFERROR(INDEX(MO_BS_CL,0,MATCH(P$5,MO_Common_ColumnHeader,0)), 0)</f>
        <v>8872.147035059379</v>
      </c>
      <c r="Q151" s="1102">
        <f t="array" aca="1" ref="Q151" ca="1">IFERROR(INDEX(MO_BS_CL,0,MATCH(Q$5,MO_Common_ColumnHeader,0)), 0)</f>
        <v>9239.2686136964458</v>
      </c>
      <c r="R151" s="1102">
        <f t="array" aca="1" ref="R151" ca="1">IFERROR(INDEX(MO_BS_CL,0,MATCH(R$5,MO_Common_ColumnHeader,0)), 0)</f>
        <v>9636.5826242266448</v>
      </c>
      <c r="S151" s="1102">
        <f t="array" aca="1" ref="S151" ca="1">IFERROR(INDEX(MO_BS_CL,0,MATCH(S$5,MO_Common_ColumnHeader,0)), 0)</f>
        <v>10066.527072916741</v>
      </c>
      <c r="T151" s="1090"/>
      <c r="U151" s="1090"/>
      <c r="V151" s="1090"/>
      <c r="W151" s="1090"/>
      <c r="X151" s="1090"/>
      <c r="AA151" s="990"/>
      <c r="AB151" s="990"/>
    </row>
    <row r="152" spans="1:28" s="1060" customFormat="1" ht="14.5" customHeight="1" x14ac:dyDescent="0.35">
      <c r="A152" s="1031"/>
      <c r="B152" s="1092" t="s">
        <v>327</v>
      </c>
      <c r="D152" s="1036"/>
      <c r="E152" s="1036">
        <f>IF(D151=0,"",AVERAGE(D151:E151))</f>
        <v>5765</v>
      </c>
      <c r="F152" s="1036">
        <f>IF(E151=0,"",AVERAGE(E151:F151))</f>
        <v>5820.5</v>
      </c>
      <c r="G152" s="1036">
        <f>IF(F151=0,"",AVERAGE(F151:G151))</f>
        <v>6849</v>
      </c>
      <c r="H152" s="1036">
        <f>IF(G151=0,"",AVERAGE(G151:H151))</f>
        <v>6731</v>
      </c>
      <c r="I152" s="1036">
        <f>IF(H151=0,"",AVERAGE(H151:I151))</f>
        <v>6541</v>
      </c>
      <c r="J152" s="1036">
        <f>IF(I151=0,"",AVERAGE(I151:J151))</f>
        <v>6668.5</v>
      </c>
      <c r="K152" s="1036">
        <f>IF(J151=0,"",AVERAGE(J151:K151))</f>
        <v>6953</v>
      </c>
      <c r="L152" s="1036">
        <f>IF(K151=0,"",AVERAGE(K151:L151))</f>
        <v>7465.5</v>
      </c>
      <c r="M152" s="1036">
        <f>IF(L151=0,"",AVERAGE(L151:M151))</f>
        <v>8233</v>
      </c>
      <c r="N152" s="1157">
        <f>IF(M151=0,"",AVERAGE(M151:N151))</f>
        <v>8585</v>
      </c>
      <c r="O152" s="1036">
        <f>IF(N151=0,"",AVERAGE(N151:O151))</f>
        <v>8238.0699937688132</v>
      </c>
      <c r="P152" s="1036">
        <f>IF(O151=0,"",AVERAGE(O151:P151))</f>
        <v>8700.1435112985018</v>
      </c>
      <c r="Q152" s="1036">
        <f ca="1">IF(P151=0,"",AVERAGE(P151:Q151))</f>
        <v>9055.7078243779124</v>
      </c>
      <c r="R152" s="1036">
        <f ca="1">IF(Q151=0,"",AVERAGE(Q151:R151))</f>
        <v>9437.9256189615444</v>
      </c>
      <c r="S152" s="1036">
        <f ca="1">IF(R151=0,"",AVERAGE(R151:S151))</f>
        <v>9851.5548485716936</v>
      </c>
      <c r="T152" s="1090"/>
      <c r="U152" s="1090"/>
      <c r="V152" s="1090"/>
      <c r="W152" s="1090"/>
      <c r="X152" s="1090"/>
      <c r="AA152" s="990"/>
      <c r="AB152" s="990"/>
    </row>
    <row r="153" spans="1:28" s="1060" customFormat="1" ht="14.5" customHeight="1" x14ac:dyDescent="0.35">
      <c r="A153" s="1031"/>
      <c r="B153" s="1181" t="s">
        <v>328</v>
      </c>
      <c r="C153" s="1159"/>
      <c r="D153" s="1095"/>
      <c r="E153" s="1095">
        <f>IFERROR(E143-E152, "")</f>
        <v>25121</v>
      </c>
      <c r="F153" s="1095">
        <f>IFERROR(F143-F152, "")</f>
        <v>26925.5</v>
      </c>
      <c r="G153" s="1095">
        <f>IFERROR(G143-G152, "")</f>
        <v>26864</v>
      </c>
      <c r="H153" s="1095">
        <f>IFERROR(H143-H152, "")</f>
        <v>25648.5</v>
      </c>
      <c r="I153" s="1095">
        <f>IFERROR(I143-I152, "")</f>
        <v>25422.5</v>
      </c>
      <c r="J153" s="1095">
        <f>IFERROR(J143-J152, "")</f>
        <v>26143.5</v>
      </c>
      <c r="K153" s="1095">
        <f>IFERROR(K143-K152, "")</f>
        <v>28493.5</v>
      </c>
      <c r="L153" s="1095">
        <f>IFERROR(L143-L152, "")</f>
        <v>29778</v>
      </c>
      <c r="M153" s="1095">
        <f>IFERROR(M143-M152, "")</f>
        <v>32346.5</v>
      </c>
      <c r="N153" s="1154">
        <f>IFERROR(N143-N152, "")</f>
        <v>37416.5</v>
      </c>
      <c r="O153" s="1095">
        <f>IFERROR(O143-O152, "")</f>
        <v>39326.107570018103</v>
      </c>
      <c r="P153" s="1095">
        <f ca="1">IFERROR(P143-P152, "")</f>
        <v>39958.52353459195</v>
      </c>
      <c r="Q153" s="1095">
        <f ca="1">IFERROR(Q143-Q152, "")</f>
        <v>41718.01917132677</v>
      </c>
      <c r="R153" s="1095">
        <f ca="1">IFERROR(R143-R152, "")</f>
        <v>44203.659698352567</v>
      </c>
      <c r="S153" s="1095">
        <f ca="1">IFERROR(S143-S152, "")</f>
        <v>47460.610988385044</v>
      </c>
      <c r="T153" s="1090"/>
      <c r="U153" s="1090"/>
      <c r="V153" s="1090"/>
      <c r="W153" s="1090"/>
      <c r="X153" s="1090"/>
      <c r="AA153" s="990"/>
      <c r="AB153" s="990"/>
    </row>
    <row r="154" spans="1:28" s="1185" customFormat="1" ht="14.5" customHeight="1" x14ac:dyDescent="0.35">
      <c r="A154" s="1187"/>
      <c r="B154" s="1188" t="s">
        <v>329</v>
      </c>
      <c r="D154" s="1143"/>
      <c r="E154" s="1143">
        <f>IFERROR(E150/E153, "")</f>
        <v>0.2459297002507862</v>
      </c>
      <c r="F154" s="1143">
        <f>IFERROR(F150/F153, "")</f>
        <v>0.24077547306456704</v>
      </c>
      <c r="G154" s="1143">
        <f>IFERROR(G150/G153, "")</f>
        <v>0.24813877307921381</v>
      </c>
      <c r="H154" s="1143">
        <f>IFERROR(H150/H153, "")</f>
        <v>0.27818390939041271</v>
      </c>
      <c r="I154" s="1143">
        <f>IFERROR(I150/I153, "")</f>
        <v>0.27322253908938932</v>
      </c>
      <c r="J154" s="1143">
        <f>IFERROR(J150/J153, "")</f>
        <v>0.27628282364641304</v>
      </c>
      <c r="K154" s="1143">
        <f>IFERROR(K150/K153, "")</f>
        <v>0.26995630582413532</v>
      </c>
      <c r="L154" s="1143">
        <f>IFERROR(L150/L153, "")</f>
        <v>0.27214722278191955</v>
      </c>
      <c r="M154" s="1143">
        <f>IFERROR(M150/M153, "")</f>
        <v>0.21090380721252686</v>
      </c>
      <c r="N154" s="1189">
        <f>IFERROR(N150/N153, "")</f>
        <v>0.18291395507329655</v>
      </c>
      <c r="O154" s="1143">
        <f>IFERROR(O150/O153, "")</f>
        <v>0.20006383157020843</v>
      </c>
      <c r="P154" s="1143">
        <f ca="1">IFERROR(P150/P153, "")</f>
        <v>0.21751807921110067</v>
      </c>
      <c r="Q154" s="1143">
        <f ca="1">IFERROR(Q150/Q153, "")</f>
        <v>0.22761361497574642</v>
      </c>
      <c r="R154" s="1143">
        <f ca="1">IFERROR(R150/R153, "")</f>
        <v>0.23454525443573565</v>
      </c>
      <c r="S154" s="1143">
        <f ca="1">IFERROR(S150/S153, "")</f>
        <v>0.23838375095130845</v>
      </c>
      <c r="T154" s="1190"/>
      <c r="U154" s="1190"/>
      <c r="V154" s="1190"/>
      <c r="W154" s="1190"/>
      <c r="X154" s="1190"/>
      <c r="AA154" s="990"/>
      <c r="AB154" s="990"/>
    </row>
    <row r="155" spans="1:28" ht="14.5" customHeight="1" x14ac:dyDescent="0.35">
      <c r="T155" s="1053"/>
      <c r="U155" s="1053"/>
      <c r="V155" s="1053"/>
      <c r="W155" s="1053"/>
      <c r="X155" s="1053"/>
    </row>
    <row r="156" spans="1:28" ht="14.5" customHeight="1" x14ac:dyDescent="0.35"/>
    <row r="157" spans="1:28" ht="14.5" customHeight="1" x14ac:dyDescent="0.35"/>
    <row r="158" spans="1:28" ht="14.5" customHeight="1" x14ac:dyDescent="0.35"/>
    <row r="159" spans="1:28" ht="14.5" customHeight="1" x14ac:dyDescent="0.35"/>
    <row r="160" spans="1:28" ht="14.5" customHeight="1" x14ac:dyDescent="0.35"/>
    <row r="161" spans="1:29" ht="14.5" customHeight="1" x14ac:dyDescent="0.35"/>
    <row r="162" spans="1:29" ht="14.5" customHeight="1" x14ac:dyDescent="0.35">
      <c r="AA162" s="1006"/>
      <c r="AB162" s="1006"/>
    </row>
    <row r="163" spans="1:29" ht="14.5" customHeight="1" x14ac:dyDescent="0.35">
      <c r="AA163" s="1053"/>
      <c r="AB163" s="1053"/>
    </row>
    <row r="164" spans="1:29" ht="14.5" customHeight="1" x14ac:dyDescent="0.35">
      <c r="AA164" s="1053"/>
      <c r="AB164" s="1053"/>
    </row>
    <row r="165" spans="1:29" ht="14.5" customHeight="1" x14ac:dyDescent="0.35"/>
    <row r="166" spans="1:29" s="1006" customFormat="1" ht="14.5" customHeight="1" x14ac:dyDescent="0.35">
      <c r="A166" s="1005"/>
      <c r="B166" s="990"/>
      <c r="C166" s="990"/>
      <c r="D166" s="990"/>
      <c r="E166" s="990"/>
      <c r="F166" s="990"/>
      <c r="G166" s="990"/>
      <c r="H166" s="990"/>
      <c r="I166" s="990"/>
      <c r="J166" s="990"/>
      <c r="K166" s="990"/>
      <c r="L166" s="990"/>
      <c r="M166" s="990"/>
      <c r="N166" s="990"/>
      <c r="O166" s="990"/>
      <c r="P166" s="990"/>
      <c r="Q166" s="990"/>
      <c r="R166" s="990"/>
      <c r="S166" s="990"/>
      <c r="T166" s="990"/>
      <c r="U166" s="990"/>
      <c r="V166" s="990"/>
      <c r="W166" s="990"/>
      <c r="X166" s="990"/>
      <c r="AA166" s="990"/>
      <c r="AB166" s="990"/>
    </row>
    <row r="167" spans="1:29" s="1053" customFormat="1" ht="14.5" customHeight="1" x14ac:dyDescent="0.35">
      <c r="A167" s="1050"/>
      <c r="B167" s="990"/>
      <c r="C167" s="990"/>
      <c r="D167" s="990"/>
      <c r="E167" s="990"/>
      <c r="F167" s="990"/>
      <c r="G167" s="990"/>
      <c r="H167" s="990"/>
      <c r="I167" s="990"/>
      <c r="J167" s="990"/>
      <c r="K167" s="990"/>
      <c r="L167" s="990"/>
      <c r="M167" s="990"/>
      <c r="N167" s="990"/>
      <c r="O167" s="990"/>
      <c r="P167" s="990"/>
      <c r="Q167" s="990"/>
      <c r="R167" s="990"/>
      <c r="S167" s="990"/>
      <c r="T167" s="990"/>
      <c r="U167" s="990"/>
      <c r="V167" s="990"/>
      <c r="W167" s="990"/>
      <c r="X167" s="990"/>
      <c r="AA167" s="990"/>
      <c r="AB167" s="990"/>
    </row>
    <row r="168" spans="1:29" s="1053" customFormat="1" x14ac:dyDescent="0.35">
      <c r="A168" s="1050"/>
      <c r="B168" s="990"/>
      <c r="C168" s="990"/>
      <c r="D168" s="990"/>
      <c r="E168" s="990"/>
      <c r="F168" s="990"/>
      <c r="G168" s="990"/>
      <c r="H168" s="990"/>
      <c r="I168" s="990"/>
      <c r="J168" s="990"/>
      <c r="K168" s="990"/>
      <c r="L168" s="990"/>
      <c r="M168" s="990"/>
      <c r="N168" s="990"/>
      <c r="O168" s="990"/>
      <c r="P168" s="990"/>
      <c r="Q168" s="990"/>
      <c r="R168" s="990"/>
      <c r="S168" s="990"/>
      <c r="T168" s="990"/>
      <c r="U168" s="990"/>
      <c r="V168" s="990"/>
      <c r="W168" s="990"/>
      <c r="X168" s="990"/>
      <c r="AA168" s="990"/>
      <c r="AB168" s="990"/>
    </row>
    <row r="174" spans="1:29" s="1022" customFormat="1" ht="14.5" customHeight="1" x14ac:dyDescent="0.35">
      <c r="B174" s="990"/>
      <c r="C174" s="990"/>
      <c r="D174" s="990"/>
      <c r="E174" s="990"/>
      <c r="F174" s="990"/>
      <c r="G174" s="990"/>
      <c r="H174" s="990"/>
      <c r="I174" s="990"/>
      <c r="J174" s="990"/>
      <c r="K174" s="990"/>
      <c r="L174" s="990"/>
      <c r="M174" s="990"/>
      <c r="N174" s="990"/>
      <c r="O174" s="990"/>
      <c r="P174" s="990"/>
      <c r="Q174" s="990"/>
      <c r="R174" s="990"/>
      <c r="S174" s="990"/>
      <c r="T174" s="990"/>
      <c r="U174" s="990"/>
      <c r="V174" s="990"/>
      <c r="W174" s="990"/>
      <c r="X174" s="990"/>
      <c r="Y174" s="990"/>
      <c r="Z174" s="990"/>
      <c r="AA174" s="990"/>
      <c r="AB174" s="990"/>
      <c r="AC174" s="990"/>
    </row>
  </sheetData>
  <printOptions horizontalCentered="1"/>
  <pageMargins left="0.25" right="0.25" top="0.5" bottom="0.25" header="0.5" footer="0.5"/>
  <pageSetup scale="53" fitToWidth="5" fitToHeight="5" orientation="portrait" r:id="rId1"/>
  <headerFooter alignWithMargins="0">
    <oddFooter>&amp;R&amp;P</oddFooter>
  </headerFooter>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Worksheets</vt:lpstr>
      </vt:variant>
      <vt:variant>
        <vt:i4>10</vt:i4>
      </vt:variant>
      <vt:variant>
        <vt:lpstr>Named Ranges</vt:lpstr>
      </vt:variant>
      <vt:variant>
        <vt:i4>1690</vt:i4>
      </vt:variant>
    </vt:vector>
  </HeadingPairs>
  <TitlesOfParts>
    <vt:vector size="1700" baseType="lpstr">
      <vt:lpstr>Front Page</vt:lpstr>
      <vt:lpstr>Drivers</vt:lpstr>
      <vt:lpstr>Model</vt:lpstr>
      <vt:lpstr>Guidance</vt:lpstr>
      <vt:lpstr>Summary Page</vt:lpstr>
      <vt:lpstr>Update Log</vt:lpstr>
      <vt:lpstr>DCF (Quarterly)</vt:lpstr>
      <vt:lpstr>Quick Bull-Bear-Base</vt:lpstr>
      <vt:lpstr>Ratios (Quarterly)</vt:lpstr>
      <vt:lpstr>Annual Summary</vt:lpstr>
      <vt:lpstr>'DCF (Quarterly)'!DCF.Currency</vt:lpstr>
      <vt:lpstr>'DCF (Quarterly)'!DCF.Date</vt:lpstr>
      <vt:lpstr>'DCF (Quarterly)'!DCF.DiscountRate</vt:lpstr>
      <vt:lpstr>'DCF (Quarterly)'!DCF.EI</vt:lpstr>
      <vt:lpstr>'DCF (Quarterly)'!DCF.ImpliedPrice</vt:lpstr>
      <vt:lpstr>'DCF (Quarterly)'!DCF.MRQ</vt:lpstr>
      <vt:lpstr>'DCF (Quarterly)'!DCF.OtherAdjustments</vt:lpstr>
      <vt:lpstr>'DCF (Quarterly)'!DCF.PensionLiabilities.Unfunded</vt:lpstr>
      <vt:lpstr>'DCF (Quarterly)'!DCF.Prefs</vt:lpstr>
      <vt:lpstr>'DCF (Quarterly)'!DCF.Terminal.Value.Undisc</vt:lpstr>
      <vt:lpstr>'DCF (Quarterly)'!DCF.TGR</vt:lpstr>
      <vt:lpstr>'DCF (Quarterly)'!DCF.Ticker</vt:lpstr>
      <vt:lpstr>'DCF (Quarterly)'!DCF.WC</vt:lpstr>
      <vt:lpstr>'DCF (Quarterly)'!DCF_Common_ColumnHeader</vt:lpstr>
      <vt:lpstr>'DCF (Quarterly)'!DCF_Common_QEndDate</vt:lpstr>
      <vt:lpstr>'DCF (Quarterly)'!DCF_FCFF</vt:lpstr>
      <vt:lpstr>'DCF (Quarterly)'!DCF_PV_FCFF</vt:lpstr>
      <vt:lpstr>'DCF (Quarterly)'!DCF_RemainingColumnHeader</vt:lpstr>
      <vt:lpstr>DW.LastPrice</vt:lpstr>
      <vt:lpstr>DW_Common_ColumnHeader</vt:lpstr>
      <vt:lpstr>DW_Common_CompanySubtitle</vt:lpstr>
      <vt:lpstr>DW_Common_CompanyTitle</vt:lpstr>
      <vt:lpstr>DW_Common_FPDays</vt:lpstr>
      <vt:lpstr>DW_Common_QEndDate</vt:lpstr>
      <vt:lpstr>DW_FCF_Capex</vt:lpstr>
      <vt:lpstr>DW_FCF_ChangeInWC</vt:lpstr>
      <vt:lpstr>DW_FCF_DA</vt:lpstr>
      <vt:lpstr>DW_FCF_EBIT</vt:lpstr>
      <vt:lpstr>DW_FCF_FCF</vt:lpstr>
      <vt:lpstr>DW_FCF_Tax</vt:lpstr>
      <vt:lpstr>DW_Section_LastRow</vt:lpstr>
      <vt:lpstr>FP.DataSource</vt:lpstr>
      <vt:lpstr>FP.DataSourceName</vt:lpstr>
      <vt:lpstr>FP.Disclaimer</vt:lpstr>
      <vt:lpstr>FP.LastPrice</vt:lpstr>
      <vt:lpstr>FP.LastPriceDate</vt:lpstr>
      <vt:lpstr>FP.RealTimeToggle</vt:lpstr>
      <vt:lpstr>FP.UpdateDate</vt:lpstr>
      <vt:lpstr>FP.UpdateEvent</vt:lpstr>
      <vt:lpstr>FP_Comment</vt:lpstr>
      <vt:lpstr>FP_StockPriceOverride</vt:lpstr>
      <vt:lpstr>GD.CompanyName</vt:lpstr>
      <vt:lpstr>GD.MRQ</vt:lpstr>
      <vt:lpstr>GD_Difference_Mid_Absolute</vt:lpstr>
      <vt:lpstr>GD_Difference_Mid_Relative</vt:lpstr>
      <vt:lpstr>GD_Guidance_High</vt:lpstr>
      <vt:lpstr>GD_Guidance_Low</vt:lpstr>
      <vt:lpstr>GD_Guidance_Mid</vt:lpstr>
      <vt:lpstr>GD_Header_Column</vt:lpstr>
      <vt:lpstr>GD_Header_Section</vt:lpstr>
      <vt:lpstr>GD_Index</vt:lpstr>
      <vt:lpstr>GD_Item</vt:lpstr>
      <vt:lpstr>GD_Item_FiscalPeriod</vt:lpstr>
      <vt:lpstr>GD_Item_Name</vt:lpstr>
      <vt:lpstr>GD_Model_Output</vt:lpstr>
      <vt:lpstr>GD_Model_Type</vt:lpstr>
      <vt:lpstr>GD_Type</vt:lpstr>
      <vt:lpstr>GD_Update_Date</vt:lpstr>
      <vt:lpstr>GD_Update_Link</vt:lpstr>
      <vt:lpstr>HP.MRFX</vt:lpstr>
      <vt:lpstr>HP.ReportCurrency</vt:lpstr>
      <vt:lpstr>HP.Ticker</vt:lpstr>
      <vt:lpstr>HP.TradeCurrency</vt:lpstr>
      <vt:lpstr>HP.TradeCurrency.HardCoded</vt:lpstr>
      <vt:lpstr>MO.CFY</vt:lpstr>
      <vt:lpstr>MO.CompanyName</vt:lpstr>
      <vt:lpstr>MO.DataSourceIndex</vt:lpstr>
      <vt:lpstr>MO.DataSourceName</vt:lpstr>
      <vt:lpstr>MO.FirstForecastedFiscalYear</vt:lpstr>
      <vt:lpstr>MO.LastPrice</vt:lpstr>
      <vt:lpstr>MO.LastPriceDate</vt:lpstr>
      <vt:lpstr>MO.LastPriceFormula</vt:lpstr>
      <vt:lpstr>MO.LastPriceHardcoded</vt:lpstr>
      <vt:lpstr>MO.MRFP</vt:lpstr>
      <vt:lpstr>MO.MRFPColumnNumber</vt:lpstr>
      <vt:lpstr>MO.MRFX.Hardcoded</vt:lpstr>
      <vt:lpstr>MO.RealTime</vt:lpstr>
      <vt:lpstr>MO.RealTimeStockPriceToggle</vt:lpstr>
      <vt:lpstr>MO.ReportCurrency</vt:lpstr>
      <vt:lpstr>MO.ReportFX</vt:lpstr>
      <vt:lpstr>MO.Ticker</vt:lpstr>
      <vt:lpstr>MO.Ticker.Bloomberg</vt:lpstr>
      <vt:lpstr>MO.Ticker.CapIQ</vt:lpstr>
      <vt:lpstr>MO.Ticker.FactSet</vt:lpstr>
      <vt:lpstr>MO.Ticker.Thomson</vt:lpstr>
      <vt:lpstr>MO.TradingCurrency</vt:lpstr>
      <vt:lpstr>MO.ValuationToggle</vt:lpstr>
      <vt:lpstr>MO_AN_EBIT_Adj</vt:lpstr>
      <vt:lpstr>MO_AN_NI_NONGAAP_Diluted</vt:lpstr>
      <vt:lpstr>MO_BS_AP</vt:lpstr>
      <vt:lpstr>MO_BS_AR</vt:lpstr>
      <vt:lpstr>MO_BS_CA</vt:lpstr>
      <vt:lpstr>MO_BS_Cash</vt:lpstr>
      <vt:lpstr>MO_BS_CL</vt:lpstr>
      <vt:lpstr>MO_BS_CommonStock</vt:lpstr>
      <vt:lpstr>MO_BS_ContributedSurplus</vt:lpstr>
      <vt:lpstr>MO_BS_Goodwill</vt:lpstr>
      <vt:lpstr>MO_BS_Intangibles</vt:lpstr>
      <vt:lpstr>MO_BS_INV</vt:lpstr>
      <vt:lpstr>MO_BS_INV_FG</vt:lpstr>
      <vt:lpstr>MO_BS_INV_RM</vt:lpstr>
      <vt:lpstr>MO_BS_INV_WIP</vt:lpstr>
      <vt:lpstr>MO_BS_LTInvestments</vt:lpstr>
      <vt:lpstr>MO_BS_NCA</vt:lpstr>
      <vt:lpstr>MO_BS_NCI</vt:lpstr>
      <vt:lpstr>MO_BS_NCL</vt:lpstr>
      <vt:lpstr>MO_BS_OCI</vt:lpstr>
      <vt:lpstr>MO_BS_OL_Current</vt:lpstr>
      <vt:lpstr>MO_BS_OL_NonCurrent</vt:lpstr>
      <vt:lpstr>MO_BS_PPE</vt:lpstr>
      <vt:lpstr>MO_BS_PPE_Gross</vt:lpstr>
      <vt:lpstr>MO_BS_PrepaidExpenses</vt:lpstr>
      <vt:lpstr>MO_BS_RetainedEarnings</vt:lpstr>
      <vt:lpstr>MO_BS_SE</vt:lpstr>
      <vt:lpstr>MO_BS_STInvestments</vt:lpstr>
      <vt:lpstr>MO_BS_TA</vt:lpstr>
      <vt:lpstr>MO_BS_TL</vt:lpstr>
      <vt:lpstr>MO_BS_TLSE</vt:lpstr>
      <vt:lpstr>MO_BS_TreasuryStock</vt:lpstr>
      <vt:lpstr>MO_BSS_Cash</vt:lpstr>
      <vt:lpstr>MO_BSS_Debt</vt:lpstr>
      <vt:lpstr>MO_BSS_Debt_LT</vt:lpstr>
      <vt:lpstr>MO_BSS_Debt_Net</vt:lpstr>
      <vt:lpstr>MO_BSS_Debt_ST</vt:lpstr>
      <vt:lpstr>MO_BSS_Debt_ToCF</vt:lpstr>
      <vt:lpstr>MO_BSS_Debt_ToEBITDA</vt:lpstr>
      <vt:lpstr>MO_BSS_IE</vt:lpstr>
      <vt:lpstr>MO_BSS_IE_Net</vt:lpstr>
      <vt:lpstr>MO_BSS_II</vt:lpstr>
      <vt:lpstr>MO_BSS_InterestRate_Cash</vt:lpstr>
      <vt:lpstr>MO_BSS_InterestRate_Debt</vt:lpstr>
      <vt:lpstr>MO_BSS_NetInterestCoverage</vt:lpstr>
      <vt:lpstr>MO_BSS_NetInterestRate_Debt</vt:lpstr>
      <vt:lpstr>MO_BSS_OL</vt:lpstr>
      <vt:lpstr>MO_CCFS_Balance_Begin</vt:lpstr>
      <vt:lpstr>MO_CCFS_Balance_End</vt:lpstr>
      <vt:lpstr>MO_CCFS_CFF</vt:lpstr>
      <vt:lpstr>MO_CCFS_CFI</vt:lpstr>
      <vt:lpstr>MO_CCFS_CFO</vt:lpstr>
      <vt:lpstr>MO_CCFS_CFO_BeforeWC</vt:lpstr>
      <vt:lpstr>MO_CCFS_FX</vt:lpstr>
      <vt:lpstr>MO_CCFS_NetChange</vt:lpstr>
      <vt:lpstr>MO_CFS_Balance_Begin</vt:lpstr>
      <vt:lpstr>MO_CFS_Balance_End</vt:lpstr>
      <vt:lpstr>MO_CFS_Buyback</vt:lpstr>
      <vt:lpstr>MO_CFS_CFF</vt:lpstr>
      <vt:lpstr>MO_CFS_CFI</vt:lpstr>
      <vt:lpstr>MO_CFS_CFO</vt:lpstr>
      <vt:lpstr>MO_CFS_CFO_BeforeWC</vt:lpstr>
      <vt:lpstr>MO_CFS_FX</vt:lpstr>
      <vt:lpstr>MO_CFS_NetChange</vt:lpstr>
      <vt:lpstr>MO_CFS_NI</vt:lpstr>
      <vt:lpstr>MO_CFS_SBC</vt:lpstr>
      <vt:lpstr>MO_CFSum_Acquisition</vt:lpstr>
      <vt:lpstr>MO_CFSum_Capex</vt:lpstr>
      <vt:lpstr>MO_CFSum_CFO_BeforeWC</vt:lpstr>
      <vt:lpstr>MO_CFSum_CFPS</vt:lpstr>
      <vt:lpstr>MO_CFSum_Divestiture</vt:lpstr>
      <vt:lpstr>MO_CFSum_Dividend</vt:lpstr>
      <vt:lpstr>MO_CFSum_DPS</vt:lpstr>
      <vt:lpstr>MO_CFSum_FCF_PostDivPostAD</vt:lpstr>
      <vt:lpstr>MO_CFSum_FCF_PostDivPostADPostDebtPostBuyback</vt:lpstr>
      <vt:lpstr>MO_CFSum_FCF_PostDivPreAD</vt:lpstr>
      <vt:lpstr>MO_CFSum_FCF_PreDiv</vt:lpstr>
      <vt:lpstr>MO_CFSum_NetDebtIssuance</vt:lpstr>
      <vt:lpstr>MO_CFSum_NetShares</vt:lpstr>
      <vt:lpstr>MO_CFSum_NetShares_Price</vt:lpstr>
      <vt:lpstr>MO_Checks_Bottom</vt:lpstr>
      <vt:lpstr>MO_Checks_BS</vt:lpstr>
      <vt:lpstr>MO_Checks_CF</vt:lpstr>
      <vt:lpstr>MO_Checks_IS</vt:lpstr>
      <vt:lpstr>MO_Common_Column_A</vt:lpstr>
      <vt:lpstr>MO_Common_Column_B</vt:lpstr>
      <vt:lpstr>MO_Common_ColumnHeader</vt:lpstr>
      <vt:lpstr>MO_Common_CompanySubtitle</vt:lpstr>
      <vt:lpstr>MO_Common_CompanyTitle</vt:lpstr>
      <vt:lpstr>MO_Common_FPDays</vt:lpstr>
      <vt:lpstr>MO_Common_QEndDate</vt:lpstr>
      <vt:lpstr>MO_DAF_A</vt:lpstr>
      <vt:lpstr>MO_DAF_A_Percentage</vt:lpstr>
      <vt:lpstr>MO_DAF_Capex</vt:lpstr>
      <vt:lpstr>MO_DAF_D</vt:lpstr>
      <vt:lpstr>MO_DAF_D_Percentage</vt:lpstr>
      <vt:lpstr>MO_DAF_DA</vt:lpstr>
      <vt:lpstr>MO_DAF_Intangibles_BoP</vt:lpstr>
      <vt:lpstr>MO_DAF_Intangibles_Capex</vt:lpstr>
      <vt:lpstr>MO_DAF_Intangibles_Capex_Percent</vt:lpstr>
      <vt:lpstr>MO_DAF_Intangibles_EoP</vt:lpstr>
      <vt:lpstr>MO_DAF_Intangibles_Life</vt:lpstr>
      <vt:lpstr>MO_DAF_Intangibles_Other</vt:lpstr>
      <vt:lpstr>MO_DAF_PPE_BoP</vt:lpstr>
      <vt:lpstr>MO_DAF_PPE_Capex</vt:lpstr>
      <vt:lpstr>MO_DAF_PPE_EoP</vt:lpstr>
      <vt:lpstr>MO_DAF_PPE_Life</vt:lpstr>
      <vt:lpstr>MO_DAF_PPE_Other</vt:lpstr>
      <vt:lpstr>MO_GA_TotalRevenue</vt:lpstr>
      <vt:lpstr>MO_IS_EBIT</vt:lpstr>
      <vt:lpstr>MO_IS_EBT</vt:lpstr>
      <vt:lpstr>MO_IS_FirstRow</vt:lpstr>
      <vt:lpstr>MO_IS_NI_ContinOp</vt:lpstr>
      <vt:lpstr>MO_IS_REV</vt:lpstr>
      <vt:lpstr>MO_MA_COGS</vt:lpstr>
      <vt:lpstr>MO_MA_COGS_DA_Including</vt:lpstr>
      <vt:lpstr>MO_MA_EBIT</vt:lpstr>
      <vt:lpstr>MO_MA_EBIT_Adj</vt:lpstr>
      <vt:lpstr>MO_MA_EBITDA</vt:lpstr>
      <vt:lpstr>MO_MA_EBITDA_Adj</vt:lpstr>
      <vt:lpstr>MO_MA_GM</vt:lpstr>
      <vt:lpstr>MO_MA_GM_DA_Including</vt:lpstr>
      <vt:lpstr>MO_MA_RD</vt:lpstr>
      <vt:lpstr>MO_MA_SGA</vt:lpstr>
      <vt:lpstr>MO_OS_EBIT</vt:lpstr>
      <vt:lpstr>MO_RIS_Adjustments_Dilution_GAAP</vt:lpstr>
      <vt:lpstr>MO_RIS_Adjustments_Dilution_NONGAAP</vt:lpstr>
      <vt:lpstr>MO_RIS_Adjustments_NONGAAP</vt:lpstr>
      <vt:lpstr>MO_RIS_COGS</vt:lpstr>
      <vt:lpstr>MO_RIS_DA</vt:lpstr>
      <vt:lpstr>MO_RIS_DAintangibles</vt:lpstr>
      <vt:lpstr>MO_RIS_DisCont</vt:lpstr>
      <vt:lpstr>MO_RIS_Dividend_Prefs</vt:lpstr>
      <vt:lpstr>MO_RIS_EBIT</vt:lpstr>
      <vt:lpstr>MO_RIS_EBIT_Adj</vt:lpstr>
      <vt:lpstr>MO_RIS_EBITDA</vt:lpstr>
      <vt:lpstr>MO_RIS_EBITDA_Adj</vt:lpstr>
      <vt:lpstr>MO_RIS_EBT</vt:lpstr>
      <vt:lpstr>MO_RIS_EPS_WAB</vt:lpstr>
      <vt:lpstr>MO_RIS_EPS_WAD</vt:lpstr>
      <vt:lpstr>MO_RIS_EPS_WAD_Adj</vt:lpstr>
      <vt:lpstr>MO_RIS_GP</vt:lpstr>
      <vt:lpstr>MO_RIS_IE</vt:lpstr>
      <vt:lpstr>MO_RIS_II</vt:lpstr>
      <vt:lpstr>MO_RIS_NCI</vt:lpstr>
      <vt:lpstr>MO_RIS_NI_ContinOp</vt:lpstr>
      <vt:lpstr>MO_RIS_NI_GAAP_Basic</vt:lpstr>
      <vt:lpstr>MO_RIS_NI_GAAP_Diluted</vt:lpstr>
      <vt:lpstr>MO_RIS_NI_NONGAAP_Diluted</vt:lpstr>
      <vt:lpstr>MO_RIS_OI</vt:lpstr>
      <vt:lpstr>MO_RIS_OI_Operating</vt:lpstr>
      <vt:lpstr>MO_RIS_OTI</vt:lpstr>
      <vt:lpstr>MO_RIS_RD</vt:lpstr>
      <vt:lpstr>MO_RIS_REV</vt:lpstr>
      <vt:lpstr>MO_RIS_SBC</vt:lpstr>
      <vt:lpstr>MO_RIS_SGA</vt:lpstr>
      <vt:lpstr>MO_RIS_ShareCount_WAB</vt:lpstr>
      <vt:lpstr>MO_RIS_ShareCount_WAD</vt:lpstr>
      <vt:lpstr>MO_RIS_ShareCount_WAD_Adj</vt:lpstr>
      <vt:lpstr>MO_RIS_Tax_Current</vt:lpstr>
      <vt:lpstr>MO_RIS_Tax_Deferred</vt:lpstr>
      <vt:lpstr>MO_RIS_TaxRate_Current</vt:lpstr>
      <vt:lpstr>MO_RIS_TaxRate_Deferred</vt:lpstr>
      <vt:lpstr>MO_Section_AdjustedNumbers</vt:lpstr>
      <vt:lpstr>MO_Section_BalanceSheet</vt:lpstr>
      <vt:lpstr>MO_Section_BalanceSheetSummary</vt:lpstr>
      <vt:lpstr>MO_Section_CashFlowStatement</vt:lpstr>
      <vt:lpstr>MO_Section_CashFlowSummary</vt:lpstr>
      <vt:lpstr>MO_Section_CumulativeCashFlowStatement</vt:lpstr>
      <vt:lpstr>MO_Section_DAForecasting</vt:lpstr>
      <vt:lpstr>MO_Section_GrowthAnalysis</vt:lpstr>
      <vt:lpstr>MO_Section_IncomeStatement</vt:lpstr>
      <vt:lpstr>MO_Section_KeyMetricsAdjustedOperatingIncomeWalk</vt:lpstr>
      <vt:lpstr>MO_Section_KeyMetricsEmployeeCountK</vt:lpstr>
      <vt:lpstr>MO_Section_KeyMetricsFCFConversionPR</vt:lpstr>
      <vt:lpstr>MO_Section_KeyMetricsOperatingMarginandEPSWalksQK</vt:lpstr>
      <vt:lpstr>MO_Section_KeyMetricsROICPR</vt:lpstr>
      <vt:lpstr>MO_Section_LastRow</vt:lpstr>
      <vt:lpstr>MO_Section_MarginAnalysis</vt:lpstr>
      <vt:lpstr>MO_Section_ModelChecks</vt:lpstr>
      <vt:lpstr>MO_Section_RevisedIncomeStatement</vt:lpstr>
      <vt:lpstr>MO_Section_SegmentedResultsAdjustedEBITDABreakdownPR</vt:lpstr>
      <vt:lpstr>MO_Section_SegmentedResultsConsumerPRQK</vt:lpstr>
      <vt:lpstr>MO_Section_SegmentedResultsCorporateandUnallocatedQK</vt:lpstr>
      <vt:lpstr>MO_Section_SegmentedResultsEliminationsofDualCreditQK</vt:lpstr>
      <vt:lpstr>MO_Section_SegmentedResultsGeographicBreakdownFS</vt:lpstr>
      <vt:lpstr>MO_Section_SegmentedResultsHealthCarePRQK</vt:lpstr>
      <vt:lpstr>MO_Section_SegmentedResultsOperatingIncomeBreakdownFS_1</vt:lpstr>
      <vt:lpstr>MO_Section_SegmentedResultsRevenueBreakdownFS</vt:lpstr>
      <vt:lpstr>MO_Section_SegmentedResultsRevenueBreakdownFS_1</vt:lpstr>
      <vt:lpstr>MO_Section_SegmentedResultsSafetyandIndustrialPRQK</vt:lpstr>
      <vt:lpstr>MO_Section_SegmentedResultsTransportationandElectronicsPRQK</vt:lpstr>
      <vt:lpstr>MO_Section_Tables</vt:lpstr>
      <vt:lpstr>MO_Section_Valuation</vt:lpstr>
      <vt:lpstr>MO_Section_WorkingCapitalForecasting</vt:lpstr>
      <vt:lpstr>MO_SNA_ConsensusEstimatePeriodNumber</vt:lpstr>
      <vt:lpstr>MO_SNA_ConsensusEstimatePeriodType</vt:lpstr>
      <vt:lpstr>MO_SNA_FPStartDate</vt:lpstr>
      <vt:lpstr>MO_SNA_IsHistoricalPeriod</vt:lpstr>
      <vt:lpstr>MO_SNA_LastDataRow</vt:lpstr>
      <vt:lpstr>MO_SPT_FXAverage</vt:lpstr>
      <vt:lpstr>MO_SPT_FXAverage_Sources</vt:lpstr>
      <vt:lpstr>MO_SPT_FXAverage_Sources_Bloomberg</vt:lpstr>
      <vt:lpstr>MO_SPT_FXAverage_Sources_CapIQ</vt:lpstr>
      <vt:lpstr>MO_SPT_FXAverage_Sources_FactSet</vt:lpstr>
      <vt:lpstr>MO_SPT_FXAverage_Sources_RealTimeOff</vt:lpstr>
      <vt:lpstr>MO_SPT_FXAverage_Sources_Thomson</vt:lpstr>
      <vt:lpstr>MO_SPT_StockAverage</vt:lpstr>
      <vt:lpstr>MO_SPT_StockAverage_Sources</vt:lpstr>
      <vt:lpstr>MO_SPT_StockAverage_Sources_Bloomberg</vt:lpstr>
      <vt:lpstr>MO_SPT_StockAverage_Sources_CapIQ</vt:lpstr>
      <vt:lpstr>MO_SPT_StockAverage_Sources_FactSet</vt:lpstr>
      <vt:lpstr>MO_SPT_StockAverage_Sources_RealTimeOff</vt:lpstr>
      <vt:lpstr>MO_SPT_StockAverage_Sources_Thomson</vt:lpstr>
      <vt:lpstr>MO_SPT_StockHigh</vt:lpstr>
      <vt:lpstr>MO_SPT_StockHigh_Sources</vt:lpstr>
      <vt:lpstr>MO_SPT_StockHigh_Sources_Bloomberg</vt:lpstr>
      <vt:lpstr>MO_SPT_StockHigh_Sources_CapIQ</vt:lpstr>
      <vt:lpstr>MO_SPT_StockHigh_Sources_FactSet</vt:lpstr>
      <vt:lpstr>MO_SPT_StockHigh_Sources_RealTimeOff</vt:lpstr>
      <vt:lpstr>MO_SPT_StockHigh_Sources_Thomson</vt:lpstr>
      <vt:lpstr>MO_SPT_StockLow</vt:lpstr>
      <vt:lpstr>MO_SPT_StockLow_Sources</vt:lpstr>
      <vt:lpstr>MO_SPT_StockLow_Sources_Bloomberg</vt:lpstr>
      <vt:lpstr>MO_SPT_StockLow_Sources_CapIQ</vt:lpstr>
      <vt:lpstr>MO_SPT_StockLow_Sources_FactSet</vt:lpstr>
      <vt:lpstr>MO_SPT_StockLow_Sources_RealTimeOff</vt:lpstr>
      <vt:lpstr>MO_SPT_StockLow_Sources_Thomson</vt:lpstr>
      <vt:lpstr>MO_SubSection_BS_CA</vt:lpstr>
      <vt:lpstr>MO_SubSection_BS_CL</vt:lpstr>
      <vt:lpstr>MO_SubSection_BS_NCA</vt:lpstr>
      <vt:lpstr>MO_SubSection_BS_NCL</vt:lpstr>
      <vt:lpstr>MO_SubSection_BS_SE</vt:lpstr>
      <vt:lpstr>MO_SubSection_CCFS_CFF</vt:lpstr>
      <vt:lpstr>MO_SubSection_CCFS_CFI</vt:lpstr>
      <vt:lpstr>MO_SubSection_CCFS_CFO</vt:lpstr>
      <vt:lpstr>MO_SubSection_CFS_CFF</vt:lpstr>
      <vt:lpstr>MO_SubSection_CFS_CFI</vt:lpstr>
      <vt:lpstr>MO_SubSection_CFS_CFO</vt:lpstr>
      <vt:lpstr>MO_VA_EV</vt:lpstr>
      <vt:lpstr>MO_VA_EV_ToEBITDA</vt:lpstr>
      <vt:lpstr>MO_VA_EVCalc_NCI</vt:lpstr>
      <vt:lpstr>MO_VA_EVCalc_Other</vt:lpstr>
      <vt:lpstr>MO_VA_EVCalc_Prefs</vt:lpstr>
      <vt:lpstr>MO_VA_FCFYield_ToEV</vt:lpstr>
      <vt:lpstr>MO_VA_FCFYield_ToMktCap</vt:lpstr>
      <vt:lpstr>MO_VA_FX_Average</vt:lpstr>
      <vt:lpstr>MO_VA_MarketCap</vt:lpstr>
      <vt:lpstr>MO_VA_P_ToCF</vt:lpstr>
      <vt:lpstr>MO_VA_P_ToE</vt:lpstr>
      <vt:lpstr>MO_VA_StockPrice</vt:lpstr>
      <vt:lpstr>MO_VA_StockPrice_Avg</vt:lpstr>
      <vt:lpstr>MO_VA_StockPrice_High</vt:lpstr>
      <vt:lpstr>MO_VA_StockPrice_Low</vt:lpstr>
      <vt:lpstr>MO_VA_StockPrice_TradingCurrency</vt:lpstr>
      <vt:lpstr>MO_WCF_AP_Margin</vt:lpstr>
      <vt:lpstr>MO_WCF_AP_Margin_Change</vt:lpstr>
      <vt:lpstr>MO_WCF_AR_Margin</vt:lpstr>
      <vt:lpstr>MO_WCF_AR_Margin_Change</vt:lpstr>
      <vt:lpstr>MO_WCF_INV_Margin</vt:lpstr>
      <vt:lpstr>MO_WCF_INV_Margin_Change</vt:lpstr>
      <vt:lpstr>'Annual Summary'!Print_Area</vt:lpstr>
      <vt:lpstr>Model!Print_Area</vt:lpstr>
      <vt:lpstr>'Ratios (Quarterly)'!Print_Area</vt:lpstr>
      <vt:lpstr>'Summary Page'!Print_Area</vt:lpstr>
      <vt:lpstr>Model!Print_Titles</vt:lpstr>
      <vt:lpstr>SP.CompanyName</vt:lpstr>
      <vt:lpstr>SP.ReportFX</vt:lpstr>
      <vt:lpstr>SP.ValuationToggle</vt:lpstr>
      <vt:lpstr>SP_BSR_Capital</vt:lpstr>
      <vt:lpstr>SP_BSR_CashFlow</vt:lpstr>
      <vt:lpstr>SP_BSR_CashFlow_LTM</vt:lpstr>
      <vt:lpstr>SP_BSR_CL</vt:lpstr>
      <vt:lpstr>SP_BSR_CL_Avg</vt:lpstr>
      <vt:lpstr>SP_BSR_Debt</vt:lpstr>
      <vt:lpstr>SP_BSR_Debt_Avg</vt:lpstr>
      <vt:lpstr>SP_BSR_EBITDA</vt:lpstr>
      <vt:lpstr>SP_BSR_EBITDA_LTM</vt:lpstr>
      <vt:lpstr>SP_BSR_SE</vt:lpstr>
      <vt:lpstr>SP_BSR_SE_Avg</vt:lpstr>
      <vt:lpstr>SP_BSR_TA</vt:lpstr>
      <vt:lpstr>SP_BSR_TA_Avg</vt:lpstr>
      <vt:lpstr>SP_CFA_Acquisition</vt:lpstr>
      <vt:lpstr>SP_CFA_Capex</vt:lpstr>
      <vt:lpstr>SP_CFA_CFO_BeforeWC</vt:lpstr>
      <vt:lpstr>SP_CFA_CFO_PerShare</vt:lpstr>
      <vt:lpstr>SP_CFA_Debt</vt:lpstr>
      <vt:lpstr>SP_CFA_Div</vt:lpstr>
      <vt:lpstr>SP_CFA_Div_PerShare</vt:lpstr>
      <vt:lpstr>SP_CFA_Divestiture</vt:lpstr>
      <vt:lpstr>SP_CFA_Equity</vt:lpstr>
      <vt:lpstr>SP_CFA_FCF_PerShare</vt:lpstr>
      <vt:lpstr>SP_CFA_FCF_PostDiv</vt:lpstr>
      <vt:lpstr>SP_CFA_FCF_PreDiv</vt:lpstr>
      <vt:lpstr>SP_CFA_NetChange</vt:lpstr>
      <vt:lpstr>SP_CFA_Other</vt:lpstr>
      <vt:lpstr>SP_CFA_Payout_vsEPS</vt:lpstr>
      <vt:lpstr>SP_CFA_Payout_vsFCF</vt:lpstr>
      <vt:lpstr>SP_CFA_WC</vt:lpstr>
      <vt:lpstr>SP_Checks_SummaryPage</vt:lpstr>
      <vt:lpstr>SP_Common_Column_A</vt:lpstr>
      <vt:lpstr>SP_Common_Column_B</vt:lpstr>
      <vt:lpstr>SP_Common_ColumnHeader</vt:lpstr>
      <vt:lpstr>SP_Common_QEndDate</vt:lpstr>
      <vt:lpstr>SP_CS_Cash</vt:lpstr>
      <vt:lpstr>SP_CS_Debt</vt:lpstr>
      <vt:lpstr>SP_CS_EV</vt:lpstr>
      <vt:lpstr>SP_CS_EVCalc_Other</vt:lpstr>
      <vt:lpstr>SP_CS_MarketCap</vt:lpstr>
      <vt:lpstr>SP_CS_OL</vt:lpstr>
      <vt:lpstr>SP_CS_ShareCount</vt:lpstr>
      <vt:lpstr>SP_CS_StockPrice</vt:lpstr>
      <vt:lpstr>SP_GF_COGS</vt:lpstr>
      <vt:lpstr>SP_GF_DA</vt:lpstr>
      <vt:lpstr>SP_GF_DisCont</vt:lpstr>
      <vt:lpstr>SP_GF_Div_Prefs</vt:lpstr>
      <vt:lpstr>SP_GF_EBIT</vt:lpstr>
      <vt:lpstr>SP_GF_EBITDA</vt:lpstr>
      <vt:lpstr>SP_GF_EBT</vt:lpstr>
      <vt:lpstr>SP_GF_EPS_GAAP</vt:lpstr>
      <vt:lpstr>SP_GF_IE</vt:lpstr>
      <vt:lpstr>SP_GF_IE_Net</vt:lpstr>
      <vt:lpstr>SP_GF_NCI</vt:lpstr>
      <vt:lpstr>SP_GF_NI</vt:lpstr>
      <vt:lpstr>SP_GF_OI</vt:lpstr>
      <vt:lpstr>SP_GF_OI_Operating</vt:lpstr>
      <vt:lpstr>SP_GF_RD</vt:lpstr>
      <vt:lpstr>SP_GF_Rev</vt:lpstr>
      <vt:lpstr>SP_GF_SBC</vt:lpstr>
      <vt:lpstr>SP_GF_SGA</vt:lpstr>
      <vt:lpstr>SP_GF_Tax</vt:lpstr>
      <vt:lpstr>SP_MA_COGS</vt:lpstr>
      <vt:lpstr>SP_MA_EBIT</vt:lpstr>
      <vt:lpstr>SP_MA_EBIT_Adj</vt:lpstr>
      <vt:lpstr>SP_MA_EBITDA</vt:lpstr>
      <vt:lpstr>SP_MA_EBITDA_Adj</vt:lpstr>
      <vt:lpstr>SP_MA_RD</vt:lpstr>
      <vt:lpstr>SP_MA_SBC</vt:lpstr>
      <vt:lpstr>SP_MA_SGA</vt:lpstr>
      <vt:lpstr>SP_NGF_EBIT</vt:lpstr>
      <vt:lpstr>SP_NGF_EBITDA</vt:lpstr>
      <vt:lpstr>SP_NGF_EPS</vt:lpstr>
      <vt:lpstr>SP_NGF_NI</vt:lpstr>
      <vt:lpstr>SP_PR_ROA</vt:lpstr>
      <vt:lpstr>SP_PR_ROCE</vt:lpstr>
      <vt:lpstr>SP_PR_ROE</vt:lpstr>
      <vt:lpstr>SP_PR_ROIC</vt:lpstr>
      <vt:lpstr>SP_PSGM_CFO</vt:lpstr>
      <vt:lpstr>SP_PSGM_EBITDA_Adj</vt:lpstr>
      <vt:lpstr>SP_PSGM_FCF</vt:lpstr>
      <vt:lpstr>SP_PSGM_NI_Adj</vt:lpstr>
      <vt:lpstr>SP_PSGM_Revenue</vt:lpstr>
      <vt:lpstr>SP_Section_BalanceSheetRatios</vt:lpstr>
      <vt:lpstr>SP_Section_CapitalizationSummary</vt:lpstr>
      <vt:lpstr>SP_Section_CashFlowAnalysis</vt:lpstr>
      <vt:lpstr>SP_Section_Checks</vt:lpstr>
      <vt:lpstr>SP_Section_CompanySpecificOperationalData</vt:lpstr>
      <vt:lpstr>SP_Section_GAAPFinancials</vt:lpstr>
      <vt:lpstr>SP_Section_LastRow</vt:lpstr>
      <vt:lpstr>SP_Section_MarginAnalysis</vt:lpstr>
      <vt:lpstr>SP_Section_NonGAAPFinancials</vt:lpstr>
      <vt:lpstr>SP_Section_PerShareGrowthMetrics</vt:lpstr>
      <vt:lpstr>SP_Section_ProfitabilityRatios</vt:lpstr>
      <vt:lpstr>SP_Section_ValuationMetrics</vt:lpstr>
      <vt:lpstr>SP_VM_EV_ToEBITDA</vt:lpstr>
      <vt:lpstr>SP_VM_FCFYield_ToEV</vt:lpstr>
      <vt:lpstr>SP_VM_FCFYield_ToMktCap</vt:lpstr>
      <vt:lpstr>SP_VM_P_ToCF</vt:lpstr>
      <vt:lpstr>SP_VM_P_ToE</vt:lpstr>
      <vt:lpstr>tb_ConsensusEstimate</vt:lpstr>
      <vt:lpstr>tb_EntireModel</vt:lpstr>
      <vt:lpstr>tb_KeyOutputs</vt:lpstr>
      <vt:lpstr>tb_StockPrice</vt:lpstr>
      <vt:lpstr>tb_Tickers</vt:lpstr>
      <vt:lpstr>tb_UpdateLog</vt:lpstr>
      <vt:lpstr>tb_ValuationToggle</vt:lpstr>
      <vt:lpstr>UL.CSIN</vt:lpstr>
      <vt:lpstr>UL.ModelVersion</vt:lpstr>
      <vt:lpstr>UL.MRQ</vt:lpstr>
      <vt:lpstr>UL.MRQColNum</vt:lpstr>
      <vt:lpstr>z_8ZF0D70112_DW_AN_SBCinCOGS</vt:lpstr>
      <vt:lpstr>z_8ZF0D70112_DW_AN_SBCinRD</vt:lpstr>
      <vt:lpstr>z_8ZF0D70112_DW_AN_SBCinSGA</vt:lpstr>
      <vt:lpstr>z_8ZF0D70112_DW_BlankRow_OS</vt:lpstr>
      <vt:lpstr>z_8ZF0D70112_DW_BlankRow_OS_1</vt:lpstr>
      <vt:lpstr>z_8ZF0D70112_DW_BlankRow_OS_10</vt:lpstr>
      <vt:lpstr>z_8ZF0D70112_DW_BlankRow_OS_11</vt:lpstr>
      <vt:lpstr>z_8ZF0D70112_DW_BlankRow_OS_12</vt:lpstr>
      <vt:lpstr>z_8ZF0D70112_DW_BlankRow_OS_13</vt:lpstr>
      <vt:lpstr>z_8ZF0D70112_DW_BlankRow_OS_14</vt:lpstr>
      <vt:lpstr>z_8ZF0D70112_DW_BlankRow_OS_15</vt:lpstr>
      <vt:lpstr>z_8ZF0D70112_DW_BlankRow_OS_16</vt:lpstr>
      <vt:lpstr>z_8ZF0D70112_DW_BlankRow_OS_17</vt:lpstr>
      <vt:lpstr>z_8ZF0D70112_DW_BlankRow_OS_2</vt:lpstr>
      <vt:lpstr>z_8ZF0D70112_DW_BlankRow_OS_3</vt:lpstr>
      <vt:lpstr>z_8ZF0D70112_DW_BlankRow_OS_4</vt:lpstr>
      <vt:lpstr>z_8ZF0D70112_DW_BlankRow_OS_5</vt:lpstr>
      <vt:lpstr>z_8ZF0D70112_DW_BlankRow_OS_6</vt:lpstr>
      <vt:lpstr>z_8ZF0D70112_DW_BlankRow_OS_7</vt:lpstr>
      <vt:lpstr>z_8ZF0D70112_DW_BlankRow_OS_8</vt:lpstr>
      <vt:lpstr>z_8ZF0D70112_DW_BlankRow_OS_9</vt:lpstr>
      <vt:lpstr>z_8ZF0D70112_DW_BSS_EffectiveInterestRateonCash</vt:lpstr>
      <vt:lpstr>z_8ZF0D70112_DW_BSS_EffectiveInterestRateonDebt</vt:lpstr>
      <vt:lpstr>z_8ZF0D70112_DW_CFSum_Acquisitions</vt:lpstr>
      <vt:lpstr>z_8ZF0D70112_DW_CFSum_Capex</vt:lpstr>
      <vt:lpstr>z_8ZF0D70112_DW_CFSum_Divestiture</vt:lpstr>
      <vt:lpstr>z_8ZF0D70112_DW_CFSum_DividendPerShare</vt:lpstr>
      <vt:lpstr>z_8ZF0D70112_DW_CFSum_EstimatedSharePriceforIssuanceBuybacks</vt:lpstr>
      <vt:lpstr>z_8ZF0D70112_DW_CFSum_NetDebtIssuanceRepayment</vt:lpstr>
      <vt:lpstr>z_8ZF0D70112_DW_CFSum_NetShareIssuanceBuybacks</vt:lpstr>
      <vt:lpstr>z_8ZF0D70112_DW_DAF_DepreciationaspercentageofPPEBoP</vt:lpstr>
      <vt:lpstr>z_8ZF0D70112_DW_DAF_Percentageofcapexallocatedtointangibleassets</vt:lpstr>
      <vt:lpstr>z_8ZF0D70112_DW_GA_CorporateandUnallocatedandEliminationofdualCreditTranslationSalesGrowth</vt:lpstr>
      <vt:lpstr>z_8ZF0D70112_DW_GA_SafetyandIndustrialOrganicLocalCurrencySalesGrowth</vt:lpstr>
      <vt:lpstr>z_8ZF0D70112_DW_Header_ColumnHeader</vt:lpstr>
      <vt:lpstr>z_8ZF0D70112_DW_Header_CompanySubTitle</vt:lpstr>
      <vt:lpstr>z_8ZF0D70112_DW_Header_CompanyTitle</vt:lpstr>
      <vt:lpstr>z_8ZF0D70112_DW_Header_FPDays</vt:lpstr>
      <vt:lpstr>z_8ZF0D70112_DW_Header_QEndDate</vt:lpstr>
      <vt:lpstr>z_8ZF0D70112_DW_MA_RDMargin</vt:lpstr>
      <vt:lpstr>z_8ZF0D70112_DW_MA_SafetyandIndustrialoperatingIncomemargin</vt:lpstr>
      <vt:lpstr>z_8ZF0D70112_DW_MA_SGAMargin</vt:lpstr>
      <vt:lpstr>z_8ZF0D70112_DW_OS_AccountspayableYYChange</vt:lpstr>
      <vt:lpstr>z_8ZF0D70112_DW_OS_AccountsreceivablenetYYChange</vt:lpstr>
      <vt:lpstr>z_8ZF0D70112_DW_OS_Capex</vt:lpstr>
      <vt:lpstr>z_8ZF0D70112_DW_OS_ConsensusEstimatesAdjustedEarningsPerShareWAD</vt:lpstr>
      <vt:lpstr>z_8ZF0D70112_DW_OS_ConsensusEstimatesAdjustedEBIT_1</vt:lpstr>
      <vt:lpstr>z_8ZF0D70112_DW_OS_ConsensusEstimatesAdjustedEBITDA</vt:lpstr>
      <vt:lpstr>z_8ZF0D70112_DW_OS_ConsensusEstimatesCapex</vt:lpstr>
      <vt:lpstr>z_8ZF0D70112_DW_OS_ConsensusEstimatesCashFlowPerDilutedShare</vt:lpstr>
      <vt:lpstr>z_8ZF0D70112_DW_OS_ConsensusEstimatesGrossMargin</vt:lpstr>
      <vt:lpstr>z_8ZF0D70112_DW_OS_ConsensusEstimatesNetRevenue</vt:lpstr>
      <vt:lpstr>z_8ZF0D70112_DW_OS_ConsumerAcquisitionSalesGrowth</vt:lpstr>
      <vt:lpstr>z_8ZF0D70112_DW_OS_ConsumerDA</vt:lpstr>
      <vt:lpstr>z_8ZF0D70112_DW_OS_ConsumerDivestitureSalesGrowth</vt:lpstr>
      <vt:lpstr>z_8ZF0D70112_DW_OS_ConsumeroperatingIncomemargin</vt:lpstr>
      <vt:lpstr>z_8ZF0D70112_DW_OS_ConsumerOrganicLocalCurrencySalesGrowth_2</vt:lpstr>
      <vt:lpstr>z_8ZF0D70112_DW_OS_ConsumerRevenue_4</vt:lpstr>
      <vt:lpstr>z_8ZF0D70112_DW_OS_ConsumerRoundingSalesGrowth</vt:lpstr>
      <vt:lpstr>z_8ZF0D70112_DW_OS_ConsumerTranslationSalesGrowth</vt:lpstr>
      <vt:lpstr>z_8ZF0D70112_DW_OS_ConsumerYYoperatingincomemarginchange</vt:lpstr>
      <vt:lpstr>z_8ZF0D70112_DW_OS_CorporateandunallocatedDA</vt:lpstr>
      <vt:lpstr>z_8ZF0D70112_DW_OS_CorporateandUnallocatedOperatingIncomeasoftotalrevenue</vt:lpstr>
      <vt:lpstr>z_8ZF0D70112_DW_OS_CorporateandUnallocatedRevenue_2</vt:lpstr>
      <vt:lpstr>z_8ZF0D70112_DW_OS_DA</vt:lpstr>
      <vt:lpstr>z_8ZF0D70112_DW_OS_EBIT</vt:lpstr>
      <vt:lpstr>z_8ZF0D70112_DW_OS_EliminationofDualCreditoperatingIncomemargin</vt:lpstr>
      <vt:lpstr>z_8ZF0D70112_DW_OS_EliminationofDualCreditRevenueasoftotalrevenue</vt:lpstr>
      <vt:lpstr>z_8ZF0D70112_DW_OS_FCFFirm</vt:lpstr>
      <vt:lpstr>z_8ZF0D70112_DW_OS_HealthCareAcquisitionSalesGrowth</vt:lpstr>
      <vt:lpstr>z_8ZF0D70112_DW_OS_HealthCareDA</vt:lpstr>
      <vt:lpstr>z_8ZF0D70112_DW_OS_HealthCareDivestitureSalesGrowth</vt:lpstr>
      <vt:lpstr>z_8ZF0D70112_DW_OS_HealthCareoperatingIncomemargin</vt:lpstr>
      <vt:lpstr>z_8ZF0D70112_DW_OS_HealthCareOrganicLocalCurrencySalesGrowth_2</vt:lpstr>
      <vt:lpstr>z_8ZF0D70112_DW_OS_HealthCareRevenue_4</vt:lpstr>
      <vt:lpstr>z_8ZF0D70112_DW_OS_HealthCareRoundingSalesGrowth</vt:lpstr>
      <vt:lpstr>z_8ZF0D70112_DW_OS_HealthCareTranslationSalesGrowth</vt:lpstr>
      <vt:lpstr>z_8ZF0D70112_DW_OS_HealthCareYYoperatingincomemarginchange</vt:lpstr>
      <vt:lpstr>z_8ZF0D70112_DW_OS_NetChangeinWC</vt:lpstr>
      <vt:lpstr>z_8ZF0D70112_DW_OS_PrepaidsYYChange</vt:lpstr>
      <vt:lpstr>z_8ZF0D70112_DW_OS_SafetyandIndustrialAcquisitionSalesGrowth</vt:lpstr>
      <vt:lpstr>z_8ZF0D70112_DW_OS_SafetyandIndustrialDA</vt:lpstr>
      <vt:lpstr>z_8ZF0D70112_DW_OS_SafetyandIndustrialDivestitureSalesGrowth</vt:lpstr>
      <vt:lpstr>z_8ZF0D70112_DW_OS_SafetyandIndustrialRevenue_1</vt:lpstr>
      <vt:lpstr>z_8ZF0D70112_DW_OS_SafetyandIndustrialRoundingSalesGrowth</vt:lpstr>
      <vt:lpstr>z_8ZF0D70112_DW_OS_SafetyandIndustrialTranslationSalesGrowth</vt:lpstr>
      <vt:lpstr>z_8ZF0D70112_DW_OS_SafetyandIndustrialYYoperatingincomemarginchange</vt:lpstr>
      <vt:lpstr>z_8ZF0D70112_DW_OS_TotalinventoriesYYChange</vt:lpstr>
      <vt:lpstr>z_8ZF0D70112_DW_OS_TotalTax</vt:lpstr>
      <vt:lpstr>z_8ZF0D70112_DW_OS_TransportationandElectronicsAcquisitionSalesGrowth</vt:lpstr>
      <vt:lpstr>z_8ZF0D70112_DW_OS_TransportationandElectronicsDA</vt:lpstr>
      <vt:lpstr>z_8ZF0D70112_DW_OS_TransportationandElectronicsDivestitureSalesGrowth</vt:lpstr>
      <vt:lpstr>z_8ZF0D70112_DW_OS_TransportationandElectronicsoperatingIncomemargin</vt:lpstr>
      <vt:lpstr>z_8ZF0D70112_DW_OS_TransportationandElectronicsOrganicLocalCurrencySalesGrowth</vt:lpstr>
      <vt:lpstr>z_8ZF0D70112_DW_OS_TransportationandElectronicsRevenue_1</vt:lpstr>
      <vt:lpstr>z_8ZF0D70112_DW_OS_TransportationandElectronicsRoundingSalesGrowth</vt:lpstr>
      <vt:lpstr>z_8ZF0D70112_DW_OS_TransportationandElectronicsTranslationSalesGrowth</vt:lpstr>
      <vt:lpstr>z_8ZF0D70112_DW_OS_TransportationandElectronicsYYoperatingincomemarginchange</vt:lpstr>
      <vt:lpstr>z_8ZF0D70112_DW_RIS_AdjustedEarningsPerShareWAD</vt:lpstr>
      <vt:lpstr>z_8ZF0D70112_DW_RIS_AdjustedEBITDANoAdjustments</vt:lpstr>
      <vt:lpstr>z_8ZF0D70112_DW_RIS_AdjustmentsforConvertibleSecurities</vt:lpstr>
      <vt:lpstr>z_8ZF0D70112_DW_RIS_Currenttaxrate</vt:lpstr>
      <vt:lpstr>z_8ZF0D70112_DW_RIS_Deferredtaxrate</vt:lpstr>
      <vt:lpstr>z_8ZF0D70112_DW_RIS_DiscontinuedOperations</vt:lpstr>
      <vt:lpstr>z_8ZF0D70112_DW_RIS_NetIncometoNCI</vt:lpstr>
      <vt:lpstr>z_8ZF0D70112_DW_RIS_NetRevenue</vt:lpstr>
      <vt:lpstr>z_8ZF0D70112_DW_RIS_NonGAAPAdjustments</vt:lpstr>
      <vt:lpstr>z_8ZF0D70112_DW_RIS_NonGAAPAdjustmentsforDilutiveSecurities</vt:lpstr>
      <vt:lpstr>z_8ZF0D70112_DW_RIS_Onetimeitem</vt:lpstr>
      <vt:lpstr>z_8ZF0D70112_DW_RIS_Other</vt:lpstr>
      <vt:lpstr>z_8ZF0D70112_DW_RIS_Otheritems</vt:lpstr>
      <vt:lpstr>z_8ZF0D70112_DW_RIS_Preferredstockdividends</vt:lpstr>
      <vt:lpstr>z_8ZF0D70112_DW_Section_OS_AdjustedNumbersAsReported</vt:lpstr>
      <vt:lpstr>z_8ZF0D70112_DW_Section_OS_BalanceSheetSummary</vt:lpstr>
      <vt:lpstr>z_8ZF0D70112_DW_Section_OS_Canalyst</vt:lpstr>
      <vt:lpstr>z_8ZF0D70112_DW_Section_OS_CashFlowSummary</vt:lpstr>
      <vt:lpstr>z_8ZF0D70112_DW_Section_OS_ConsensusEstimates</vt:lpstr>
      <vt:lpstr>z_8ZF0D70112_DW_Section_OS_DAForecasting</vt:lpstr>
      <vt:lpstr>z_8ZF0D70112_DW_Section_OS_KeyOutputs</vt:lpstr>
      <vt:lpstr>z_8ZF0D70112_DW_Section_OS_MarginAnalysis</vt:lpstr>
      <vt:lpstr>z_8ZF0D70112_DW_Section_OS_RevisedIncomeStatement</vt:lpstr>
      <vt:lpstr>z_8ZF0D70112_DW_Section_OS_SegmentedResultsConsumerPR10QKIP</vt:lpstr>
      <vt:lpstr>z_8ZF0D70112_DW_Section_OS_SegmentedResultsCorporateandUnallocated10QK</vt:lpstr>
      <vt:lpstr>z_8ZF0D70112_DW_Section_OS_SegmentedResultsEliminationsofDualCredit10QK</vt:lpstr>
      <vt:lpstr>z_8ZF0D70112_DW_Section_OS_SegmentedResultsHealthCarePR10QKIP</vt:lpstr>
      <vt:lpstr>z_8ZF0D70112_DW_Section_OS_SegmentedResultsRevenueBreakdown10QKPR</vt:lpstr>
      <vt:lpstr>z_8ZF0D70112_DW_Section_OS_SegmentedResultsSafetyandIndustrialPR10QKIP</vt:lpstr>
      <vt:lpstr>z_8ZF0D70112_DW_Section_OS_SegmentedResultsTransportationandElectronicsPR10QKIP</vt:lpstr>
      <vt:lpstr>z_8ZF0D70112_DW_Section_OS_SimplifiedFCFCalculation</vt:lpstr>
      <vt:lpstr>z_8ZF0D70112_DW_Section_OS_WorkingCapitalForecasting</vt:lpstr>
      <vt:lpstr>z_8ZF0D70112_DW_VA_EVEBITDAAverage</vt:lpstr>
      <vt:lpstr>z_8ZF0D70112_DW_VA_PEAverage</vt:lpstr>
      <vt:lpstr>z_8ZF0D70112_MO_AN_AdjustedEBITDA</vt:lpstr>
      <vt:lpstr>z_8ZF0D70112_MO_AN_AdjustmentforMNNRDResolution</vt:lpstr>
      <vt:lpstr>z_8ZF0D70112_MO_AN_Adjustmentforsignificantlitigationrelatedcharges</vt:lpstr>
      <vt:lpstr>z_8ZF0D70112_MO_AN_Adjustmentforsignificantlitigationrelatedcharges_1</vt:lpstr>
      <vt:lpstr>z_8ZF0D70112_MO_AN_adjustments</vt:lpstr>
      <vt:lpstr>z_8ZF0D70112_MO_AN_Amortizationexpense</vt:lpstr>
      <vt:lpstr>z_8ZF0D70112_MO_AN_Depreciationandamortizationexpense</vt:lpstr>
      <vt:lpstr>z_8ZF0D70112_MO_AN_Divestitureimpacts</vt:lpstr>
      <vt:lpstr>z_8ZF0D70112_MO_AN_Divestiturerelatedrestructuring</vt:lpstr>
      <vt:lpstr>z_8ZF0D70112_MO_AN_Divestiturerelatedrestructuringactions</vt:lpstr>
      <vt:lpstr>z_8ZF0D70112_MO_AN_Gainlossonsaleofbusinesses</vt:lpstr>
      <vt:lpstr>z_8ZF0D70112_MO_AN_Gainlossonsaleofbusinesses_1</vt:lpstr>
      <vt:lpstr>z_8ZF0D70112_MO_AN_Interestincomeexpense</vt:lpstr>
      <vt:lpstr>z_8ZF0D70112_MO_AN_Lossgainonsaleofbusinesses</vt:lpstr>
      <vt:lpstr>z_8ZF0D70112_MO_AN_Lossincomefromunconsolidatedsubsidiaries</vt:lpstr>
      <vt:lpstr>z_8ZF0D70112_MO_AN_LossondeconsolidationofVenezuelansubsidiary</vt:lpstr>
      <vt:lpstr>z_8ZF0D70112_MO_AN_LossonVenezueladeconsolidation</vt:lpstr>
      <vt:lpstr>z_8ZF0D70112_MO_AN_LossonVenezueladeconsolidation_1</vt:lpstr>
      <vt:lpstr>z_8ZF0D70112_MO_AN_Netincomeattributableto3M</vt:lpstr>
      <vt:lpstr>z_8ZF0D70112_MO_AN_netincomegaap</vt:lpstr>
      <vt:lpstr>z_8ZF0D70112_MO_AN_NetincomelossattributabletoNCI</vt:lpstr>
      <vt:lpstr>z_8ZF0D70112_MO_AN_netincomenongaap</vt:lpstr>
      <vt:lpstr>z_8ZF0D70112_MO_AN_operatingincomegaap</vt:lpstr>
      <vt:lpstr>z_8ZF0D70112_MO_AN_OperatingIncomeNonGAAP</vt:lpstr>
      <vt:lpstr>z_8ZF0D70112_MO_AN_PensionOPEBnonservicecostbenefit</vt:lpstr>
      <vt:lpstr>z_8ZF0D70112_MO_AN_Provisionforincometaxes</vt:lpstr>
      <vt:lpstr>z_8ZF0D70112_MO_AN_SBCinCOGS</vt:lpstr>
      <vt:lpstr>z_8ZF0D70112_MO_AN_SBCinRD</vt:lpstr>
      <vt:lpstr>z_8ZF0D70112_MO_AN_SBCinSGA</vt:lpstr>
      <vt:lpstr>z_8ZF0D70112_MO_AN_Significantlitigationrelatedchargesbenefits</vt:lpstr>
      <vt:lpstr>z_8ZF0D70112_MO_AN_strategicinvestments</vt:lpstr>
      <vt:lpstr>z_8ZF0D70112_MO_AN_TCJA</vt:lpstr>
      <vt:lpstr>z_8ZF0D70112_MO_AN_TotalSBC</vt:lpstr>
      <vt:lpstr>z_8ZF0D70112_MO_BlankRow_AN</vt:lpstr>
      <vt:lpstr>z_8ZF0D70112_MO_BlankRow_AN_2</vt:lpstr>
      <vt:lpstr>z_8ZF0D70112_MO_BlankRow_AN_3</vt:lpstr>
      <vt:lpstr>z_8ZF0D70112_MO_BlankRow_AN_4</vt:lpstr>
      <vt:lpstr>z_8ZF0D70112_MO_BlankRow_AN_5</vt:lpstr>
      <vt:lpstr>z_8ZF0D70112_MO_BlankRow_BS_1</vt:lpstr>
      <vt:lpstr>z_8ZF0D70112_MO_BlankRow_BS_2</vt:lpstr>
      <vt:lpstr>z_8ZF0D70112_MO_BlankRow_BS_3</vt:lpstr>
      <vt:lpstr>z_8ZF0D70112_MO_BlankRow_BS_4</vt:lpstr>
      <vt:lpstr>z_8ZF0D70112_MO_BlankRow_BS_5</vt:lpstr>
      <vt:lpstr>z_8ZF0D70112_MO_BlankRow_BS_6</vt:lpstr>
      <vt:lpstr>z_8ZF0D70112_MO_BlankRow_BSS</vt:lpstr>
      <vt:lpstr>z_8ZF0D70112_MO_BlankRow_BSS_1</vt:lpstr>
      <vt:lpstr>z_8ZF0D70112_MO_BlankRow_BSS_2</vt:lpstr>
      <vt:lpstr>z_8ZF0D70112_MO_BlankRow_CCFS</vt:lpstr>
      <vt:lpstr>z_8ZF0D70112_MO_BlankRow_CCFS_1</vt:lpstr>
      <vt:lpstr>z_8ZF0D70112_MO_BlankRow_CCFS_2</vt:lpstr>
      <vt:lpstr>z_8ZF0D70112_MO_BlankRow_CCFS_3</vt:lpstr>
      <vt:lpstr>z_8ZF0D70112_MO_BlankRow_CCFS_4</vt:lpstr>
      <vt:lpstr>z_8ZF0D70112_MO_BlankRow_CFS_2</vt:lpstr>
      <vt:lpstr>z_8ZF0D70112_MO_BlankRow_CFS_3</vt:lpstr>
      <vt:lpstr>z_8ZF0D70112_MO_BlankRow_CFS_4</vt:lpstr>
      <vt:lpstr>z_8ZF0D70112_MO_BlankRow_CFS_5</vt:lpstr>
      <vt:lpstr>z_8ZF0D70112_MO_BlankRow_CFS_6</vt:lpstr>
      <vt:lpstr>z_8ZF0D70112_MO_BlankRow_CFS_7</vt:lpstr>
      <vt:lpstr>z_8ZF0D70112_MO_BlankRow_CFSum</vt:lpstr>
      <vt:lpstr>z_8ZF0D70112_MO_BlankRow_CFSum_1</vt:lpstr>
      <vt:lpstr>z_8ZF0D70112_MO_BlankRow_CFSum_2</vt:lpstr>
      <vt:lpstr>z_8ZF0D70112_MO_BlankRow_DAF</vt:lpstr>
      <vt:lpstr>z_8ZF0D70112_MO_BlankRow_DAF_1</vt:lpstr>
      <vt:lpstr>z_8ZF0D70112_MO_BlankRow_DAF_2</vt:lpstr>
      <vt:lpstr>z_8ZF0D70112_MO_BlankRow_DAF_3</vt:lpstr>
      <vt:lpstr>z_8ZF0D70112_MO_BlankRow_GA_2</vt:lpstr>
      <vt:lpstr>z_8ZF0D70112_MO_BlankRow_GA_3</vt:lpstr>
      <vt:lpstr>z_8ZF0D70112_MO_BlankRow_GA_4</vt:lpstr>
      <vt:lpstr>z_8ZF0D70112_MO_BlankRow_GA_5</vt:lpstr>
      <vt:lpstr>z_8ZF0D70112_MO_BlankRow_IS</vt:lpstr>
      <vt:lpstr>z_8ZF0D70112_MO_BlankRow_IS_1</vt:lpstr>
      <vt:lpstr>z_8ZF0D70112_MO_BlankRow_MA</vt:lpstr>
      <vt:lpstr>z_8ZF0D70112_MO_BlankRow_MA_2</vt:lpstr>
      <vt:lpstr>z_8ZF0D70112_MO_BlankRow_MA_3</vt:lpstr>
      <vt:lpstr>z_8ZF0D70112_MO_BlankRow_MA_4</vt:lpstr>
      <vt:lpstr>z_8ZF0D70112_MO_BlankRow_MA_5</vt:lpstr>
      <vt:lpstr>z_8ZF0D70112_MO_BlankRow_MA_6</vt:lpstr>
      <vt:lpstr>z_8ZF0D70112_MO_BlankRow_MA_7</vt:lpstr>
      <vt:lpstr>z_8ZF0D70112_MO_BlankRow_OS</vt:lpstr>
      <vt:lpstr>z_8ZF0D70112_MO_BlankRow_OS_1</vt:lpstr>
      <vt:lpstr>z_8ZF0D70112_MO_BlankRow_OS_10</vt:lpstr>
      <vt:lpstr>z_8ZF0D70112_MO_BlankRow_OS_11</vt:lpstr>
      <vt:lpstr>z_8ZF0D70112_MO_BlankRow_OS_12</vt:lpstr>
      <vt:lpstr>z_8ZF0D70112_MO_BlankRow_OS_13</vt:lpstr>
      <vt:lpstr>z_8ZF0D70112_MO_BlankRow_OS_14</vt:lpstr>
      <vt:lpstr>z_8ZF0D70112_MO_BlankRow_OS_15</vt:lpstr>
      <vt:lpstr>z_8ZF0D70112_MO_BlankRow_OS_16</vt:lpstr>
      <vt:lpstr>z_8ZF0D70112_MO_BlankRow_OS_17</vt:lpstr>
      <vt:lpstr>z_8ZF0D70112_MO_BlankRow_OS_18</vt:lpstr>
      <vt:lpstr>z_8ZF0D70112_MO_BlankRow_OS_19</vt:lpstr>
      <vt:lpstr>z_8ZF0D70112_MO_BlankRow_OS_20</vt:lpstr>
      <vt:lpstr>z_8ZF0D70112_MO_BlankRow_OS_21</vt:lpstr>
      <vt:lpstr>z_8ZF0D70112_MO_BlankRow_OS_22</vt:lpstr>
      <vt:lpstr>z_8ZF0D70112_MO_BlankRow_OS_23</vt:lpstr>
      <vt:lpstr>z_8ZF0D70112_MO_BlankRow_OS_24</vt:lpstr>
      <vt:lpstr>z_8ZF0D70112_MO_BlankRow_OS_25</vt:lpstr>
      <vt:lpstr>z_8ZF0D70112_MO_BlankRow_OS_26</vt:lpstr>
      <vt:lpstr>z_8ZF0D70112_MO_BlankRow_OS_27</vt:lpstr>
      <vt:lpstr>z_8ZF0D70112_MO_BlankRow_OS_28</vt:lpstr>
      <vt:lpstr>z_8ZF0D70112_MO_BlankRow_OS_29</vt:lpstr>
      <vt:lpstr>z_8ZF0D70112_MO_BlankRow_OS_3</vt:lpstr>
      <vt:lpstr>z_8ZF0D70112_MO_BlankRow_OS_30</vt:lpstr>
      <vt:lpstr>z_8ZF0D70112_MO_BlankRow_OS_31</vt:lpstr>
      <vt:lpstr>z_8ZF0D70112_MO_BlankRow_OS_32</vt:lpstr>
      <vt:lpstr>z_8ZF0D70112_MO_BlankRow_OS_33</vt:lpstr>
      <vt:lpstr>z_8ZF0D70112_MO_BlankRow_OS_34</vt:lpstr>
      <vt:lpstr>z_8ZF0D70112_MO_BlankRow_OS_35</vt:lpstr>
      <vt:lpstr>z_8ZF0D70112_MO_BlankRow_OS_36</vt:lpstr>
      <vt:lpstr>z_8ZF0D70112_MO_BlankRow_OS_37</vt:lpstr>
      <vt:lpstr>z_8ZF0D70112_MO_BlankRow_OS_38</vt:lpstr>
      <vt:lpstr>z_8ZF0D70112_MO_BlankRow_OS_39</vt:lpstr>
      <vt:lpstr>z_8ZF0D70112_MO_BlankRow_OS_4</vt:lpstr>
      <vt:lpstr>z_8ZF0D70112_MO_BlankRow_OS_40</vt:lpstr>
      <vt:lpstr>z_8ZF0D70112_MO_BlankRow_OS_41</vt:lpstr>
      <vt:lpstr>z_8ZF0D70112_MO_BlankRow_OS_42</vt:lpstr>
      <vt:lpstr>z_8ZF0D70112_MO_BlankRow_OS_43</vt:lpstr>
      <vt:lpstr>z_8ZF0D70112_MO_BlankRow_OS_44</vt:lpstr>
      <vt:lpstr>z_8ZF0D70112_MO_BlankRow_OS_45</vt:lpstr>
      <vt:lpstr>z_8ZF0D70112_MO_BlankRow_OS_46</vt:lpstr>
      <vt:lpstr>z_8ZF0D70112_MO_BlankRow_OS_47</vt:lpstr>
      <vt:lpstr>z_8ZF0D70112_MO_BlankRow_OS_48</vt:lpstr>
      <vt:lpstr>z_8ZF0D70112_MO_BlankRow_OS_49</vt:lpstr>
      <vt:lpstr>z_8ZF0D70112_MO_BlankRow_OS_5</vt:lpstr>
      <vt:lpstr>z_8ZF0D70112_MO_BlankRow_OS_50</vt:lpstr>
      <vt:lpstr>z_8ZF0D70112_MO_BlankRow_OS_51</vt:lpstr>
      <vt:lpstr>z_8ZF0D70112_MO_BlankRow_OS_52</vt:lpstr>
      <vt:lpstr>z_8ZF0D70112_MO_BlankRow_OS_53</vt:lpstr>
      <vt:lpstr>z_8ZF0D70112_MO_BlankRow_OS_54</vt:lpstr>
      <vt:lpstr>z_8ZF0D70112_MO_BlankRow_OS_55</vt:lpstr>
      <vt:lpstr>z_8ZF0D70112_MO_BlankRow_OS_56</vt:lpstr>
      <vt:lpstr>z_8ZF0D70112_MO_BlankRow_OS_57</vt:lpstr>
      <vt:lpstr>z_8ZF0D70112_MO_BlankRow_OS_58</vt:lpstr>
      <vt:lpstr>z_8ZF0D70112_MO_BlankRow_OS_59</vt:lpstr>
      <vt:lpstr>z_8ZF0D70112_MO_BlankRow_OS_6</vt:lpstr>
      <vt:lpstr>z_8ZF0D70112_MO_BlankRow_OS_60</vt:lpstr>
      <vt:lpstr>z_8ZF0D70112_MO_BlankRow_OS_61</vt:lpstr>
      <vt:lpstr>z_8ZF0D70112_MO_BlankRow_OS_62</vt:lpstr>
      <vt:lpstr>z_8ZF0D70112_MO_BlankRow_OS_63</vt:lpstr>
      <vt:lpstr>z_8ZF0D70112_MO_BlankRow_OS_64</vt:lpstr>
      <vt:lpstr>z_8ZF0D70112_MO_BlankRow_OS_65</vt:lpstr>
      <vt:lpstr>z_8ZF0D70112_MO_BlankRow_OS_66</vt:lpstr>
      <vt:lpstr>z_8ZF0D70112_MO_BlankRow_OS_67</vt:lpstr>
      <vt:lpstr>z_8ZF0D70112_MO_BlankRow_OS_68</vt:lpstr>
      <vt:lpstr>z_8ZF0D70112_MO_BlankRow_OS_69</vt:lpstr>
      <vt:lpstr>z_8ZF0D70112_MO_BlankRow_OS_7</vt:lpstr>
      <vt:lpstr>z_8ZF0D70112_MO_BlankRow_OS_70</vt:lpstr>
      <vt:lpstr>z_8ZF0D70112_MO_BlankRow_OS_71</vt:lpstr>
      <vt:lpstr>z_8ZF0D70112_MO_BlankRow_OS_72</vt:lpstr>
      <vt:lpstr>z_8ZF0D70112_MO_BlankRow_OS_73</vt:lpstr>
      <vt:lpstr>z_8ZF0D70112_MO_BlankRow_OS_74</vt:lpstr>
      <vt:lpstr>z_8ZF0D70112_MO_BlankRow_OS_75</vt:lpstr>
      <vt:lpstr>z_8ZF0D70112_MO_BlankRow_OS_76</vt:lpstr>
      <vt:lpstr>z_8ZF0D70112_MO_BlankRow_OS_77</vt:lpstr>
      <vt:lpstr>z_8ZF0D70112_MO_BlankRow_OS_78</vt:lpstr>
      <vt:lpstr>z_8ZF0D70112_MO_BlankRow_OS_79</vt:lpstr>
      <vt:lpstr>z_8ZF0D70112_MO_BlankRow_OS_8</vt:lpstr>
      <vt:lpstr>z_8ZF0D70112_MO_BlankRow_OS_80</vt:lpstr>
      <vt:lpstr>z_8ZF0D70112_MO_BlankRow_OS_81</vt:lpstr>
      <vt:lpstr>z_8ZF0D70112_MO_BlankRow_OS_9</vt:lpstr>
      <vt:lpstr>z_8ZF0D70112_MO_BlankRow_RIS</vt:lpstr>
      <vt:lpstr>z_8ZF0D70112_MO_BlankRow_RIS_1</vt:lpstr>
      <vt:lpstr>z_8ZF0D70112_MO_BlankRow_RIS_2</vt:lpstr>
      <vt:lpstr>z_8ZF0D70112_MO_BlankRow_RIS_3</vt:lpstr>
      <vt:lpstr>z_8ZF0D70112_MO_BlankRow_RIS_4</vt:lpstr>
      <vt:lpstr>z_8ZF0D70112_MO_BlankRow_RIS_5</vt:lpstr>
      <vt:lpstr>z_8ZF0D70112_MO_BlankRow_RIS_6</vt:lpstr>
      <vt:lpstr>z_8ZF0D70112_MO_BlankRow_RIS_7</vt:lpstr>
      <vt:lpstr>z_8ZF0D70112_MO_BlankRow_RIS_8</vt:lpstr>
      <vt:lpstr>z_8ZF0D70112_MO_BS_Accountspayable</vt:lpstr>
      <vt:lpstr>z_8ZF0D70112_MO_BS_Accountsreceivablenet</vt:lpstr>
      <vt:lpstr>z_8ZF0D70112_MO_BS_accruedincometaxes</vt:lpstr>
      <vt:lpstr>z_8ZF0D70112_MO_BS_accruedpayroll</vt:lpstr>
      <vt:lpstr>z_8ZF0D70112_MO_BS_Accumulatedothercomprehensiveincomeloss</vt:lpstr>
      <vt:lpstr>z_8ZF0D70112_MO_BS_Additionalpaidincapital</vt:lpstr>
      <vt:lpstr>z_8ZF0D70112_MO_BS_BSCheck</vt:lpstr>
      <vt:lpstr>z_8ZF0D70112_MO_BS_cashandcashequivalents</vt:lpstr>
      <vt:lpstr>z_8ZF0D70112_MO_BS_commonstock</vt:lpstr>
      <vt:lpstr>z_8ZF0D70112_MO_BS_CurrentAssets</vt:lpstr>
      <vt:lpstr>z_8ZF0D70112_MO_BS_CurrentLiabilities</vt:lpstr>
      <vt:lpstr>z_8ZF0D70112_MO_BS_finishedgoods</vt:lpstr>
      <vt:lpstr>z_8ZF0D70112_MO_BS_Goodwill</vt:lpstr>
      <vt:lpstr>z_8ZF0D70112_MO_BS_Intangibleassetsnet</vt:lpstr>
      <vt:lpstr>z_8ZF0D70112_MO_BS_investments</vt:lpstr>
      <vt:lpstr>z_8ZF0D70112_MO_BS_lessaccumulateddepreciation</vt:lpstr>
      <vt:lpstr>z_8ZF0D70112_MO_BS_Longtermdebt</vt:lpstr>
      <vt:lpstr>z_8ZF0D70112_MO_BS_marketablesecuritiescurrent</vt:lpstr>
      <vt:lpstr>z_8ZF0D70112_MO_BS_marketablesecuritiesnoncurrent</vt:lpstr>
      <vt:lpstr>z_8ZF0D70112_MO_BS_NCI</vt:lpstr>
      <vt:lpstr>z_8ZF0D70112_MO_BS_NetIncomeonReportedISNIonRevised</vt:lpstr>
      <vt:lpstr>z_8ZF0D70112_MO_BS_NetIncomeonRevisedISNIonCFstatement</vt:lpstr>
      <vt:lpstr>z_8ZF0D70112_MO_BS_NonCurrentAssets</vt:lpstr>
      <vt:lpstr>z_8ZF0D70112_MO_BS_NonCurrentLiabilities</vt:lpstr>
      <vt:lpstr>z_8ZF0D70112_MO_BS_Operatingleaseliabilities</vt:lpstr>
      <vt:lpstr>z_8ZF0D70112_MO_BS_Operatingleaseliabilities_1</vt:lpstr>
      <vt:lpstr>z_8ZF0D70112_MO_BS_Operatingleaserightofuseassets</vt:lpstr>
      <vt:lpstr>z_8ZF0D70112_MO_BS_Otherassets</vt:lpstr>
      <vt:lpstr>z_8ZF0D70112_MO_BS_Othercurrentassets</vt:lpstr>
      <vt:lpstr>z_8ZF0D70112_MO_BS_Othercurrentliabilities</vt:lpstr>
      <vt:lpstr>z_8ZF0D70112_MO_BS_Otherliabilities</vt:lpstr>
      <vt:lpstr>z_8ZF0D70112_MO_BS_pensionandpostretirementbenefits</vt:lpstr>
      <vt:lpstr>z_8ZF0D70112_MO_BS_prepaidpensionbenefits</vt:lpstr>
      <vt:lpstr>z_8ZF0D70112_MO_BS_Prepaids</vt:lpstr>
      <vt:lpstr>z_8ZF0D70112_MO_BS_Property</vt:lpstr>
      <vt:lpstr>z_8ZF0D70112_MO_BS_Property_1</vt:lpstr>
      <vt:lpstr>z_8ZF0D70112_MO_BS_rawmaterialsandsupplies</vt:lpstr>
      <vt:lpstr>z_8ZF0D70112_MO_BS_retainedearnings</vt:lpstr>
      <vt:lpstr>z_8ZF0D70112_MO_BS_ShareholdersEquity</vt:lpstr>
      <vt:lpstr>z_8ZF0D70112_MO_BS_Shorttermborrowingsandcurrentportionoflongtermdebt</vt:lpstr>
      <vt:lpstr>z_8ZF0D70112_MO_BS_TotalAssets</vt:lpstr>
      <vt:lpstr>z_8ZF0D70112_MO_BS_TotalCurrentAssets</vt:lpstr>
      <vt:lpstr>z_8ZF0D70112_MO_BS_TotalCurrentLiabilities</vt:lpstr>
      <vt:lpstr>z_8ZF0D70112_MO_BS_Totalinventories</vt:lpstr>
      <vt:lpstr>z_8ZF0D70112_MO_BS_TotalLiabilities</vt:lpstr>
      <vt:lpstr>z_8ZF0D70112_MO_BS_TotalLiabilitiesSE</vt:lpstr>
      <vt:lpstr>z_8ZF0D70112_MO_BS_TotalNonCurrentAssets</vt:lpstr>
      <vt:lpstr>z_8ZF0D70112_MO_BS_TotalNonCurrentliabilities</vt:lpstr>
      <vt:lpstr>z_8ZF0D70112_MO_BS_TotalSE</vt:lpstr>
      <vt:lpstr>z_8ZF0D70112_MO_BS_treasurystock</vt:lpstr>
      <vt:lpstr>z_8ZF0D70112_MO_BS_workinprocess</vt:lpstr>
      <vt:lpstr>z_8ZF0D70112_MO_BSS_Cash</vt:lpstr>
      <vt:lpstr>z_8ZF0D70112_MO_BSS_Debt</vt:lpstr>
      <vt:lpstr>z_8ZF0D70112_MO_BSS_DebtCashFlow</vt:lpstr>
      <vt:lpstr>z_8ZF0D70112_MO_BSS_DebtEBITDA</vt:lpstr>
      <vt:lpstr>z_8ZF0D70112_MO_BSS_EBITDANetInterestExpense</vt:lpstr>
      <vt:lpstr>z_8ZF0D70112_MO_BSS_EffectiveInterestRateonCash</vt:lpstr>
      <vt:lpstr>z_8ZF0D70112_MO_BSS_EffectiveInterestRateonDebt</vt:lpstr>
      <vt:lpstr>z_8ZF0D70112_MO_BSS_EffectiveNetInterestRateonDebt</vt:lpstr>
      <vt:lpstr>z_8ZF0D70112_MO_BSS_InterestExpense</vt:lpstr>
      <vt:lpstr>z_8ZF0D70112_MO_BSS_InterestIncome</vt:lpstr>
      <vt:lpstr>z_8ZF0D70112_MO_BSS_LTDebt</vt:lpstr>
      <vt:lpstr>z_8ZF0D70112_MO_BSS_NetDebt</vt:lpstr>
      <vt:lpstr>z_8ZF0D70112_MO_BSS_NetInterestExpenseIncome</vt:lpstr>
      <vt:lpstr>z_8ZF0D70112_MO_BSS_OperatingLeaseLiabilities</vt:lpstr>
      <vt:lpstr>z_8ZF0D70112_MO_BSS_STDebt</vt:lpstr>
      <vt:lpstr>z_8ZF0D70112_MO_CCFS_accountspayable</vt:lpstr>
      <vt:lpstr>z_8ZF0D70112_MO_CCFS_accountsreceivable</vt:lpstr>
      <vt:lpstr>z_8ZF0D70112_MO_CCFS_accruedincometaxescurrentandlongterm</vt:lpstr>
      <vt:lpstr>z_8ZF0D70112_MO_CCFS_Acquisitions</vt:lpstr>
      <vt:lpstr>z_8ZF0D70112_MO_CCFS_BeginningCashBalance</vt:lpstr>
      <vt:lpstr>z_8ZF0D70112_MO_CCFS_CFF</vt:lpstr>
      <vt:lpstr>z_8ZF0D70112_MO_CCFS_CFI</vt:lpstr>
      <vt:lpstr>z_8ZF0D70112_MO_CCFS_CFO</vt:lpstr>
      <vt:lpstr>z_8ZF0D70112_MO_CCFS_CFObeforeWC</vt:lpstr>
      <vt:lpstr>z_8ZF0D70112_MO_CCFS_Changeinshorttermdebtnet</vt:lpstr>
      <vt:lpstr>z_8ZF0D70112_MO_CCFS_companypensionandpostretirementcontributions</vt:lpstr>
      <vt:lpstr>z_8ZF0D70112_MO_CCFS_companypensionandpostretirementexpense</vt:lpstr>
      <vt:lpstr>z_8ZF0D70112_MO_CCFS_deferredincometaxes</vt:lpstr>
      <vt:lpstr>z_8ZF0D70112_MO_CCFS_depreciationandamortization</vt:lpstr>
      <vt:lpstr>z_8ZF0D70112_MO_CCFS_Dividendspaidtoshareholders</vt:lpstr>
      <vt:lpstr>z_8ZF0D70112_MO_CCFS_EndingCashBalance</vt:lpstr>
      <vt:lpstr>z_8ZF0D70112_MO_CCFS_excesstaxbenefitsfromstockbasedcompensation</vt:lpstr>
      <vt:lpstr>z_8ZF0D70112_MO_CCFS_excesstaxbenefitsfromstockbasedcompensation_1</vt:lpstr>
      <vt:lpstr>z_8ZF0D70112_MO_CCFS_FX</vt:lpstr>
      <vt:lpstr>z_8ZF0D70112_MO_CCFS_gainonsaleofbusinesses</vt:lpstr>
      <vt:lpstr>z_8ZF0D70112_MO_CCFS_inventories</vt:lpstr>
      <vt:lpstr>z_8ZF0D70112_MO_CCFS_LossondeconsolidationofVenezuelansubsidiary</vt:lpstr>
      <vt:lpstr>z_8ZF0D70112_MO_CCFS_NetCFF</vt:lpstr>
      <vt:lpstr>z_8ZF0D70112_MO_CCFS_NetCFI</vt:lpstr>
      <vt:lpstr>z_8ZF0D70112_MO_CCFS_NetCFO</vt:lpstr>
      <vt:lpstr>z_8ZF0D70112_MO_CCFS_NetChangeinCashBalance</vt:lpstr>
      <vt:lpstr>z_8ZF0D70112_MO_CCFS_netincomeincludingnoncontrollinginterest</vt:lpstr>
      <vt:lpstr>z_8ZF0D70112_MO_CCFS_Otherinvesting</vt:lpstr>
      <vt:lpstr>z_8ZF0D70112_MO_CCFS_Othernet</vt:lpstr>
      <vt:lpstr>z_8ZF0D70112_MO_CCFS_Othernet_1</vt:lpstr>
      <vt:lpstr>z_8ZF0D70112_MO_CCFS_Proceedsfromdebtmaturitiesgreaterthan90days</vt:lpstr>
      <vt:lpstr>z_8ZF0D70112_MO_CCFS_proceedsfromissuanceoftreasurystockpursuanttostockoptionandbenefitplans</vt:lpstr>
      <vt:lpstr>z_8ZF0D70112_MO_CCFS_proceedsfrommaturitiesandsaleofmarketablesecuritiesandinvestments</vt:lpstr>
      <vt:lpstr>z_8ZF0D70112_MO_CCFS_proceedsfrommaturitiesofmarketablesecurities</vt:lpstr>
      <vt:lpstr>z_8ZF0D70112_MO_CCFS_proceedsfromsaleofbusinesses</vt:lpstr>
      <vt:lpstr>z_8ZF0D70112_MO_CCFS_ProceedsfromsaleofPPEandotherassets</vt:lpstr>
      <vt:lpstr>z_8ZF0D70112_MO_CCFS_Productandotherinsurancereceivablesandclaims</vt:lpstr>
      <vt:lpstr>z_8ZF0D70112_MO_CCFS_purchaseofnoncontrollinginterest</vt:lpstr>
      <vt:lpstr>z_8ZF0D70112_MO_CCFS_purchasesofmarketablesecuritiesandinvestments</vt:lpstr>
      <vt:lpstr>z_8ZF0D70112_MO_CCFS_purchasesofproperty</vt:lpstr>
      <vt:lpstr>z_8ZF0D70112_MO_CCFS_purchasesoftreasurystock</vt:lpstr>
      <vt:lpstr>z_8ZF0D70112_MO_CCFS_Repaymentofdebtmaturitiesgreaterthan90days</vt:lpstr>
      <vt:lpstr>z_8ZF0D70112_MO_CCFS_stockbasedcompensationexpense</vt:lpstr>
      <vt:lpstr>z_8ZF0D70112_MO_CFS_accountspayable</vt:lpstr>
      <vt:lpstr>z_8ZF0D70112_MO_CFS_accountsreceivable</vt:lpstr>
      <vt:lpstr>z_8ZF0D70112_MO_CFS_accruedincometaxescurrentandlongterm</vt:lpstr>
      <vt:lpstr>z_8ZF0D70112_MO_CFS_Acquisitions</vt:lpstr>
      <vt:lpstr>z_8ZF0D70112_MO_CFS_BeginningCashBalance</vt:lpstr>
      <vt:lpstr>z_8ZF0D70112_MO_CFS_CFCheck</vt:lpstr>
      <vt:lpstr>z_8ZF0D70112_MO_CFS_CFF</vt:lpstr>
      <vt:lpstr>z_8ZF0D70112_MO_CFS_CFI</vt:lpstr>
      <vt:lpstr>z_8ZF0D70112_MO_CFS_CFO</vt:lpstr>
      <vt:lpstr>z_8ZF0D70112_MO_CFS_CFObeforeWC</vt:lpstr>
      <vt:lpstr>z_8ZF0D70112_MO_CFS_Changeinshorttermdebtnet</vt:lpstr>
      <vt:lpstr>z_8ZF0D70112_MO_CFS_companypensionandpostretirementcontributions</vt:lpstr>
      <vt:lpstr>z_8ZF0D70112_MO_CFS_companypensionandpostretirementexpense</vt:lpstr>
      <vt:lpstr>z_8ZF0D70112_MO_CFS_deferredincometaxes</vt:lpstr>
      <vt:lpstr>z_8ZF0D70112_MO_CFS_depreciationandamortization</vt:lpstr>
      <vt:lpstr>z_8ZF0D70112_MO_CFS_Dividendspaidtoshareholders</vt:lpstr>
      <vt:lpstr>z_8ZF0D70112_MO_CFS_EndingCashBalance</vt:lpstr>
      <vt:lpstr>z_8ZF0D70112_MO_CFS_excesstaxbenefitsfromstockbasedcompensation</vt:lpstr>
      <vt:lpstr>z_8ZF0D70112_MO_CFS_excesstaxbenefitsfromstockbasedcompensation_1</vt:lpstr>
      <vt:lpstr>z_8ZF0D70112_MO_CFS_FX</vt:lpstr>
      <vt:lpstr>z_8ZF0D70112_MO_CFS_gainonsaleofbusinesses</vt:lpstr>
      <vt:lpstr>z_8ZF0D70112_MO_CFS_inventories</vt:lpstr>
      <vt:lpstr>z_8ZF0D70112_MO_CFS_LossondeconsolidationofVenezuelansubsidiary</vt:lpstr>
      <vt:lpstr>z_8ZF0D70112_MO_CFS_NetCFF</vt:lpstr>
      <vt:lpstr>z_8ZF0D70112_MO_CFS_NetCFI</vt:lpstr>
      <vt:lpstr>z_8ZF0D70112_MO_CFS_NetCFO</vt:lpstr>
      <vt:lpstr>z_8ZF0D70112_MO_CFS_NetChangeinCashBalance</vt:lpstr>
      <vt:lpstr>z_8ZF0D70112_MO_CFS_netincomeincludingnoncontrollinginterest</vt:lpstr>
      <vt:lpstr>z_8ZF0D70112_MO_CFS_Otherinvesting</vt:lpstr>
      <vt:lpstr>z_8ZF0D70112_MO_CFS_Othernet</vt:lpstr>
      <vt:lpstr>z_8ZF0D70112_MO_CFS_Othernet_1</vt:lpstr>
      <vt:lpstr>z_8ZF0D70112_MO_CFS_Proceedsfromdebtmaturitiesgreaterthan90days</vt:lpstr>
      <vt:lpstr>z_8ZF0D70112_MO_CFS_proceedsfromissuanceoftreasurystockpursuanttostockoptionandbenefitplans</vt:lpstr>
      <vt:lpstr>z_8ZF0D70112_MO_CFS_proceedsfrommaturitiesandsaleofmarketablesecuritiesandinvestments</vt:lpstr>
      <vt:lpstr>z_8ZF0D70112_MO_CFS_proceedsfrommaturitiesofmarketablesecurities</vt:lpstr>
      <vt:lpstr>z_8ZF0D70112_MO_CFS_proceedsfromsaleofbusinesses</vt:lpstr>
      <vt:lpstr>z_8ZF0D70112_MO_CFS_ProceedsfromsaleofPPEandotherassets</vt:lpstr>
      <vt:lpstr>z_8ZF0D70112_MO_CFS_Productandotherinsurancereceivablesandclaims</vt:lpstr>
      <vt:lpstr>z_8ZF0D70112_MO_CFS_purchaseofnoncontrollinginterest</vt:lpstr>
      <vt:lpstr>z_8ZF0D70112_MO_CFS_purchasesofmarketablesecuritiesandinvestments</vt:lpstr>
      <vt:lpstr>z_8ZF0D70112_MO_CFS_purchasesofproperty</vt:lpstr>
      <vt:lpstr>z_8ZF0D70112_MO_CFS_Purchasesoftreasurystock</vt:lpstr>
      <vt:lpstr>z_8ZF0D70112_MO_CFS_Repaymentofdebtmaturitiesgreaterthan90days</vt:lpstr>
      <vt:lpstr>z_8ZF0D70112_MO_CFS_stockbasedcompensationexpense</vt:lpstr>
      <vt:lpstr>z_8ZF0D70112_MO_CFSum_Acquisitions</vt:lpstr>
      <vt:lpstr>z_8ZF0D70112_MO_CFSum_Capex</vt:lpstr>
      <vt:lpstr>z_8ZF0D70112_MO_CFSum_CashFlowPerDilutedShare</vt:lpstr>
      <vt:lpstr>z_8ZF0D70112_MO_CFSum_ConsensusEstimatesCapex</vt:lpstr>
      <vt:lpstr>z_8ZF0D70112_MO_CFSum_consensusestimatescashflowperdilutedshare</vt:lpstr>
      <vt:lpstr>z_8ZF0D70112_MO_CFSum_Divestiture</vt:lpstr>
      <vt:lpstr>z_8ZF0D70112_MO_CFSum_DividendPaid</vt:lpstr>
      <vt:lpstr>z_8ZF0D70112_MO_CFSum_DividendPerShare</vt:lpstr>
      <vt:lpstr>z_8ZF0D70112_MO_CFSum_EstimatedSharePriceforIssuanceBuybacks</vt:lpstr>
      <vt:lpstr>z_8ZF0D70112_MO_CFSum_FCF</vt:lpstr>
      <vt:lpstr>z_8ZF0D70112_MO_CFSum_FCF_1</vt:lpstr>
      <vt:lpstr>z_8ZF0D70112_MO_CFSum_FCF_2</vt:lpstr>
      <vt:lpstr>z_8ZF0D70112_MO_CFSum_FCFPostDivDebtBuyback</vt:lpstr>
      <vt:lpstr>z_8ZF0D70112_MO_CFSum_NetDebtIssuanceRepayment</vt:lpstr>
      <vt:lpstr>z_8ZF0D70112_MO_CFSum_NetShareIssuanceBuybacks</vt:lpstr>
      <vt:lpstr>z_8ZF0D70112_MO_CFSum_OperatingCashFlowbeforeWC</vt:lpstr>
      <vt:lpstr>z_8ZF0D70112_MO_DAF_AmortizationaspercentageofIntangiblesBoP</vt:lpstr>
      <vt:lpstr>z_8ZF0D70112_MO_DAF_Amortizationofintangibles</vt:lpstr>
      <vt:lpstr>z_8ZF0D70112_MO_DAF_Capexofintangibles</vt:lpstr>
      <vt:lpstr>z_8ZF0D70112_MO_DAF_CapexofPPE</vt:lpstr>
      <vt:lpstr>z_8ZF0D70112_MO_DAF_DepreciationaspercentageofPPEBoP</vt:lpstr>
      <vt:lpstr>z_8ZF0D70112_MO_DAF_Depreciationoffixedassets</vt:lpstr>
      <vt:lpstr>z_8ZF0D70112_MO_DAF_Impliedlifeoffixedassets</vt:lpstr>
      <vt:lpstr>z_8ZF0D70112_MO_DAF_Impliedlifeofintangibles</vt:lpstr>
      <vt:lpstr>z_8ZF0D70112_MO_DAF_IntangiblesBoP</vt:lpstr>
      <vt:lpstr>z_8ZF0D70112_MO_DAF_IntangiblesEoP</vt:lpstr>
      <vt:lpstr>z_8ZF0D70112_MO_DAF_Othernetadditionstointangibles</vt:lpstr>
      <vt:lpstr>z_8ZF0D70112_MO_DAF_OthernetadditionstoPPE</vt:lpstr>
      <vt:lpstr>z_8ZF0D70112_MO_DAF_Percentageofcapexallocatedtointangibleassets</vt:lpstr>
      <vt:lpstr>z_8ZF0D70112_MO_DAF_PPEBoP</vt:lpstr>
      <vt:lpstr>z_8ZF0D70112_MO_DAF_PPEEoP</vt:lpstr>
      <vt:lpstr>z_8ZF0D70112_MO_DAF_TotalCapex</vt:lpstr>
      <vt:lpstr>z_8ZF0D70112_MO_DAF_TotalDA</vt:lpstr>
      <vt:lpstr>z_8ZF0D70112_MO_GA_ConsumerRevenueGrowth</vt:lpstr>
      <vt:lpstr>z_8ZF0D70112_MO_GA_ConsumerRevenuegrowth_1</vt:lpstr>
      <vt:lpstr>z_8ZF0D70112_MO_GA_CorporateandUnallocatedandEliminationofdualCreditOrganicLocalCurrencySalesGrowth</vt:lpstr>
      <vt:lpstr>z_8ZF0D70112_MO_GA_CorporateandUnallocatedandEliminationofdualCreditTranslationSalesGrowth</vt:lpstr>
      <vt:lpstr>z_8ZF0D70112_MO_GA_HealthCareRevenueGrowth</vt:lpstr>
      <vt:lpstr>z_8ZF0D70112_MO_GA_HealthCareRevenuegrowth_1</vt:lpstr>
      <vt:lpstr>z_8ZF0D70112_MO_GA_SafetyandIndustrialOrganicLocalCurrencySalesGrowth</vt:lpstr>
      <vt:lpstr>z_8ZF0D70112_MO_GA_SafetyandIndustrialRevenueGrowth</vt:lpstr>
      <vt:lpstr>z_8ZF0D70112_MO_GA_SafetyandIndustrialRevenuegrowth_1</vt:lpstr>
      <vt:lpstr>z_8ZF0D70112_MO_GA_TotalAcquisitionSalesGrowth</vt:lpstr>
      <vt:lpstr>z_8ZF0D70112_MO_GA_TotalAcquisitionSalesGrowth_1</vt:lpstr>
      <vt:lpstr>z_8ZF0D70112_MO_GA_TotalDivestitureSalesGrowth</vt:lpstr>
      <vt:lpstr>z_8ZF0D70112_MO_GA_TotalDivestitureSalesGrowth_1</vt:lpstr>
      <vt:lpstr>z_8ZF0D70112_MO_GA_TotalOrganicLocalCurrencySalesGrowth</vt:lpstr>
      <vt:lpstr>z_8ZF0D70112_MO_GA_TotalPriceSalesGrowth</vt:lpstr>
      <vt:lpstr>z_8ZF0D70112_MO_GA_TotalPriceSalesGrowth_1</vt:lpstr>
      <vt:lpstr>z_8ZF0D70112_MO_GA_TotalpriorperiodRevenue</vt:lpstr>
      <vt:lpstr>z_8ZF0D70112_MO_GA_TotalRevenue_1</vt:lpstr>
      <vt:lpstr>z_8ZF0D70112_MO_GA_TotalRevenueGrowth</vt:lpstr>
      <vt:lpstr>z_8ZF0D70112_MO_GA_TotalRoundingSalesGrowth</vt:lpstr>
      <vt:lpstr>z_8ZF0D70112_MO_GA_TotalRoundingSalesGrowth_1</vt:lpstr>
      <vt:lpstr>z_8ZF0D70112_MO_GA_TotalTranslationSalesGrowth</vt:lpstr>
      <vt:lpstr>z_8ZF0D70112_MO_GA_TotalTranslationSalesGrowth_1</vt:lpstr>
      <vt:lpstr>z_8ZF0D70112_MO_GA_TotalVolumeSalesGrowth</vt:lpstr>
      <vt:lpstr>z_8ZF0D70112_MO_GA_TotalVolumeSalesGrowth_1</vt:lpstr>
      <vt:lpstr>z_8ZF0D70112_MO_GA_TransportationandElectronicsRevenueGrowth</vt:lpstr>
      <vt:lpstr>z_8ZF0D70112_MO_GA_TransportationandElectronicsRevenuegrowth_1</vt:lpstr>
      <vt:lpstr>z_8ZF0D70112_MO_Header_ColumnHeader</vt:lpstr>
      <vt:lpstr>z_8ZF0D70112_MO_Header_CompanySubTitle</vt:lpstr>
      <vt:lpstr>z_8ZF0D70112_MO_Header_CompanyTitle</vt:lpstr>
      <vt:lpstr>z_8ZF0D70112_MO_Header_FPDays</vt:lpstr>
      <vt:lpstr>z_8ZF0D70112_MO_Header_QEndDate</vt:lpstr>
      <vt:lpstr>z_8ZF0D70112_MO_IS_costofsales</vt:lpstr>
      <vt:lpstr>z_8ZF0D70112_MO_IS_gainonsaleofbusiness</vt:lpstr>
      <vt:lpstr>z_8ZF0D70112_MO_IS_incomebeforeincometaxes</vt:lpstr>
      <vt:lpstr>z_8ZF0D70112_MO_IS_Incomelossfromunconsolidatedsubsidiaries</vt:lpstr>
      <vt:lpstr>z_8ZF0D70112_MO_IS_interestexpense</vt:lpstr>
      <vt:lpstr>z_8ZF0D70112_MO_IS_interestincome</vt:lpstr>
      <vt:lpstr>z_8ZF0D70112_MO_IS_ISCheck</vt:lpstr>
      <vt:lpstr>z_8ZF0D70112_MO_IS_lessnetincomeattributabletononcontrollinginterest</vt:lpstr>
      <vt:lpstr>z_8ZF0D70112_MO_IS_LossondeconsolidationofVenezuelansubsidiary</vt:lpstr>
      <vt:lpstr>z_8ZF0D70112_MO_IS_netincomeattributableto3m</vt:lpstr>
      <vt:lpstr>z_8ZF0D70112_MO_IS_netincomeincludingnoncontrollinginterest</vt:lpstr>
      <vt:lpstr>z_8ZF0D70112_MO_IS_netsales</vt:lpstr>
      <vt:lpstr>z_8ZF0D70112_MO_IS_Operatingincome</vt:lpstr>
      <vt:lpstr>z_8ZF0D70112_MO_IS_Pensionandpostretirementnetperiodicbenefitcostbenefit</vt:lpstr>
      <vt:lpstr>z_8ZF0D70112_MO_IS_provisionforincometaxes</vt:lpstr>
      <vt:lpstr>z_8ZF0D70112_MO_IS_research</vt:lpstr>
      <vt:lpstr>z_8ZF0D70112_MO_IS_selling</vt:lpstr>
      <vt:lpstr>z_8ZF0D70112_MO_IS_totalinterestexpensenet</vt:lpstr>
      <vt:lpstr>z_8ZF0D70112_MO_IS_totaloperatingexpenses</vt:lpstr>
      <vt:lpstr>z_8ZF0D70112_MO_MA_AdjustedEBITDAMargin</vt:lpstr>
      <vt:lpstr>z_8ZF0D70112_MO_MA_AdjustedEBITMargin</vt:lpstr>
      <vt:lpstr>z_8ZF0D70112_MO_MA_AverageFXRate</vt:lpstr>
      <vt:lpstr>z_8ZF0D70112_MO_MA_COGSMarginExcludingDA</vt:lpstr>
      <vt:lpstr>z_8ZF0D70112_MO_MA_COGSMarginIncludingDA</vt:lpstr>
      <vt:lpstr>z_8ZF0D70112_MO_MA_consensusestimatesadjustedebitdamargin</vt:lpstr>
      <vt:lpstr>z_8ZF0D70112_MO_MA_consensusestimatesadjustedebitmargin</vt:lpstr>
      <vt:lpstr>z_8ZF0D70112_MO_MA_consensusestimatesgrossmargin</vt:lpstr>
      <vt:lpstr>z_8ZF0D70112_MO_MA_ConsumerOperatingIncomeMargin</vt:lpstr>
      <vt:lpstr>z_8ZF0D70112_MO_MA_EBITDAMargin</vt:lpstr>
      <vt:lpstr>z_8ZF0D70112_MO_MA_EBITMargin</vt:lpstr>
      <vt:lpstr>z_8ZF0D70112_MO_MA_GrossMarginExcludingDA</vt:lpstr>
      <vt:lpstr>z_8ZF0D70112_MO_MA_GrossMarginIncludingDA</vt:lpstr>
      <vt:lpstr>z_8ZF0D70112_MO_MA_HealthCareOperatingIncomeMargin</vt:lpstr>
      <vt:lpstr>z_8ZF0D70112_MO_MA_RDMargin</vt:lpstr>
      <vt:lpstr>z_8ZF0D70112_MO_MA_SafetyandIndustrialoperatingIncomemargin</vt:lpstr>
      <vt:lpstr>z_8ZF0D70112_MO_MA_SafetyandIndustrialOperatingIncomeMargin_1</vt:lpstr>
      <vt:lpstr>z_8ZF0D70112_MO_MA_SGAMargin</vt:lpstr>
      <vt:lpstr>z_8ZF0D70112_MO_MA_StockPriceTradingCurAvg</vt:lpstr>
      <vt:lpstr>z_8ZF0D70112_MO_MA_TransportationandElectronicsOperatingIncomeMargin</vt:lpstr>
      <vt:lpstr>z_8ZF0D70112_MO_OS_AbrasivesSafetyandIndustrialRevenue</vt:lpstr>
      <vt:lpstr>z_8ZF0D70112_MO_OS_Accountspayable</vt:lpstr>
      <vt:lpstr>z_8ZF0D70112_MO_OS_AccountspayableYYChange</vt:lpstr>
      <vt:lpstr>z_8ZF0D70112_MO_OS_Accountsreceivablenet</vt:lpstr>
      <vt:lpstr>z_8ZF0D70112_MO_OS_AccountsreceivablenetYYChange</vt:lpstr>
      <vt:lpstr>z_8ZF0D70112_MO_OS_Acquisitiondivestitureimpact_1</vt:lpstr>
      <vt:lpstr>z_8ZF0D70112_MO_OS_Acquisitiondivestitureimpactonadjustedoperatingincome</vt:lpstr>
      <vt:lpstr>z_8ZF0D70112_MO_OS_Acquisitiondivestitureincrementalmargin</vt:lpstr>
      <vt:lpstr>z_8ZF0D70112_MO_OS_AdhesivesandTapesSafetyandIndustrialRevenue</vt:lpstr>
      <vt:lpstr>z_8ZF0D70112_MO_OS_AdjustedFCFconversion</vt:lpstr>
      <vt:lpstr>z_8ZF0D70112_MO_OS_Adjustedfreecashflow</vt:lpstr>
      <vt:lpstr>z_8ZF0D70112_MO_OS_Adjustednetincomeattributableto3M</vt:lpstr>
      <vt:lpstr>z_8ZF0D70112_MO_OS_Adjustednetincomereturn</vt:lpstr>
      <vt:lpstr>z_8ZF0D70112_MO_OS_Adjustedoperatingincomecurrentperiod</vt:lpstr>
      <vt:lpstr>z_8ZF0D70112_MO_OS_Adjustedoperatingincomegrowth</vt:lpstr>
      <vt:lpstr>z_8ZF0D70112_MO_OS_Adjustedoperatingincomepreviousperiod</vt:lpstr>
      <vt:lpstr>z_8ZF0D70112_MO_OS_AdvancedMaterialsTransportationandElectronicsRevenue</vt:lpstr>
      <vt:lpstr>z_8ZF0D70112_MO_OS_AmericasAcquisitionSalesGrowth</vt:lpstr>
      <vt:lpstr>z_8ZF0D70112_MO_OS_AmericasCapitalSpending</vt:lpstr>
      <vt:lpstr>z_8ZF0D70112_MO_OS_AmericasConsumeracqdivfxotherimpact</vt:lpstr>
      <vt:lpstr>z_8ZF0D70112_MO_OS_AmericasConsumerorganiclocalcurrencyrevenuegrowth</vt:lpstr>
      <vt:lpstr>z_8ZF0D70112_MO_OS_AmericasConsumerRevenue</vt:lpstr>
      <vt:lpstr>z_8ZF0D70112_MO_OS_AmericasConsumerrevenuegrowth</vt:lpstr>
      <vt:lpstr>z_8ZF0D70112_MO_OS_AmericasConsumerrevenuemix</vt:lpstr>
      <vt:lpstr>z_8ZF0D70112_MO_OS_AmericasCorporateandUnallocatedRevenue</vt:lpstr>
      <vt:lpstr>z_8ZF0D70112_MO_OS_AmericasDivestitureSalesGrowth</vt:lpstr>
      <vt:lpstr>z_8ZF0D70112_MO_OS_AmericasEliminationsofDualCreditRevenue</vt:lpstr>
      <vt:lpstr>z_8ZF0D70112_MO_OS_AmericasEmployees</vt:lpstr>
      <vt:lpstr>z_8ZF0D70112_MO_OS_AmericasHealthCareacqdivfxotherimpact</vt:lpstr>
      <vt:lpstr>z_8ZF0D70112_MO_OS_AmericasHealthCareorganiclocalcurrencyrevenuegrowth</vt:lpstr>
      <vt:lpstr>z_8ZF0D70112_MO_OS_AmericasHealthCareRevenue</vt:lpstr>
      <vt:lpstr>z_8ZF0D70112_MO_OS_AmericasHealthCarerevenuegrowth</vt:lpstr>
      <vt:lpstr>z_8ZF0D70112_MO_OS_AmericasHealthCarerevenuemix</vt:lpstr>
      <vt:lpstr>z_8ZF0D70112_MO_OS_AmericasOrganicLocalCurrencySalesGrowth</vt:lpstr>
      <vt:lpstr>z_8ZF0D70112_MO_OS_AmericasPPE</vt:lpstr>
      <vt:lpstr>z_8ZF0D70112_MO_OS_AmericasPriceSalesGrowth</vt:lpstr>
      <vt:lpstr>z_8ZF0D70112_MO_OS_AmericasRevenue_1</vt:lpstr>
      <vt:lpstr>z_8ZF0D70112_MO_OS_AmericasRevenueGrowth</vt:lpstr>
      <vt:lpstr>z_8ZF0D70112_MO_OS_Americasrevenuemix</vt:lpstr>
      <vt:lpstr>z_8ZF0D70112_MO_OS_AmericasRoundingSalesGrowth</vt:lpstr>
      <vt:lpstr>z_8ZF0D70112_MO_OS_AmericasSafetyandIndustrialacqdivfxotherimpact</vt:lpstr>
      <vt:lpstr>z_8ZF0D70112_MO_OS_AmericasSafetyandIndustrialorganiclocalcurrencyrevenuegrowth</vt:lpstr>
      <vt:lpstr>z_8ZF0D70112_MO_OS_AmericasSafetyandIndustrialRevenue</vt:lpstr>
      <vt:lpstr>z_8ZF0D70112_MO_OS_AmericasSafetyandIndustrialrevenuegrowth</vt:lpstr>
      <vt:lpstr>z_8ZF0D70112_MO_OS_AmericasSafetyandIndustrialrevenuemix</vt:lpstr>
      <vt:lpstr>z_8ZF0D70112_MO_OS_AmericasTranslationSalesGrowth</vt:lpstr>
      <vt:lpstr>z_8ZF0D70112_MO_OS_AmericasTransportationandElectronicsacqdivfxotherimpact</vt:lpstr>
      <vt:lpstr>z_8ZF0D70112_MO_OS_AmericasTransportationandElectronicsorganiclocalcurrencyrevenuegrowth</vt:lpstr>
      <vt:lpstr>z_8ZF0D70112_MO_OS_AmericasTransportationandElectronicsRevenue</vt:lpstr>
      <vt:lpstr>z_8ZF0D70112_MO_OS_AmericasTransportationandElectronicsrevenuegrowth</vt:lpstr>
      <vt:lpstr>z_8ZF0D70112_MO_OS_AmericasTransportationandElectronicsrevenuemix</vt:lpstr>
      <vt:lpstr>z_8ZF0D70112_MO_OS_AmericasVolumeSalesGrowth</vt:lpstr>
      <vt:lpstr>z_8ZF0D70112_MO_OS_APAcquisitionSalesGrowth</vt:lpstr>
      <vt:lpstr>z_8ZF0D70112_MO_OS_APCapitalSpending</vt:lpstr>
      <vt:lpstr>z_8ZF0D70112_MO_OS_APConsumeracqdivfxotherimpact</vt:lpstr>
      <vt:lpstr>z_8ZF0D70112_MO_OS_APConsumerorganiclocalcurrencyrevenuegrowth</vt:lpstr>
      <vt:lpstr>z_8ZF0D70112_MO_OS_APConsumerRevenue</vt:lpstr>
      <vt:lpstr>z_8ZF0D70112_MO_OS_APConsumerrevenuegrowth</vt:lpstr>
      <vt:lpstr>z_8ZF0D70112_MO_OS_APConsumerrevenuemix</vt:lpstr>
      <vt:lpstr>z_8ZF0D70112_MO_OS_APCorporateandUnallocatedRevenue</vt:lpstr>
      <vt:lpstr>z_8ZF0D70112_MO_OS_APDivestitureSalesGrowth</vt:lpstr>
      <vt:lpstr>z_8ZF0D70112_MO_OS_APEliminationsofDualCreditRevenue</vt:lpstr>
      <vt:lpstr>z_8ZF0D70112_MO_OS_APEmployees</vt:lpstr>
      <vt:lpstr>z_8ZF0D70112_MO_OS_APHealthCareacqdivfxotherimpact</vt:lpstr>
      <vt:lpstr>z_8ZF0D70112_MO_OS_APHealthCareorganiclocalcurrencyrevenuegrowth</vt:lpstr>
      <vt:lpstr>z_8ZF0D70112_MO_OS_APHealthCareRevenue</vt:lpstr>
      <vt:lpstr>z_8ZF0D70112_MO_OS_APHealthCarerevenuegrowth</vt:lpstr>
      <vt:lpstr>z_8ZF0D70112_MO_OS_APHealthCarerevenuemix</vt:lpstr>
      <vt:lpstr>z_8ZF0D70112_MO_OS_APOrganicLocalCurrencySalesGrowth</vt:lpstr>
      <vt:lpstr>z_8ZF0D70112_MO_OS_APPPE</vt:lpstr>
      <vt:lpstr>z_8ZF0D70112_MO_OS_APPriceSalesGrowth</vt:lpstr>
      <vt:lpstr>z_8ZF0D70112_MO_OS_APRevenueGrowth</vt:lpstr>
      <vt:lpstr>z_8ZF0D70112_MO_OS_APrevenuemix</vt:lpstr>
      <vt:lpstr>z_8ZF0D70112_MO_OS_APRoundingSalesGrowth</vt:lpstr>
      <vt:lpstr>z_8ZF0D70112_MO_OS_APSafetyandIndustrialacqdivfxotherimpact</vt:lpstr>
      <vt:lpstr>z_8ZF0D70112_MO_OS_APSafetyandIndustrialorganiclocalcurrencyrevenuegrowth</vt:lpstr>
      <vt:lpstr>z_8ZF0D70112_MO_OS_APSafetyandIndustrialRevenue</vt:lpstr>
      <vt:lpstr>z_8ZF0D70112_MO_OS_APSafetyandIndustrialrevenuegrowth</vt:lpstr>
      <vt:lpstr>z_8ZF0D70112_MO_OS_APSafetyandIndustrialrevenuemix</vt:lpstr>
      <vt:lpstr>z_8ZF0D70112_MO_OS_APTranslationSalesGrowth</vt:lpstr>
      <vt:lpstr>z_8ZF0D70112_MO_OS_APTransportationandElectronicsacqdivfxotherimpact</vt:lpstr>
      <vt:lpstr>z_8ZF0D70112_MO_OS_APTransportationandElectronicsorganiclocalcurrencyrevenuegrowth</vt:lpstr>
      <vt:lpstr>z_8ZF0D70112_MO_OS_APTransportationandElectronicsRevenue</vt:lpstr>
      <vt:lpstr>z_8ZF0D70112_MO_OS_APTransportationandElectronicsrevenuegrowth</vt:lpstr>
      <vt:lpstr>z_8ZF0D70112_MO_OS_APTransportationandElectronicsrevenuemix</vt:lpstr>
      <vt:lpstr>z_8ZF0D70112_MO_OS_APVolumeSalesGrowth</vt:lpstr>
      <vt:lpstr>z_8ZF0D70112_MO_OS_asiapacificrevenue</vt:lpstr>
      <vt:lpstr>z_8ZF0D70112_MO_OS_AutomotiveAftermarketSafetyandIndustrialRevenue</vt:lpstr>
      <vt:lpstr>z_8ZF0D70112_MO_OS_AutomotiveandAerospaceTransportationandElectronicsRevenue</vt:lpstr>
      <vt:lpstr>z_8ZF0D70112_MO_OS_Averageinvestedcapital</vt:lpstr>
      <vt:lpstr>z_8ZF0D70112_MO_OS_Averagetotaldebt</vt:lpstr>
      <vt:lpstr>z_8ZF0D70112_MO_OS_AveragetotalshareholdersequityinclNCI</vt:lpstr>
      <vt:lpstr>z_8ZF0D70112_MO_OS_BrazilOrganicLocalCurrencySalesGrowth</vt:lpstr>
      <vt:lpstr>z_8ZF0D70112_MO_OS_CanadaOrganicLocalCurrencySalesGrowth</vt:lpstr>
      <vt:lpstr>z_8ZF0D70112_MO_OS_Capex</vt:lpstr>
      <vt:lpstr>z_8ZF0D70112_MO_OS_ChinaHongKongOrganicLocalCurrencySalesGrowth</vt:lpstr>
      <vt:lpstr>z_8ZF0D70112_MO_OS_ClosureandMaskingSystemsSafetyandIndustrialRevenue</vt:lpstr>
      <vt:lpstr>z_8ZF0D70112_MO_OS_CommercialSolutionsTransportationandElectronicsRevenue</vt:lpstr>
      <vt:lpstr>z_8ZF0D70112_MO_OS_CommunicationMarketsSafetyandIndustrialRevenue</vt:lpstr>
      <vt:lpstr>z_8ZF0D70112_MO_OS_ConsumerAcquisitionSalesGrowth</vt:lpstr>
      <vt:lpstr>z_8ZF0D70112_MO_OS_ConsumerAcquisitionSalesGrowth_1</vt:lpstr>
      <vt:lpstr>z_8ZF0D70112_MO_OS_ConsumeradjustedEBITDA</vt:lpstr>
      <vt:lpstr>z_8ZF0D70112_MO_OS_ConsumeradjustedEBITDA_2</vt:lpstr>
      <vt:lpstr>z_8ZF0D70112_MO_OS_ConsumeradjustedEBITDAmargin</vt:lpstr>
      <vt:lpstr>z_8ZF0D70112_MO_OS_ConsumeradjustedEBITDAmix</vt:lpstr>
      <vt:lpstr>z_8ZF0D70112_MO_OS_ConsumeradjustedoperatingIncome</vt:lpstr>
      <vt:lpstr>z_8ZF0D70112_MO_OS_ConsumeradjustedoperatingIncomemargin</vt:lpstr>
      <vt:lpstr>z_8ZF0D70112_MO_OS_Consumeradjustments</vt:lpstr>
      <vt:lpstr>z_8ZF0D70112_MO_OS_Consumerassets</vt:lpstr>
      <vt:lpstr>z_8ZF0D70112_MO_OS_Consumeraverageassets</vt:lpstr>
      <vt:lpstr>z_8ZF0D70112_MO_OS_ConsumerCAPEX</vt:lpstr>
      <vt:lpstr>z_8ZF0D70112_MO_OS_ConsumerDA</vt:lpstr>
      <vt:lpstr>z_8ZF0D70112_MO_OS_ConsumerDA_1</vt:lpstr>
      <vt:lpstr>z_8ZF0D70112_MO_OS_ConsumerDivestitureSalesGrowth</vt:lpstr>
      <vt:lpstr>z_8ZF0D70112_MO_OS_ConsumerDivestitureSalesGrowth_1</vt:lpstr>
      <vt:lpstr>z_8ZF0D70112_MO_OS_Consumergoodwill</vt:lpstr>
      <vt:lpstr>z_8ZF0D70112_MO_OS_ConsumerHealthCareConsumerRevenue</vt:lpstr>
      <vt:lpstr>z_8ZF0D70112_MO_OS_ConsumerLTMoperatingincome</vt:lpstr>
      <vt:lpstr>z_8ZF0D70112_MO_OS_consumeroperatingincome</vt:lpstr>
      <vt:lpstr>z_8ZF0D70112_MO_OS_ConsumeroperatingIncome_1</vt:lpstr>
      <vt:lpstr>z_8ZF0D70112_MO_OS_ConsumeroperatingIncome_2</vt:lpstr>
      <vt:lpstr>z_8ZF0D70112_MO_OS_Consumeroperatingincomegrowth</vt:lpstr>
      <vt:lpstr>z_8ZF0D70112_MO_OS_Consumeroperatingincomeincrementalmargin</vt:lpstr>
      <vt:lpstr>z_8ZF0D70112_MO_OS_ConsumeroperatingIncomemargin</vt:lpstr>
      <vt:lpstr>z_8ZF0D70112_MO_OS_Consumeroperatingincomemix</vt:lpstr>
      <vt:lpstr>z_8ZF0D70112_MO_OS_ConsumeroperatingROA</vt:lpstr>
      <vt:lpstr>z_8ZF0D70112_MO_OS_consumerorganiclocalcurrencysalesgrowth</vt:lpstr>
      <vt:lpstr>z_8ZF0D70112_MO_OS_consumerorganiclocalcurrencysalesgrowth_1</vt:lpstr>
      <vt:lpstr>z_8ZF0D70112_MO_OS_ConsumerOrganicLocalCurrencySalesGrowth_2</vt:lpstr>
      <vt:lpstr>z_8ZF0D70112_MO_OS_ConsumerOrganicLocalCurrencySalesGrowth_3</vt:lpstr>
      <vt:lpstr>z_8ZF0D70112_MO_OS_ConsumerpriorperiodRevenue</vt:lpstr>
      <vt:lpstr>z_8ZF0D70112_MO_OS_consumerrevenue</vt:lpstr>
      <vt:lpstr>z_8ZF0D70112_MO_OS_consumerrevenue_1</vt:lpstr>
      <vt:lpstr>z_8ZF0D70112_MO_OS_ConsumerRevenue_3</vt:lpstr>
      <vt:lpstr>z_8ZF0D70112_MO_OS_ConsumerRevenue_4</vt:lpstr>
      <vt:lpstr>z_8ZF0D70112_MO_OS_ConsumerRevenue_5</vt:lpstr>
      <vt:lpstr>z_8ZF0D70112_MO_OS_ConsumerRevenue_6</vt:lpstr>
      <vt:lpstr>z_8ZF0D70112_MO_OS_Consumerrevenuemix</vt:lpstr>
      <vt:lpstr>z_8ZF0D70112_MO_OS_Consumerrevenuemix_1</vt:lpstr>
      <vt:lpstr>z_8ZF0D70112_MO_OS_ConsumerRoundingSalesGrowth</vt:lpstr>
      <vt:lpstr>z_8ZF0D70112_MO_OS_ConsumerRoundingSalesGrowth_1</vt:lpstr>
      <vt:lpstr>z_8ZF0D70112_MO_OS_ConsumerTranslationSalesGrowth</vt:lpstr>
      <vt:lpstr>z_8ZF0D70112_MO_OS_ConsumerTranslationSalesGrowth_1</vt:lpstr>
      <vt:lpstr>z_8ZF0D70112_MO_OS_ConsumerYYoperatingincomemarginchange</vt:lpstr>
      <vt:lpstr>z_8ZF0D70112_MO_OS_CorporateandUnallocatedadjustedEBITDA</vt:lpstr>
      <vt:lpstr>z_8ZF0D70112_MO_OS_CorporateandunallocatedadjustedEBITDA_1</vt:lpstr>
      <vt:lpstr>z_8ZF0D70112_MO_OS_Corporateandunallocatedadjustedoperatingincome</vt:lpstr>
      <vt:lpstr>z_8ZF0D70112_MO_OS_Corporateandunallocatedadjustments</vt:lpstr>
      <vt:lpstr>z_8ZF0D70112_MO_OS_Corporateandunallocatedassets</vt:lpstr>
      <vt:lpstr>z_8ZF0D70112_MO_OS_CorporateandunallocatedCAPEX</vt:lpstr>
      <vt:lpstr>z_8ZF0D70112_MO_OS_CorporateandunallocatedDA</vt:lpstr>
      <vt:lpstr>z_8ZF0D70112_MO_OS_CorporateandunallocatedDA_1</vt:lpstr>
      <vt:lpstr>z_8ZF0D70112_MO_OS_corporateandunallocatedoperatingincome</vt:lpstr>
      <vt:lpstr>z_8ZF0D70112_MO_OS_CorporateandUnallocatedoperatingIncome_1</vt:lpstr>
      <vt:lpstr>z_8ZF0D70112_MO_OS_CorporateandUnallocatedoperatingIncome_2</vt:lpstr>
      <vt:lpstr>z_8ZF0D70112_MO_OS_CorporateandUnallocatedOperatingIncomeasoftotalrevenue</vt:lpstr>
      <vt:lpstr>z_8ZF0D70112_MO_OS_corporateandunallocatedrevenue</vt:lpstr>
      <vt:lpstr>z_8ZF0D70112_MO_OS_CorporateandUnallocatedRevenue_1</vt:lpstr>
      <vt:lpstr>z_8ZF0D70112_MO_OS_CorporateandUnallocatedRevenue_2</vt:lpstr>
      <vt:lpstr>z_8ZF0D70112_MO_OS_corporateunallocatedrevenue</vt:lpstr>
      <vt:lpstr>z_8ZF0D70112_MO_OS_displayandgraphicsrevenue</vt:lpstr>
      <vt:lpstr>z_8ZF0D70112_MO_OS_Divestiturerelatedrestructuringaftertaxpaymentimpacts</vt:lpstr>
      <vt:lpstr>z_8ZF0D70112_MO_OS_DrugDeliveryHealthCareRevenue</vt:lpstr>
      <vt:lpstr>z_8ZF0D70112_MO_OS_ElectricalMarketsSafetyandIndustrialRevenue</vt:lpstr>
      <vt:lpstr>z_8ZF0D70112_MO_OS_electroandcommunicationsrevenue</vt:lpstr>
      <vt:lpstr>z_8ZF0D70112_MO_OS_electronicsandenergyoperatingincome</vt:lpstr>
      <vt:lpstr>z_8ZF0D70112_MO_OS_electronicsandenergyorganiclocalcurrencysalesgrowth</vt:lpstr>
      <vt:lpstr>z_8ZF0D70112_MO_OS_electronicsandenergyorganiclocalcurrencysalesgrowth_1</vt:lpstr>
      <vt:lpstr>z_8ZF0D70112_MO_OS_electronicsandenergyrevenue</vt:lpstr>
      <vt:lpstr>z_8ZF0D70112_MO_OS_electronicsandenergyrevenue_1</vt:lpstr>
      <vt:lpstr>z_8ZF0D70112_MO_OS_ElectronicsTransportationandElectronicsRevenue</vt:lpstr>
      <vt:lpstr>z_8ZF0D70112_MO_OS_eliminationfordualcredit</vt:lpstr>
      <vt:lpstr>z_8ZF0D70112_MO_OS_eliminationofdualcredit</vt:lpstr>
      <vt:lpstr>z_8ZF0D70112_MO_OS_eliminationofdualcredit_1</vt:lpstr>
      <vt:lpstr>z_8ZF0D70112_MO_OS_EliminationofDualCreditadjustedEBITDA</vt:lpstr>
      <vt:lpstr>z_8ZF0D70112_MO_OS_EliminationofDualCreditoperatingIncome</vt:lpstr>
      <vt:lpstr>z_8ZF0D70112_MO_OS_EliminationofDualCreditoperatingIncome_1</vt:lpstr>
      <vt:lpstr>z_8ZF0D70112_MO_OS_EliminationofDualCreditoperatingIncomemargin</vt:lpstr>
      <vt:lpstr>z_8ZF0D70112_MO_OS_EliminationofDualCreditRevenue</vt:lpstr>
      <vt:lpstr>z_8ZF0D70112_MO_OS_EliminationofDualCreditRevenueasoftotalrevenue</vt:lpstr>
      <vt:lpstr>z_8ZF0D70112_MO_OS_EliminationsofDualCreditRevenue</vt:lpstr>
      <vt:lpstr>z_8ZF0D70112_MO_OS_EMEAAcquisitionSalesGrowth</vt:lpstr>
      <vt:lpstr>z_8ZF0D70112_MO_OS_EMEACapitalSpending</vt:lpstr>
      <vt:lpstr>z_8ZF0D70112_MO_OS_EMEAConsumeracqdivfxotherimpact</vt:lpstr>
      <vt:lpstr>z_8ZF0D70112_MO_OS_EMEAConsumerorganiclocalcurrencyrevenuegrowth</vt:lpstr>
      <vt:lpstr>z_8ZF0D70112_MO_OS_EMEAConsumerRevenue</vt:lpstr>
      <vt:lpstr>z_8ZF0D70112_MO_OS_EMEAConsumerrevenuegrowth</vt:lpstr>
      <vt:lpstr>z_8ZF0D70112_MO_OS_EMEAConsumerrevenuemix</vt:lpstr>
      <vt:lpstr>z_8ZF0D70112_MO_OS_EMEACorporateandUnallocatedRevenue</vt:lpstr>
      <vt:lpstr>z_8ZF0D70112_MO_OS_EMEADivestitureSalesGrowth</vt:lpstr>
      <vt:lpstr>z_8ZF0D70112_MO_OS_EMEAEliminationsofDualCreditRevenue</vt:lpstr>
      <vt:lpstr>z_8ZF0D70112_MO_OS_EMEAEmployees</vt:lpstr>
      <vt:lpstr>z_8ZF0D70112_MO_OS_EMEAHealthCareacqdivfxotherimpact</vt:lpstr>
      <vt:lpstr>z_8ZF0D70112_MO_OS_EMEAHealthCareorganiclocalcurrencyrevenuegrowth</vt:lpstr>
      <vt:lpstr>z_8ZF0D70112_MO_OS_EMEAHealthCareRevenue</vt:lpstr>
      <vt:lpstr>z_8ZF0D70112_MO_OS_EMEAHealthCarerevenuegrowth</vt:lpstr>
      <vt:lpstr>z_8ZF0D70112_MO_OS_EMEAHealthCarerevenuemix</vt:lpstr>
      <vt:lpstr>z_8ZF0D70112_MO_OS_EMEAOrganicLocalCurrencySalesGrowth</vt:lpstr>
      <vt:lpstr>z_8ZF0D70112_MO_OS_EMEAPPE</vt:lpstr>
      <vt:lpstr>z_8ZF0D70112_MO_OS_EMEAPriceSalesGrowth</vt:lpstr>
      <vt:lpstr>z_8ZF0D70112_MO_OS_EMEARevenueGrowth</vt:lpstr>
      <vt:lpstr>z_8ZF0D70112_MO_OS_EMEArevenuemix</vt:lpstr>
      <vt:lpstr>z_8ZF0D70112_MO_OS_EMEARoundingSalesGrowth</vt:lpstr>
      <vt:lpstr>z_8ZF0D70112_MO_OS_EMEASafetyandIndustrialacqdivfxotherimpact</vt:lpstr>
      <vt:lpstr>z_8ZF0D70112_MO_OS_EMEASafetyandIndustrialorganiclocalcurrencyrevenuegrowth</vt:lpstr>
      <vt:lpstr>z_8ZF0D70112_MO_OS_EMEASafetyandIndustrialRevenue</vt:lpstr>
      <vt:lpstr>z_8ZF0D70112_MO_OS_EMEASafetyandIndustrialrevenuegrowth</vt:lpstr>
      <vt:lpstr>z_8ZF0D70112_MO_OS_EMEASafetyandIndustrialrevenuemix</vt:lpstr>
      <vt:lpstr>z_8ZF0D70112_MO_OS_EMEATranslationSalesGrowth</vt:lpstr>
      <vt:lpstr>z_8ZF0D70112_MO_OS_EMEATransportationandElectronicsacqdivfxotherimpact</vt:lpstr>
      <vt:lpstr>z_8ZF0D70112_MO_OS_EMEATransportationandElectronicsorganiclocalcurrencyrevenuegrowth</vt:lpstr>
      <vt:lpstr>z_8ZF0D70112_MO_OS_EMEATransportationandElectronicsRevenue</vt:lpstr>
      <vt:lpstr>z_8ZF0D70112_MO_OS_EMEATransportationandElectronicsrevenuegrowth</vt:lpstr>
      <vt:lpstr>z_8ZF0D70112_MO_OS_EMEATransportationandElectronicsrevenuemix</vt:lpstr>
      <vt:lpstr>z_8ZF0D70112_MO_OS_EMEAVolumeSalesGrowth</vt:lpstr>
      <vt:lpstr>z_8ZF0D70112_MO_OS_EPSacquisitiondivestitureimpact</vt:lpstr>
      <vt:lpstr>z_8ZF0D70112_MO_OS_EPSCurrentperiod</vt:lpstr>
      <vt:lpstr>z_8ZF0D70112_MO_OS_EPSCurrentperiod_1</vt:lpstr>
      <vt:lpstr>z_8ZF0D70112_MO_OS_EPSimpactof2015restructuringcharges</vt:lpstr>
      <vt:lpstr>z_8ZF0D70112_MO_OS_EPSimpactof2017divestitureofidentitymanagementbusiness</vt:lpstr>
      <vt:lpstr>z_8ZF0D70112_MO_OS_EPSimpactof2018divestitureofCommunicationMarketsDivision</vt:lpstr>
      <vt:lpstr>z_8ZF0D70112_MO_OS_EPSimpactofAcquisitionsdivestitures</vt:lpstr>
      <vt:lpstr>z_8ZF0D70112_MO_OS_EPSimpactofCommunicationMarketsDivisionstrandedcostsandprioryearlostincome</vt:lpstr>
      <vt:lpstr>z_8ZF0D70112_MO_OS_EPSimpactofDivestiturerelatedrestructuringactions</vt:lpstr>
      <vt:lpstr>z_8ZF0D70112_MO_OS_EPSimpactofForeignexchangeimpacts</vt:lpstr>
      <vt:lpstr>z_8ZF0D70112_MO_OS_EPSimpactofgainlossonsaleofbusinesses</vt:lpstr>
      <vt:lpstr>z_8ZF0D70112_MO_OS_EPSimpactofIncometaxrate</vt:lpstr>
      <vt:lpstr>z_8ZF0D70112_MO_OS_EPSimpactofIncrementalstrategicinvestments</vt:lpstr>
      <vt:lpstr>z_8ZF0D70112_MO_OS_EPSimpactofLegalrelatedcharges</vt:lpstr>
      <vt:lpstr>z_8ZF0D70112_MO_OS_EPSimpactofLegalrespiratormaskactuarialreserve</vt:lpstr>
      <vt:lpstr>z_8ZF0D70112_MO_OS_EPSimpactofLossondeconsolidationofVenezuelansubsidiary</vt:lpstr>
      <vt:lpstr>z_8ZF0D70112_MO_OS_EPSimpactofMNNRDresolution</vt:lpstr>
      <vt:lpstr>z_8ZF0D70112_MO_OS_EPSimpactofOperatinglossincomefromdivestedbusinesses</vt:lpstr>
      <vt:lpstr>z_8ZF0D70112_MO_OS_EPSimpactofOrganicgrowthproductivityandother</vt:lpstr>
      <vt:lpstr>z_8ZF0D70112_MO_OS_EPSimpactofOrganizationalrealignment</vt:lpstr>
      <vt:lpstr>z_8ZF0D70112_MO_OS_EPSimpactofOtherexpense</vt:lpstr>
      <vt:lpstr>z_8ZF0D70112_MO_OS_EPSimpactofSecondquarter2019restructuringactions</vt:lpstr>
      <vt:lpstr>z_8ZF0D70112_MO_OS_EPSimpactofSharesofcommonstockoutstanding</vt:lpstr>
      <vt:lpstr>z_8ZF0D70112_MO_OS_EPSimpactofSignificantlitigationrelatedcharges</vt:lpstr>
      <vt:lpstr>z_8ZF0D70112_MO_OS_EPSimpactofSignificantlitigationrelatedcharges_1</vt:lpstr>
      <vt:lpstr>z_8ZF0D70112_MO_OS_EPSimpactofstrategicinvestments</vt:lpstr>
      <vt:lpstr>z_8ZF0D70112_MO_OS_EPSimpactofTCJAmeasurementperiodadjustment</vt:lpstr>
      <vt:lpstr>z_8ZF0D70112_MO_OS_EPSimpactofTCJAmeasurementperiodadjustment_1</vt:lpstr>
      <vt:lpstr>z_8ZF0D70112_MO_OS_EPSotherimpact</vt:lpstr>
      <vt:lpstr>z_8ZF0D70112_MO_OS_EPSpriorperiodimpactofgainlossonsaleofbusinesses</vt:lpstr>
      <vt:lpstr>z_8ZF0D70112_MO_OS_EPSpriorperiodimpactofLossondeconsolidationofVenezuelansubsidiary</vt:lpstr>
      <vt:lpstr>z_8ZF0D70112_MO_OS_EPSrestructuringimpact</vt:lpstr>
      <vt:lpstr>z_8ZF0D70112_MO_OS_EPSSameperiodlastyear</vt:lpstr>
      <vt:lpstr>z_8ZF0D70112_MO_OS_EPSSameperiodlastyear_1</vt:lpstr>
      <vt:lpstr>z_8ZF0D70112_MO_OS_EuroFX</vt:lpstr>
      <vt:lpstr>z_8ZF0D70112_MO_OS_europemiddleeastafricarevenue</vt:lpstr>
      <vt:lpstr>z_8ZF0D70112_MO_OS_FCFconversion</vt:lpstr>
      <vt:lpstr>z_8ZF0D70112_MO_OS_FoodSafetyHealthCareRevenue</vt:lpstr>
      <vt:lpstr>z_8ZF0D70112_MO_OS_Freecashflow</vt:lpstr>
      <vt:lpstr>z_8ZF0D70112_MO_OS_FXimpact_1</vt:lpstr>
      <vt:lpstr>z_8ZF0D70112_MO_OS_FXimpactonadjustedoperatingincome</vt:lpstr>
      <vt:lpstr>z_8ZF0D70112_MO_OS_FXincrementalmargin</vt:lpstr>
      <vt:lpstr>z_8ZF0D70112_MO_OS_HealthCareAcquisitionSalesGrowth</vt:lpstr>
      <vt:lpstr>z_8ZF0D70112_MO_OS_HealthCareAcquisitionSalesGrowth_1</vt:lpstr>
      <vt:lpstr>z_8ZF0D70112_MO_OS_HealthCareadjustedEBITDA</vt:lpstr>
      <vt:lpstr>z_8ZF0D70112_MO_OS_HealthCareadjustedEBITDA_2</vt:lpstr>
      <vt:lpstr>z_8ZF0D70112_MO_OS_HealthCareadjustedEBITDAmargin</vt:lpstr>
      <vt:lpstr>z_8ZF0D70112_MO_OS_HealthCareadjustedEBITDAmix</vt:lpstr>
      <vt:lpstr>z_8ZF0D70112_MO_OS_HealthCareadjustedoperatingIncome</vt:lpstr>
      <vt:lpstr>z_8ZF0D70112_MO_OS_HealthCareadjustedoperatingIncomemargin</vt:lpstr>
      <vt:lpstr>z_8ZF0D70112_MO_OS_HealthCareadjustments</vt:lpstr>
      <vt:lpstr>z_8ZF0D70112_MO_OS_HealthCareassets</vt:lpstr>
      <vt:lpstr>z_8ZF0D70112_MO_OS_HealthCareaverageassets</vt:lpstr>
      <vt:lpstr>z_8ZF0D70112_MO_OS_HealthCareCAPEX</vt:lpstr>
      <vt:lpstr>z_8ZF0D70112_MO_OS_HealthCareDA</vt:lpstr>
      <vt:lpstr>z_8ZF0D70112_MO_OS_HealthCareDA_1</vt:lpstr>
      <vt:lpstr>z_8ZF0D70112_MO_OS_HealthCareDivestitureSalesGrowth</vt:lpstr>
      <vt:lpstr>z_8ZF0D70112_MO_OS_HealthCareDivestitureSalesGrowth_1</vt:lpstr>
      <vt:lpstr>z_8ZF0D70112_MO_OS_HealthCaregoodwill</vt:lpstr>
      <vt:lpstr>z_8ZF0D70112_MO_OS_HealthCareLTMoperatingincome</vt:lpstr>
      <vt:lpstr>z_8ZF0D70112_MO_OS_healthcareoperatingincome</vt:lpstr>
      <vt:lpstr>z_8ZF0D70112_MO_OS_HealthCareoperatingIncome_1</vt:lpstr>
      <vt:lpstr>z_8ZF0D70112_MO_OS_HealthCareoperatingIncome_2</vt:lpstr>
      <vt:lpstr>z_8ZF0D70112_MO_OS_HealthCareoperatingincomegrowth</vt:lpstr>
      <vt:lpstr>z_8ZF0D70112_MO_OS_HealthCareoperatingincomeincrementalmargin</vt:lpstr>
      <vt:lpstr>z_8ZF0D70112_MO_OS_HealthCareoperatingIncomemargin</vt:lpstr>
      <vt:lpstr>z_8ZF0D70112_MO_OS_HealthCareoperatingincomemix</vt:lpstr>
      <vt:lpstr>z_8ZF0D70112_MO_OS_HealthCareoperatingROA</vt:lpstr>
      <vt:lpstr>z_8ZF0D70112_MO_OS_healthcareorganiclocalcurrencysalesgrowth</vt:lpstr>
      <vt:lpstr>z_8ZF0D70112_MO_OS_healthcareorganiclocalcurrencysalesgrowth_1</vt:lpstr>
      <vt:lpstr>z_8ZF0D70112_MO_OS_HealthCareOrganicLocalCurrencySalesGrowth_2</vt:lpstr>
      <vt:lpstr>z_8ZF0D70112_MO_OS_HealthCareOrganicLocalCurrencySalesGrowth_3</vt:lpstr>
      <vt:lpstr>z_8ZF0D70112_MO_OS_HealthCarepriorperiodRevenue</vt:lpstr>
      <vt:lpstr>z_8ZF0D70112_MO_OS_healthcarerevenue</vt:lpstr>
      <vt:lpstr>z_8ZF0D70112_MO_OS_healthcarerevenue_1</vt:lpstr>
      <vt:lpstr>z_8ZF0D70112_MO_OS_HealthCareRevenue_3</vt:lpstr>
      <vt:lpstr>z_8ZF0D70112_MO_OS_HealthCareRevenue_4</vt:lpstr>
      <vt:lpstr>z_8ZF0D70112_MO_OS_HealthCareRevenue_5</vt:lpstr>
      <vt:lpstr>z_8ZF0D70112_MO_OS_HealthCareRevenue_6</vt:lpstr>
      <vt:lpstr>z_8ZF0D70112_MO_OS_HealthCarerevenuemix</vt:lpstr>
      <vt:lpstr>z_8ZF0D70112_MO_OS_HealthCarerevenuemix_1</vt:lpstr>
      <vt:lpstr>z_8ZF0D70112_MO_OS_HealthCareRoundingSalesGrowth</vt:lpstr>
      <vt:lpstr>z_8ZF0D70112_MO_OS_HealthCareRoundingSalesGrowth_1</vt:lpstr>
      <vt:lpstr>z_8ZF0D70112_MO_OS_HealthCareTranslationSalesGrowth</vt:lpstr>
      <vt:lpstr>z_8ZF0D70112_MO_OS_HealthCareTranslationSalesGrowth_1</vt:lpstr>
      <vt:lpstr>z_8ZF0D70112_MO_OS_HealthCareYYoperatingincomemarginchange</vt:lpstr>
      <vt:lpstr>z_8ZF0D70112_MO_OS_HealthInformationSystemsHealthCareRevenue</vt:lpstr>
      <vt:lpstr>z_8ZF0D70112_MO_OS_HomeCareConsumerRevenue</vt:lpstr>
      <vt:lpstr>z_8ZF0D70112_MO_OS_HomeImprovementConsumerRevenue</vt:lpstr>
      <vt:lpstr>z_8ZF0D70112_MO_OS_industrialoperatingincome</vt:lpstr>
      <vt:lpstr>z_8ZF0D70112_MO_OS_industrialorganiclocalcurrencysalesgrowth</vt:lpstr>
      <vt:lpstr>z_8ZF0D70112_MO_OS_industrialorganiclocalcurrencysalesgrowth_1</vt:lpstr>
      <vt:lpstr>z_8ZF0D70112_MO_OS_industrialrevenue</vt:lpstr>
      <vt:lpstr>z_8ZF0D70112_MO_OS_industrialrevenue_1</vt:lpstr>
      <vt:lpstr>z_8ZF0D70112_MO_OS_Interestexpenseaftertax</vt:lpstr>
      <vt:lpstr>z_8ZF0D70112_MO_OS_JapanOrganicLocalCurrencySalesGrowth</vt:lpstr>
      <vt:lpstr>z_8ZF0D70112_MO_OS_LATAMandCanadaAcquisitionSalesGrowth</vt:lpstr>
      <vt:lpstr>z_8ZF0D70112_MO_OS_LATAMandCanadaCapitalSpending</vt:lpstr>
      <vt:lpstr>z_8ZF0D70112_MO_OS_LATAMandCanadaConsumeracqdivfxotherimpact</vt:lpstr>
      <vt:lpstr>z_8ZF0D70112_MO_OS_LATAMandCanadaConsumerorganiclocalcurrencyrevenuegrowth</vt:lpstr>
      <vt:lpstr>z_8ZF0D70112_MO_OS_LATAMandCanadaConsumerRevenue</vt:lpstr>
      <vt:lpstr>z_8ZF0D70112_MO_OS_LATAMandCanadaConsumerrevenuegrowth</vt:lpstr>
      <vt:lpstr>z_8ZF0D70112_MO_OS_LATAMandCanadaConsumerrevenuemix</vt:lpstr>
      <vt:lpstr>z_8ZF0D70112_MO_OS_LATAMandCanadaCorporateandUnallocatedRevenue</vt:lpstr>
      <vt:lpstr>z_8ZF0D70112_MO_OS_LATAMandCanadaDivestitureSalesGrowth</vt:lpstr>
      <vt:lpstr>z_8ZF0D70112_MO_OS_LATAMandCanadaEliminationsofDualCreditRevenue</vt:lpstr>
      <vt:lpstr>z_8ZF0D70112_MO_OS_LATAMandCanadaEmployees</vt:lpstr>
      <vt:lpstr>z_8ZF0D70112_MO_OS_LATAMandCanadaHealthCareacqdivfxotherimpact</vt:lpstr>
      <vt:lpstr>z_8ZF0D70112_MO_OS_LATAMandCanadaHealthCareorganiclocalcurrencyrevenuegrowth</vt:lpstr>
      <vt:lpstr>z_8ZF0D70112_MO_OS_LATAMandCanadaHealthCareRevenue</vt:lpstr>
      <vt:lpstr>z_8ZF0D70112_MO_OS_LATAMandCanadaHealthCarerevenuegrowth</vt:lpstr>
      <vt:lpstr>z_8ZF0D70112_MO_OS_LATAMandCanadaHealthCarerevenuemix</vt:lpstr>
      <vt:lpstr>z_8ZF0D70112_MO_OS_LATAMandCanadaOrganicLocalCurrencySalesGrowth</vt:lpstr>
      <vt:lpstr>z_8ZF0D70112_MO_OS_LATAMandCanadaPPE</vt:lpstr>
      <vt:lpstr>z_8ZF0D70112_MO_OS_LATAMandCanadaPriceSalesGrowth</vt:lpstr>
      <vt:lpstr>z_8ZF0D70112_MO_OS_LATAMandCanadaRevenueGrowth</vt:lpstr>
      <vt:lpstr>z_8ZF0D70112_MO_OS_LATAMandCanadarevenuemix</vt:lpstr>
      <vt:lpstr>z_8ZF0D70112_MO_OS_LATAMandCanadaRoundingSalesGrowth</vt:lpstr>
      <vt:lpstr>z_8ZF0D70112_MO_OS_LATAMandCanadaSafetyandIndustrialacqdivfxotherimpact</vt:lpstr>
      <vt:lpstr>z_8ZF0D70112_MO_OS_LATAMandCanadaSafetyandIndustrialorganiclocalcurrencyrevenuegrowth</vt:lpstr>
      <vt:lpstr>z_8ZF0D70112_MO_OS_LATAMandCanadaSafetyandIndustrialRevenue</vt:lpstr>
      <vt:lpstr>z_8ZF0D70112_MO_OS_LATAMandCanadaSafetyandIndustrialrevenuegrowth</vt:lpstr>
      <vt:lpstr>z_8ZF0D70112_MO_OS_LATAMandCanadaSafetyandIndustrialrevenuemix</vt:lpstr>
      <vt:lpstr>z_8ZF0D70112_MO_OS_LATAMandCanadaTranslationSalesGrowth</vt:lpstr>
      <vt:lpstr>z_8ZF0D70112_MO_OS_LATAMandCanadaTransportationandElectronicsacqdivfxotherimpact</vt:lpstr>
      <vt:lpstr>z_8ZF0D70112_MO_OS_LATAMandCanadaTransportationandElectronicsorganiclocalcurrencyrevenuegrowth</vt:lpstr>
      <vt:lpstr>z_8ZF0D70112_MO_OS_LATAMandCanadaTransportationandElectronicsRevenue</vt:lpstr>
      <vt:lpstr>z_8ZF0D70112_MO_OS_LATAMandCanadaTransportationandElectronicsrevenuegrowth</vt:lpstr>
      <vt:lpstr>z_8ZF0D70112_MO_OS_LATAMandCanadaTransportationandElectronicsrevenuemix</vt:lpstr>
      <vt:lpstr>z_8ZF0D70112_MO_OS_LATAMandCanadaVolumeSalesGrowth</vt:lpstr>
      <vt:lpstr>z_8ZF0D70112_MO_OS_latinamericacanadarevenue</vt:lpstr>
      <vt:lpstr>z_8ZF0D70112_MO_OS_MedicalSolutionsHealthCareRevenue</vt:lpstr>
      <vt:lpstr>z_8ZF0D70112_MO_OS_MexicoOrganicLocalCurrencySalesGrowth</vt:lpstr>
      <vt:lpstr>z_8ZF0D70112_MO_OS_NetCFO</vt:lpstr>
      <vt:lpstr>z_8ZF0D70112_MO_OS_Netincomeattributableto3M</vt:lpstr>
      <vt:lpstr>z_8ZF0D70112_MO_OS_NetincomeincludingNCI</vt:lpstr>
      <vt:lpstr>z_8ZF0D70112_MO_OS_OperatingIncomeCurrentperiod</vt:lpstr>
      <vt:lpstr>z_8ZF0D70112_MO_OS_OperatingIncomeCurrentperiod_1</vt:lpstr>
      <vt:lpstr>z_8ZF0D70112_MO_OS_OperatingIncomeSameperiodlastyear</vt:lpstr>
      <vt:lpstr>z_8ZF0D70112_MO_OS_OperatingIncomeSameperiodlastyear_1</vt:lpstr>
      <vt:lpstr>z_8ZF0D70112_MO_OS_Operatinglossincomefromdivestedbusinesses</vt:lpstr>
      <vt:lpstr>z_8ZF0D70112_MO_OS_Operatingmarginacquisitiondivestitureimpact</vt:lpstr>
      <vt:lpstr>z_8ZF0D70112_MO_OS_Operatingmarginimpactof2015restructuringcharges</vt:lpstr>
      <vt:lpstr>z_8ZF0D70112_MO_OS_Operatingmarginimpactof2017divestitureofidentitymanagementbusiness</vt:lpstr>
      <vt:lpstr>z_8ZF0D70112_MO_OS_Operatingmarginimpactof2018divestitureofCommunicationMarketsDivision</vt:lpstr>
      <vt:lpstr>z_8ZF0D70112_MO_OS_OperatingmarginimpactofAcquisitionsdivestitures</vt:lpstr>
      <vt:lpstr>z_8ZF0D70112_MO_OS_OperatingmarginimpactofCommunicationMarketsDivisionstrandedcostsandprioryearlostincome</vt:lpstr>
      <vt:lpstr>z_8ZF0D70112_MO_OS_OperatingmarginimpactofDivestiturerelatedrestructuringactions</vt:lpstr>
      <vt:lpstr>z_8ZF0D70112_MO_OS_OperatingmarginimpactofForeignexchangeimpacts</vt:lpstr>
      <vt:lpstr>z_8ZF0D70112_MO_OS_OperatingmarginimpactofGainlossonsaleofbusiness</vt:lpstr>
      <vt:lpstr>z_8ZF0D70112_MO_OS_OperatingmarginimpactofIncrementalstrategicinvestments</vt:lpstr>
      <vt:lpstr>z_8ZF0D70112_MO_OS_OperatingmarginimpactofLegalrelatedcharges</vt:lpstr>
      <vt:lpstr>z_8ZF0D70112_MO_OS_OperatingmarginimpactofMNNRDresolution</vt:lpstr>
      <vt:lpstr>z_8ZF0D70112_MO_OS_OperatingmarginimpactofOrganicvolumeproductivityandother</vt:lpstr>
      <vt:lpstr>z_8ZF0D70112_MO_OS_OperatingmarginimpactofOrganizationalrealignment</vt:lpstr>
      <vt:lpstr>z_8ZF0D70112_MO_OS_OperatingmarginimpactofPensiondefinedcontributionretirementbenefits</vt:lpstr>
      <vt:lpstr>z_8ZF0D70112_MO_OS_OperatingmarginimpactofProductivityfromrestructuring</vt:lpstr>
      <vt:lpstr>z_8ZF0D70112_MO_OS_Operatingmarginimpactofrestatementandroundingcalculated</vt:lpstr>
      <vt:lpstr>z_8ZF0D70112_MO_OS_OperatingmarginimpactofSecondquarter2019restructuringactions</vt:lpstr>
      <vt:lpstr>z_8ZF0D70112_MO_OS_OperatingmarginimpactofSellingpriceandrawmaterialimpact</vt:lpstr>
      <vt:lpstr>z_8ZF0D70112_MO_OS_OperatingmarginimpactofSignificantlitigationrelatedcharges</vt:lpstr>
      <vt:lpstr>z_8ZF0D70112_MO_OS_OperatingmarginimpactofSignificantlitigationrelatedcharges_1</vt:lpstr>
      <vt:lpstr>z_8ZF0D70112_MO_OS_Operatingmarginorganicgrowth</vt:lpstr>
      <vt:lpstr>z_8ZF0D70112_MO_OS_Operatingmarginotherimpact</vt:lpstr>
      <vt:lpstr>z_8ZF0D70112_MO_OS_Operatingmarginpriorperiodimpactofgainlossonsaleofbusinesses</vt:lpstr>
      <vt:lpstr>z_8ZF0D70112_MO_OS_Operatingmarginrestructuringimpact</vt:lpstr>
      <vt:lpstr>z_8ZF0D70112_MO_OS_OralCareHealthCareRevenue</vt:lpstr>
      <vt:lpstr>z_8ZF0D70112_MO_OS_Organicgrowth</vt:lpstr>
      <vt:lpstr>z_8ZF0D70112_MO_OS_Organicgrowthincrementalmargin</vt:lpstr>
      <vt:lpstr>z_8ZF0D70112_MO_OS_Organiclocalcurrencyrevenuegrowth</vt:lpstr>
      <vt:lpstr>z_8ZF0D70112_MO_OS_OtherConsumerRevenue</vt:lpstr>
      <vt:lpstr>z_8ZF0D70112_MO_OS_OtherConsumerRevenue_1</vt:lpstr>
      <vt:lpstr>z_8ZF0D70112_MO_OS_OtherCorporateandUnallocatedRevenue</vt:lpstr>
      <vt:lpstr>z_8ZF0D70112_MO_OS_OtherCountriesConsumerrevenuemix</vt:lpstr>
      <vt:lpstr>z_8ZF0D70112_MO_OS_OtherCountriesHealthCarerevenuemix</vt:lpstr>
      <vt:lpstr>z_8ZF0D70112_MO_OS_OtherCountriesSafetyandIndustrialrevenuemix</vt:lpstr>
      <vt:lpstr>z_8ZF0D70112_MO_OS_OtherCountriesTransportationandElectronicsrevenuemix</vt:lpstr>
      <vt:lpstr>z_8ZF0D70112_MO_OS_OtherEliminationsofDualCreditRevenue</vt:lpstr>
      <vt:lpstr>z_8ZF0D70112_MO_OS_OtherHealthCareRevenue</vt:lpstr>
      <vt:lpstr>z_8ZF0D70112_MO_OS_OtherHealthCareRevenue_1</vt:lpstr>
      <vt:lpstr>z_8ZF0D70112_MO_OS_Otherimpact_1</vt:lpstr>
      <vt:lpstr>z_8ZF0D70112_MO_OS_Otherimpactonadjustedoperatingincome</vt:lpstr>
      <vt:lpstr>z_8ZF0D70112_MO_OS_OtherSafetyandIndustrialRevenue</vt:lpstr>
      <vt:lpstr>z_8ZF0D70112_MO_OS_OtherSafetyandIndustrialRevenue_1</vt:lpstr>
      <vt:lpstr>z_8ZF0D70112_MO_OS_OtherTransportationandElectronicsRevenue</vt:lpstr>
      <vt:lpstr>z_8ZF0D70112_MO_OS_OtherTransportationandElectronicsRevenue_1</vt:lpstr>
      <vt:lpstr>z_8ZF0D70112_MO_OS_OtherUnallocatedRevenue</vt:lpstr>
      <vt:lpstr>z_8ZF0D70112_MO_OS_OtherUnallocatedrevenuemix</vt:lpstr>
      <vt:lpstr>z_8ZF0D70112_MO_OS_PersonalSafetySafetyandIndustrialRevenue</vt:lpstr>
      <vt:lpstr>z_8ZF0D70112_MO_OS_Prepaids</vt:lpstr>
      <vt:lpstr>z_8ZF0D70112_MO_OS_PrepaidsYYChange</vt:lpstr>
      <vt:lpstr>z_8ZF0D70112_MO_OS_Priceimpactonadjustedoperatingincome</vt:lpstr>
      <vt:lpstr>z_8ZF0D70112_MO_OS_Pricerawmaterialimpact</vt:lpstr>
      <vt:lpstr>z_8ZF0D70112_MO_OS_Pricerawmaterialincrementalmargin</vt:lpstr>
      <vt:lpstr>z_8ZF0D70112_MO_OS_RealFX</vt:lpstr>
      <vt:lpstr>z_8ZF0D70112_MO_OS_Restructuringimpact_1</vt:lpstr>
      <vt:lpstr>z_8ZF0D70112_MO_OS_Restructuringimpactonadjustedoperatingincome</vt:lpstr>
      <vt:lpstr>z_8ZF0D70112_MO_OS_RMBFX</vt:lpstr>
      <vt:lpstr>z_8ZF0D70112_MO_OS_ROIC</vt:lpstr>
      <vt:lpstr>z_8ZF0D70112_MO_OS_RoofingGranulesSafetyandIndustrialRevenue</vt:lpstr>
      <vt:lpstr>z_8ZF0D70112_MO_OS_safetyandgraphicsoperatingincome</vt:lpstr>
      <vt:lpstr>z_8ZF0D70112_MO_OS_safetyandgraphicsorganiclocalcurrencysalesgrowth</vt:lpstr>
      <vt:lpstr>z_8ZF0D70112_MO_OS_safetyandgraphicsorganiclocalcurrencysalesgrowth_1</vt:lpstr>
      <vt:lpstr>z_8ZF0D70112_MO_OS_safetyandgraphicsrevenue</vt:lpstr>
      <vt:lpstr>z_8ZF0D70112_MO_OS_safetyandgraphicsrevenue_1</vt:lpstr>
      <vt:lpstr>z_8ZF0D70112_MO_OS_SafetyandIndustrialAcquisitionSalesGrowth</vt:lpstr>
      <vt:lpstr>z_8ZF0D70112_MO_OS_SafetyandIndustrialAcquisitionSalesGrowth_1</vt:lpstr>
      <vt:lpstr>z_8ZF0D70112_MO_OS_SafetyandIndustrialadjustedEBITDA</vt:lpstr>
      <vt:lpstr>z_8ZF0D70112_MO_OS_SafetyandIndustrialadjustedEBITDA_2</vt:lpstr>
      <vt:lpstr>z_8ZF0D70112_MO_OS_SafetyandIndustrialadjustedEBITDAmargin</vt:lpstr>
      <vt:lpstr>z_8ZF0D70112_MO_OS_SafetyandIndustrialadjustedEBITDAmix</vt:lpstr>
      <vt:lpstr>z_8ZF0D70112_MO_OS_SafetyandIndustrialadjustedoperatingIncome</vt:lpstr>
      <vt:lpstr>z_8ZF0D70112_MO_OS_SafetyandIndustrialadjustedoperatingIncomemargin</vt:lpstr>
      <vt:lpstr>z_8ZF0D70112_MO_OS_SafetyandIndustrialadjustments</vt:lpstr>
      <vt:lpstr>z_8ZF0D70112_MO_OS_SafetyandIndustrialassets</vt:lpstr>
      <vt:lpstr>z_8ZF0D70112_MO_OS_SafetyandIndustrialaverageassets</vt:lpstr>
      <vt:lpstr>z_8ZF0D70112_MO_OS_SafetyandIndustrialCAPEX</vt:lpstr>
      <vt:lpstr>z_8ZF0D70112_MO_OS_SafetyandIndustrialDA</vt:lpstr>
      <vt:lpstr>z_8ZF0D70112_MO_OS_SafetyandIndustrialDA_1</vt:lpstr>
      <vt:lpstr>z_8ZF0D70112_MO_OS_SafetyandIndustrialDivestitureSalesGrowth</vt:lpstr>
      <vt:lpstr>z_8ZF0D70112_MO_OS_SafetyandIndustrialDivestitureSalesGrowth_1</vt:lpstr>
      <vt:lpstr>z_8ZF0D70112_MO_OS_SafetyandIndustrialgoodwill</vt:lpstr>
      <vt:lpstr>z_8ZF0D70112_MO_OS_SafetyandIndustrialLTMoperatingincome</vt:lpstr>
      <vt:lpstr>z_8ZF0D70112_MO_OS_SafetyandIndustrialoperatingIncome</vt:lpstr>
      <vt:lpstr>z_8ZF0D70112_MO_OS_SafetyandIndustrialoperatingIncome_1</vt:lpstr>
      <vt:lpstr>z_8ZF0D70112_MO_OS_SafetyandIndustrialoperatingincomegrowth</vt:lpstr>
      <vt:lpstr>z_8ZF0D70112_MO_OS_SafetyandIndustrialoperatingincomeincrementalmargin</vt:lpstr>
      <vt:lpstr>z_8ZF0D70112_MO_OS_SafetyandIndustrialoperatingincomemix</vt:lpstr>
      <vt:lpstr>z_8ZF0D70112_MO_OS_SafetyandIndustrialoperatingROA</vt:lpstr>
      <vt:lpstr>z_8ZF0D70112_MO_OS_SafetyandIndustrialOrganicLocalCurrencySalesGrowth</vt:lpstr>
      <vt:lpstr>z_8ZF0D70112_MO_OS_SafetyandIndustrialpriorperiodRevenue</vt:lpstr>
      <vt:lpstr>z_8ZF0D70112_MO_OS_SafetyandIndustrialRevenue</vt:lpstr>
      <vt:lpstr>z_8ZF0D70112_MO_OS_SafetyandIndustrialRevenue_1</vt:lpstr>
      <vt:lpstr>z_8ZF0D70112_MO_OS_SafetyandIndustrialRevenue_2</vt:lpstr>
      <vt:lpstr>z_8ZF0D70112_MO_OS_SafetyandIndustrialRevenue_3</vt:lpstr>
      <vt:lpstr>z_8ZF0D70112_MO_OS_SafetyandIndustrialrevenuemix</vt:lpstr>
      <vt:lpstr>z_8ZF0D70112_MO_OS_SafetyandIndustrialrevenuemix_1</vt:lpstr>
      <vt:lpstr>z_8ZF0D70112_MO_OS_SafetyandIndustrialRoundingSalesGrowth</vt:lpstr>
      <vt:lpstr>z_8ZF0D70112_MO_OS_SafetyandIndustrialRoundingSalesGrowth_1</vt:lpstr>
      <vt:lpstr>z_8ZF0D70112_MO_OS_SafetyandIndustrialTranslationSalesGrowth</vt:lpstr>
      <vt:lpstr>z_8ZF0D70112_MO_OS_SafetyandIndustrialTranslationSalesGrowth_1</vt:lpstr>
      <vt:lpstr>z_8ZF0D70112_MO_OS_SafetyandIndustrialYYoperatingincomemarginchange</vt:lpstr>
      <vt:lpstr>z_8ZF0D70112_MO_OS_safetysecurityandprotectionservicesrevenue</vt:lpstr>
      <vt:lpstr>z_8ZF0D70112_MO_OS_SeparationandPurificationSciencesHealthCareRevenue</vt:lpstr>
      <vt:lpstr>z_8ZF0D70112_MO_OS_Significantlitigationrelatedaftertaxpaymentimpacts</vt:lpstr>
      <vt:lpstr>z_8ZF0D70112_MO_OS_StationeryandOfficeConsumerRevenue</vt:lpstr>
      <vt:lpstr>z_8ZF0D70112_MO_OS_TCJAtransitiontaxpayments</vt:lpstr>
      <vt:lpstr>z_8ZF0D70112_MO_OS_TotaladjustedEBITDA</vt:lpstr>
      <vt:lpstr>z_8ZF0D70112_MO_OS_TotaladjustedEBITDAmixexcleliminationsandcorporate</vt:lpstr>
      <vt:lpstr>z_8ZF0D70112_MO_OS_Totaladjustedoperatingincome</vt:lpstr>
      <vt:lpstr>z_8ZF0D70112_MO_OS_Totaladjustedoperatingincomeincrementalmargin</vt:lpstr>
      <vt:lpstr>z_8ZF0D70112_MO_OS_Totaladjustedoperatingincomeincrementalmargin_1</vt:lpstr>
      <vt:lpstr>z_8ZF0D70112_MO_OS_Totaladjustedoperatingincomemargin</vt:lpstr>
      <vt:lpstr>z_8ZF0D70112_MO_OS_Totaladjustments</vt:lpstr>
      <vt:lpstr>z_8ZF0D70112_MO_OS_TotalCapitalSpending</vt:lpstr>
      <vt:lpstr>z_8ZF0D70112_MO_OS_TotalConsumerrevenuegrowth</vt:lpstr>
      <vt:lpstr>z_8ZF0D70112_MO_OS_TotalEmployees</vt:lpstr>
      <vt:lpstr>z_8ZF0D70112_MO_OS_TotalHealthCarerevenuegrowth</vt:lpstr>
      <vt:lpstr>z_8ZF0D70112_MO_OS_Totalinventories</vt:lpstr>
      <vt:lpstr>z_8ZF0D70112_MO_OS_TotalinventoriesYYChange</vt:lpstr>
      <vt:lpstr>z_8ZF0D70112_MO_OS_TotalOperatingIncome</vt:lpstr>
      <vt:lpstr>z_8ZF0D70112_MO_OS_TotaloperatingIncome_1</vt:lpstr>
      <vt:lpstr>z_8ZF0D70112_MO_OS_Totaloperatingincomegrowth</vt:lpstr>
      <vt:lpstr>z_8ZF0D70112_MO_OS_Totaloperatingincomeincrementalmargin</vt:lpstr>
      <vt:lpstr>z_8ZF0D70112_MO_OS_Totaloperatingincomemargin</vt:lpstr>
      <vt:lpstr>z_8ZF0D70112_MO_OS_Totaloperatingincomemixexcleliminationsandcorporate</vt:lpstr>
      <vt:lpstr>z_8ZF0D70112_MO_OS_totalorganiclocalcurrencysalesgrowth</vt:lpstr>
      <vt:lpstr>z_8ZF0D70112_MO_OS_TotalPPE</vt:lpstr>
      <vt:lpstr>z_8ZF0D70112_MO_OS_totalrevenue</vt:lpstr>
      <vt:lpstr>z_8ZF0D70112_MO_OS_totalrevenue_1</vt:lpstr>
      <vt:lpstr>z_8ZF0D70112_MO_OS_totalrevenue_2</vt:lpstr>
      <vt:lpstr>z_8ZF0D70112_MO_OS_TotalRevenue_4</vt:lpstr>
      <vt:lpstr>z_8ZF0D70112_MO_OS_TotalRevenueGrowth</vt:lpstr>
      <vt:lpstr>z_8ZF0D70112_MO_OS_Totalrevenuemix_1</vt:lpstr>
      <vt:lpstr>z_8ZF0D70112_MO_OS_Totalrevenuemixexcleliminationsandcorporate</vt:lpstr>
      <vt:lpstr>z_8ZF0D70112_MO_OS_Totalsegmentoperatingincome</vt:lpstr>
      <vt:lpstr>z_8ZF0D70112_MO_OS_Totalsegmentoperatingincomeincrementalmargin</vt:lpstr>
      <vt:lpstr>z_8ZF0D70112_MO_OS_Totalsegmentoperatingincomemargin</vt:lpstr>
      <vt:lpstr>z_8ZF0D70112_MO_OS_TotalsegmentYYoperatingincomemarginchange</vt:lpstr>
      <vt:lpstr>z_8ZF0D70112_MO_OS_TotalTransportationandElectronicsrevenuegrowth</vt:lpstr>
      <vt:lpstr>z_8ZF0D70112_MO_OS_TotalYYadjustedoperatingincomemarginchange</vt:lpstr>
      <vt:lpstr>z_8ZF0D70112_MO_OS_TotalYYoperatingincomemarginchange</vt:lpstr>
      <vt:lpstr>z_8ZF0D70112_MO_OS_TransportationandElectronicsAcquisitionSalesGrowth</vt:lpstr>
      <vt:lpstr>z_8ZF0D70112_MO_OS_TransportationandElectronicsAcquisitionSalesGrowth_1</vt:lpstr>
      <vt:lpstr>z_8ZF0D70112_MO_OS_TransportationandElectronicsadjustedEBITDA</vt:lpstr>
      <vt:lpstr>z_8ZF0D70112_MO_OS_TransportationandElectronicsadjustedEBITDA_2</vt:lpstr>
      <vt:lpstr>z_8ZF0D70112_MO_OS_TransportationandElectronicsadjustedEBITDAmargin</vt:lpstr>
      <vt:lpstr>z_8ZF0D70112_MO_OS_TransportationandElectronicsadjustedEBITDAmix</vt:lpstr>
      <vt:lpstr>z_8ZF0D70112_MO_OS_TransportationandElectronicsadjustedoperatingIncome</vt:lpstr>
      <vt:lpstr>z_8ZF0D70112_MO_OS_TransportationandElectronicsadjustedoperatingIncomemargin</vt:lpstr>
      <vt:lpstr>z_8ZF0D70112_MO_OS_TransportationandElectronicsadjustments</vt:lpstr>
      <vt:lpstr>z_8ZF0D70112_MO_OS_TransportationandElectronicsassets</vt:lpstr>
      <vt:lpstr>z_8ZF0D70112_MO_OS_TransportationandElectronicsaverageassets</vt:lpstr>
      <vt:lpstr>z_8ZF0D70112_MO_OS_TransportationandElectronicsCAPEX</vt:lpstr>
      <vt:lpstr>z_8ZF0D70112_MO_OS_TransportationandElectronicsDA</vt:lpstr>
      <vt:lpstr>z_8ZF0D70112_MO_OS_TransportationandElectronicsDA_1</vt:lpstr>
      <vt:lpstr>z_8ZF0D70112_MO_OS_TransportationandElectronicsDivestitureSalesGrowth</vt:lpstr>
      <vt:lpstr>z_8ZF0D70112_MO_OS_TransportationandElectronicsDivestitureSalesGrowth_1</vt:lpstr>
      <vt:lpstr>z_8ZF0D70112_MO_OS_TransportationandElectronicsgoodwill</vt:lpstr>
      <vt:lpstr>z_8ZF0D70112_MO_OS_TransportationandElectronicsLTMoperatingincome</vt:lpstr>
      <vt:lpstr>z_8ZF0D70112_MO_OS_TransportationandElectronicsoperatingIncome</vt:lpstr>
      <vt:lpstr>z_8ZF0D70112_MO_OS_TransportationandElectronicsoperatingIncome_1</vt:lpstr>
      <vt:lpstr>z_8ZF0D70112_MO_OS_TransportationandElectronicsoperatingincomegrowth</vt:lpstr>
      <vt:lpstr>z_8ZF0D70112_MO_OS_TransportationandElectronicsoperatingincomeincrementalmargin</vt:lpstr>
      <vt:lpstr>z_8ZF0D70112_MO_OS_TransportationandElectronicsoperatingIncomemargin</vt:lpstr>
      <vt:lpstr>z_8ZF0D70112_MO_OS_TransportationandElectronicsoperatingincomemix</vt:lpstr>
      <vt:lpstr>z_8ZF0D70112_MO_OS_TransportationandElectronicsoperatingROA</vt:lpstr>
      <vt:lpstr>z_8ZF0D70112_MO_OS_TransportationandElectronicsOrganicLocalCurrencySalesGrowth</vt:lpstr>
      <vt:lpstr>z_8ZF0D70112_MO_OS_TransportationandElectronicsOrganicLocalCurrencySalesGrowth_1</vt:lpstr>
      <vt:lpstr>z_8ZF0D70112_MO_OS_TransportationandElectronicspriorperiodRevenue</vt:lpstr>
      <vt:lpstr>z_8ZF0D70112_MO_OS_TransportationandElectronicsRevenue</vt:lpstr>
      <vt:lpstr>z_8ZF0D70112_MO_OS_TransportationandElectronicsRevenue_1</vt:lpstr>
      <vt:lpstr>z_8ZF0D70112_MO_OS_TransportationandElectronicsRevenue_2</vt:lpstr>
      <vt:lpstr>z_8ZF0D70112_MO_OS_TransportationandElectronicsRevenue_3</vt:lpstr>
      <vt:lpstr>z_8ZF0D70112_MO_OS_TransportationandElectronicsrevenuemix</vt:lpstr>
      <vt:lpstr>z_8ZF0D70112_MO_OS_TransportationandElectronicsrevenuemix_1</vt:lpstr>
      <vt:lpstr>z_8ZF0D70112_MO_OS_TransportationandElectronicsRoundingSalesGrowth</vt:lpstr>
      <vt:lpstr>z_8ZF0D70112_MO_OS_TransportationandElectronicsRoundingSalesGrowth_1</vt:lpstr>
      <vt:lpstr>z_8ZF0D70112_MO_OS_TransportationandElectronicsTranslationSalesGrowth</vt:lpstr>
      <vt:lpstr>z_8ZF0D70112_MO_OS_TransportationandElectronicsTranslationSalesGrowth_1</vt:lpstr>
      <vt:lpstr>z_8ZF0D70112_MO_OS_TransportationandElectronicsYYoperatingincomemarginchange</vt:lpstr>
      <vt:lpstr>z_8ZF0D70112_MO_OS_TransportationSafetyTransportationandElectronicsRevenue</vt:lpstr>
      <vt:lpstr>z_8ZF0D70112_MO_OS_unitedstatesrevenue</vt:lpstr>
      <vt:lpstr>z_8ZF0D70112_MO_OS_USAcquisitionSalesGrowth</vt:lpstr>
      <vt:lpstr>z_8ZF0D70112_MO_OS_USCapitalSpending</vt:lpstr>
      <vt:lpstr>z_8ZF0D70112_MO_OS_USConsumeracqdivfxotherimpact</vt:lpstr>
      <vt:lpstr>z_8ZF0D70112_MO_OS_USConsumerorganiclocalcurrencyrevenuegrowth</vt:lpstr>
      <vt:lpstr>z_8ZF0D70112_MO_OS_USConsumerRevenue</vt:lpstr>
      <vt:lpstr>z_8ZF0D70112_MO_OS_USConsumerrevenuegrowth</vt:lpstr>
      <vt:lpstr>z_8ZF0D70112_MO_OS_USConsumerrevenuemix</vt:lpstr>
      <vt:lpstr>z_8ZF0D70112_MO_OS_USCorporateandUnallocatedRevenue</vt:lpstr>
      <vt:lpstr>z_8ZF0D70112_MO_OS_USDivestitureSalesGrowth</vt:lpstr>
      <vt:lpstr>z_8ZF0D70112_MO_OS_USEliminationsofDualCreditRevenue</vt:lpstr>
      <vt:lpstr>z_8ZF0D70112_MO_OS_USEmployees</vt:lpstr>
      <vt:lpstr>z_8ZF0D70112_MO_OS_USHealthCareacqdivfxotherimpact</vt:lpstr>
      <vt:lpstr>z_8ZF0D70112_MO_OS_USHealthCareorganiclocalcurrencyrevenuegrowth</vt:lpstr>
      <vt:lpstr>z_8ZF0D70112_MO_OS_USHealthCareRevenue</vt:lpstr>
      <vt:lpstr>z_8ZF0D70112_MO_OS_USHealthCarerevenuegrowth</vt:lpstr>
      <vt:lpstr>z_8ZF0D70112_MO_OS_USHealthCarerevenuemix</vt:lpstr>
      <vt:lpstr>z_8ZF0D70112_MO_OS_USOrganicLocalCurrencySalesGrowth</vt:lpstr>
      <vt:lpstr>z_8ZF0D70112_MO_OS_USOrganicLocalCurrencySalesGrowth_1</vt:lpstr>
      <vt:lpstr>z_8ZF0D70112_MO_OS_USPPE</vt:lpstr>
      <vt:lpstr>z_8ZF0D70112_MO_OS_USPriceSalesGrowth</vt:lpstr>
      <vt:lpstr>z_8ZF0D70112_MO_OS_USRevenueGrowth</vt:lpstr>
      <vt:lpstr>z_8ZF0D70112_MO_OS_USrevenuemix</vt:lpstr>
      <vt:lpstr>z_8ZF0D70112_MO_OS_USRoundingSalesGrowth</vt:lpstr>
      <vt:lpstr>z_8ZF0D70112_MO_OS_USSafetyandIndustrialacqdivfxotherimpact</vt:lpstr>
      <vt:lpstr>z_8ZF0D70112_MO_OS_USSafetyandIndustrialorganiclocalcurrencyrevenuegrowth</vt:lpstr>
      <vt:lpstr>z_8ZF0D70112_MO_OS_USSafetyandIndustrialRevenue</vt:lpstr>
      <vt:lpstr>z_8ZF0D70112_MO_OS_USSafetyandIndustrialrevenuegrowth</vt:lpstr>
      <vt:lpstr>z_8ZF0D70112_MO_OS_USSafetyandIndustrialrevenuemix</vt:lpstr>
      <vt:lpstr>z_8ZF0D70112_MO_OS_USTransportationandElectronicsacqdivfxotherimpact</vt:lpstr>
      <vt:lpstr>z_8ZF0D70112_MO_OS_USTransportationandElectronicsorganiclocalcurrencyrevenuegrowth</vt:lpstr>
      <vt:lpstr>z_8ZF0D70112_MO_OS_USTransportationandElectronicsRevenue</vt:lpstr>
      <vt:lpstr>z_8ZF0D70112_MO_OS_USTransportationandElectronicsrevenuegrowth</vt:lpstr>
      <vt:lpstr>z_8ZF0D70112_MO_OS_USTransportationandElectronicsrevenuemix</vt:lpstr>
      <vt:lpstr>z_8ZF0D70112_MO_OS_USVolumeSalesGrowth</vt:lpstr>
      <vt:lpstr>z_8ZF0D70112_MO_OS_Volumeimpactonadjustedoperatingincome</vt:lpstr>
      <vt:lpstr>z_8ZF0D70112_MO_OS_Volumeproductivityotherimpact</vt:lpstr>
      <vt:lpstr>z_8ZF0D70112_MO_OS_Volumeproductivityotherincrementalmargin</vt:lpstr>
      <vt:lpstr>z_8ZF0D70112_MO_OS_WestEuropeOrganicLocalCurrencySalesGrowth</vt:lpstr>
      <vt:lpstr>z_8ZF0D70112_MO_OS_YenFX</vt:lpstr>
      <vt:lpstr>z_8ZF0D70112_MO_RIS_AdjustedEarningsPerShareWAD</vt:lpstr>
      <vt:lpstr>z_8ZF0D70112_MO_RIS_AdjustedEBIT</vt:lpstr>
      <vt:lpstr>z_8ZF0D70112_MO_RIS_AdjustedEBITDANoAdjustments</vt:lpstr>
      <vt:lpstr>z_8ZF0D70112_MO_RIS_AdjustedNetIncome</vt:lpstr>
      <vt:lpstr>z_8ZF0D70112_MO_RIS_AdjustedSharesOutstandingWAD</vt:lpstr>
      <vt:lpstr>z_8ZF0D70112_MO_RIS_AdjustmentsforConvertibleSecurities</vt:lpstr>
      <vt:lpstr>z_8ZF0D70112_MO_RIS_Amortizationofintangibles</vt:lpstr>
      <vt:lpstr>z_8ZF0D70112_MO_RIS_COGSadjforDA</vt:lpstr>
      <vt:lpstr>z_8ZF0D70112_MO_RIS_consensusestimatesadjustedearningspersharewad</vt:lpstr>
      <vt:lpstr>z_8ZF0D70112_MO_RIS_consensusestimatesadjustedebit</vt:lpstr>
      <vt:lpstr>z_8ZF0D70112_MO_RIS_consensusestimatesadjustedebitda</vt:lpstr>
      <vt:lpstr>z_8ZF0D70112_MO_RIS_consensusestimatesnetrevenue</vt:lpstr>
      <vt:lpstr>z_8ZF0D70112_MO_RIS_Currenttax</vt:lpstr>
      <vt:lpstr>z_8ZF0D70112_MO_RIS_Currenttaxrate</vt:lpstr>
      <vt:lpstr>z_8ZF0D70112_MO_RIS_DA</vt:lpstr>
      <vt:lpstr>z_8ZF0D70112_MO_RIS_Deferredtax</vt:lpstr>
      <vt:lpstr>z_8ZF0D70112_MO_RIS_Deferredtaxrate</vt:lpstr>
      <vt:lpstr>z_8ZF0D70112_MO_RIS_DilutedNetIncometoCommonShareholders</vt:lpstr>
      <vt:lpstr>z_8ZF0D70112_MO_RIS_DiscontinuedOperations</vt:lpstr>
      <vt:lpstr>z_8ZF0D70112_MO_RIS_EarningsPerShareWAB</vt:lpstr>
      <vt:lpstr>z_8ZF0D70112_MO_RIS_EarningsPerShareWAD</vt:lpstr>
      <vt:lpstr>z_8ZF0D70112_MO_RIS_EBIT</vt:lpstr>
      <vt:lpstr>z_8ZF0D70112_MO_RIS_EBITDA</vt:lpstr>
      <vt:lpstr>z_8ZF0D70112_MO_RIS_EBITDA_1</vt:lpstr>
      <vt:lpstr>z_8ZF0D70112_MO_RIS_EBT</vt:lpstr>
      <vt:lpstr>z_8ZF0D70112_MO_RIS_Interestexpense</vt:lpstr>
      <vt:lpstr>z_8ZF0D70112_MO_RIS_Interestincome</vt:lpstr>
      <vt:lpstr>z_8ZF0D70112_MO_RIS_NetIncomefromContinuedOperation</vt:lpstr>
      <vt:lpstr>z_8ZF0D70112_MO_RIS_NetIncometoCommonShareholders</vt:lpstr>
      <vt:lpstr>z_8ZF0D70112_MO_RIS_NetIncometoNCI</vt:lpstr>
      <vt:lpstr>z_8ZF0D70112_MO_RIS_NetRevenue</vt:lpstr>
      <vt:lpstr>z_8ZF0D70112_MO_RIS_NonGAAPAdjustments</vt:lpstr>
      <vt:lpstr>z_8ZF0D70112_MO_RIS_NonGAAPAdjustmentsforDilutiveSecurities</vt:lpstr>
      <vt:lpstr>z_8ZF0D70112_MO_RIS_Onetimeitem</vt:lpstr>
      <vt:lpstr>z_8ZF0D70112_MO_RIS_Other</vt:lpstr>
      <vt:lpstr>z_8ZF0D70112_MO_RIS_Otheritems</vt:lpstr>
      <vt:lpstr>z_8ZF0D70112_MO_RIS_Preferredstockdividends</vt:lpstr>
      <vt:lpstr>z_8ZF0D70112_MO_RIS_RD</vt:lpstr>
      <vt:lpstr>z_8ZF0D70112_MO_RIS_SBC</vt:lpstr>
      <vt:lpstr>z_8ZF0D70112_MO_RIS_SGAadjforSBC</vt:lpstr>
      <vt:lpstr>z_8ZF0D70112_MO_RIS_SharesOutstandingWAB</vt:lpstr>
      <vt:lpstr>z_8ZF0D70112_MO_RIS_SharesOutstandingWAD</vt:lpstr>
      <vt:lpstr>z_8ZF0D70112_MO_Section_AN_AdjustedNumbers</vt:lpstr>
      <vt:lpstr>z_8ZF0D70112_MO_Section_BS_BalanceSheet</vt:lpstr>
      <vt:lpstr>z_8ZF0D70112_MO_Section_BS_ModelChecks</vt:lpstr>
      <vt:lpstr>z_8ZF0D70112_MO_Section_BSS_BalanceSheetSummary</vt:lpstr>
      <vt:lpstr>z_8ZF0D70112_MO_Section_CCFS_CumulativeCashFlowStatement</vt:lpstr>
      <vt:lpstr>z_8ZF0D70112_MO_Section_CFS_CashFlowStatement</vt:lpstr>
      <vt:lpstr>z_8ZF0D70112_MO_Section_CFSum_CashFlowSummary</vt:lpstr>
      <vt:lpstr>z_8ZF0D70112_MO_Section_DAF_DAForecasting</vt:lpstr>
      <vt:lpstr>z_8ZF0D70112_MO_Section_GA_GrowthAnalysis</vt:lpstr>
      <vt:lpstr>z_8ZF0D70112_MO_Section_IS_IncomeStatement</vt:lpstr>
      <vt:lpstr>z_8ZF0D70112_MO_Section_MA_MarginAnalysis</vt:lpstr>
      <vt:lpstr>z_8ZF0D70112_MO_Section_OS_KeyMetricsAdjustedOperatingIncomeWalk</vt:lpstr>
      <vt:lpstr>z_8ZF0D70112_MO_Section_OS_KeyMetricsEmployeeCount10K</vt:lpstr>
      <vt:lpstr>z_8ZF0D70112_MO_Section_OS_KeyMetricsFCFConversionPR</vt:lpstr>
      <vt:lpstr>z_8ZF0D70112_MO_Section_OS_KeyMetricsOperatingMarginandEPSWalks10QK</vt:lpstr>
      <vt:lpstr>z_8ZF0D70112_MO_Section_OS_KeyMetricsROICPR</vt:lpstr>
      <vt:lpstr>z_8ZF0D70112_MO_Section_OS_SegmentedResultsAdjustedEBITDABreakdownPR</vt:lpstr>
      <vt:lpstr>z_8ZF0D70112_MO_Section_OS_SegmentedResultsConsumerPR</vt:lpstr>
      <vt:lpstr>z_8ZF0D70112_MO_Section_OS_SegmentedResultsCorporateandUnallocated10QK</vt:lpstr>
      <vt:lpstr>z_8ZF0D70112_MO_Section_OS_SegmentedResultsEliminationsofDualCredit10QK</vt:lpstr>
      <vt:lpstr>z_8ZF0D70112_MO_Section_OS_SegmentedResultsGeographicBreakdownFS</vt:lpstr>
      <vt:lpstr>z_8ZF0D70112_MO_Section_OS_SegmentedResultsHealthCarePR</vt:lpstr>
      <vt:lpstr>z_8ZF0D70112_MO_Section_OS_SegmentedResultsOperatingIncomeBreakdownFS_1</vt:lpstr>
      <vt:lpstr>z_8ZF0D70112_MO_Section_OS_SegmentedResultsRevenueBreakdownFS</vt:lpstr>
      <vt:lpstr>z_8ZF0D70112_MO_Section_OS_SegmentedResultsRevenueBreakdownFS_1</vt:lpstr>
      <vt:lpstr>z_8ZF0D70112_MO_Section_OS_SegmentedResultsSafetyandIndustrialPR</vt:lpstr>
      <vt:lpstr>z_8ZF0D70112_MO_Section_OS_SegmentedResultsTransportationandElectronicsPR</vt:lpstr>
      <vt:lpstr>z_8ZF0D70112_MO_Section_OS_WorkingCapitalForecasting</vt:lpstr>
      <vt:lpstr>z_8ZF0D70112_MO_Section_RIS_RevisedIncomeStatement</vt:lpstr>
      <vt:lpstr>z_8ZF0D70112_MO_Section_TB_Tables</vt:lpstr>
      <vt:lpstr>z_8ZF0D70112_MO_Section_VA_Valuation</vt:lpstr>
      <vt:lpstr>z_8ZF0D70112_MO_SubSection_OS_USTranslationSalesGrowth</vt:lpstr>
      <vt:lpstr>z_8ZF0D70112_MO_VA_EnterpriseValueAverage</vt:lpstr>
      <vt:lpstr>z_8ZF0D70112_MO_VA_enterprisevaluecomponents</vt:lpstr>
      <vt:lpstr>z_8ZF0D70112_MO_VA_EVEBITDAAverage</vt:lpstr>
      <vt:lpstr>z_8ZF0D70112_MO_VA_FCFYieldtoAverageEnterpriseValue</vt:lpstr>
      <vt:lpstr>z_8ZF0D70112_MO_VA_FCFYieldtoAverageMarketCap</vt:lpstr>
      <vt:lpstr>z_8ZF0D70112_MO_VA_MarketCapAverage</vt:lpstr>
      <vt:lpstr>z_8ZF0D70112_MO_VA_NoncontrollingInterest</vt:lpstr>
      <vt:lpstr>z_8ZF0D70112_MO_VA_OtherEVComponents</vt:lpstr>
      <vt:lpstr>z_8ZF0D70112_MO_VA_PCFAverage</vt:lpstr>
      <vt:lpstr>z_8ZF0D70112_MO_VA_PEAverage</vt:lpstr>
      <vt:lpstr>z_8ZF0D70112_MO_VA_PreferredShares</vt:lpstr>
      <vt:lpstr>z_8ZF0D70112_MO_VA_StockAvg</vt:lpstr>
      <vt:lpstr>z_8ZF0D70112_MO_VA_StockHigh</vt:lpstr>
      <vt:lpstr>z_8ZF0D70112_MO_VA_StockLow</vt:lpstr>
      <vt:lpstr>z_8ZF0D70112_MO_VA_StockPriceAverage</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Canalyst</dc:creator>
  <cp:keywords/>
  <dc:description/>
  <cp:lastModifiedBy>Todd Liu</cp:lastModifiedBy>
  <cp:lastPrinted>2021-01-05T23:50:04Z</cp:lastPrinted>
  <dcterms:created xsi:type="dcterms:W3CDTF">2016-04-22T21:21:10Z</dcterms:created>
  <dcterms:modified xsi:type="dcterms:W3CDTF">2021-06-15T20:22:04Z</dcterms:modified>
  <cp:category/>
</cp:coreProperties>
</file>